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howObjects="none" codeName="ThisWorkbook"/>
  <mc:AlternateContent xmlns:mc="http://schemas.openxmlformats.org/markup-compatibility/2006">
    <mc:Choice Requires="x15">
      <x15ac:absPath xmlns:x15ac="http://schemas.microsoft.com/office/spreadsheetml/2010/11/ac" url="C:\Users\YuujiAnderson\Dropbox\Kaissa Consumer\Energy Research\suppliers\models\"/>
    </mc:Choice>
  </mc:AlternateContent>
  <xr:revisionPtr revIDLastSave="0" documentId="13_ncr:1_{D0630360-0B8B-446C-A1F2-C6BE055DFAC4}" xr6:coauthVersionLast="47" xr6:coauthVersionMax="47" xr10:uidLastSave="{00000000-0000-0000-0000-000000000000}"/>
  <bookViews>
    <workbookView xWindow="28680" yWindow="-120" windowWidth="29040" windowHeight="15720" tabRatio="704" firstSheet="1" activeTab="2" xr2:uid="{00000000-000D-0000-FFFF-FFFF00000000}"/>
  </bookViews>
  <sheets>
    <sheet name="__FDSCACHE__" sheetId="8" state="veryHidden" r:id="rId1"/>
    <sheet name="CW_Drivers" sheetId="22" r:id="rId2"/>
    <sheet name="CW_IS" sheetId="11" r:id="rId3"/>
    <sheet name="CW_FCF" sheetId="19" r:id="rId4"/>
    <sheet name="WB FIN STATEMENT" sheetId="4" state="hidden" r:id="rId5"/>
    <sheet name="Comps" sheetId="18" r:id="rId6"/>
    <sheet name="BlueMatrix" sheetId="13" r:id="rId7"/>
    <sheet name="ESG" sheetId="14" state="hidden" r:id="rId8"/>
    <sheet name="1a" sheetId="30" state="hidden" r:id="rId9"/>
    <sheet name="1" sheetId="21" state="hidden" r:id="rId10"/>
    <sheet name="Sheet2" sheetId="29" state="hidden" r:id="rId11"/>
    <sheet name="2" sheetId="27" r:id="rId12"/>
    <sheet name="Content Platform" sheetId="31" r:id="rId13"/>
    <sheet name="EPS Call" sheetId="15" r:id="rId14"/>
    <sheet name="Timeline" sheetId="23" r:id="rId15"/>
    <sheet name="Bottoms Up" sheetId="25" r:id="rId16"/>
    <sheet name="Nuclear" sheetId="26"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P" localSheetId="8">#REF!</definedName>
    <definedName name="\P" localSheetId="5">#REF!</definedName>
    <definedName name="\P" localSheetId="3">#REF!</definedName>
    <definedName name="\P">#REF!</definedName>
    <definedName name="\S" localSheetId="5">#REF!</definedName>
    <definedName name="\S">#REF!</definedName>
    <definedName name="\T" localSheetId="5">#REF!</definedName>
    <definedName name="\T" localSheetId="3">#REF!</definedName>
    <definedName name="\T">#REF!</definedName>
    <definedName name="\X" localSheetId="5">#REF!</definedName>
    <definedName name="\X">#REF!</definedName>
    <definedName name="\Z" localSheetId="5">#REF!</definedName>
    <definedName name="\Z">#REF!</definedName>
    <definedName name="____________________________________________EPS94" localSheetId="6">#REF!</definedName>
    <definedName name="____________________________________________EPS94">#REF!</definedName>
    <definedName name="____________________________________________EPS95" localSheetId="6">#REF!</definedName>
    <definedName name="____________________________________________EPS95">#REF!</definedName>
    <definedName name="____________________________________________EPS96" localSheetId="6">#REF!</definedName>
    <definedName name="____________________________________________EPS96">#REF!</definedName>
    <definedName name="____________________________________________QTR195">#REF!</definedName>
    <definedName name="____________________________________________QTR295">#REF!</definedName>
    <definedName name="____________________________________________QTR394">#REF!</definedName>
    <definedName name="____________________________________________QTR395">#REF!</definedName>
    <definedName name="____________________________________________QTR494">#REF!</definedName>
    <definedName name="____________________________________________QTR495">#REF!</definedName>
    <definedName name="___________________________________________EPS94">#REF!</definedName>
    <definedName name="___________________________________________EPS95">#REF!</definedName>
    <definedName name="___________________________________________EPS96">#REF!</definedName>
    <definedName name="___________________________________________QTR195">#REF!</definedName>
    <definedName name="___________________________________________QTR295">#REF!</definedName>
    <definedName name="___________________________________________QTR394">#REF!</definedName>
    <definedName name="___________________________________________QTR395">#REF!</definedName>
    <definedName name="___________________________________________QTR494">#REF!</definedName>
    <definedName name="___________________________________________QTR495">#REF!</definedName>
    <definedName name="_________________________________________EPS94">#REF!</definedName>
    <definedName name="_________________________________________EPS95">#REF!</definedName>
    <definedName name="_________________________________________EPS96">#REF!</definedName>
    <definedName name="_________________________________________QTR195">#REF!</definedName>
    <definedName name="_________________________________________QTR295">#REF!</definedName>
    <definedName name="_________________________________________QTR394">#REF!</definedName>
    <definedName name="_________________________________________QTR395">#REF!</definedName>
    <definedName name="_________________________________________QTR494">#REF!</definedName>
    <definedName name="_________________________________________QTR495">#REF!</definedName>
    <definedName name="_______________________________________EPS94">#REF!</definedName>
    <definedName name="_______________________________________EPS95">#REF!</definedName>
    <definedName name="_______________________________________EPS96">#REF!</definedName>
    <definedName name="_______________________________________QTR195">#REF!</definedName>
    <definedName name="_______________________________________QTR295">#REF!</definedName>
    <definedName name="_______________________________________QTR394">#REF!</definedName>
    <definedName name="_______________________________________QTR395">#REF!</definedName>
    <definedName name="_______________________________________QTR494">#REF!</definedName>
    <definedName name="_______________________________________QTR495">#REF!</definedName>
    <definedName name="______________________________________EPS94">#REF!</definedName>
    <definedName name="______________________________________EPS95">#REF!</definedName>
    <definedName name="______________________________________EPS96">#REF!</definedName>
    <definedName name="______________________________________QTR195">#REF!</definedName>
    <definedName name="______________________________________QTR295">#REF!</definedName>
    <definedName name="______________________________________QTR394">#REF!</definedName>
    <definedName name="______________________________________QTR395">#REF!</definedName>
    <definedName name="______________________________________QTR494">#REF!</definedName>
    <definedName name="______________________________________QTR495">#REF!</definedName>
    <definedName name="_____________________________________EPS94">#REF!</definedName>
    <definedName name="_____________________________________EPS95">#REF!</definedName>
    <definedName name="_____________________________________EPS96">#REF!</definedName>
    <definedName name="_____________________________________QTR195">#REF!</definedName>
    <definedName name="_____________________________________QTR295">#REF!</definedName>
    <definedName name="_____________________________________QTR394">#REF!</definedName>
    <definedName name="_____________________________________QTR395">#REF!</definedName>
    <definedName name="_____________________________________QTR494">#REF!</definedName>
    <definedName name="_____________________________________QTR495">#REF!</definedName>
    <definedName name="____________________________________EPS94">#REF!</definedName>
    <definedName name="____________________________________EPS95">#REF!</definedName>
    <definedName name="____________________________________EPS96">#REF!</definedName>
    <definedName name="____________________________________QTR195">#REF!</definedName>
    <definedName name="____________________________________QTR295">#REF!</definedName>
    <definedName name="____________________________________QTR394">#REF!</definedName>
    <definedName name="____________________________________QTR395">#REF!</definedName>
    <definedName name="____________________________________QTR494">#REF!</definedName>
    <definedName name="____________________________________QTR495">#REF!</definedName>
    <definedName name="___________________________________EPS94">#REF!</definedName>
    <definedName name="___________________________________EPS95">#REF!</definedName>
    <definedName name="___________________________________EPS96">#REF!</definedName>
    <definedName name="___________________________________QTR195">#REF!</definedName>
    <definedName name="___________________________________QTR295">#REF!</definedName>
    <definedName name="___________________________________QTR394">#REF!</definedName>
    <definedName name="___________________________________QTR395">#REF!</definedName>
    <definedName name="___________________________________QTR494">#REF!</definedName>
    <definedName name="___________________________________QTR495">#REF!</definedName>
    <definedName name="__________________________________EPS94">#REF!</definedName>
    <definedName name="__________________________________EPS95">#REF!</definedName>
    <definedName name="__________________________________EPS96">#REF!</definedName>
    <definedName name="__________________________________QTR195">#REF!</definedName>
    <definedName name="__________________________________QTR295">#REF!</definedName>
    <definedName name="__________________________________QTR394">#REF!</definedName>
    <definedName name="__________________________________QTR395">#REF!</definedName>
    <definedName name="__________________________________QTR494">#REF!</definedName>
    <definedName name="__________________________________QTR495">#REF!</definedName>
    <definedName name="_________________________________EPS94">#REF!</definedName>
    <definedName name="_________________________________EPS95">#REF!</definedName>
    <definedName name="_________________________________EPS96">#REF!</definedName>
    <definedName name="_________________________________QTR195">#REF!</definedName>
    <definedName name="_________________________________QTR295">#REF!</definedName>
    <definedName name="_________________________________QTR394">#REF!</definedName>
    <definedName name="_________________________________QTR395">#REF!</definedName>
    <definedName name="_________________________________QTR494">#REF!</definedName>
    <definedName name="_________________________________QTR495">#REF!</definedName>
    <definedName name="____________________________EPS94">#REF!</definedName>
    <definedName name="____________________________EPS95">#REF!</definedName>
    <definedName name="____________________________EPS96">#REF!</definedName>
    <definedName name="____________________________QTR195">#REF!</definedName>
    <definedName name="____________________________QTR295">#REF!</definedName>
    <definedName name="____________________________QTR394">#REF!</definedName>
    <definedName name="____________________________QTR395">#REF!</definedName>
    <definedName name="____________________________QTR494">#REF!</definedName>
    <definedName name="____________________________QTR495">#REF!</definedName>
    <definedName name="_______________________EPS94">#REF!</definedName>
    <definedName name="_______________________EPS95">#REF!</definedName>
    <definedName name="_______________________EPS96">#REF!</definedName>
    <definedName name="_______________________QTR195">#REF!</definedName>
    <definedName name="_______________________QTR295">#REF!</definedName>
    <definedName name="_______________________QTR394">#REF!</definedName>
    <definedName name="_______________________QTR395">#REF!</definedName>
    <definedName name="_______________________QTR494">#REF!</definedName>
    <definedName name="_______________________QTR495">#REF!</definedName>
    <definedName name="__________________EPS94">#REF!</definedName>
    <definedName name="__________________EPS95">#REF!</definedName>
    <definedName name="__________________EPS96">#REF!</definedName>
    <definedName name="__________________QTR195">#REF!</definedName>
    <definedName name="__________________QTR295">#REF!</definedName>
    <definedName name="__________________QTR394">#REF!</definedName>
    <definedName name="__________________QTR395">#REF!</definedName>
    <definedName name="__________________QTR494">#REF!</definedName>
    <definedName name="__________________QTR495">#REF!</definedName>
    <definedName name="_______________EPS94">#REF!</definedName>
    <definedName name="_______________EPS95">#REF!</definedName>
    <definedName name="_______________EPS96">#REF!</definedName>
    <definedName name="_______________QTR195">#REF!</definedName>
    <definedName name="_______________QTR295">#REF!</definedName>
    <definedName name="_______________QTR394">#REF!</definedName>
    <definedName name="_______________QTR395">#REF!</definedName>
    <definedName name="_______________QTR494">#REF!</definedName>
    <definedName name="_______________QTR495">#REF!</definedName>
    <definedName name="_____________EPS94">#REF!</definedName>
    <definedName name="_____________EPS95">#REF!</definedName>
    <definedName name="_____________EPS96">#REF!</definedName>
    <definedName name="_____________QTR195">#REF!</definedName>
    <definedName name="_____________QTR295">#REF!</definedName>
    <definedName name="_____________QTR394">#REF!</definedName>
    <definedName name="_____________QTR395">#REF!</definedName>
    <definedName name="_____________QTR494">#REF!</definedName>
    <definedName name="_____________QTR495">#REF!</definedName>
    <definedName name="_____________uk2" localSheetId="8" hidden="1">{"UK1",#N/A,FALSE,"OldBudExpUK";"UK2",#N/A,FALSE,"OldBudExpUK";"UK3",#N/A,FALSE,"OldBudExpUK";"UK4",#N/A,FALSE,"OldBudExpUK";#N/A,#N/A,FALSE,"OldBudExpTV"}</definedName>
    <definedName name="_____________uk2" localSheetId="6" hidden="1">{"UK1",#N/A,FALSE,"OldBudExpUK";"UK2",#N/A,FALSE,"OldBudExpUK";"UK3",#N/A,FALSE,"OldBudExpUK";"UK4",#N/A,FALSE,"OldBudExpUK";#N/A,#N/A,FALSE,"OldBudExpTV"}</definedName>
    <definedName name="_____________uk2" hidden="1">{"UK1",#N/A,FALSE,"OldBudExpUK";"UK2",#N/A,FALSE,"OldBudExpUK";"UK3",#N/A,FALSE,"OldBudExpUK";"UK4",#N/A,FALSE,"OldBudExpUK";#N/A,#N/A,FALSE,"OldBudExpTV"}</definedName>
    <definedName name="____________EPS94" localSheetId="6">#REF!</definedName>
    <definedName name="____________EPS94">#REF!</definedName>
    <definedName name="____________EPS95" localSheetId="6">#REF!</definedName>
    <definedName name="____________EPS95">#REF!</definedName>
    <definedName name="____________EPS96" localSheetId="6">#REF!</definedName>
    <definedName name="____________EPS96">#REF!</definedName>
    <definedName name="____________QTR195">#REF!</definedName>
    <definedName name="____________QTR295">#REF!</definedName>
    <definedName name="____________QTR394">#REF!</definedName>
    <definedName name="____________QTR395">#REF!</definedName>
    <definedName name="____________QTR494">#REF!</definedName>
    <definedName name="____________QTR495">#REF!</definedName>
    <definedName name="____________uk2" localSheetId="8" hidden="1">{"UK1",#N/A,FALSE,"OldBudExpUK";"UK2",#N/A,FALSE,"OldBudExpUK";"UK3",#N/A,FALSE,"OldBudExpUK";"UK4",#N/A,FALSE,"OldBudExpUK";#N/A,#N/A,FALSE,"OldBudExpTV"}</definedName>
    <definedName name="____________uk2" localSheetId="6" hidden="1">{"UK1",#N/A,FALSE,"OldBudExpUK";"UK2",#N/A,FALSE,"OldBudExpUK";"UK3",#N/A,FALSE,"OldBudExpUK";"UK4",#N/A,FALSE,"OldBudExpUK";#N/A,#N/A,FALSE,"OldBudExpTV"}</definedName>
    <definedName name="____________uk2" hidden="1">{"UK1",#N/A,FALSE,"OldBudExpUK";"UK2",#N/A,FALSE,"OldBudExpUK";"UK3",#N/A,FALSE,"OldBudExpUK";"UK4",#N/A,FALSE,"OldBudExpUK";#N/A,#N/A,FALSE,"OldBudExpTV"}</definedName>
    <definedName name="___________EPS94" localSheetId="6">#REF!</definedName>
    <definedName name="___________EPS94">#REF!</definedName>
    <definedName name="___________EPS95" localSheetId="6">#REF!</definedName>
    <definedName name="___________EPS95">#REF!</definedName>
    <definedName name="___________EPS96" localSheetId="6">#REF!</definedName>
    <definedName name="___________EPS96">#REF!</definedName>
    <definedName name="___________QTR195">#REF!</definedName>
    <definedName name="___________QTR295">#REF!</definedName>
    <definedName name="___________QTR394">#REF!</definedName>
    <definedName name="___________QTR395">#REF!</definedName>
    <definedName name="___________QTR494">#REF!</definedName>
    <definedName name="___________QTR495">#REF!</definedName>
    <definedName name="___________uk2" localSheetId="8" hidden="1">{"UK1",#N/A,FALSE,"OldBudExpUK";"UK2",#N/A,FALSE,"OldBudExpUK";"UK3",#N/A,FALSE,"OldBudExpUK";"UK4",#N/A,FALSE,"OldBudExpUK";#N/A,#N/A,FALSE,"OldBudExpTV"}</definedName>
    <definedName name="___________uk2" localSheetId="6" hidden="1">{"UK1",#N/A,FALSE,"OldBudExpUK";"UK2",#N/A,FALSE,"OldBudExpUK";"UK3",#N/A,FALSE,"OldBudExpUK";"UK4",#N/A,FALSE,"OldBudExpUK";#N/A,#N/A,FALSE,"OldBudExpTV"}</definedName>
    <definedName name="___________uk2" hidden="1">{"UK1",#N/A,FALSE,"OldBudExpUK";"UK2",#N/A,FALSE,"OldBudExpUK";"UK3",#N/A,FALSE,"OldBudExpUK";"UK4",#N/A,FALSE,"OldBudExpUK";#N/A,#N/A,FALSE,"OldBudExpTV"}</definedName>
    <definedName name="__________EPS94" localSheetId="6">#REF!</definedName>
    <definedName name="__________EPS94">#REF!</definedName>
    <definedName name="__________EPS95" localSheetId="6">#REF!</definedName>
    <definedName name="__________EPS95">#REF!</definedName>
    <definedName name="__________EPS96" localSheetId="6">#REF!</definedName>
    <definedName name="__________EPS96">#REF!</definedName>
    <definedName name="__________QTR195">#REF!</definedName>
    <definedName name="__________QTR295">#REF!</definedName>
    <definedName name="__________QTR394">#REF!</definedName>
    <definedName name="__________QTR395">#REF!</definedName>
    <definedName name="__________QTR494">#REF!</definedName>
    <definedName name="__________QTR495">#REF!</definedName>
    <definedName name="__________uk2" localSheetId="8" hidden="1">{"UK1",#N/A,FALSE,"OldBudExpUK";"UK2",#N/A,FALSE,"OldBudExpUK";"UK3",#N/A,FALSE,"OldBudExpUK";"UK4",#N/A,FALSE,"OldBudExpUK";#N/A,#N/A,FALSE,"OldBudExpTV"}</definedName>
    <definedName name="__________uk2" localSheetId="6" hidden="1">{"UK1",#N/A,FALSE,"OldBudExpUK";"UK2",#N/A,FALSE,"OldBudExpUK";"UK3",#N/A,FALSE,"OldBudExpUK";"UK4",#N/A,FALSE,"OldBudExpUK";#N/A,#N/A,FALSE,"OldBudExpTV"}</definedName>
    <definedName name="__________uk2" hidden="1">{"UK1",#N/A,FALSE,"OldBudExpUK";"UK2",#N/A,FALSE,"OldBudExpUK";"UK3",#N/A,FALSE,"OldBudExpUK";"UK4",#N/A,FALSE,"OldBudExpUK";#N/A,#N/A,FALSE,"OldBudExpTV"}</definedName>
    <definedName name="_________EPS94" localSheetId="6">#REF!</definedName>
    <definedName name="_________EPS94">#REF!</definedName>
    <definedName name="_________EPS95" localSheetId="6">#REF!</definedName>
    <definedName name="_________EPS95">#REF!</definedName>
    <definedName name="_________EPS96" localSheetId="6">#REF!</definedName>
    <definedName name="_________EPS96">#REF!</definedName>
    <definedName name="_________QTR195">#REF!</definedName>
    <definedName name="_________QTR295">#REF!</definedName>
    <definedName name="_________QTR394">#REF!</definedName>
    <definedName name="_________QTR395">#REF!</definedName>
    <definedName name="_________QTR494">#REF!</definedName>
    <definedName name="_________QTR495">#REF!</definedName>
    <definedName name="_________uk2" localSheetId="8" hidden="1">{"UK1",#N/A,FALSE,"OldBudExpUK";"UK2",#N/A,FALSE,"OldBudExpUK";"UK3",#N/A,FALSE,"OldBudExpUK";"UK4",#N/A,FALSE,"OldBudExpUK";#N/A,#N/A,FALSE,"OldBudExpTV"}</definedName>
    <definedName name="_________uk2" localSheetId="6" hidden="1">{"UK1",#N/A,FALSE,"OldBudExpUK";"UK2",#N/A,FALSE,"OldBudExpUK";"UK3",#N/A,FALSE,"OldBudExpUK";"UK4",#N/A,FALSE,"OldBudExpUK";#N/A,#N/A,FALSE,"OldBudExpTV"}</definedName>
    <definedName name="_________uk2" hidden="1">{"UK1",#N/A,FALSE,"OldBudExpUK";"UK2",#N/A,FALSE,"OldBudExpUK";"UK3",#N/A,FALSE,"OldBudExpUK";"UK4",#N/A,FALSE,"OldBudExpUK";#N/A,#N/A,FALSE,"OldBudExpTV"}</definedName>
    <definedName name="________EPS94">#REF!</definedName>
    <definedName name="________EPS95">#REF!</definedName>
    <definedName name="________EPS96">#REF!</definedName>
    <definedName name="________QTR195">#REF!</definedName>
    <definedName name="________QTR295">#REF!</definedName>
    <definedName name="________QTR394">#REF!</definedName>
    <definedName name="________QTR395">#REF!</definedName>
    <definedName name="________QTR494">#REF!</definedName>
    <definedName name="________QTR495">#REF!</definedName>
    <definedName name="________uk2" localSheetId="8" hidden="1">{"UK1",#N/A,FALSE,"OldBudExpUK";"UK2",#N/A,FALSE,"OldBudExpUK";"UK3",#N/A,FALSE,"OldBudExpUK";"UK4",#N/A,FALSE,"OldBudExpUK";#N/A,#N/A,FALSE,"OldBudExpTV"}</definedName>
    <definedName name="________uk2" localSheetId="6" hidden="1">{"UK1",#N/A,FALSE,"OldBudExpUK";"UK2",#N/A,FALSE,"OldBudExpUK";"UK3",#N/A,FALSE,"OldBudExpUK";"UK4",#N/A,FALSE,"OldBudExpUK";#N/A,#N/A,FALSE,"OldBudExpTV"}</definedName>
    <definedName name="________uk2" hidden="1">{"UK1",#N/A,FALSE,"OldBudExpUK";"UK2",#N/A,FALSE,"OldBudExpUK";"UK3",#N/A,FALSE,"OldBudExpUK";"UK4",#N/A,FALSE,"OldBudExpUK";#N/A,#N/A,FALSE,"OldBudExpTV"}</definedName>
    <definedName name="_______EPS94" localSheetId="6">#REF!</definedName>
    <definedName name="_______EPS94">#REF!</definedName>
    <definedName name="_______EPS95" localSheetId="6">#REF!</definedName>
    <definedName name="_______EPS95">#REF!</definedName>
    <definedName name="_______EPS96" localSheetId="6">#REF!</definedName>
    <definedName name="_______EPS96">#REF!</definedName>
    <definedName name="_______QTR195">#REF!</definedName>
    <definedName name="_______QTR295">#REF!</definedName>
    <definedName name="_______QTR394">#REF!</definedName>
    <definedName name="_______QTR395">#REF!</definedName>
    <definedName name="_______QTR494">#REF!</definedName>
    <definedName name="_______QTR495">#REF!</definedName>
    <definedName name="_______uk2" localSheetId="8" hidden="1">{"UK1",#N/A,FALSE,"OldBudExpUK";"UK2",#N/A,FALSE,"OldBudExpUK";"UK3",#N/A,FALSE,"OldBudExpUK";"UK4",#N/A,FALSE,"OldBudExpUK";#N/A,#N/A,FALSE,"OldBudExpTV"}</definedName>
    <definedName name="_______uk2" localSheetId="6" hidden="1">{"UK1",#N/A,FALSE,"OldBudExpUK";"UK2",#N/A,FALSE,"OldBudExpUK";"UK3",#N/A,FALSE,"OldBudExpUK";"UK4",#N/A,FALSE,"OldBudExpUK";#N/A,#N/A,FALSE,"OldBudExpTV"}</definedName>
    <definedName name="_______uk2" hidden="1">{"UK1",#N/A,FALSE,"OldBudExpUK";"UK2",#N/A,FALSE,"OldBudExpUK";"UK3",#N/A,FALSE,"OldBudExpUK";"UK4",#N/A,FALSE,"OldBudExpUK";#N/A,#N/A,FALSE,"OldBudExpTV"}</definedName>
    <definedName name="______EPS94" localSheetId="6">#REF!</definedName>
    <definedName name="______EPS94">#REF!</definedName>
    <definedName name="______EPS95" localSheetId="6">#REF!</definedName>
    <definedName name="______EPS95">#REF!</definedName>
    <definedName name="______EPS96" localSheetId="6">#REF!</definedName>
    <definedName name="______EPS96">#REF!</definedName>
    <definedName name="______QTR195">#REF!</definedName>
    <definedName name="______QTR295">#REF!</definedName>
    <definedName name="______QTR394">#REF!</definedName>
    <definedName name="______QTR395">#REF!</definedName>
    <definedName name="______QTR494">#REF!</definedName>
    <definedName name="______QTR495">#REF!</definedName>
    <definedName name="______uk2" localSheetId="8" hidden="1">{"UK1",#N/A,FALSE,"OldBudExpUK";"UK2",#N/A,FALSE,"OldBudExpUK";"UK3",#N/A,FALSE,"OldBudExpUK";"UK4",#N/A,FALSE,"OldBudExpUK";#N/A,#N/A,FALSE,"OldBudExpTV"}</definedName>
    <definedName name="______uk2" localSheetId="6" hidden="1">{"UK1",#N/A,FALSE,"OldBudExpUK";"UK2",#N/A,FALSE,"OldBudExpUK";"UK3",#N/A,FALSE,"OldBudExpUK";"UK4",#N/A,FALSE,"OldBudExpUK";#N/A,#N/A,FALSE,"OldBudExpTV"}</definedName>
    <definedName name="______uk2" hidden="1">{"UK1",#N/A,FALSE,"OldBudExpUK";"UK2",#N/A,FALSE,"OldBudExpUK";"UK3",#N/A,FALSE,"OldBudExpUK";"UK4",#N/A,FALSE,"OldBudExpUK";#N/A,#N/A,FALSE,"OldBudExpTV"}</definedName>
    <definedName name="_____EPS94" localSheetId="6">#REF!</definedName>
    <definedName name="_____EPS94">#REF!</definedName>
    <definedName name="_____EPS95" localSheetId="6">#REF!</definedName>
    <definedName name="_____EPS95">#REF!</definedName>
    <definedName name="_____EPS96" localSheetId="6">#REF!</definedName>
    <definedName name="_____EPS96">#REF!</definedName>
    <definedName name="_____QTR195">#REF!</definedName>
    <definedName name="_____QTR295">#REF!</definedName>
    <definedName name="_____QTR394">#REF!</definedName>
    <definedName name="_____QTR395">#REF!</definedName>
    <definedName name="_____QTR494">#REF!</definedName>
    <definedName name="_____QTR495">#REF!</definedName>
    <definedName name="_____uk2" localSheetId="8" hidden="1">{"UK1",#N/A,FALSE,"OldBudExpUK";"UK2",#N/A,FALSE,"OldBudExpUK";"UK3",#N/A,FALSE,"OldBudExpUK";"UK4",#N/A,FALSE,"OldBudExpUK";#N/A,#N/A,FALSE,"OldBudExpTV"}</definedName>
    <definedName name="_____uk2" localSheetId="6" hidden="1">{"UK1",#N/A,FALSE,"OldBudExpUK";"UK2",#N/A,FALSE,"OldBudExpUK";"UK3",#N/A,FALSE,"OldBudExpUK";"UK4",#N/A,FALSE,"OldBudExpUK";#N/A,#N/A,FALSE,"OldBudExpTV"}</definedName>
    <definedName name="_____uk2" hidden="1">{"UK1",#N/A,FALSE,"OldBudExpUK";"UK2",#N/A,FALSE,"OldBudExpUK";"UK3",#N/A,FALSE,"OldBudExpUK";"UK4",#N/A,FALSE,"OldBudExpUK";#N/A,#N/A,FALSE,"OldBudExpTV"}</definedName>
    <definedName name="_____x10" localSheetId="8" hidden="1">{"'Sheet1'!$A$1"}</definedName>
    <definedName name="_____x10" localSheetId="6" hidden="1">{"'Sheet1'!$A$1"}</definedName>
    <definedName name="_____x10" hidden="1">{"'Sheet1'!$A$1"}</definedName>
    <definedName name="_____x9" localSheetId="8" hidden="1">{"'Sheet1'!$A$1"}</definedName>
    <definedName name="_____x9" localSheetId="6" hidden="1">{"'Sheet1'!$A$1"}</definedName>
    <definedName name="_____x9" hidden="1">{"'Sheet1'!$A$1"}</definedName>
    <definedName name="____EPS94">#REF!</definedName>
    <definedName name="____EPS95">#REF!</definedName>
    <definedName name="____EPS96">#REF!</definedName>
    <definedName name="____QTR195">#REF!</definedName>
    <definedName name="____QTR295">#REF!</definedName>
    <definedName name="____QTR394">#REF!</definedName>
    <definedName name="____QTR395">#REF!</definedName>
    <definedName name="____QTR494">#REF!</definedName>
    <definedName name="____QTR495">#REF!</definedName>
    <definedName name="____uk2" localSheetId="8" hidden="1">{"UK1",#N/A,FALSE,"OldBudExpUK";"UK2",#N/A,FALSE,"OldBudExpUK";"UK3",#N/A,FALSE,"OldBudExpUK";"UK4",#N/A,FALSE,"OldBudExpUK";#N/A,#N/A,FALSE,"OldBudExpTV"}</definedName>
    <definedName name="____uk2" localSheetId="6" hidden="1">{"UK1",#N/A,FALSE,"OldBudExpUK";"UK2",#N/A,FALSE,"OldBudExpUK";"UK3",#N/A,FALSE,"OldBudExpUK";"UK4",#N/A,FALSE,"OldBudExpUK";#N/A,#N/A,FALSE,"OldBudExpTV"}</definedName>
    <definedName name="____uk2" hidden="1">{"UK1",#N/A,FALSE,"OldBudExpUK";"UK2",#N/A,FALSE,"OldBudExpUK";"UK3",#N/A,FALSE,"OldBudExpUK";"UK4",#N/A,FALSE,"OldBudExpUK";#N/A,#N/A,FALSE,"OldBudExpTV"}</definedName>
    <definedName name="____x10" localSheetId="8" hidden="1">{"'Sheet1'!$A$1"}</definedName>
    <definedName name="____x10" localSheetId="6" hidden="1">{"'Sheet1'!$A$1"}</definedName>
    <definedName name="____x10" hidden="1">{"'Sheet1'!$A$1"}</definedName>
    <definedName name="____x9" localSheetId="8" hidden="1">{"'Sheet1'!$A$1"}</definedName>
    <definedName name="____x9" localSheetId="6" hidden="1">{"'Sheet1'!$A$1"}</definedName>
    <definedName name="____x9" hidden="1">{"'Sheet1'!$A$1"}</definedName>
    <definedName name="___EPS94" localSheetId="2">#REF!</definedName>
    <definedName name="___EPS94">#REF!</definedName>
    <definedName name="___EPS95" localSheetId="2">#REF!</definedName>
    <definedName name="___EPS95">#REF!</definedName>
    <definedName name="___EPS96" localSheetId="2">#REF!</definedName>
    <definedName name="___EPS96">#REF!</definedName>
    <definedName name="___QTR195" localSheetId="2">#REF!</definedName>
    <definedName name="___QTR195">#REF!</definedName>
    <definedName name="___QTR295" localSheetId="2">#REF!</definedName>
    <definedName name="___QTR295">#REF!</definedName>
    <definedName name="___QTR394" localSheetId="2">#REF!</definedName>
    <definedName name="___QTR394">#REF!</definedName>
    <definedName name="___QTR395" localSheetId="2">#REF!</definedName>
    <definedName name="___QTR395">#REF!</definedName>
    <definedName name="___QTR494" localSheetId="2">#REF!</definedName>
    <definedName name="___QTR494">#REF!</definedName>
    <definedName name="___QTR495" localSheetId="2">#REF!</definedName>
    <definedName name="___QTR495">#REF!</definedName>
    <definedName name="___uk2" localSheetId="8" hidden="1">{"UK1",#N/A,FALSE,"OldBudExpUK";"UK2",#N/A,FALSE,"OldBudExpUK";"UK3",#N/A,FALSE,"OldBudExpUK";"UK4",#N/A,FALSE,"OldBudExpUK";#N/A,#N/A,FALSE,"OldBudExpTV"}</definedName>
    <definedName name="___uk2" localSheetId="6" hidden="1">{"UK1",#N/A,FALSE,"OldBudExpUK";"UK2",#N/A,FALSE,"OldBudExpUK";"UK3",#N/A,FALSE,"OldBudExpUK";"UK4",#N/A,FALSE,"OldBudExpUK";#N/A,#N/A,FALSE,"OldBudExpTV"}</definedName>
    <definedName name="___uk2" hidden="1">{"UK1",#N/A,FALSE,"OldBudExpUK";"UK2",#N/A,FALSE,"OldBudExpUK";"UK3",#N/A,FALSE,"OldBudExpUK";"UK4",#N/A,FALSE,"OldBudExpUK";#N/A,#N/A,FALSE,"OldBudExpTV"}</definedName>
    <definedName name="__123Graph_A" hidden="1">[1]A!#REF!</definedName>
    <definedName name="__123Graph_B" hidden="1">[1]A!#REF!</definedName>
    <definedName name="__123Graph_C" hidden="1">[1]A!#REF!</definedName>
    <definedName name="__123Graph_D" hidden="1">[1]A!#REF!</definedName>
    <definedName name="__123Graph_E" hidden="1">[1]A!#REF!</definedName>
    <definedName name="__123Graph_F" hidden="1">[1]A!#REF!</definedName>
    <definedName name="__EPS94" localSheetId="6">#REF!</definedName>
    <definedName name="__EPS94">#REF!</definedName>
    <definedName name="__EPS95" localSheetId="6">#REF!</definedName>
    <definedName name="__EPS95">#REF!</definedName>
    <definedName name="__EPS96" localSheetId="6">#REF!</definedName>
    <definedName name="__EPS96">#REF!</definedName>
    <definedName name="__FDS_HYPERLINK_TOGGLE_STATE__" hidden="1">"ON"</definedName>
    <definedName name="__FDS_UNIQUE_RANGE_ID_GENERATOR_COUNTER" localSheetId="9" hidden="1">165</definedName>
    <definedName name="__FDS_UNIQUE_RANGE_ID_GENERATOR_COUNTER" localSheetId="8" hidden="1">165</definedName>
    <definedName name="__FDS_UNIQUE_RANGE_ID_GENERATOR_COUNTER" localSheetId="5" hidden="1">165</definedName>
    <definedName name="__FDS_UNIQUE_RANGE_ID_GENERATOR_COUNTER" localSheetId="1" hidden="1">165</definedName>
    <definedName name="__FDS_UNIQUE_RANGE_ID_GENERATOR_COUNTER" localSheetId="3" hidden="1">165</definedName>
    <definedName name="__FDS_UNIQUE_RANGE_ID_GENERATOR_COUNTER" hidden="1">14</definedName>
    <definedName name="__FDS_USED_FOR_REUSING_RANGE_IDS_RECYCLE" localSheetId="9" hidden="1">{125,126,127,129,131,133,134,136,139,141,143,145,147,149,151,153,155,157,159,161,162,164,128,130,132,135,137,138,140,142,144,146,148,150,152,154,156,158,160,163}</definedName>
    <definedName name="__FDS_USED_FOR_REUSING_RANGE_IDS_RECYCLE" localSheetId="8" hidden="1">{125,126,127,129,131,133,134,136,139,141,143,145,147,149,151,153,155,157,159,161,162,164,128,130,132,135,137,138,140,142,144,146,148,150,152,154,156,158,160,163}</definedName>
    <definedName name="__FDS_USED_FOR_REUSING_RANGE_IDS_RECYCLE" localSheetId="6">{16,16}</definedName>
    <definedName name="__FDS_USED_FOR_REUSING_RANGE_IDS_RECYCLE" localSheetId="5" hidden="1">{125,126,127,129,131,133,134,136,139,141,143,145,147,149,151,153,155,157,159,161,162,164,128,130,132,135,137,138,140,142,144,146,148,150,152,154,156,158,160,163}</definedName>
    <definedName name="__FDS_USED_FOR_REUSING_RANGE_IDS_RECYCLE" localSheetId="1" hidden="1">{125,126,127,129,131,133,134,136,139,141,143,145,147,149,151,153,155,157,159,161,162,164,128,130,132,135,137,138,140,142,144,146,148,150,152,154,156,158,160,163}</definedName>
    <definedName name="__FDS_USED_FOR_REUSING_RANGE_IDS_RECYCLE" localSheetId="3" hidden="1">{125,126,127,129,131,133,134,136,139,141,143,145,147,149,151,153,155,157,159,161,162,164,128,130,132,135,137,138,140,142,144,146,148,150,152,154,156,158,160,163}</definedName>
    <definedName name="__FDS_USED_FOR_REUSING_RANGE_IDS_RECYCLE">{16,16}</definedName>
    <definedName name="__QTR195" localSheetId="6">#REF!</definedName>
    <definedName name="__QTR195">#REF!</definedName>
    <definedName name="__QTR295" localSheetId="6">#REF!</definedName>
    <definedName name="__QTR295">#REF!</definedName>
    <definedName name="__QTR394" localSheetId="6">#REF!</definedName>
    <definedName name="__QTR394">#REF!</definedName>
    <definedName name="__QTR395">#REF!</definedName>
    <definedName name="__QTR494">#REF!</definedName>
    <definedName name="__QTR495">#REF!</definedName>
    <definedName name="__uk2" localSheetId="8" hidden="1">{"UK1",#N/A,FALSE,"OldBudExpUK";"UK2",#N/A,FALSE,"OldBudExpUK";"UK3",#N/A,FALSE,"OldBudExpUK";"UK4",#N/A,FALSE,"OldBudExpUK";#N/A,#N/A,FALSE,"OldBudExpTV"}</definedName>
    <definedName name="__uk2" localSheetId="6" hidden="1">{"UK1",#N/A,FALSE,"OldBudExpUK";"UK2",#N/A,FALSE,"OldBudExpUK";"UK3",#N/A,FALSE,"OldBudExpUK";"UK4",#N/A,FALSE,"OldBudExpUK";#N/A,#N/A,FALSE,"OldBudExpTV"}</definedName>
    <definedName name="__uk2" hidden="1">{"UK1",#N/A,FALSE,"OldBudExpUK";"UK2",#N/A,FALSE,"OldBudExpUK";"UK3",#N/A,FALSE,"OldBudExpUK";"UK4",#N/A,FALSE,"OldBudExpUK";#N/A,#N/A,FALSE,"OldBudExpTV"}</definedName>
    <definedName name="__x10" localSheetId="8" hidden="1">{"'Sheet1'!$A$1"}</definedName>
    <definedName name="__x10" localSheetId="6" hidden="1">{"'Sheet1'!$A$1"}</definedName>
    <definedName name="__x10" hidden="1">{"'Sheet1'!$A$1"}</definedName>
    <definedName name="__x9" localSheetId="8" hidden="1">{"'Sheet1'!$A$1"}</definedName>
    <definedName name="__x9" localSheetId="6" hidden="1">{"'Sheet1'!$A$1"}</definedName>
    <definedName name="__x9" hidden="1">{"'Sheet1'!$A$1"}</definedName>
    <definedName name="_1">#REF!</definedName>
    <definedName name="_1__FDSAUDITLINK__" localSheetId="9" hidden="1">{"fdsup://Directions/FactSet Auditing Viewer?action=AUDIT_VALUE&amp;DB=129&amp;ID1=46269C10&amp;VALUEID=05194&amp;SDATE=201103&amp;PERIODTYPE=QTR_STD&amp;SCFT=3&amp;window=popup_no_bar&amp;width=385&amp;height=120&amp;START_MAXIMIZED=FALSE&amp;creator=factset&amp;display_string=Audit"}</definedName>
    <definedName name="_1__FDSAUDITLINK__" localSheetId="8" hidden="1">{"fdsup://Directions/FactSet Auditing Viewer?action=AUDIT_VALUE&amp;DB=129&amp;ID1=46269C10&amp;VALUEID=05194&amp;SDATE=201103&amp;PERIODTYPE=QTR_STD&amp;SCFT=3&amp;window=popup_no_bar&amp;width=385&amp;height=120&amp;START_MAXIMIZED=FALSE&amp;creator=factset&amp;display_string=Audit"}</definedName>
    <definedName name="_1__FDSAUDITLINK__" localSheetId="6" hidden="1">{"fdsup://directions/FAT Viewer?action=UPDATE&amp;creator=factset&amp;DYN_ARGS=TRUE&amp;DOC_NAME=FAT:FQL_AUDITING_CLIENT_TEMPLATE.FAT&amp;display_string=Audit&amp;VAR:KEY=ZOZEJIXWDS&amp;VAR:QUERY=RkZfRU5UUlBSX1ZBTCgp&amp;WINDOW=FIRST_POPUP&amp;HEIGHT=450&amp;WIDTH=450&amp;START_MAXIMIZED=FALSE&amp;VA","R:CALENDAR=US&amp;VAR:SYMBOL=BID&amp;VAR:INDEX=0"}</definedName>
    <definedName name="_1__FDSAUDITLINK__" localSheetId="5" hidden="1">{"fdsup://Directions/FactSet Auditing Viewer?action=AUDIT_VALUE&amp;DB=129&amp;ID1=46269C10&amp;VALUEID=05194&amp;SDATE=201103&amp;PERIODTYPE=QTR_STD&amp;SCFT=3&amp;window=popup_no_bar&amp;width=385&amp;height=120&amp;START_MAXIMIZED=FALSE&amp;creator=factset&amp;display_string=Audit"}</definedName>
    <definedName name="_1__FDSAUDITLINK__" localSheetId="1" hidden="1">{"fdsup://Directions/FactSet Auditing Viewer?action=AUDIT_VALUE&amp;DB=129&amp;ID1=46269C10&amp;VALUEID=05194&amp;SDATE=201103&amp;PERIODTYPE=QTR_STD&amp;SCFT=3&amp;window=popup_no_bar&amp;width=385&amp;height=120&amp;START_MAXIMIZED=FALSE&amp;creator=factset&amp;display_string=Audit"}</definedName>
    <definedName name="_1__FDSAUDITLINK__" localSheetId="3" hidden="1">{"fdsup://Directions/FactSet Auditing Viewer?action=AUDIT_VALUE&amp;DB=129&amp;ID1=46269C10&amp;VALUEID=05194&amp;SDATE=201103&amp;PERIODTYPE=QTR_STD&amp;SCFT=3&amp;window=popup_no_bar&amp;width=385&amp;height=120&amp;START_MAXIMIZED=FALSE&amp;creator=factset&amp;display_string=Audit"}</definedName>
    <definedName name="_1__FDSAUDITLINK__" hidden="1">{"fdsup://directions/FAT Viewer?action=UPDATE&amp;creator=factset&amp;DYN_ARGS=TRUE&amp;DOC_NAME=FAT:FQL_AUDITING_CLIENT_TEMPLATE.FAT&amp;display_string=Audit&amp;VAR:KEY=ZOZEJIXWDS&amp;VAR:QUERY=RkZfRU5UUlBSX1ZBTCgp&amp;WINDOW=FIRST_POPUP&amp;HEIGHT=450&amp;WIDTH=450&amp;START_MAXIMIZED=FALSE&amp;VA","R:CALENDAR=US&amp;VAR:SYMBOL=BID&amp;VAR:INDEX=0"}</definedName>
    <definedName name="_1_2005_1" localSheetId="9">#REF!</definedName>
    <definedName name="_1_2005_1" localSheetId="8">#REF!</definedName>
    <definedName name="_1_2005_1" localSheetId="5">#REF!</definedName>
    <definedName name="_1_2005_1" localSheetId="3">#REF!</definedName>
    <definedName name="_1_2005_1">#REF!</definedName>
    <definedName name="_10__FDSAUDITLINK__" localSheetId="9" hidden="1">{"fdsup://Directions/FactSet Auditing Viewer?action=AUDIT_VALUE&amp;DB=129&amp;ID1=26613Q10&amp;VALUEID=05194&amp;SDATE=201202&amp;PERIODTYPE=QTR_STD&amp;SCFT=3&amp;window=popup_no_bar&amp;width=385&amp;height=120&amp;START_MAXIMIZED=FALSE&amp;creator=factset&amp;display_string=Audit"}</definedName>
    <definedName name="_10__FDSAUDITLINK__" localSheetId="8" hidden="1">{"fdsup://Directions/FactSet Auditing Viewer?action=AUDIT_VALUE&amp;DB=129&amp;ID1=26613Q10&amp;VALUEID=05194&amp;SDATE=201202&amp;PERIODTYPE=QTR_STD&amp;SCFT=3&amp;window=popup_no_bar&amp;width=385&amp;height=120&amp;START_MAXIMIZED=FALSE&amp;creator=factset&amp;display_string=Audit"}</definedName>
    <definedName name="_10__FDSAUDITLINK__" localSheetId="6">{"fdsup://directions/FAT Viewer?action=UPDATE&amp;creator=factset&amp;DYN_ARGS=TRUE&amp;DOC_NAME=FAT:FQL_AUDITING_CLIENT_TEMPLATE.FAT&amp;display_string=Audit&amp;VAR:KEY=CZWPQHQLCZ&amp;VAR:QUERY=RkZfRU5UUlBSX1ZBTF9FQklUREEoJ0FOTicsMCwsLCwnVVNEJyk=&amp;WINDOW=FIRST_POPUP&amp;HEIGHT=450&amp;WI","DTH=450&amp;START_MAXIMIZED=FALSE&amp;VAR:CALENDAR=US&amp;VAR:SYMBOL=FWLT&amp;VAR:INDEX=0"}</definedName>
    <definedName name="_10__FDSAUDITLINK__" localSheetId="5" hidden="1">{"fdsup://Directions/FactSet Auditing Viewer?action=AUDIT_VALUE&amp;DB=129&amp;ID1=26613Q10&amp;VALUEID=05194&amp;SDATE=201202&amp;PERIODTYPE=QTR_STD&amp;SCFT=3&amp;window=popup_no_bar&amp;width=385&amp;height=120&amp;START_MAXIMIZED=FALSE&amp;creator=factset&amp;display_string=Audit"}</definedName>
    <definedName name="_10__FDSAUDITLINK__" localSheetId="1" hidden="1">{"fdsup://Directions/FactSet Auditing Viewer?action=AUDIT_VALUE&amp;DB=129&amp;ID1=26613Q10&amp;VALUEID=05194&amp;SDATE=201202&amp;PERIODTYPE=QTR_STD&amp;SCFT=3&amp;window=popup_no_bar&amp;width=385&amp;height=120&amp;START_MAXIMIZED=FALSE&amp;creator=factset&amp;display_string=Audit"}</definedName>
    <definedName name="_10__FDSAUDITLINK__" localSheetId="3" hidden="1">{"fdsup://Directions/FactSet Auditing Viewer?action=AUDIT_VALUE&amp;DB=129&amp;ID1=26613Q10&amp;VALUEID=05194&amp;SDATE=201202&amp;PERIODTYPE=QTR_STD&amp;SCFT=3&amp;window=popup_no_bar&amp;width=385&amp;height=120&amp;START_MAXIMIZED=FALSE&amp;creator=factset&amp;display_string=Audit"}</definedName>
    <definedName name="_10__FDSAUDITLINK__">{"fdsup://directions/FAT Viewer?action=UPDATE&amp;creator=factset&amp;DYN_ARGS=TRUE&amp;DOC_NAME=FAT:FQL_AUDITING_CLIENT_TEMPLATE.FAT&amp;display_string=Audit&amp;VAR:KEY=CZWPQHQLCZ&amp;VAR:QUERY=RkZfRU5UUlBSX1ZBTF9FQklUREEoJ0FOTicsMCwsLCwnVVNEJyk=&amp;WINDOW=FIRST_POPUP&amp;HEIGHT=450&amp;WI","DTH=450&amp;START_MAXIMIZED=FALSE&amp;VAR:CALENDAR=US&amp;VAR:SYMBOL=FWLT&amp;VAR:INDEX=0"}</definedName>
    <definedName name="_100__FDSAUDITLINK__" localSheetId="9"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localSheetId="8"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localSheetId="6"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localSheetId="5"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localSheetId="1"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localSheetId="3"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__FDSAUDITLINK__" hidden="1">{"fdsup://directions/FAT Viewer?action=UPDATE&amp;creator=factset&amp;DYN_ARGS=TRUE&amp;DOC_NAME=FAT:FQL_AUDITING_CLIENT_TEMPLATE.FAT&amp;display_string=Audit&amp;VAR:KEY=MROJSLKBKP&amp;VAR:QUERY=RkZfRU5UUlBSX1ZBTF9FQklUREEoJ0FOTicsMCwsLCwnVVNEJyk=&amp;WINDOW=FIRST_POPUP&amp;HEIGHT=450&amp;WI","DTH=450&amp;START_MAXIMIZED=FALSE&amp;VAR:CALENDAR=US&amp;VAR:SYMBOL=476876&amp;VAR:INDEX=0"}</definedName>
    <definedName name="_100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78"}</definedName>
    <definedName name="_100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77"}</definedName>
    <definedName name="_100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76"}</definedName>
    <definedName name="_100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75"}</definedName>
    <definedName name="_100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74"}</definedName>
    <definedName name="_100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73"}</definedName>
    <definedName name="_100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72"}</definedName>
    <definedName name="_100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71"}</definedName>
    <definedName name="_100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70"}</definedName>
    <definedName name="_100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0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69"}</definedName>
    <definedName name="_101__FDSAUDITLINK__" localSheetId="9" hidden="1">{"fdsup://directions/FAT Viewer?action=UPDATE&amp;creator=factset&amp;DYN_ARGS=TRUE&amp;DOC_NAME=FAT:FQL_AUDITING_CLIENT_TEMPLATE.FAT&amp;display_string=Audit&amp;VAR:KEY=VOVENSPGLI&amp;VAR:QUERY=Q1NGX0RJVl9ZTEQoQU5OLE5PVyk=&amp;WINDOW=FIRST_POPUP&amp;HEIGHT=450&amp;WIDTH=450&amp;START_MAXIMIZED=","FALSE&amp;VAR:CALENDAR=US&amp;VAR:SYMBOL=CEL&amp;VAR:INDEX=0"}</definedName>
    <definedName name="_101__FDSAUDITLINK__" localSheetId="8" hidden="1">{"fdsup://directions/FAT Viewer?action=UPDATE&amp;creator=factset&amp;DYN_ARGS=TRUE&amp;DOC_NAME=FAT:FQL_AUDITING_CLIENT_TEMPLATE.FAT&amp;display_string=Audit&amp;VAR:KEY=VOVENSPGLI&amp;VAR:QUERY=Q1NGX0RJVl9ZTEQoQU5OLE5PVyk=&amp;WINDOW=FIRST_POPUP&amp;HEIGHT=450&amp;WIDTH=450&amp;START_MAXIMIZED=","FALSE&amp;VAR:CALENDAR=US&amp;VAR:SYMBOL=CEL&amp;VAR:INDEX=0"}</definedName>
    <definedName name="_101__FDSAUDITLINK__" localSheetId="6" hidden="1">{"fdsup://directions/FAT Viewer?action=UPDATE&amp;creator=factset&amp;DYN_ARGS=TRUE&amp;DOC_NAME=FAT:FQL_AUDITING_CLIENT_TEMPLATE.FAT&amp;display_string=Audit&amp;VAR:KEY=KLCVWLWVEB&amp;VAR:QUERY=RkZfREVCVF9FQklUREEoJ0FOTicsMCwsLCwnVVNEJyk=&amp;WINDOW=FIRST_POPUP&amp;HEIGHT=450&amp;WIDTH=450&amp;","START_MAXIMIZED=FALSE&amp;VAR:CALENDAR=US&amp;VAR:SYMBOL=476876&amp;VAR:INDEX=0"}</definedName>
    <definedName name="_101__FDSAUDITLINK__" localSheetId="5" hidden="1">{"fdsup://directions/FAT Viewer?action=UPDATE&amp;creator=factset&amp;DYN_ARGS=TRUE&amp;DOC_NAME=FAT:FQL_AUDITING_CLIENT_TEMPLATE.FAT&amp;display_string=Audit&amp;VAR:KEY=VOVENSPGLI&amp;VAR:QUERY=Q1NGX0RJVl9ZTEQoQU5OLE5PVyk=&amp;WINDOW=FIRST_POPUP&amp;HEIGHT=450&amp;WIDTH=450&amp;START_MAXIMIZED=","FALSE&amp;VAR:CALENDAR=US&amp;VAR:SYMBOL=CEL&amp;VAR:INDEX=0"}</definedName>
    <definedName name="_101__FDSAUDITLINK__" localSheetId="1" hidden="1">{"fdsup://directions/FAT Viewer?action=UPDATE&amp;creator=factset&amp;DYN_ARGS=TRUE&amp;DOC_NAME=FAT:FQL_AUDITING_CLIENT_TEMPLATE.FAT&amp;display_string=Audit&amp;VAR:KEY=VOVENSPGLI&amp;VAR:QUERY=Q1NGX0RJVl9ZTEQoQU5OLE5PVyk=&amp;WINDOW=FIRST_POPUP&amp;HEIGHT=450&amp;WIDTH=450&amp;START_MAXIMIZED=","FALSE&amp;VAR:CALENDAR=US&amp;VAR:SYMBOL=CEL&amp;VAR:INDEX=0"}</definedName>
    <definedName name="_101__FDSAUDITLINK__" localSheetId="3" hidden="1">{"fdsup://directions/FAT Viewer?action=UPDATE&amp;creator=factset&amp;DYN_ARGS=TRUE&amp;DOC_NAME=FAT:FQL_AUDITING_CLIENT_TEMPLATE.FAT&amp;display_string=Audit&amp;VAR:KEY=VOVENSPGLI&amp;VAR:QUERY=Q1NGX0RJVl9ZTEQoQU5OLE5PVyk=&amp;WINDOW=FIRST_POPUP&amp;HEIGHT=450&amp;WIDTH=450&amp;START_MAXIMIZED=","FALSE&amp;VAR:CALENDAR=US&amp;VAR:SYMBOL=CEL&amp;VAR:INDEX=0"}</definedName>
    <definedName name="_101__FDSAUDITLINK__" hidden="1">{"fdsup://directions/FAT Viewer?action=UPDATE&amp;creator=factset&amp;DYN_ARGS=TRUE&amp;DOC_NAME=FAT:FQL_AUDITING_CLIENT_TEMPLATE.FAT&amp;display_string=Audit&amp;VAR:KEY=KLCVWLWVEB&amp;VAR:QUERY=RkZfREVCVF9FQklUREEoJ0FOTicsMCwsLCwnVVNEJyk=&amp;WINDOW=FIRST_POPUP&amp;HEIGHT=450&amp;WIDTH=450&amp;","START_MAXIMIZED=FALSE&amp;VAR:CALENDAR=US&amp;VAR:SYMBOL=476876&amp;VAR:INDEX=0"}</definedName>
    <definedName name="_101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68"}</definedName>
    <definedName name="_101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67"}</definedName>
    <definedName name="_101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66"}</definedName>
    <definedName name="_101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65"}</definedName>
    <definedName name="_101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64"}</definedName>
    <definedName name="_101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63"}</definedName>
    <definedName name="_101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62"}</definedName>
    <definedName name="_101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61"}</definedName>
    <definedName name="_101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60"}</definedName>
    <definedName name="_101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1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59"}</definedName>
    <definedName name="_102__FDSAUDITLINK__" localSheetId="9" hidden="1">{"fdsup://directions/FAT Viewer?action=UPDATE&amp;creator=factset&amp;DYN_ARGS=TRUE&amp;DOC_NAME=FAT:FQL_AUDITING_CLIENT_TEMPLATE.FAT&amp;display_string=Audit&amp;VAR:KEY=LKFCHIPKZM&amp;VAR:QUERY=RkZfRElWX1lMRF9TRUNTKEFOTixOT1cp&amp;WINDOW=FIRST_POPUP&amp;HEIGHT=450&amp;WIDTH=450&amp;START_MAXIMI","ZED=FALSE&amp;VAR:CALENDAR=US&amp;VAR:SYMBOL=AMX&amp;VAR:INDEX=0"}</definedName>
    <definedName name="_102__FDSAUDITLINK__" localSheetId="8" hidden="1">{"fdsup://directions/FAT Viewer?action=UPDATE&amp;creator=factset&amp;DYN_ARGS=TRUE&amp;DOC_NAME=FAT:FQL_AUDITING_CLIENT_TEMPLATE.FAT&amp;display_string=Audit&amp;VAR:KEY=LKFCHIPKZM&amp;VAR:QUERY=RkZfRElWX1lMRF9TRUNTKEFOTixOT1cp&amp;WINDOW=FIRST_POPUP&amp;HEIGHT=450&amp;WIDTH=450&amp;START_MAXIMI","ZED=FALSE&amp;VAR:CALENDAR=US&amp;VAR:SYMBOL=AMX&amp;VAR:INDEX=0"}</definedName>
    <definedName name="_102__FDSAUDITLINK__" localSheetId="6" hidden="1">{"fdsup://directions/FAT Viewer?action=UPDATE&amp;creator=factset&amp;DYN_ARGS=TRUE&amp;DOC_NAME=FAT:FQL_AUDITING_CLIENT_TEMPLATE.FAT&amp;display_string=Audit&amp;VAR:KEY=ARGRANGRST&amp;VAR:QUERY=RkZfTFREX1RDQVAoJ0FOTicsMCk=&amp;WINDOW=FIRST_POPUP&amp;HEIGHT=450&amp;WIDTH=450&amp;START_MAXIMIZED=","FALSE&amp;VAR:CALENDAR=US&amp;VAR:SYMBOL=476876&amp;VAR:INDEX=0"}</definedName>
    <definedName name="_102__FDSAUDITLINK__" localSheetId="5" hidden="1">{"fdsup://directions/FAT Viewer?action=UPDATE&amp;creator=factset&amp;DYN_ARGS=TRUE&amp;DOC_NAME=FAT:FQL_AUDITING_CLIENT_TEMPLATE.FAT&amp;display_string=Audit&amp;VAR:KEY=LKFCHIPKZM&amp;VAR:QUERY=RkZfRElWX1lMRF9TRUNTKEFOTixOT1cp&amp;WINDOW=FIRST_POPUP&amp;HEIGHT=450&amp;WIDTH=450&amp;START_MAXIMI","ZED=FALSE&amp;VAR:CALENDAR=US&amp;VAR:SYMBOL=AMX&amp;VAR:INDEX=0"}</definedName>
    <definedName name="_102__FDSAUDITLINK__" localSheetId="1" hidden="1">{"fdsup://directions/FAT Viewer?action=UPDATE&amp;creator=factset&amp;DYN_ARGS=TRUE&amp;DOC_NAME=FAT:FQL_AUDITING_CLIENT_TEMPLATE.FAT&amp;display_string=Audit&amp;VAR:KEY=LKFCHIPKZM&amp;VAR:QUERY=RkZfRElWX1lMRF9TRUNTKEFOTixOT1cp&amp;WINDOW=FIRST_POPUP&amp;HEIGHT=450&amp;WIDTH=450&amp;START_MAXIMI","ZED=FALSE&amp;VAR:CALENDAR=US&amp;VAR:SYMBOL=AMX&amp;VAR:INDEX=0"}</definedName>
    <definedName name="_102__FDSAUDITLINK__" localSheetId="3" hidden="1">{"fdsup://directions/FAT Viewer?action=UPDATE&amp;creator=factset&amp;DYN_ARGS=TRUE&amp;DOC_NAME=FAT:FQL_AUDITING_CLIENT_TEMPLATE.FAT&amp;display_string=Audit&amp;VAR:KEY=LKFCHIPKZM&amp;VAR:QUERY=RkZfRElWX1lMRF9TRUNTKEFOTixOT1cp&amp;WINDOW=FIRST_POPUP&amp;HEIGHT=450&amp;WIDTH=450&amp;START_MAXIMI","ZED=FALSE&amp;VAR:CALENDAR=US&amp;VAR:SYMBOL=AMX&amp;VAR:INDEX=0"}</definedName>
    <definedName name="_102__FDSAUDITLINK__" hidden="1">{"fdsup://directions/FAT Viewer?action=UPDATE&amp;creator=factset&amp;DYN_ARGS=TRUE&amp;DOC_NAME=FAT:FQL_AUDITING_CLIENT_TEMPLATE.FAT&amp;display_string=Audit&amp;VAR:KEY=ARGRANGRST&amp;VAR:QUERY=RkZfTFREX1RDQVAoJ0FOTicsMCk=&amp;WINDOW=FIRST_POPUP&amp;HEIGHT=450&amp;WIDTH=450&amp;START_MAXIMIZED=","FALSE&amp;VAR:CALENDAR=US&amp;VAR:SYMBOL=476876&amp;VAR:INDEX=0"}</definedName>
    <definedName name="_102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58"}</definedName>
    <definedName name="_102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57"}</definedName>
    <definedName name="_102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56"}</definedName>
    <definedName name="_102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55"}</definedName>
    <definedName name="_102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54"}</definedName>
    <definedName name="_102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53"}</definedName>
    <definedName name="_102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definedName>
    <definedName name="_102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definedName>
    <definedName name="_102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definedName>
    <definedName name="_102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2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definedName>
    <definedName name="_103__FDSAUDITLINK__" localSheetId="9"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localSheetId="8"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localSheetId="6"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localSheetId="5"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localSheetId="1"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localSheetId="3"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__FDSAUDITLINK__" hidden="1">{"fdsup://directions/FAT Viewer?action=UPDATE&amp;creator=factset&amp;DYN_ARGS=TRUE&amp;DOC_NAME=FAT:FQL_AUDITING_CLIENT_TEMPLATE.FAT&amp;display_string=Audit&amp;VAR:KEY=ARYVYNALGZ&amp;VAR:QUERY=RkZfTFREX1RDQVAoJ0FOTicsMCk=&amp;WINDOW=FIRST_POPUP&amp;HEIGHT=450&amp;WIDTH=450&amp;START_MAXIMIZED=","FALSE&amp;VAR:CALENDAR=US&amp;VAR:SYMBOL=DVR&amp;VAR:INDEX=0"}</definedName>
    <definedName name="_103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definedName>
    <definedName name="_103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definedName>
    <definedName name="_103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definedName>
    <definedName name="_103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definedName>
    <definedName name="_103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definedName>
    <definedName name="_103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definedName>
    <definedName name="_103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definedName>
    <definedName name="_103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definedName>
    <definedName name="_103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definedName>
    <definedName name="_103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3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definedName>
    <definedName name="_104__FDSAUDITLINK__" localSheetId="9"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localSheetId="8"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localSheetId="6"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localSheetId="5"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localSheetId="1"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localSheetId="3" hidden="1">{"fdsup://Directions/FactSet Auditing Viewer?action=AUDIT_VALUE&amp;DB=129&amp;ID1=12802T10&amp;VALUEID=02001&amp;SDATE=2008&amp;PERIODTYPE=ANN_STD&amp;window=popup_no_bar&amp;width=385&amp;height=120&amp;START_MAXIMIZED=FALSE&amp;creator=factset&amp;display_string=Audit"}</definedName>
    <definedName name="_104__FDSAUDITLINK__" hidden="1">{"fdsup://Directions/FactSet Auditing Viewer?action=AUDIT_VALUE&amp;DB=129&amp;ID1=12802T10&amp;VALUEID=02001&amp;SDATE=2008&amp;PERIODTYPE=ANN_STD&amp;window=popup_no_bar&amp;width=385&amp;height=120&amp;START_MAXIMIZED=FALSE&amp;creator=factset&amp;display_string=Audit"}</definedName>
    <definedName name="_104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definedName>
    <definedName name="_104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definedName>
    <definedName name="_104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definedName>
    <definedName name="_104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definedName>
    <definedName name="_104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definedName>
    <definedName name="_104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definedName>
    <definedName name="_104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definedName>
    <definedName name="_104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definedName>
    <definedName name="_104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definedName>
    <definedName name="_104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4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definedName>
    <definedName name="_105__FDSAUDITLINK__" localSheetId="9" hidden="1">{"fdsup://directions/FAT Viewer?action=UPDATE&amp;creator=factset&amp;DYN_ARGS=TRUE&amp;DOC_NAME=FAT:FQL_AUDITING_CLIENT_TEMPLATE.FAT&amp;display_string=Audit&amp;VAR:KEY=KHATSNEHOD&amp;VAR:QUERY=RkZfRElWX1lMRChBTk4sTk9XKQ==&amp;WINDOW=FIRST_POPUP&amp;HEIGHT=450&amp;WIDTH=450&amp;START_MAXIMIZED=","FALSE&amp;VAR:CALENDAR=US&amp;VAR:SYMBOL=WIFI&amp;VAR:INDEX=0"}</definedName>
    <definedName name="_105__FDSAUDITLINK__" localSheetId="8" hidden="1">{"fdsup://directions/FAT Viewer?action=UPDATE&amp;creator=factset&amp;DYN_ARGS=TRUE&amp;DOC_NAME=FAT:FQL_AUDITING_CLIENT_TEMPLATE.FAT&amp;display_string=Audit&amp;VAR:KEY=KHATSNEHOD&amp;VAR:QUERY=RkZfRElWX1lMRChBTk4sTk9XKQ==&amp;WINDOW=FIRST_POPUP&amp;HEIGHT=450&amp;WIDTH=450&amp;START_MAXIMIZED=","FALSE&amp;VAR:CALENDAR=US&amp;VAR:SYMBOL=WIFI&amp;VAR:INDEX=0"}</definedName>
    <definedName name="_105__FDSAUDITLINK__" localSheetId="6" hidden="1">{"fdsup://directions/FAT Viewer?action=UPDATE&amp;creator=factset&amp;DYN_ARGS=TRUE&amp;DOC_NAME=FAT:FQL_AUDITING_CLIENT_TEMPLATE.FAT&amp;display_string=Audit&amp;VAR:KEY=GTCLMXUDYX&amp;VAR:QUERY=RkZfRU5UUlBSX1ZBTF9EQUlMWSgwLCwsLCwnRElMJyk=&amp;WINDOW=FIRST_POPUP&amp;HEIGHT=450&amp;WIDTH=450&amp;","START_MAXIMIZED=FALSE&amp;VAR:CALENDAR=US&amp;VAR:SYMBOL=DVR&amp;VAR:INDEX=0"}</definedName>
    <definedName name="_105__FDSAUDITLINK__" localSheetId="5" hidden="1">{"fdsup://directions/FAT Viewer?action=UPDATE&amp;creator=factset&amp;DYN_ARGS=TRUE&amp;DOC_NAME=FAT:FQL_AUDITING_CLIENT_TEMPLATE.FAT&amp;display_string=Audit&amp;VAR:KEY=KHATSNEHOD&amp;VAR:QUERY=RkZfRElWX1lMRChBTk4sTk9XKQ==&amp;WINDOW=FIRST_POPUP&amp;HEIGHT=450&amp;WIDTH=450&amp;START_MAXIMIZED=","FALSE&amp;VAR:CALENDAR=US&amp;VAR:SYMBOL=WIFI&amp;VAR:INDEX=0"}</definedName>
    <definedName name="_105__FDSAUDITLINK__" localSheetId="1" hidden="1">{"fdsup://directions/FAT Viewer?action=UPDATE&amp;creator=factset&amp;DYN_ARGS=TRUE&amp;DOC_NAME=FAT:FQL_AUDITING_CLIENT_TEMPLATE.FAT&amp;display_string=Audit&amp;VAR:KEY=KHATSNEHOD&amp;VAR:QUERY=RkZfRElWX1lMRChBTk4sTk9XKQ==&amp;WINDOW=FIRST_POPUP&amp;HEIGHT=450&amp;WIDTH=450&amp;START_MAXIMIZED=","FALSE&amp;VAR:CALENDAR=US&amp;VAR:SYMBOL=WIFI&amp;VAR:INDEX=0"}</definedName>
    <definedName name="_105__FDSAUDITLINK__" localSheetId="3" hidden="1">{"fdsup://directions/FAT Viewer?action=UPDATE&amp;creator=factset&amp;DYN_ARGS=TRUE&amp;DOC_NAME=FAT:FQL_AUDITING_CLIENT_TEMPLATE.FAT&amp;display_string=Audit&amp;VAR:KEY=KHATSNEHOD&amp;VAR:QUERY=RkZfRElWX1lMRChBTk4sTk9XKQ==&amp;WINDOW=FIRST_POPUP&amp;HEIGHT=450&amp;WIDTH=450&amp;START_MAXIMIZED=","FALSE&amp;VAR:CALENDAR=US&amp;VAR:SYMBOL=WIFI&amp;VAR:INDEX=0"}</definedName>
    <definedName name="_105__FDSAUDITLINK__" hidden="1">{"fdsup://directions/FAT Viewer?action=UPDATE&amp;creator=factset&amp;DYN_ARGS=TRUE&amp;DOC_NAME=FAT:FQL_AUDITING_CLIENT_TEMPLATE.FAT&amp;display_string=Audit&amp;VAR:KEY=GTCLMXUDYX&amp;VAR:QUERY=RkZfRU5UUlBSX1ZBTF9EQUlMWSgwLCwsLCwnRElMJyk=&amp;WINDOW=FIRST_POPUP&amp;HEIGHT=450&amp;WIDTH=450&amp;","START_MAXIMIZED=FALSE&amp;VAR:CALENDAR=US&amp;VAR:SYMBOL=DVR&amp;VAR:INDEX=0"}</definedName>
    <definedName name="_105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definedName>
    <definedName name="_105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definedName>
    <definedName name="_105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definedName>
    <definedName name="_105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definedName>
    <definedName name="_105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definedName>
    <definedName name="_105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definedName>
    <definedName name="_105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definedName>
    <definedName name="_10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definedName>
    <definedName name="_10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definedName>
    <definedName name="_10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definedName>
    <definedName name="_106__FDSAUDITLINK__" localSheetId="9" hidden="1">{"fdsup://directions/FAT Viewer?action=UPDATE&amp;creator=factset&amp;DYN_ARGS=TRUE&amp;DOC_NAME=FAT:FQL_AUDITING_CLIENT_TEMPLATE.FAT&amp;display_string=Audit&amp;VAR:KEY=LQJMHCTODA&amp;VAR:QUERY=RkZfRElWX1lMRChBTk4sTk9XKQ==&amp;WINDOW=FIRST_POPUP&amp;HEIGHT=450&amp;WIDTH=450&amp;START_MAXIMIZED=","FALSE&amp;VAR:CALENDAR=US&amp;VAR:SYMBOL=TWC&amp;VAR:INDEX=0"}</definedName>
    <definedName name="_106__FDSAUDITLINK__" localSheetId="8" hidden="1">{"fdsup://directions/FAT Viewer?action=UPDATE&amp;creator=factset&amp;DYN_ARGS=TRUE&amp;DOC_NAME=FAT:FQL_AUDITING_CLIENT_TEMPLATE.FAT&amp;display_string=Audit&amp;VAR:KEY=LQJMHCTODA&amp;VAR:QUERY=RkZfRElWX1lMRChBTk4sTk9XKQ==&amp;WINDOW=FIRST_POPUP&amp;HEIGHT=450&amp;WIDTH=450&amp;START_MAXIMIZED=","FALSE&amp;VAR:CALENDAR=US&amp;VAR:SYMBOL=TWC&amp;VAR:INDEX=0"}</definedName>
    <definedName name="_10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438"}</definedName>
    <definedName name="_106__FDSAUDITLINK__" localSheetId="5" hidden="1">{"fdsup://directions/FAT Viewer?action=UPDATE&amp;creator=factset&amp;DYN_ARGS=TRUE&amp;DOC_NAME=FAT:FQL_AUDITING_CLIENT_TEMPLATE.FAT&amp;display_string=Audit&amp;VAR:KEY=LQJMHCTODA&amp;VAR:QUERY=RkZfRElWX1lMRChBTk4sTk9XKQ==&amp;WINDOW=FIRST_POPUP&amp;HEIGHT=450&amp;WIDTH=450&amp;START_MAXIMIZED=","FALSE&amp;VAR:CALENDAR=US&amp;VAR:SYMBOL=TWC&amp;VAR:INDEX=0"}</definedName>
    <definedName name="_106__FDSAUDITLINK__" localSheetId="1" hidden="1">{"fdsup://directions/FAT Viewer?action=UPDATE&amp;creator=factset&amp;DYN_ARGS=TRUE&amp;DOC_NAME=FAT:FQL_AUDITING_CLIENT_TEMPLATE.FAT&amp;display_string=Audit&amp;VAR:KEY=LQJMHCTODA&amp;VAR:QUERY=RkZfRElWX1lMRChBTk4sTk9XKQ==&amp;WINDOW=FIRST_POPUP&amp;HEIGHT=450&amp;WIDTH=450&amp;START_MAXIMIZED=","FALSE&amp;VAR:CALENDAR=US&amp;VAR:SYMBOL=TWC&amp;VAR:INDEX=0"}</definedName>
    <definedName name="_106__FDSAUDITLINK__" localSheetId="3" hidden="1">{"fdsup://directions/FAT Viewer?action=UPDATE&amp;creator=factset&amp;DYN_ARGS=TRUE&amp;DOC_NAME=FAT:FQL_AUDITING_CLIENT_TEMPLATE.FAT&amp;display_string=Audit&amp;VAR:KEY=LQJMHCTODA&amp;VAR:QUERY=RkZfRElWX1lMRChBTk4sTk9XKQ==&amp;WINDOW=FIRST_POPUP&amp;HEIGHT=450&amp;WIDTH=450&amp;START_MAXIMIZED=","FALSE&amp;VAR:CALENDAR=US&amp;VAR:SYMBOL=TWC&amp;VAR:INDEX=0"}</definedName>
    <definedName name="_10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438"}</definedName>
    <definedName name="_10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definedName>
    <definedName name="_10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definedName>
    <definedName name="_10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definedName>
    <definedName name="_10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definedName>
    <definedName name="_10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definedName>
    <definedName name="_10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definedName>
    <definedName name="_10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definedName>
    <definedName name="_10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definedName>
    <definedName name="_10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definedName>
    <definedName name="_10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definedName>
    <definedName name="_107__FDSAUDITLINK__" localSheetId="9" hidden="1">{"fdsup://directions/FAT Viewer?action=UPDATE&amp;creator=factset&amp;DYN_ARGS=TRUE&amp;DOC_NAME=FAT:FQL_AUDITING_CLIENT_TEMPLATE.FAT&amp;display_string=Audit&amp;VAR:KEY=VQJOHWRULM&amp;VAR:QUERY=RkZfRElWX1lMRChBTk4sTk9XKQ==&amp;WINDOW=FIRST_POPUP&amp;HEIGHT=450&amp;WIDTH=450&amp;START_MAXIMIZED=","FALSE&amp;VAR:CALENDAR=US&amp;VAR:SYMBOL=EGHT&amp;VAR:INDEX=0"}</definedName>
    <definedName name="_107__FDSAUDITLINK__" localSheetId="8" hidden="1">{"fdsup://directions/FAT Viewer?action=UPDATE&amp;creator=factset&amp;DYN_ARGS=TRUE&amp;DOC_NAME=FAT:FQL_AUDITING_CLIENT_TEMPLATE.FAT&amp;display_string=Audit&amp;VAR:KEY=VQJOHWRULM&amp;VAR:QUERY=RkZfRElWX1lMRChBTk4sTk9XKQ==&amp;WINDOW=FIRST_POPUP&amp;HEIGHT=450&amp;WIDTH=450&amp;START_MAXIMIZED=","FALSE&amp;VAR:CALENDAR=US&amp;VAR:SYMBOL=EGHT&amp;VAR:INDEX=0"}</definedName>
    <definedName name="_10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437"}</definedName>
    <definedName name="_107__FDSAUDITLINK__" localSheetId="5" hidden="1">{"fdsup://directions/FAT Viewer?action=UPDATE&amp;creator=factset&amp;DYN_ARGS=TRUE&amp;DOC_NAME=FAT:FQL_AUDITING_CLIENT_TEMPLATE.FAT&amp;display_string=Audit&amp;VAR:KEY=VQJOHWRULM&amp;VAR:QUERY=RkZfRElWX1lMRChBTk4sTk9XKQ==&amp;WINDOW=FIRST_POPUP&amp;HEIGHT=450&amp;WIDTH=450&amp;START_MAXIMIZED=","FALSE&amp;VAR:CALENDAR=US&amp;VAR:SYMBOL=EGHT&amp;VAR:INDEX=0"}</definedName>
    <definedName name="_107__FDSAUDITLINK__" localSheetId="1" hidden="1">{"fdsup://directions/FAT Viewer?action=UPDATE&amp;creator=factset&amp;DYN_ARGS=TRUE&amp;DOC_NAME=FAT:FQL_AUDITING_CLIENT_TEMPLATE.FAT&amp;display_string=Audit&amp;VAR:KEY=VQJOHWRULM&amp;VAR:QUERY=RkZfRElWX1lMRChBTk4sTk9XKQ==&amp;WINDOW=FIRST_POPUP&amp;HEIGHT=450&amp;WIDTH=450&amp;START_MAXIMIZED=","FALSE&amp;VAR:CALENDAR=US&amp;VAR:SYMBOL=EGHT&amp;VAR:INDEX=0"}</definedName>
    <definedName name="_107__FDSAUDITLINK__" localSheetId="3" hidden="1">{"fdsup://directions/FAT Viewer?action=UPDATE&amp;creator=factset&amp;DYN_ARGS=TRUE&amp;DOC_NAME=FAT:FQL_AUDITING_CLIENT_TEMPLATE.FAT&amp;display_string=Audit&amp;VAR:KEY=VQJOHWRULM&amp;VAR:QUERY=RkZfRElWX1lMRChBTk4sTk9XKQ==&amp;WINDOW=FIRST_POPUP&amp;HEIGHT=450&amp;WIDTH=450&amp;START_MAXIMIZED=","FALSE&amp;VAR:CALENDAR=US&amp;VAR:SYMBOL=EGHT&amp;VAR:INDEX=0"}</definedName>
    <definedName name="_10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437"}</definedName>
    <definedName name="_10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definedName>
    <definedName name="_10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definedName>
    <definedName name="_10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6"}</definedName>
    <definedName name="_10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definedName>
    <definedName name="_10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definedName>
    <definedName name="_10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definedName>
    <definedName name="_10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definedName>
    <definedName name="_10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definedName>
    <definedName name="_10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0"}</definedName>
    <definedName name="_10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521"}</definedName>
    <definedName name="_10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436"}</definedName>
    <definedName name="_10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436"}</definedName>
    <definedName name="_10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436"}</definedName>
    <definedName name="_10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436"}</definedName>
    <definedName name="_10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436"}</definedName>
    <definedName name="_10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436"}</definedName>
    <definedName name="_10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436"}</definedName>
    <definedName name="_10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520"}</definedName>
    <definedName name="_10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519"}</definedName>
    <definedName name="_10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518"}</definedName>
    <definedName name="_10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517"}</definedName>
    <definedName name="_10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516"}</definedName>
    <definedName name="_10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515"}</definedName>
    <definedName name="_10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514"}</definedName>
    <definedName name="_10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513"}</definedName>
    <definedName name="_10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512"}</definedName>
    <definedName name="_10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511"}</definedName>
    <definedName name="_10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435"}</definedName>
    <definedName name="_10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435"}</definedName>
    <definedName name="_10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435"}</definedName>
    <definedName name="_10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435"}</definedName>
    <definedName name="_10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435"}</definedName>
    <definedName name="_10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435"}</definedName>
    <definedName name="_10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435"}</definedName>
    <definedName name="_10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510"}</definedName>
    <definedName name="_10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509"}</definedName>
    <definedName name="_10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508"}</definedName>
    <definedName name="_10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507"}</definedName>
    <definedName name="_10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506"}</definedName>
    <definedName name="_10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505"}</definedName>
    <definedName name="_10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504"}</definedName>
    <definedName name="_10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503"}</definedName>
    <definedName name="_10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502"}</definedName>
    <definedName name="_10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0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501"}</definedName>
    <definedName name="_11__FDSAUDITLINK__" localSheetId="9" hidden="1">{"fdsup://directions/FAT%20Viewer?VAR:PED=LTM&amp;VAR:PERIOD=FIXED&amp;VAR:V=21.148403&amp;VAR:AUDIT_ID=00000117&amp;VAR:DATE=20100427&amp;action=UPDATE&amp;creator=factset&amp;DOC_NAME=FAT:FMA_audit_SUMMARY.fat&amp;DISPLAY_STRING=Display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Aggregates&amp;VAR:MEASURE=DPS&amp;VAR:CALC_MODE=AGGREGATE&amp;VAR:CHGPERIOD=NA&amp;VAR:FQLFORMULA=FMA_DPS&amp;VAR:CURRENCY=USD&amp;VAR:P=1194.130000&amp;VAR:THRESH=||||&amp;VAR:null=.html"}</definedName>
    <definedName name="_11__FDSAUDITLINK__" localSheetId="8" hidden="1">{"fdsup://directions/FAT%20Viewer?VAR:PED=LTM&amp;VAR:PERIOD=FIXED&amp;VAR:V=21.148403&amp;VAR:AUDIT_ID=00000117&amp;VAR:DATE=20100427&amp;action=UPDATE&amp;creator=factset&amp;DOC_NAME=FAT:FMA_audit_SUMMARY.fat&amp;DISPLAY_STRING=Display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Aggregates&amp;VAR:MEASURE=DPS&amp;VAR:CALC_MODE=AGGREGATE&amp;VAR:CHGPERIOD=NA&amp;VAR:FQLFORMULA=FMA_DPS&amp;VAR:CURRENCY=USD&amp;VAR:P=1194.130000&amp;VAR:THRESH=||||&amp;VAR:null=.html"}</definedName>
    <definedName name="_11__FDSAUDITLINK__" localSheetId="6" hidden="1">{"fdsup://directions/FAT%20Viewer?VAR:PED=2011&amp;VAR:PERIOD=CY&amp;VAR:V=95.573032&amp;VAR:PCT=N&amp;VAR:AUDIT_ID=00000117&amp;VAR:DATE=20101119&amp;action=UPDATE&amp;creator=factset&amp;DOC_NAME=FAT:FMA_audit_SUMMARY.fat&amp;DISPLAY_STRING=Display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Aggregates&amp;VAR:MEASURE=EPS_MEAN&amp;VAR:CALC_MODE=AGGREGATE&amp;VAR:CHGPERIOD=NA&amp;VAR:FQLFORMULA=FMA_EPS&amp;VAR:CURRENCY=USD&amp;VAR:P=1199.730081&amp;VAR:THRESH=||||&amp;VAR:null=.html"}</definedName>
    <definedName name="_11__FDSAUDITLINK__" localSheetId="5" hidden="1">{"fdsup://directions/FAT%20Viewer?VAR:PED=LTM&amp;VAR:PERIOD=FIXED&amp;VAR:V=21.148403&amp;VAR:AUDIT_ID=00000117&amp;VAR:DATE=20100427&amp;action=UPDATE&amp;creator=factset&amp;DOC_NAME=FAT:FMA_audit_SUMMARY.fat&amp;DISPLAY_STRING=Display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Aggregates&amp;VAR:MEASURE=DPS&amp;VAR:CALC_MODE=AGGREGATE&amp;VAR:CHGPERIOD=NA&amp;VAR:FQLFORMULA=FMA_DPS&amp;VAR:CURRENCY=USD&amp;VAR:P=1194.130000&amp;VAR:THRESH=||||&amp;VAR:null=.html"}</definedName>
    <definedName name="_11__FDSAUDITLINK__" localSheetId="1" hidden="1">{"fdsup://directions/FAT%20Viewer?VAR:PED=LTM&amp;VAR:PERIOD=FIXED&amp;VAR:V=21.148403&amp;VAR:AUDIT_ID=00000117&amp;VAR:DATE=20100427&amp;action=UPDATE&amp;creator=factset&amp;DOC_NAME=FAT:FMA_audit_SUMMARY.fat&amp;DISPLAY_STRING=Display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Aggregates&amp;VAR:MEASURE=DPS&amp;VAR:CALC_MODE=AGGREGATE&amp;VAR:CHGPERIOD=NA&amp;VAR:FQLFORMULA=FMA_DPS&amp;VAR:CURRENCY=USD&amp;VAR:P=1194.130000&amp;VAR:THRESH=||||&amp;VAR:null=.html"}</definedName>
    <definedName name="_11__FDSAUDITLINK__" localSheetId="3" hidden="1">{"fdsup://directions/FAT%20Viewer?VAR:PED=LTM&amp;VAR:PERIOD=FIXED&amp;VAR:V=21.148403&amp;VAR:AUDIT_ID=00000117&amp;VAR:DATE=20100427&amp;action=UPDATE&amp;creator=factset&amp;DOC_NAME=FAT:FMA_audit_SUMMARY.fat&amp;DISPLAY_STRING=Display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Aggregates&amp;VAR:MEASURE=DPS&amp;VAR:CALC_MODE=AGGREGATE&amp;VAR:CHGPERIOD=NA&amp;VAR:FQLFORMULA=FMA_DPS&amp;VAR:CURRENCY=USD&amp;VAR:P=1194.130000&amp;VAR:THRESH=||||&amp;VAR:null=.html"}</definedName>
    <definedName name="_11__FDSAUDITLINK__" hidden="1">{"fdsup://directions/FAT%20Viewer?VAR:PED=2011&amp;VAR:PERIOD=CY&amp;VAR:V=95.573032&amp;VAR:PCT=N&amp;VAR:AUDIT_ID=00000117&amp;VAR:DATE=20101119&amp;action=UPDATE&amp;creator=factset&amp;DOC_NAME=FAT:FMA_audit_SUMMARY.fat&amp;DISPLAY_STRING=Display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Aggregates&amp;VAR:MEASURE=EPS_MEAN&amp;VAR:CALC_MODE=AGGREGATE&amp;VAR:CHGPERIOD=NA&amp;VAR:FQLFORMULA=FMA_EPS&amp;VAR:CURRENCY=USD&amp;VAR:P=1199.730081&amp;VAR:THRESH=||||&amp;VAR:null=.html"}</definedName>
    <definedName name="_11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434"}</definedName>
    <definedName name="_11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434"}</definedName>
    <definedName name="_11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434"}</definedName>
    <definedName name="_11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434"}</definedName>
    <definedName name="_11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434"}</definedName>
    <definedName name="_11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434"}</definedName>
    <definedName name="_11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434"}</definedName>
    <definedName name="_11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500"}</definedName>
    <definedName name="_110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499"}</definedName>
    <definedName name="_110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498"}</definedName>
    <definedName name="_110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497"}</definedName>
    <definedName name="_110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496"}</definedName>
    <definedName name="_110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495"}</definedName>
    <definedName name="_110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494"}</definedName>
    <definedName name="_110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493"}</definedName>
    <definedName name="_110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492"}</definedName>
    <definedName name="_110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0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491"}</definedName>
    <definedName name="_11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433"}</definedName>
    <definedName name="_11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433"}</definedName>
    <definedName name="_11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433"}</definedName>
    <definedName name="_11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433"}</definedName>
    <definedName name="_11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433"}</definedName>
    <definedName name="_11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433"}</definedName>
    <definedName name="_11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433"}</definedName>
    <definedName name="_111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490"}</definedName>
    <definedName name="_111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489"}</definedName>
    <definedName name="_111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488"}</definedName>
    <definedName name="_111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487"}</definedName>
    <definedName name="_111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486"}</definedName>
    <definedName name="_111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485"}</definedName>
    <definedName name="_111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484"}</definedName>
    <definedName name="_111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483"}</definedName>
    <definedName name="_111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482"}</definedName>
    <definedName name="_111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1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481"}</definedName>
    <definedName name="_11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432"}</definedName>
    <definedName name="_11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432"}</definedName>
    <definedName name="_11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432"}</definedName>
    <definedName name="_11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432"}</definedName>
    <definedName name="_11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432"}</definedName>
    <definedName name="_11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432"}</definedName>
    <definedName name="_11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432"}</definedName>
    <definedName name="_112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480"}</definedName>
    <definedName name="_112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479"}</definedName>
    <definedName name="_112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478"}</definedName>
    <definedName name="_112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477"}</definedName>
    <definedName name="_112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476"}</definedName>
    <definedName name="_112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475"}</definedName>
    <definedName name="_112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474"}</definedName>
    <definedName name="_112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473"}</definedName>
    <definedName name="_112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472"}</definedName>
    <definedName name="_112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2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471"}</definedName>
    <definedName name="_11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431"}</definedName>
    <definedName name="_11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431"}</definedName>
    <definedName name="_11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431"}</definedName>
    <definedName name="_11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431"}</definedName>
    <definedName name="_11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431"}</definedName>
    <definedName name="_11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431"}</definedName>
    <definedName name="_11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431"}</definedName>
    <definedName name="_113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470"}</definedName>
    <definedName name="_113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469"}</definedName>
    <definedName name="_113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468"}</definedName>
    <definedName name="_113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467"}</definedName>
    <definedName name="_113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466"}</definedName>
    <definedName name="_113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465"}</definedName>
    <definedName name="_113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464"}</definedName>
    <definedName name="_113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463"}</definedName>
    <definedName name="_113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462"}</definedName>
    <definedName name="_113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3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461"}</definedName>
    <definedName name="_11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430"}</definedName>
    <definedName name="_11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430"}</definedName>
    <definedName name="_11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430"}</definedName>
    <definedName name="_11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430"}</definedName>
    <definedName name="_11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430"}</definedName>
    <definedName name="_11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430"}</definedName>
    <definedName name="_11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430"}</definedName>
    <definedName name="_114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460"}</definedName>
    <definedName name="_114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459"}</definedName>
    <definedName name="_114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458"}</definedName>
    <definedName name="_114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457"}</definedName>
    <definedName name="_114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456"}</definedName>
    <definedName name="_114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455"}</definedName>
    <definedName name="_114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454"}</definedName>
    <definedName name="_114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453"}</definedName>
    <definedName name="_114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452"}</definedName>
    <definedName name="_114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4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451"}</definedName>
    <definedName name="_11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429"}</definedName>
    <definedName name="_11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429"}</definedName>
    <definedName name="_11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429"}</definedName>
    <definedName name="_11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429"}</definedName>
    <definedName name="_11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429"}</definedName>
    <definedName name="_11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429"}</definedName>
    <definedName name="_11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429"}</definedName>
    <definedName name="_115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450"}</definedName>
    <definedName name="_115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449"}</definedName>
    <definedName name="_115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448"}</definedName>
    <definedName name="_115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447"}</definedName>
    <definedName name="_115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446"}</definedName>
    <definedName name="_115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445"}</definedName>
    <definedName name="_115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444"}</definedName>
    <definedName name="_115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443"}</definedName>
    <definedName name="_115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442"}</definedName>
    <definedName name="_115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5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441"}</definedName>
    <definedName name="_11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428"}</definedName>
    <definedName name="_11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428"}</definedName>
    <definedName name="_11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428"}</definedName>
    <definedName name="_11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428"}</definedName>
    <definedName name="_11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428"}</definedName>
    <definedName name="_11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428"}</definedName>
    <definedName name="_11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428"}</definedName>
    <definedName name="_116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440"}</definedName>
    <definedName name="_116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439"}</definedName>
    <definedName name="_116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438"}</definedName>
    <definedName name="_116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437"}</definedName>
    <definedName name="_116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436"}</definedName>
    <definedName name="_116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435"}</definedName>
    <definedName name="_116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434"}</definedName>
    <definedName name="_116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433"}</definedName>
    <definedName name="_116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432"}</definedName>
    <definedName name="_116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6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431"}</definedName>
    <definedName name="_117__FDSAUDITLINK__" localSheetId="9" hidden="1">{"fdsup://Directions/FactSet Auditing Viewer?action=AUDIT_VALUE&amp;DB=129&amp;ID1=21870Q10&amp;VALUEID=05194&amp;SDATE=201202&amp;PERIODTYPE=QTR_STD&amp;SCFT=3&amp;window=popup_no_bar&amp;width=385&amp;height=120&amp;START_MAXIMIZED=FALSE&amp;creator=factset&amp;display_string=Audit"}</definedName>
    <definedName name="_117__FDSAUDITLINK__" localSheetId="8" hidden="1">{"fdsup://Directions/FactSet Auditing Viewer?action=AUDIT_VALUE&amp;DB=129&amp;ID1=21870Q10&amp;VALUEID=05194&amp;SDATE=201202&amp;PERIODTYPE=QTR_STD&amp;SCFT=3&amp;window=popup_no_bar&amp;width=385&amp;height=120&amp;START_MAXIMIZED=FALSE&amp;creator=factset&amp;display_string=Audit"}</definedName>
    <definedName name="_11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427"}</definedName>
    <definedName name="_117__FDSAUDITLINK__" localSheetId="5" hidden="1">{"fdsup://Directions/FactSet Auditing Viewer?action=AUDIT_VALUE&amp;DB=129&amp;ID1=21870Q10&amp;VALUEID=05194&amp;SDATE=201202&amp;PERIODTYPE=QTR_STD&amp;SCFT=3&amp;window=popup_no_bar&amp;width=385&amp;height=120&amp;START_MAXIMIZED=FALSE&amp;creator=factset&amp;display_string=Audit"}</definedName>
    <definedName name="_117__FDSAUDITLINK__" localSheetId="1" hidden="1">{"fdsup://Directions/FactSet Auditing Viewer?action=AUDIT_VALUE&amp;DB=129&amp;ID1=21870Q10&amp;VALUEID=05194&amp;SDATE=201202&amp;PERIODTYPE=QTR_STD&amp;SCFT=3&amp;window=popup_no_bar&amp;width=385&amp;height=120&amp;START_MAXIMIZED=FALSE&amp;creator=factset&amp;display_string=Audit"}</definedName>
    <definedName name="_117__FDSAUDITLINK__" localSheetId="3" hidden="1">{"fdsup://Directions/FactSet Auditing Viewer?action=AUDIT_VALUE&amp;DB=129&amp;ID1=21870Q10&amp;VALUEID=05194&amp;SDATE=201202&amp;PERIODTYPE=QTR_STD&amp;SCFT=3&amp;window=popup_no_bar&amp;width=385&amp;height=120&amp;START_MAXIMIZED=FALSE&amp;creator=factset&amp;display_string=Audit"}</definedName>
    <definedName name="_11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427"}</definedName>
    <definedName name="_117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430"}</definedName>
    <definedName name="_117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429"}</definedName>
    <definedName name="_117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428"}</definedName>
    <definedName name="_117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427"}</definedName>
    <definedName name="_117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426"}</definedName>
    <definedName name="_117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425"}</definedName>
    <definedName name="_117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424"}</definedName>
    <definedName name="_117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423"}</definedName>
    <definedName name="_117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422"}</definedName>
    <definedName name="_11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421"}</definedName>
    <definedName name="_11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426"}</definedName>
    <definedName name="_11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426"}</definedName>
    <definedName name="_11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426"}</definedName>
    <definedName name="_11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426"}</definedName>
    <definedName name="_11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426"}</definedName>
    <definedName name="_11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426"}</definedName>
    <definedName name="_11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426"}</definedName>
    <definedName name="_11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420"}</definedName>
    <definedName name="_11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419"}</definedName>
    <definedName name="_11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418"}</definedName>
    <definedName name="_11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417"}</definedName>
    <definedName name="_11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416"}</definedName>
    <definedName name="_11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415"}</definedName>
    <definedName name="_11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414"}</definedName>
    <definedName name="_11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413"}</definedName>
    <definedName name="_11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412"}</definedName>
    <definedName name="_11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411"}</definedName>
    <definedName name="_11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425"}</definedName>
    <definedName name="_11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425"}</definedName>
    <definedName name="_11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425"}</definedName>
    <definedName name="_11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425"}</definedName>
    <definedName name="_11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425"}</definedName>
    <definedName name="_11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425"}</definedName>
    <definedName name="_11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425"}</definedName>
    <definedName name="_11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410"}</definedName>
    <definedName name="_11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409"}</definedName>
    <definedName name="_11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408"}</definedName>
    <definedName name="_11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407"}</definedName>
    <definedName name="_11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406"}</definedName>
    <definedName name="_11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405"}</definedName>
    <definedName name="_11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404"}</definedName>
    <definedName name="_11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403"}</definedName>
    <definedName name="_11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402"}</definedName>
    <definedName name="_11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1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401"}</definedName>
    <definedName name="_12__FDSAUDITLINK__" localSheetId="9" hidden="1">{"fdsup://directions/FAT%20Viewer?VAR:PED=LTM&amp;VAR:PERIOD=FIXED&amp;VAR:V=21.057372&amp;VAR:AUDIT_ID=00000117&amp;VAR:DATE=20100427&amp;action=UPDATE&amp;creator=factset&amp;DOC_NAME=FAT:FMA_audit_SUMMARY.fat&amp;DISPLAY_STRING=Display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Aggregates&amp;VAR:MEASURE=DPS&amp;VAR:CALC_MODE=AGGREGATE&amp;VAR:CHGPERIOD=NA&amp;VAR:FQLFORMULA=FMA_DPS&amp;VAR:CURRENCY=USD&amp;VAR:P=1188.990000&amp;VAR:THRESH=||||&amp;VAR:null=.html"}</definedName>
    <definedName name="_12__FDSAUDITLINK__" localSheetId="8" hidden="1">{"fdsup://directions/FAT%20Viewer?VAR:PED=LTM&amp;VAR:PERIOD=FIXED&amp;VAR:V=21.057372&amp;VAR:AUDIT_ID=00000117&amp;VAR:DATE=20100427&amp;action=UPDATE&amp;creator=factset&amp;DOC_NAME=FAT:FMA_audit_SUMMARY.fat&amp;DISPLAY_STRING=Display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Aggregates&amp;VAR:MEASURE=DPS&amp;VAR:CALC_MODE=AGGREGATE&amp;VAR:CHGPERIOD=NA&amp;VAR:FQLFORMULA=FMA_DPS&amp;VAR:CURRENCY=USD&amp;VAR:P=1188.990000&amp;VAR:THRESH=||||&amp;VAR:null=.html"}</definedName>
    <definedName name="_12__FDSAUDITLINK__" localSheetId="6" hidden="1">{"fdsup://directions/FAT%20Viewer?VAR:PED=2010&amp;VAR:PERIOD=CY&amp;VAR:V=84.551304&amp;VAR:PCT=N&amp;VAR:AUDIT_ID=00000117&amp;VAR:DATE=20101119&amp;action=UPDATE&amp;creator=factset&amp;DOC_NAME=FAT:FMA_audit_SUMMARY.fat&amp;DISPLAY_STRING=Display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Aggregates&amp;VAR:MEASURE=EPS_MEAN&amp;VAR:CALC_MODE=AGGREGATE&amp;VAR:CHGPERIOD=NA&amp;VAR:FQLFORMULA=FMA_EPS&amp;VAR:CURRENCY=USD&amp;VAR:P=1199.730081&amp;VAR:THRESH=||||&amp;VAR:null=.html"}</definedName>
    <definedName name="_12__FDSAUDITLINK__" localSheetId="5" hidden="1">{"fdsup://directions/FAT%20Viewer?VAR:PED=LTM&amp;VAR:PERIOD=FIXED&amp;VAR:V=21.057372&amp;VAR:AUDIT_ID=00000117&amp;VAR:DATE=20100427&amp;action=UPDATE&amp;creator=factset&amp;DOC_NAME=FAT:FMA_audit_SUMMARY.fat&amp;DISPLAY_STRING=Display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Aggregates&amp;VAR:MEASURE=DPS&amp;VAR:CALC_MODE=AGGREGATE&amp;VAR:CHGPERIOD=NA&amp;VAR:FQLFORMULA=FMA_DPS&amp;VAR:CURRENCY=USD&amp;VAR:P=1188.990000&amp;VAR:THRESH=||||&amp;VAR:null=.html"}</definedName>
    <definedName name="_12__FDSAUDITLINK__" localSheetId="1" hidden="1">{"fdsup://directions/FAT%20Viewer?VAR:PED=LTM&amp;VAR:PERIOD=FIXED&amp;VAR:V=21.057372&amp;VAR:AUDIT_ID=00000117&amp;VAR:DATE=20100427&amp;action=UPDATE&amp;creator=factset&amp;DOC_NAME=FAT:FMA_audit_SUMMARY.fat&amp;DISPLAY_STRING=Display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Aggregates&amp;VAR:MEASURE=DPS&amp;VAR:CALC_MODE=AGGREGATE&amp;VAR:CHGPERIOD=NA&amp;VAR:FQLFORMULA=FMA_DPS&amp;VAR:CURRENCY=USD&amp;VAR:P=1188.990000&amp;VAR:THRESH=||||&amp;VAR:null=.html"}</definedName>
    <definedName name="_12__FDSAUDITLINK__" localSheetId="3" hidden="1">{"fdsup://directions/FAT%20Viewer?VAR:PED=LTM&amp;VAR:PERIOD=FIXED&amp;VAR:V=21.057372&amp;VAR:AUDIT_ID=00000117&amp;VAR:DATE=20100427&amp;action=UPDATE&amp;creator=factset&amp;DOC_NAME=FAT:FMA_audit_SUMMARY.fat&amp;DISPLAY_STRING=Display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Aggregates&amp;VAR:MEASURE=DPS&amp;VAR:CALC_MODE=AGGREGATE&amp;VAR:CHGPERIOD=NA&amp;VAR:FQLFORMULA=FMA_DPS&amp;VAR:CURRENCY=USD&amp;VAR:P=1188.990000&amp;VAR:THRESH=||||&amp;VAR:null=.html"}</definedName>
    <definedName name="_12__FDSAUDITLINK__" hidden="1">{"fdsup://directions/FAT%20Viewer?VAR:PED=2010&amp;VAR:PERIOD=CY&amp;VAR:V=84.551304&amp;VAR:PCT=N&amp;VAR:AUDIT_ID=00000117&amp;VAR:DATE=20101119&amp;action=UPDATE&amp;creator=factset&amp;DOC_NAME=FAT:FMA_audit_SUMMARY.fat&amp;DISPLAY_STRING=Display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Aggregates&amp;VAR:MEASURE=EPS_MEAN&amp;VAR:CALC_MODE=AGGREGATE&amp;VAR:CHGPERIOD=NA&amp;VAR:FQLFORMULA=FMA_EPS&amp;VAR:CURRENCY=USD&amp;VAR:P=1199.730081&amp;VAR:THRESH=||||&amp;VAR:null=.html"}</definedName>
    <definedName name="_12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424"}</definedName>
    <definedName name="_12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424"}</definedName>
    <definedName name="_12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424"}</definedName>
    <definedName name="_12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424"}</definedName>
    <definedName name="_12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424"}</definedName>
    <definedName name="_12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424"}</definedName>
    <definedName name="_12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424"}</definedName>
    <definedName name="_12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400"}</definedName>
    <definedName name="_120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399"}</definedName>
    <definedName name="_120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398"}</definedName>
    <definedName name="_120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397"}</definedName>
    <definedName name="_120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396"}</definedName>
    <definedName name="_120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395"}</definedName>
    <definedName name="_120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394"}</definedName>
    <definedName name="_120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393"}</definedName>
    <definedName name="_120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392"}</definedName>
    <definedName name="_120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0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391"}</definedName>
    <definedName name="_12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423"}</definedName>
    <definedName name="_12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423"}</definedName>
    <definedName name="_12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423"}</definedName>
    <definedName name="_12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423"}</definedName>
    <definedName name="_12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423"}</definedName>
    <definedName name="_12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423"}</definedName>
    <definedName name="_12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423"}</definedName>
    <definedName name="_121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390"}</definedName>
    <definedName name="_121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389"}</definedName>
    <definedName name="_121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388"}</definedName>
    <definedName name="_121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387"}</definedName>
    <definedName name="_121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386"}</definedName>
    <definedName name="_121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385"}</definedName>
    <definedName name="_121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384"}</definedName>
    <definedName name="_121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383"}</definedName>
    <definedName name="_121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382"}</definedName>
    <definedName name="_121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1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381"}</definedName>
    <definedName name="_12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422"}</definedName>
    <definedName name="_12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422"}</definedName>
    <definedName name="_12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422"}</definedName>
    <definedName name="_12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422"}</definedName>
    <definedName name="_12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422"}</definedName>
    <definedName name="_12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422"}</definedName>
    <definedName name="_12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422"}</definedName>
    <definedName name="_122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380"}</definedName>
    <definedName name="_122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379"}</definedName>
    <definedName name="_122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378"}</definedName>
    <definedName name="_122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377"}</definedName>
    <definedName name="_122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376"}</definedName>
    <definedName name="_122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375"}</definedName>
    <definedName name="_122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374"}</definedName>
    <definedName name="_122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373"}</definedName>
    <definedName name="_122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372"}</definedName>
    <definedName name="_122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2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371"}</definedName>
    <definedName name="_12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421"}</definedName>
    <definedName name="_12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421"}</definedName>
    <definedName name="_12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421"}</definedName>
    <definedName name="_12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421"}</definedName>
    <definedName name="_12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421"}</definedName>
    <definedName name="_12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421"}</definedName>
    <definedName name="_12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421"}</definedName>
    <definedName name="_123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370"}</definedName>
    <definedName name="_123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369"}</definedName>
    <definedName name="_123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368"}</definedName>
    <definedName name="_123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367"}</definedName>
    <definedName name="_123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366"}</definedName>
    <definedName name="_123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365"}</definedName>
    <definedName name="_123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364"}</definedName>
    <definedName name="_123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363"}</definedName>
    <definedName name="_123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362"}</definedName>
    <definedName name="_123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3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361"}</definedName>
    <definedName name="_12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420"}</definedName>
    <definedName name="_12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420"}</definedName>
    <definedName name="_12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420"}</definedName>
    <definedName name="_12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420"}</definedName>
    <definedName name="_12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420"}</definedName>
    <definedName name="_12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420"}</definedName>
    <definedName name="_12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420"}</definedName>
    <definedName name="_124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360"}</definedName>
    <definedName name="_124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359"}</definedName>
    <definedName name="_124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358"}</definedName>
    <definedName name="_124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357"}</definedName>
    <definedName name="_124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356"}</definedName>
    <definedName name="_124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355"}</definedName>
    <definedName name="_124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354"}</definedName>
    <definedName name="_124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353"}</definedName>
    <definedName name="_124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352"}</definedName>
    <definedName name="_124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4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351"}</definedName>
    <definedName name="_12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419"}</definedName>
    <definedName name="_12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419"}</definedName>
    <definedName name="_12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419"}</definedName>
    <definedName name="_12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419"}</definedName>
    <definedName name="_12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419"}</definedName>
    <definedName name="_12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419"}</definedName>
    <definedName name="_12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419"}</definedName>
    <definedName name="_125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350"}</definedName>
    <definedName name="_125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349"}</definedName>
    <definedName name="_125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348"}</definedName>
    <definedName name="_125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347"}</definedName>
    <definedName name="_125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346"}</definedName>
    <definedName name="_125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345"}</definedName>
    <definedName name="_125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344"}</definedName>
    <definedName name="_125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343"}</definedName>
    <definedName name="_125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342"}</definedName>
    <definedName name="_125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5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341"}</definedName>
    <definedName name="_12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418"}</definedName>
    <definedName name="_12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418"}</definedName>
    <definedName name="_12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418"}</definedName>
    <definedName name="_12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418"}</definedName>
    <definedName name="_12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418"}</definedName>
    <definedName name="_12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418"}</definedName>
    <definedName name="_12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418"}</definedName>
    <definedName name="_126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340"}</definedName>
    <definedName name="_126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339"}</definedName>
    <definedName name="_126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338"}</definedName>
    <definedName name="_126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337"}</definedName>
    <definedName name="_126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336"}</definedName>
    <definedName name="_126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335"}</definedName>
    <definedName name="_126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334"}</definedName>
    <definedName name="_126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333"}</definedName>
    <definedName name="_126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332"}</definedName>
    <definedName name="_126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6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331"}</definedName>
    <definedName name="_12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417"}</definedName>
    <definedName name="_12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417"}</definedName>
    <definedName name="_12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417"}</definedName>
    <definedName name="_12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417"}</definedName>
    <definedName name="_12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417"}</definedName>
    <definedName name="_12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417"}</definedName>
    <definedName name="_12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417"}</definedName>
    <definedName name="_127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330"}</definedName>
    <definedName name="_127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329"}</definedName>
    <definedName name="_127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328"}</definedName>
    <definedName name="_127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327"}</definedName>
    <definedName name="_127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326"}</definedName>
    <definedName name="_127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325"}</definedName>
    <definedName name="_127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324"}</definedName>
    <definedName name="_127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323"}</definedName>
    <definedName name="_127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322"}</definedName>
    <definedName name="_12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321"}</definedName>
    <definedName name="_12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416"}</definedName>
    <definedName name="_12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416"}</definedName>
    <definedName name="_12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416"}</definedName>
    <definedName name="_12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416"}</definedName>
    <definedName name="_12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416"}</definedName>
    <definedName name="_12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416"}</definedName>
    <definedName name="_12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416"}</definedName>
    <definedName name="_12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320"}</definedName>
    <definedName name="_12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319"}</definedName>
    <definedName name="_12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318"}</definedName>
    <definedName name="_12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317"}</definedName>
    <definedName name="_12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316"}</definedName>
    <definedName name="_12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315"}</definedName>
    <definedName name="_12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314"}</definedName>
    <definedName name="_12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313"}</definedName>
    <definedName name="_12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312"}</definedName>
    <definedName name="_12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311"}</definedName>
    <definedName name="_12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415"}</definedName>
    <definedName name="_12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415"}</definedName>
    <definedName name="_12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415"}</definedName>
    <definedName name="_12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415"}</definedName>
    <definedName name="_12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415"}</definedName>
    <definedName name="_12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415"}</definedName>
    <definedName name="_12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415"}</definedName>
    <definedName name="_12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310"}</definedName>
    <definedName name="_12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309"}</definedName>
    <definedName name="_12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308"}</definedName>
    <definedName name="_12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307"}</definedName>
    <definedName name="_12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306"}</definedName>
    <definedName name="_12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305"}</definedName>
    <definedName name="_12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304"}</definedName>
    <definedName name="_12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303"}</definedName>
    <definedName name="_12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302"}</definedName>
    <definedName name="_12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2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301"}</definedName>
    <definedName name="_13__FDSAUDITLINK__" localSheetId="9" hidden="1">{"fdsup://directions/FAT Viewer?action=UPDATE&amp;creator=factset&amp;DYN_ARGS=TRUE&amp;DOC_NAME=FAT:FQL_AUDITING_CLIENT_TEMPLATE.FAT&amp;display_string=Audit&amp;VAR:KEY=XYDMLCBYXK&amp;VAR:QUERY=RkZfRElWX1lMRChBTk4sTk9XKQ==&amp;WINDOW=FIRST_POPUP&amp;HEIGHT=450&amp;WIDTH=450&amp;START_MAXIMIZED=","FALSE&amp;VAR:CALENDAR=US&amp;VAR:SYMBOL=VNET&amp;VAR:INDEX=0"}</definedName>
    <definedName name="_13__FDSAUDITLINK__" localSheetId="8" hidden="1">{"fdsup://directions/FAT Viewer?action=UPDATE&amp;creator=factset&amp;DYN_ARGS=TRUE&amp;DOC_NAME=FAT:FQL_AUDITING_CLIENT_TEMPLATE.FAT&amp;display_string=Audit&amp;VAR:KEY=XYDMLCBYXK&amp;VAR:QUERY=RkZfRElWX1lMRChBTk4sTk9XKQ==&amp;WINDOW=FIRST_POPUP&amp;HEIGHT=450&amp;WIDTH=450&amp;START_MAXIMIZED=","FALSE&amp;VAR:CALENDAR=US&amp;VAR:SYMBOL=VNET&amp;VAR:INDEX=0"}</definedName>
    <definedName name="_13__FDSAUDITLINK__" localSheetId="6" hidden="1">{"fdsup://directions/FAT%20Viewer?VAR:PED=LTM&amp;VAR:PERIOD=FIXED&amp;VAR:V=22.197182&amp;VAR:PCT=N&amp;VAR:AUDIT_ID=00000117&amp;VAR:DATE=20101122&amp;action=UPDATE&amp;creator=factset&amp;DOC_NAME=FAT:FMA_audit_SUMMARY.fat&amp;DISPLAY_STRING=Display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Aggregates&amp;VAR:MEASURE=DPS&amp;VAR:CALC_MODE=AGGREGATE&amp;VAR:CHGPERIOD=NA&amp;VAR:FQLFORMULA=FMA_DPS&amp;VAR:CURRENCY=USD&amp;VAR:P=1199.730081&amp;VAR:THRESH=||||&amp;VAR:null=.html"}</definedName>
    <definedName name="_13__FDSAUDITLINK__" localSheetId="5" hidden="1">{"fdsup://directions/FAT Viewer?action=UPDATE&amp;creator=factset&amp;DYN_ARGS=TRUE&amp;DOC_NAME=FAT:FQL_AUDITING_CLIENT_TEMPLATE.FAT&amp;display_string=Audit&amp;VAR:KEY=XYDMLCBYXK&amp;VAR:QUERY=RkZfRElWX1lMRChBTk4sTk9XKQ==&amp;WINDOW=FIRST_POPUP&amp;HEIGHT=450&amp;WIDTH=450&amp;START_MAXIMIZED=","FALSE&amp;VAR:CALENDAR=US&amp;VAR:SYMBOL=VNET&amp;VAR:INDEX=0"}</definedName>
    <definedName name="_13__FDSAUDITLINK__" localSheetId="1" hidden="1">{"fdsup://directions/FAT Viewer?action=UPDATE&amp;creator=factset&amp;DYN_ARGS=TRUE&amp;DOC_NAME=FAT:FQL_AUDITING_CLIENT_TEMPLATE.FAT&amp;display_string=Audit&amp;VAR:KEY=XYDMLCBYXK&amp;VAR:QUERY=RkZfRElWX1lMRChBTk4sTk9XKQ==&amp;WINDOW=FIRST_POPUP&amp;HEIGHT=450&amp;WIDTH=450&amp;START_MAXIMIZED=","FALSE&amp;VAR:CALENDAR=US&amp;VAR:SYMBOL=VNET&amp;VAR:INDEX=0"}</definedName>
    <definedName name="_13__FDSAUDITLINK__" localSheetId="3" hidden="1">{"fdsup://directions/FAT Viewer?action=UPDATE&amp;creator=factset&amp;DYN_ARGS=TRUE&amp;DOC_NAME=FAT:FQL_AUDITING_CLIENT_TEMPLATE.FAT&amp;display_string=Audit&amp;VAR:KEY=XYDMLCBYXK&amp;VAR:QUERY=RkZfRElWX1lMRChBTk4sTk9XKQ==&amp;WINDOW=FIRST_POPUP&amp;HEIGHT=450&amp;WIDTH=450&amp;START_MAXIMIZED=","FALSE&amp;VAR:CALENDAR=US&amp;VAR:SYMBOL=VNET&amp;VAR:INDEX=0"}</definedName>
    <definedName name="_13__FDSAUDITLINK__" hidden="1">{"fdsup://directions/FAT%20Viewer?VAR:PED=LTM&amp;VAR:PERIOD=FIXED&amp;VAR:V=22.197182&amp;VAR:PCT=N&amp;VAR:AUDIT_ID=00000117&amp;VAR:DATE=20101122&amp;action=UPDATE&amp;creator=factset&amp;DOC_NAME=FAT:FMA_audit_SUMMARY.fat&amp;DISPLAY_STRING=Display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Aggregates&amp;VAR:MEASURE=DPS&amp;VAR:CALC_MODE=AGGREGATE&amp;VAR:CHGPERIOD=NA&amp;VAR:FQLFORMULA=FMA_DPS&amp;VAR:CURRENCY=USD&amp;VAR:P=1199.730081&amp;VAR:THRESH=||||&amp;VAR:null=.html"}</definedName>
    <definedName name="_13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414"}</definedName>
    <definedName name="_13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414"}</definedName>
    <definedName name="_13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414"}</definedName>
    <definedName name="_13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414"}</definedName>
    <definedName name="_13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414"}</definedName>
    <definedName name="_13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414"}</definedName>
    <definedName name="_13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414"}</definedName>
    <definedName name="_13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300"}</definedName>
    <definedName name="_130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299"}</definedName>
    <definedName name="_130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298"}</definedName>
    <definedName name="_130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297"}</definedName>
    <definedName name="_130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296"}</definedName>
    <definedName name="_130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295"}</definedName>
    <definedName name="_130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294"}</definedName>
    <definedName name="_130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293"}</definedName>
    <definedName name="_130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292"}</definedName>
    <definedName name="_130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0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291"}</definedName>
    <definedName name="_13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413"}</definedName>
    <definedName name="_13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413"}</definedName>
    <definedName name="_13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413"}</definedName>
    <definedName name="_13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413"}</definedName>
    <definedName name="_13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413"}</definedName>
    <definedName name="_13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413"}</definedName>
    <definedName name="_13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413"}</definedName>
    <definedName name="_131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290"}</definedName>
    <definedName name="_131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289"}</definedName>
    <definedName name="_131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288"}</definedName>
    <definedName name="_131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287"}</definedName>
    <definedName name="_131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286"}</definedName>
    <definedName name="_131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285"}</definedName>
    <definedName name="_131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284"}</definedName>
    <definedName name="_131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283"}</definedName>
    <definedName name="_131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282"}</definedName>
    <definedName name="_131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1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281"}</definedName>
    <definedName name="_13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412"}</definedName>
    <definedName name="_13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412"}</definedName>
    <definedName name="_13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412"}</definedName>
    <definedName name="_13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412"}</definedName>
    <definedName name="_13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412"}</definedName>
    <definedName name="_13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412"}</definedName>
    <definedName name="_13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412"}</definedName>
    <definedName name="_132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280"}</definedName>
    <definedName name="_132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279"}</definedName>
    <definedName name="_132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278"}</definedName>
    <definedName name="_132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277"}</definedName>
    <definedName name="_132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276"}</definedName>
    <definedName name="_132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275"}</definedName>
    <definedName name="_132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274"}</definedName>
    <definedName name="_132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273"}</definedName>
    <definedName name="_132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272"}</definedName>
    <definedName name="_132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2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271"}</definedName>
    <definedName name="_13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411"}</definedName>
    <definedName name="_13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411"}</definedName>
    <definedName name="_13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411"}</definedName>
    <definedName name="_13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411"}</definedName>
    <definedName name="_13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411"}</definedName>
    <definedName name="_13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411"}</definedName>
    <definedName name="_13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411"}</definedName>
    <definedName name="_133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270"}</definedName>
    <definedName name="_133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269"}</definedName>
    <definedName name="_133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268"}</definedName>
    <definedName name="_133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267"}</definedName>
    <definedName name="_133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266"}</definedName>
    <definedName name="_133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265"}</definedName>
    <definedName name="_133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264"}</definedName>
    <definedName name="_133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263"}</definedName>
    <definedName name="_133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262"}</definedName>
    <definedName name="_133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3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261"}</definedName>
    <definedName name="_13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410"}</definedName>
    <definedName name="_13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410"}</definedName>
    <definedName name="_13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410"}</definedName>
    <definedName name="_13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410"}</definedName>
    <definedName name="_13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410"}</definedName>
    <definedName name="_13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410"}</definedName>
    <definedName name="_13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410"}</definedName>
    <definedName name="_134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260"}</definedName>
    <definedName name="_134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259"}</definedName>
    <definedName name="_134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258"}</definedName>
    <definedName name="_134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257"}</definedName>
    <definedName name="_134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256"}</definedName>
    <definedName name="_134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255"}</definedName>
    <definedName name="_134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254"}</definedName>
    <definedName name="_134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253"}</definedName>
    <definedName name="_134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252"}</definedName>
    <definedName name="_134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4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251"}</definedName>
    <definedName name="_13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409"}</definedName>
    <definedName name="_13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409"}</definedName>
    <definedName name="_13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409"}</definedName>
    <definedName name="_13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409"}</definedName>
    <definedName name="_13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409"}</definedName>
    <definedName name="_13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409"}</definedName>
    <definedName name="_13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409"}</definedName>
    <definedName name="_135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250"}</definedName>
    <definedName name="_135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249"}</definedName>
    <definedName name="_135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248"}</definedName>
    <definedName name="_135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247"}</definedName>
    <definedName name="_135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246"}</definedName>
    <definedName name="_135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245"}</definedName>
    <definedName name="_135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244"}</definedName>
    <definedName name="_135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243"}</definedName>
    <definedName name="_135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242"}</definedName>
    <definedName name="_135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5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241"}</definedName>
    <definedName name="_13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408"}</definedName>
    <definedName name="_13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408"}</definedName>
    <definedName name="_13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408"}</definedName>
    <definedName name="_13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408"}</definedName>
    <definedName name="_13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408"}</definedName>
    <definedName name="_13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408"}</definedName>
    <definedName name="_13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408"}</definedName>
    <definedName name="_136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240"}</definedName>
    <definedName name="_136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239"}</definedName>
    <definedName name="_136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238"}</definedName>
    <definedName name="_136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237"}</definedName>
    <definedName name="_136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236"}</definedName>
    <definedName name="_136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235"}</definedName>
    <definedName name="_136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234"}</definedName>
    <definedName name="_136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233"}</definedName>
    <definedName name="_136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232"}</definedName>
    <definedName name="_136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6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231"}</definedName>
    <definedName name="_13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407"}</definedName>
    <definedName name="_13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407"}</definedName>
    <definedName name="_13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407"}</definedName>
    <definedName name="_13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407"}</definedName>
    <definedName name="_13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407"}</definedName>
    <definedName name="_13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407"}</definedName>
    <definedName name="_13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407"}</definedName>
    <definedName name="_137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230"}</definedName>
    <definedName name="_137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229"}</definedName>
    <definedName name="_137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228"}</definedName>
    <definedName name="_137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227"}</definedName>
    <definedName name="_137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226"}</definedName>
    <definedName name="_137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225"}</definedName>
    <definedName name="_137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224"}</definedName>
    <definedName name="_137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223"}</definedName>
    <definedName name="_137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222"}</definedName>
    <definedName name="_13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221"}</definedName>
    <definedName name="_13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406"}</definedName>
    <definedName name="_13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406"}</definedName>
    <definedName name="_13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406"}</definedName>
    <definedName name="_13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406"}</definedName>
    <definedName name="_13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406"}</definedName>
    <definedName name="_13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406"}</definedName>
    <definedName name="_13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406"}</definedName>
    <definedName name="_13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220"}</definedName>
    <definedName name="_13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219"}</definedName>
    <definedName name="_13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218"}</definedName>
    <definedName name="_13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217"}</definedName>
    <definedName name="_13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216"}</definedName>
    <definedName name="_13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215"}</definedName>
    <definedName name="_13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214"}</definedName>
    <definedName name="_13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213"}</definedName>
    <definedName name="_13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212"}</definedName>
    <definedName name="_13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211"}</definedName>
    <definedName name="_13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405"}</definedName>
    <definedName name="_13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405"}</definedName>
    <definedName name="_13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405"}</definedName>
    <definedName name="_13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405"}</definedName>
    <definedName name="_13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405"}</definedName>
    <definedName name="_13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405"}</definedName>
    <definedName name="_13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405"}</definedName>
    <definedName name="_13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210"}</definedName>
    <definedName name="_13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209"}</definedName>
    <definedName name="_13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208"}</definedName>
    <definedName name="_13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207"}</definedName>
    <definedName name="_13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206"}</definedName>
    <definedName name="_13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205"}</definedName>
    <definedName name="_13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204"}</definedName>
    <definedName name="_13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203"}</definedName>
    <definedName name="_13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202"}</definedName>
    <definedName name="_13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3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201"}</definedName>
    <definedName name="_14__FDSAUDITLINK__" localSheetId="9" hidden="1">{"fdsup://directions/FAT Viewer?action=UPDATE&amp;creator=factset&amp;DYN_ARGS=TRUE&amp;DOC_NAME=FAT:FQL_AUDITING_CLIENT_TEMPLATE.FAT&amp;display_string=Audit&amp;VAR:KEY=VSXSFWRURS&amp;VAR:QUERY=RkZfRElWX1lMRChBTk4sTk9XKQ==&amp;WINDOW=FIRST_POPUP&amp;HEIGHT=450&amp;WIDTH=450&amp;START_MAXIMIZED=","FALSE&amp;VAR:CALENDAR=US&amp;VAR:SYMBOL=CEL&amp;VAR:INDEX=0"}</definedName>
    <definedName name="_14__FDSAUDITLINK__" localSheetId="8" hidden="1">{"fdsup://directions/FAT Viewer?action=UPDATE&amp;creator=factset&amp;DYN_ARGS=TRUE&amp;DOC_NAME=FAT:FQL_AUDITING_CLIENT_TEMPLATE.FAT&amp;display_string=Audit&amp;VAR:KEY=VSXSFWRURS&amp;VAR:QUERY=RkZfRElWX1lMRChBTk4sTk9XKQ==&amp;WINDOW=FIRST_POPUP&amp;HEIGHT=450&amp;WIDTH=450&amp;START_MAXIMIZED=","FALSE&amp;VAR:CALENDAR=US&amp;VAR:SYMBOL=CEL&amp;VAR:INDEX=0"}</definedName>
    <definedName name="_14__FDSAUDITLINK__" localSheetId="6" hidden="1">{"fdsup://directions/FAT Viewer?action=UPDATE&amp;creator=factset&amp;DYN_ARGS=TRUE&amp;DOC_NAME=FAT:FQL_AUDITING_CLIENT_TEMPLATE.FAT&amp;display_string=Audit&amp;VAR:KEY=AHKJCXWDGF&amp;VAR:QUERY=RkZfRU5UUlBSX1ZBTF9EQUlMWSgwLCwsLCdVU0QnLCdESUwnKQ==&amp;WINDOW=FIRST_POPUP&amp;HEIGHT=450&amp;WI","DTH=450&amp;START_MAXIMIZED=FALSE&amp;VAR:CALENDAR=US&amp;VAR:SYMBOL=FWLT&amp;VAR:INDEX=0"}</definedName>
    <definedName name="_14__FDSAUDITLINK__" localSheetId="5" hidden="1">{"fdsup://directions/FAT Viewer?action=UPDATE&amp;creator=factset&amp;DYN_ARGS=TRUE&amp;DOC_NAME=FAT:FQL_AUDITING_CLIENT_TEMPLATE.FAT&amp;display_string=Audit&amp;VAR:KEY=VSXSFWRURS&amp;VAR:QUERY=RkZfRElWX1lMRChBTk4sTk9XKQ==&amp;WINDOW=FIRST_POPUP&amp;HEIGHT=450&amp;WIDTH=450&amp;START_MAXIMIZED=","FALSE&amp;VAR:CALENDAR=US&amp;VAR:SYMBOL=CEL&amp;VAR:INDEX=0"}</definedName>
    <definedName name="_14__FDSAUDITLINK__" localSheetId="1" hidden="1">{"fdsup://directions/FAT Viewer?action=UPDATE&amp;creator=factset&amp;DYN_ARGS=TRUE&amp;DOC_NAME=FAT:FQL_AUDITING_CLIENT_TEMPLATE.FAT&amp;display_string=Audit&amp;VAR:KEY=VSXSFWRURS&amp;VAR:QUERY=RkZfRElWX1lMRChBTk4sTk9XKQ==&amp;WINDOW=FIRST_POPUP&amp;HEIGHT=450&amp;WIDTH=450&amp;START_MAXIMIZED=","FALSE&amp;VAR:CALENDAR=US&amp;VAR:SYMBOL=CEL&amp;VAR:INDEX=0"}</definedName>
    <definedName name="_14__FDSAUDITLINK__" localSheetId="3" hidden="1">{"fdsup://directions/FAT Viewer?action=UPDATE&amp;creator=factset&amp;DYN_ARGS=TRUE&amp;DOC_NAME=FAT:FQL_AUDITING_CLIENT_TEMPLATE.FAT&amp;display_string=Audit&amp;VAR:KEY=VSXSFWRURS&amp;VAR:QUERY=RkZfRElWX1lMRChBTk4sTk9XKQ==&amp;WINDOW=FIRST_POPUP&amp;HEIGHT=450&amp;WIDTH=450&amp;START_MAXIMIZED=","FALSE&amp;VAR:CALENDAR=US&amp;VAR:SYMBOL=CEL&amp;VAR:INDEX=0"}</definedName>
    <definedName name="_14__FDSAUDITLINK__" hidden="1">{"fdsup://directions/FAT Viewer?action=UPDATE&amp;creator=factset&amp;DYN_ARGS=TRUE&amp;DOC_NAME=FAT:FQL_AUDITING_CLIENT_TEMPLATE.FAT&amp;display_string=Audit&amp;VAR:KEY=AHKJCXWDGF&amp;VAR:QUERY=RkZfRU5UUlBSX1ZBTF9EQUlMWSgwLCwsLCdVU0QnLCdESUwnKQ==&amp;WINDOW=FIRST_POPUP&amp;HEIGHT=450&amp;WI","DTH=450&amp;START_MAXIMIZED=FALSE&amp;VAR:CALENDAR=US&amp;VAR:SYMBOL=FWLT&amp;VAR:INDEX=0"}</definedName>
    <definedName name="_14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404"}</definedName>
    <definedName name="_14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404"}</definedName>
    <definedName name="_14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404"}</definedName>
    <definedName name="_14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404"}</definedName>
    <definedName name="_14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404"}</definedName>
    <definedName name="_14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404"}</definedName>
    <definedName name="_14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404"}</definedName>
    <definedName name="_14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200"}</definedName>
    <definedName name="_140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199"}</definedName>
    <definedName name="_140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198"}</definedName>
    <definedName name="_140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197"}</definedName>
    <definedName name="_140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196"}</definedName>
    <definedName name="_140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195"}</definedName>
    <definedName name="_140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194"}</definedName>
    <definedName name="_140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193"}</definedName>
    <definedName name="_140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192"}</definedName>
    <definedName name="_140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0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191"}</definedName>
    <definedName name="_14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403"}</definedName>
    <definedName name="_14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403"}</definedName>
    <definedName name="_14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403"}</definedName>
    <definedName name="_14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403"}</definedName>
    <definedName name="_14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403"}</definedName>
    <definedName name="_14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403"}</definedName>
    <definedName name="_14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403"}</definedName>
    <definedName name="_141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190"}</definedName>
    <definedName name="_141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189"}</definedName>
    <definedName name="_141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188"}</definedName>
    <definedName name="_141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187"}</definedName>
    <definedName name="_141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186"}</definedName>
    <definedName name="_141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185"}</definedName>
    <definedName name="_141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184"}</definedName>
    <definedName name="_141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183"}</definedName>
    <definedName name="_141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182"}</definedName>
    <definedName name="_141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1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181"}</definedName>
    <definedName name="_14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402"}</definedName>
    <definedName name="_14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402"}</definedName>
    <definedName name="_14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402"}</definedName>
    <definedName name="_14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402"}</definedName>
    <definedName name="_14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402"}</definedName>
    <definedName name="_14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402"}</definedName>
    <definedName name="_14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402"}</definedName>
    <definedName name="_142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180"}</definedName>
    <definedName name="_142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179"}</definedName>
    <definedName name="_142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178"}</definedName>
    <definedName name="_142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177"}</definedName>
    <definedName name="_142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176"}</definedName>
    <definedName name="_142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175"}</definedName>
    <definedName name="_142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174"}</definedName>
    <definedName name="_142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173"}</definedName>
    <definedName name="_142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172"}</definedName>
    <definedName name="_142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2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171"}</definedName>
    <definedName name="_14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401"}</definedName>
    <definedName name="_14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401"}</definedName>
    <definedName name="_14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401"}</definedName>
    <definedName name="_14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401"}</definedName>
    <definedName name="_14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401"}</definedName>
    <definedName name="_14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401"}</definedName>
    <definedName name="_14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401"}</definedName>
    <definedName name="_143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170"}</definedName>
    <definedName name="_143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169"}</definedName>
    <definedName name="_143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168"}</definedName>
    <definedName name="_143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167"}</definedName>
    <definedName name="_143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166"}</definedName>
    <definedName name="_143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165"}</definedName>
    <definedName name="_143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164"}</definedName>
    <definedName name="_143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163"}</definedName>
    <definedName name="_143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162"}</definedName>
    <definedName name="_143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3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161"}</definedName>
    <definedName name="_14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400"}</definedName>
    <definedName name="_14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400"}</definedName>
    <definedName name="_14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400"}</definedName>
    <definedName name="_14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400"}</definedName>
    <definedName name="_14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400"}</definedName>
    <definedName name="_14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400"}</definedName>
    <definedName name="_14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400"}</definedName>
    <definedName name="_144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160"}</definedName>
    <definedName name="_144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159"}</definedName>
    <definedName name="_144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158"}</definedName>
    <definedName name="_144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157"}</definedName>
    <definedName name="_144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156"}</definedName>
    <definedName name="_144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155"}</definedName>
    <definedName name="_144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154"}</definedName>
    <definedName name="_144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153"}</definedName>
    <definedName name="_144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152"}</definedName>
    <definedName name="_144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4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151"}</definedName>
    <definedName name="_14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399"}</definedName>
    <definedName name="_14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399"}</definedName>
    <definedName name="_14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399"}</definedName>
    <definedName name="_14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399"}</definedName>
    <definedName name="_14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399"}</definedName>
    <definedName name="_14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399"}</definedName>
    <definedName name="_14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399"}</definedName>
    <definedName name="_145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150"}</definedName>
    <definedName name="_145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149"}</definedName>
    <definedName name="_145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148"}</definedName>
    <definedName name="_145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147"}</definedName>
    <definedName name="_145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146"}</definedName>
    <definedName name="_145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145"}</definedName>
    <definedName name="_145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144"}</definedName>
    <definedName name="_145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143"}</definedName>
    <definedName name="_145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142"}</definedName>
    <definedName name="_145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5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141"}</definedName>
    <definedName name="_14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398"}</definedName>
    <definedName name="_14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398"}</definedName>
    <definedName name="_14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398"}</definedName>
    <definedName name="_14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398"}</definedName>
    <definedName name="_14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398"}</definedName>
    <definedName name="_14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398"}</definedName>
    <definedName name="_14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398"}</definedName>
    <definedName name="_146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140"}</definedName>
    <definedName name="_146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139"}</definedName>
    <definedName name="_146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138"}</definedName>
    <definedName name="_146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137"}</definedName>
    <definedName name="_146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136"}</definedName>
    <definedName name="_146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135"}</definedName>
    <definedName name="_146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134"}</definedName>
    <definedName name="_146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133"}</definedName>
    <definedName name="_146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132"}</definedName>
    <definedName name="_146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6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131"}</definedName>
    <definedName name="_14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397"}</definedName>
    <definedName name="_14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397"}</definedName>
    <definedName name="_14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397"}</definedName>
    <definedName name="_14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397"}</definedName>
    <definedName name="_14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397"}</definedName>
    <definedName name="_14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397"}</definedName>
    <definedName name="_14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397"}</definedName>
    <definedName name="_147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130"}</definedName>
    <definedName name="_147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129"}</definedName>
    <definedName name="_147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128"}</definedName>
    <definedName name="_147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127"}</definedName>
    <definedName name="_147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126"}</definedName>
    <definedName name="_147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125"}</definedName>
    <definedName name="_147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124"}</definedName>
    <definedName name="_147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123"}</definedName>
    <definedName name="_147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122"}</definedName>
    <definedName name="_14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121"}</definedName>
    <definedName name="_14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396"}</definedName>
    <definedName name="_14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396"}</definedName>
    <definedName name="_14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396"}</definedName>
    <definedName name="_14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396"}</definedName>
    <definedName name="_14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396"}</definedName>
    <definedName name="_14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396"}</definedName>
    <definedName name="_14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396"}</definedName>
    <definedName name="_14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120"}</definedName>
    <definedName name="_14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119"}</definedName>
    <definedName name="_14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118"}</definedName>
    <definedName name="_14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117"}</definedName>
    <definedName name="_14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116"}</definedName>
    <definedName name="_14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115"}</definedName>
    <definedName name="_14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114"}</definedName>
    <definedName name="_14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113"}</definedName>
    <definedName name="_14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112"}</definedName>
    <definedName name="_14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111"}</definedName>
    <definedName name="_14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395"}</definedName>
    <definedName name="_14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395"}</definedName>
    <definedName name="_14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395"}</definedName>
    <definedName name="_14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395"}</definedName>
    <definedName name="_14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395"}</definedName>
    <definedName name="_14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395"}</definedName>
    <definedName name="_14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395"}</definedName>
    <definedName name="_14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110"}</definedName>
    <definedName name="_14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109"}</definedName>
    <definedName name="_14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108"}</definedName>
    <definedName name="_14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107"}</definedName>
    <definedName name="_14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106"}</definedName>
    <definedName name="_14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105"}</definedName>
    <definedName name="_14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104"}</definedName>
    <definedName name="_14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103"}</definedName>
    <definedName name="_14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102"}</definedName>
    <definedName name="_14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4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101"}</definedName>
    <definedName name="_15__FDSAUDITLINK__" localSheetId="9" hidden="1">{"fdsup://directions/FAT Viewer?action=UPDATE&amp;creator=factset&amp;DYN_ARGS=TRUE&amp;DOC_NAME=FAT:FQL_AUDITING_CLIENT_TEMPLATE.FAT&amp;display_string=Audit&amp;VAR:KEY=LOBOXKLKTI&amp;VAR:QUERY=RkZfRElWX1lMRChBTk4sTk9XKQ==&amp;WINDOW=FIRST_POPUP&amp;HEIGHT=450&amp;WIDTH=450&amp;START_MAXIMIZED=","FALSE&amp;VAR:CALENDAR=US&amp;VAR:SYMBOL=NIHD&amp;VAR:INDEX=0"}</definedName>
    <definedName name="_15__FDSAUDITLINK__" localSheetId="8" hidden="1">{"fdsup://directions/FAT Viewer?action=UPDATE&amp;creator=factset&amp;DYN_ARGS=TRUE&amp;DOC_NAME=FAT:FQL_AUDITING_CLIENT_TEMPLATE.FAT&amp;display_string=Audit&amp;VAR:KEY=LOBOXKLKTI&amp;VAR:QUERY=RkZfRElWX1lMRChBTk4sTk9XKQ==&amp;WINDOW=FIRST_POPUP&amp;HEIGHT=450&amp;WIDTH=450&amp;START_MAXIMIZED=","FALSE&amp;VAR:CALENDAR=US&amp;VAR:SYMBOL=NIHD&amp;VAR:INDEX=0"}</definedName>
    <definedName name="_15__FDSAUDITLINK__" localSheetId="6" hidden="1">{"fdsup://directions/FAT Viewer?action=UPDATE&amp;creator=factset&amp;DYN_ARGS=TRUE&amp;DOC_NAME=FAT:FQL_AUDITING_CLIENT_TEMPLATE.FAT&amp;display_string=Audit&amp;VAR:KEY=MRKJIFIVYN&amp;VAR:QUERY=RkZfRU5UUlBSX1ZBTF9FQklUREEoJ0FOTicsMCwsLCwnVVNEJyk=&amp;WINDOW=FIRST_POPUP&amp;HEIGHT=450&amp;WI","DTH=450&amp;START_MAXIMIZED=FALSE&amp;VAR:CALENDAR=US&amp;VAR:SYMBOL=JEC&amp;VAR:INDEX=0"}</definedName>
    <definedName name="_15__FDSAUDITLINK__" localSheetId="5" hidden="1">{"fdsup://directions/FAT Viewer?action=UPDATE&amp;creator=factset&amp;DYN_ARGS=TRUE&amp;DOC_NAME=FAT:FQL_AUDITING_CLIENT_TEMPLATE.FAT&amp;display_string=Audit&amp;VAR:KEY=LOBOXKLKTI&amp;VAR:QUERY=RkZfRElWX1lMRChBTk4sTk9XKQ==&amp;WINDOW=FIRST_POPUP&amp;HEIGHT=450&amp;WIDTH=450&amp;START_MAXIMIZED=","FALSE&amp;VAR:CALENDAR=US&amp;VAR:SYMBOL=NIHD&amp;VAR:INDEX=0"}</definedName>
    <definedName name="_15__FDSAUDITLINK__" localSheetId="1" hidden="1">{"fdsup://directions/FAT Viewer?action=UPDATE&amp;creator=factset&amp;DYN_ARGS=TRUE&amp;DOC_NAME=FAT:FQL_AUDITING_CLIENT_TEMPLATE.FAT&amp;display_string=Audit&amp;VAR:KEY=LOBOXKLKTI&amp;VAR:QUERY=RkZfRElWX1lMRChBTk4sTk9XKQ==&amp;WINDOW=FIRST_POPUP&amp;HEIGHT=450&amp;WIDTH=450&amp;START_MAXIMIZED=","FALSE&amp;VAR:CALENDAR=US&amp;VAR:SYMBOL=NIHD&amp;VAR:INDEX=0"}</definedName>
    <definedName name="_15__FDSAUDITLINK__" localSheetId="3" hidden="1">{"fdsup://directions/FAT Viewer?action=UPDATE&amp;creator=factset&amp;DYN_ARGS=TRUE&amp;DOC_NAME=FAT:FQL_AUDITING_CLIENT_TEMPLATE.FAT&amp;display_string=Audit&amp;VAR:KEY=LOBOXKLKTI&amp;VAR:QUERY=RkZfRElWX1lMRChBTk4sTk9XKQ==&amp;WINDOW=FIRST_POPUP&amp;HEIGHT=450&amp;WIDTH=450&amp;START_MAXIMIZED=","FALSE&amp;VAR:CALENDAR=US&amp;VAR:SYMBOL=NIHD&amp;VAR:INDEX=0"}</definedName>
    <definedName name="_15__FDSAUDITLINK__" hidden="1">{"fdsup://directions/FAT Viewer?action=UPDATE&amp;creator=factset&amp;DYN_ARGS=TRUE&amp;DOC_NAME=FAT:FQL_AUDITING_CLIENT_TEMPLATE.FAT&amp;display_string=Audit&amp;VAR:KEY=MRKJIFIVYN&amp;VAR:QUERY=RkZfRU5UUlBSX1ZBTF9FQklUREEoJ0FOTicsMCwsLCwnVVNEJyk=&amp;WINDOW=FIRST_POPUP&amp;HEIGHT=450&amp;WI","DTH=450&amp;START_MAXIMIZED=FALSE&amp;VAR:CALENDAR=US&amp;VAR:SYMBOL=JEC&amp;VAR:INDEX=0"}</definedName>
    <definedName name="_15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394"}</definedName>
    <definedName name="_15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394"}</definedName>
    <definedName name="_15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394"}</definedName>
    <definedName name="_15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394"}</definedName>
    <definedName name="_15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394"}</definedName>
    <definedName name="_15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394"}</definedName>
    <definedName name="_15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394"}</definedName>
    <definedName name="_15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100"}</definedName>
    <definedName name="_150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99"}</definedName>
    <definedName name="_150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98"}</definedName>
    <definedName name="_150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97"}</definedName>
    <definedName name="_150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96"}</definedName>
    <definedName name="_150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95"}</definedName>
    <definedName name="_150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94"}</definedName>
    <definedName name="_150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93"}</definedName>
    <definedName name="_150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92"}</definedName>
    <definedName name="_150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0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91"}</definedName>
    <definedName name="_15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393"}</definedName>
    <definedName name="_15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393"}</definedName>
    <definedName name="_15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393"}</definedName>
    <definedName name="_15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393"}</definedName>
    <definedName name="_15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393"}</definedName>
    <definedName name="_15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393"}</definedName>
    <definedName name="_15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393"}</definedName>
    <definedName name="_151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90"}</definedName>
    <definedName name="_151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89"}</definedName>
    <definedName name="_151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88"}</definedName>
    <definedName name="_151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87"}</definedName>
    <definedName name="_151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86"}</definedName>
    <definedName name="_151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85"}</definedName>
    <definedName name="_151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84"}</definedName>
    <definedName name="_151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83"}</definedName>
    <definedName name="_151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82"}</definedName>
    <definedName name="_151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1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81"}</definedName>
    <definedName name="_15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392"}</definedName>
    <definedName name="_15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392"}</definedName>
    <definedName name="_15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392"}</definedName>
    <definedName name="_15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392"}</definedName>
    <definedName name="_15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392"}</definedName>
    <definedName name="_15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392"}</definedName>
    <definedName name="_15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392"}</definedName>
    <definedName name="_152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80"}</definedName>
    <definedName name="_152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79"}</definedName>
    <definedName name="_152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78"}</definedName>
    <definedName name="_152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77"}</definedName>
    <definedName name="_152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76"}</definedName>
    <definedName name="_152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75"}</definedName>
    <definedName name="_152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74"}</definedName>
    <definedName name="_152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73"}</definedName>
    <definedName name="_152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72"}</definedName>
    <definedName name="_152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2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71"}</definedName>
    <definedName name="_15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391"}</definedName>
    <definedName name="_15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391"}</definedName>
    <definedName name="_15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391"}</definedName>
    <definedName name="_15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391"}</definedName>
    <definedName name="_15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391"}</definedName>
    <definedName name="_15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391"}</definedName>
    <definedName name="_15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391"}</definedName>
    <definedName name="_153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70"}</definedName>
    <definedName name="_153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69"}</definedName>
    <definedName name="_153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68"}</definedName>
    <definedName name="_153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67"}</definedName>
    <definedName name="_153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66"}</definedName>
    <definedName name="_153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65"}</definedName>
    <definedName name="_153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64"}</definedName>
    <definedName name="_153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63"}</definedName>
    <definedName name="_153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62"}</definedName>
    <definedName name="_153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3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61"}</definedName>
    <definedName name="_15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390"}</definedName>
    <definedName name="_15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390"}</definedName>
    <definedName name="_15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390"}</definedName>
    <definedName name="_15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390"}</definedName>
    <definedName name="_15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390"}</definedName>
    <definedName name="_15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390"}</definedName>
    <definedName name="_15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390"}</definedName>
    <definedName name="_154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60"}</definedName>
    <definedName name="_154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59"}</definedName>
    <definedName name="_154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58"}</definedName>
    <definedName name="_154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57"}</definedName>
    <definedName name="_154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56"}</definedName>
    <definedName name="_154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55"}</definedName>
    <definedName name="_154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54"}</definedName>
    <definedName name="_154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53"}</definedName>
    <definedName name="_154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52"}</definedName>
    <definedName name="_154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4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51"}</definedName>
    <definedName name="_15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389"}</definedName>
    <definedName name="_15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389"}</definedName>
    <definedName name="_15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389"}</definedName>
    <definedName name="_15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389"}</definedName>
    <definedName name="_15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389"}</definedName>
    <definedName name="_15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389"}</definedName>
    <definedName name="_15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389"}</definedName>
    <definedName name="_155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50"}</definedName>
    <definedName name="_155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49"}</definedName>
    <definedName name="_155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48"}</definedName>
    <definedName name="_155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47"}</definedName>
    <definedName name="_155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46"}</definedName>
    <definedName name="_155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45"}</definedName>
    <definedName name="_155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44"}</definedName>
    <definedName name="_155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43"}</definedName>
    <definedName name="_155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42"}</definedName>
    <definedName name="_155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5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41"}</definedName>
    <definedName name="_15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388"}</definedName>
    <definedName name="_15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388"}</definedName>
    <definedName name="_15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388"}</definedName>
    <definedName name="_15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388"}</definedName>
    <definedName name="_15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388"}</definedName>
    <definedName name="_15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388"}</definedName>
    <definedName name="_15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388"}</definedName>
    <definedName name="_156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40"}</definedName>
    <definedName name="_156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39"}</definedName>
    <definedName name="_156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38"}</definedName>
    <definedName name="_156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37"}</definedName>
    <definedName name="_156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36"}</definedName>
    <definedName name="_156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35"}</definedName>
    <definedName name="_156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34"}</definedName>
    <definedName name="_156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33"}</definedName>
    <definedName name="_156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32"}</definedName>
    <definedName name="_156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6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31"}</definedName>
    <definedName name="_15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387"}</definedName>
    <definedName name="_15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387"}</definedName>
    <definedName name="_15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387"}</definedName>
    <definedName name="_15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387"}</definedName>
    <definedName name="_15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387"}</definedName>
    <definedName name="_15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387"}</definedName>
    <definedName name="_15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387"}</definedName>
    <definedName name="_157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30"}</definedName>
    <definedName name="_157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29"}</definedName>
    <definedName name="_157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28"}</definedName>
    <definedName name="_157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27"}</definedName>
    <definedName name="_157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26"}</definedName>
    <definedName name="_157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25"}</definedName>
    <definedName name="_157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24"}</definedName>
    <definedName name="_157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23"}</definedName>
    <definedName name="_157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22"}</definedName>
    <definedName name="_157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7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21"}</definedName>
    <definedName name="_15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386"}</definedName>
    <definedName name="_15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386"}</definedName>
    <definedName name="_15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386"}</definedName>
    <definedName name="_15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386"}</definedName>
    <definedName name="_15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386"}</definedName>
    <definedName name="_15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386"}</definedName>
    <definedName name="_15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386"}</definedName>
    <definedName name="_158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20"}</definedName>
    <definedName name="_158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19"}</definedName>
    <definedName name="_158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18"}</definedName>
    <definedName name="_158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17"}</definedName>
    <definedName name="_158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16"}</definedName>
    <definedName name="_158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15"}</definedName>
    <definedName name="_158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14"}</definedName>
    <definedName name="_158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13"}</definedName>
    <definedName name="_158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12"}</definedName>
    <definedName name="_158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8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11"}</definedName>
    <definedName name="_15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385"}</definedName>
    <definedName name="_15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385"}</definedName>
    <definedName name="_15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385"}</definedName>
    <definedName name="_15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385"}</definedName>
    <definedName name="_15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385"}</definedName>
    <definedName name="_15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385"}</definedName>
    <definedName name="_15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385"}</definedName>
    <definedName name="_159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10"}</definedName>
    <definedName name="_1591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1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9"}</definedName>
    <definedName name="_1592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2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8"}</definedName>
    <definedName name="_1593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3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7"}</definedName>
    <definedName name="_1594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4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6"}</definedName>
    <definedName name="_1595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5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5"}</definedName>
    <definedName name="_1596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6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4"}</definedName>
    <definedName name="_1597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7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3"}</definedName>
    <definedName name="_1598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8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2"}</definedName>
    <definedName name="_1599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599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1"}</definedName>
    <definedName name="_16__FDSAUDITLINK__" localSheetId="9" hidden="1">{"fdsup://directions/FAT Viewer?action=UPDATE&amp;creator=factset&amp;DYN_ARGS=TRUE&amp;DOC_NAME=FAT:FQL_AUDITING_CLIENT_TEMPLATE.FAT&amp;display_string=Audit&amp;VAR:KEY=YJANUNQPEB&amp;VAR:QUERY=RkZfRElWX1lMRChBTk4sTk9XKQ==&amp;WINDOW=FIRST_POPUP&amp;HEIGHT=450&amp;WIDTH=450&amp;START_MAXIMIZED=","FALSE&amp;VAR:CALENDAR=US&amp;VAR:SYMBOL=KNOL&amp;VAR:INDEX=0"}</definedName>
    <definedName name="_16__FDSAUDITLINK__" localSheetId="8" hidden="1">{"fdsup://directions/FAT Viewer?action=UPDATE&amp;creator=factset&amp;DYN_ARGS=TRUE&amp;DOC_NAME=FAT:FQL_AUDITING_CLIENT_TEMPLATE.FAT&amp;display_string=Audit&amp;VAR:KEY=YJANUNQPEB&amp;VAR:QUERY=RkZfRElWX1lMRChBTk4sTk9XKQ==&amp;WINDOW=FIRST_POPUP&amp;HEIGHT=450&amp;WIDTH=450&amp;START_MAXIMIZED=","FALSE&amp;VAR:CALENDAR=US&amp;VAR:SYMBOL=KNOL&amp;VAR:INDEX=0"}</definedName>
    <definedName name="_16__FDSAUDITLINK__" localSheetId="6" hidden="1">{"fdsup://directions/FAT Viewer?action=UPDATE&amp;creator=factset&amp;DYN_ARGS=TRUE&amp;DOC_NAME=FAT:FQL_AUDITING_CLIENT_TEMPLATE.FAT&amp;display_string=Audit&amp;VAR:KEY=ATKHSFCXWV&amp;VAR:QUERY=RkZfREVCVF9FQklUREEoJ0FOTicsMCwsLCwnVVNEJyk=&amp;WINDOW=FIRST_POPUP&amp;HEIGHT=450&amp;WIDTH=450&amp;","START_MAXIMIZED=FALSE&amp;VAR:CALENDAR=US&amp;VAR:SYMBOL=JEC&amp;VAR:INDEX=0"}</definedName>
    <definedName name="_16__FDSAUDITLINK__" localSheetId="5" hidden="1">{"fdsup://directions/FAT Viewer?action=UPDATE&amp;creator=factset&amp;DYN_ARGS=TRUE&amp;DOC_NAME=FAT:FQL_AUDITING_CLIENT_TEMPLATE.FAT&amp;display_string=Audit&amp;VAR:KEY=YJANUNQPEB&amp;VAR:QUERY=RkZfRElWX1lMRChBTk4sTk9XKQ==&amp;WINDOW=FIRST_POPUP&amp;HEIGHT=450&amp;WIDTH=450&amp;START_MAXIMIZED=","FALSE&amp;VAR:CALENDAR=US&amp;VAR:SYMBOL=KNOL&amp;VAR:INDEX=0"}</definedName>
    <definedName name="_16__FDSAUDITLINK__" localSheetId="1" hidden="1">{"fdsup://directions/FAT Viewer?action=UPDATE&amp;creator=factset&amp;DYN_ARGS=TRUE&amp;DOC_NAME=FAT:FQL_AUDITING_CLIENT_TEMPLATE.FAT&amp;display_string=Audit&amp;VAR:KEY=YJANUNQPEB&amp;VAR:QUERY=RkZfRElWX1lMRChBTk4sTk9XKQ==&amp;WINDOW=FIRST_POPUP&amp;HEIGHT=450&amp;WIDTH=450&amp;START_MAXIMIZED=","FALSE&amp;VAR:CALENDAR=US&amp;VAR:SYMBOL=KNOL&amp;VAR:INDEX=0"}</definedName>
    <definedName name="_16__FDSAUDITLINK__" localSheetId="3" hidden="1">{"fdsup://directions/FAT Viewer?action=UPDATE&amp;creator=factset&amp;DYN_ARGS=TRUE&amp;DOC_NAME=FAT:FQL_AUDITING_CLIENT_TEMPLATE.FAT&amp;display_string=Audit&amp;VAR:KEY=YJANUNQPEB&amp;VAR:QUERY=RkZfRElWX1lMRChBTk4sTk9XKQ==&amp;WINDOW=FIRST_POPUP&amp;HEIGHT=450&amp;WIDTH=450&amp;START_MAXIMIZED=","FALSE&amp;VAR:CALENDAR=US&amp;VAR:SYMBOL=KNOL&amp;VAR:INDEX=0"}</definedName>
    <definedName name="_16__FDSAUDITLINK__" hidden="1">{"fdsup://directions/FAT Viewer?action=UPDATE&amp;creator=factset&amp;DYN_ARGS=TRUE&amp;DOC_NAME=FAT:FQL_AUDITING_CLIENT_TEMPLATE.FAT&amp;display_string=Audit&amp;VAR:KEY=ATKHSFCXWV&amp;VAR:QUERY=RkZfREVCVF9FQklUREEoJ0FOTicsMCwsLCwnVVNEJyk=&amp;WINDOW=FIRST_POPUP&amp;HEIGHT=450&amp;WIDTH=450&amp;","START_MAXIMIZED=FALSE&amp;VAR:CALENDAR=US&amp;VAR:SYMBOL=JEC&amp;VAR:INDEX=0"}</definedName>
    <definedName name="_16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384"}</definedName>
    <definedName name="_16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384"}</definedName>
    <definedName name="_16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384"}</definedName>
    <definedName name="_16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384"}</definedName>
    <definedName name="_16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384"}</definedName>
    <definedName name="_16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384"}</definedName>
    <definedName name="_16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384"}</definedName>
    <definedName name="_1600__FDSAUDITLINK__" localSheetId="9"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localSheetId="8"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localSheetId="6"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localSheetId="5"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localSheetId="1"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localSheetId="3"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0__FDSAUDITLINK__" hidden="1">{"fdsup://directions/FAT Viewer?action=UPDATE&amp;creator=factset&amp;DYN_ARGS=TRUE&amp;DOC_NAME=FAT:FQL_AUDITING_CLIENT_TEMPLATE.FAT&amp;display_string=Audit&amp;VAR:KEY=GVANIRKTSV&amp;VAR:QUERY=RkZfRU5UUlBSX1ZBTF9EQUlMWShOT1csLTEwQVksVywsLCdESUwnKQ==&amp;WINDOW=FIRST_POPUP&amp;HEIGHT=45","0&amp;WIDTH=450&amp;START_MAXIMIZED=FALSE&amp;VAR:CALENDAR=US&amp;VAR:SYMBOL=AOS&amp;VAR:INDEX=0"}</definedName>
    <definedName name="_1601__FDSAUDITLINK__" localSheetId="9"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localSheetId="8"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localSheetId="6"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localSheetId="5"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localSheetId="1"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localSheetId="3"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1__FDSAUDITLINK__" hidden="1">{"fdsup://directions/FAT%20Viewer?VAR:PED=LTM&amp;VAR:PERIOD=FIXED&amp;VAR:V=21.504189&amp;VAR:PCT=N&amp;VAR:AUDIT_ID=00000117&amp;VAR:DATE=20100608&amp;action=UPDATE&amp;creator=factset&amp;DOC_NAME=FAT:FMA_audit_SUMMARY.fat&amp;DISPLAY_STRING=Display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Aggregates&amp;VAR:MEASURE=DPS&amp;VAR:CALC_MODE=AGGREGATE&amp;VAR:CHGPERIOD=NA&amp;VAR:FQLFORMULA=FMA_DPS&amp;VAR:CURRENCY=USD&amp;VAR:P=1056.840000&amp;VAR:THRESH=||||&amp;VAR:null=.html"}</definedName>
    <definedName name="_1602__FDSAUDITLINK__" localSheetId="9"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localSheetId="8"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localSheetId="6"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localSheetId="5"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localSheetId="1"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localSheetId="3"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2__FDSAUDITLINK__" hidden="1">{"fdsup://directions/FAT%20Viewer?VAR:PED=LTM&amp;VAR:PERIOD=FIXED&amp;VAR:V=21.416898&amp;VAR:PCT=N&amp;VAR:AUDIT_ID=00000117&amp;VAR:DATE=20100608&amp;action=UPDATE&amp;creator=factset&amp;DOC_NAME=FAT:FMA_audit_SUMMARY.fat&amp;DISPLAY_STRING=Display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Aggregates&amp;VAR:MEASURE=DPS&amp;VAR:CALC_MODE=AGGREGATE&amp;VAR:CHGPERIOD=NA&amp;VAR:FQLFORMULA=FMA_DPS&amp;VAR:CURRENCY=USD&amp;VAR:P=1052.550000&amp;VAR:THRESH=||||&amp;VAR:null=.html"}</definedName>
    <definedName name="_1603__FDSAUDITLINK__" localSheetId="9"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localSheetId="8"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localSheetId="6"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localSheetId="5"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localSheetId="1"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localSheetId="3"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3__FDSAUDITLINK__" hidden="1">{"fdsup://directions/FAT%20Viewer?VAR:PED=LTM&amp;VAR:PERIOD=FIXED&amp;VAR:V=21.609183&amp;VAR:PCT=N&amp;VAR:AUDIT_ID=00000117&amp;VAR:DATE=20100608&amp;action=UPDATE&amp;creator=factset&amp;DOC_NAME=FAT:FMA_audit_SUMMARY.fat&amp;DISPLAY_STRING=Display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Aggregates&amp;VAR:MEASURE=DPS&amp;VAR:CALC_MODE=AGGREGATE&amp;VAR:CHGPERIOD=NA&amp;VAR:FQLFORMULA=FMA_DPS&amp;VAR:CURRENCY=USD&amp;VAR:P=1062.000000&amp;VAR:THRESH=||||&amp;VAR:null=.html"}</definedName>
    <definedName name="_16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521"}</definedName>
    <definedName name="_16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521"}</definedName>
    <definedName name="_1604__FDSAUDITLINK__" localSheetId="6" hidden="1">{"fdsup://directions/FAT%20Viewer?VAR:PED=2011&amp;VAR:PERIOD=CY&amp;VAR:V=97.224052&amp;VAR:PCT=N&amp;VAR:AUDIT_ID=00000117&amp;VAR:DATE=20100719&amp;action=UPDATE&amp;creator=factset&amp;DOC_NAME=FAT:FMA_audit_SUMMARY.fat&amp;DISPLAY_STRING=Display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Aggregates&amp;VAR:MEASURE=EPS_MEAN&amp;VAR:CALC_MODE=AGGREGATE&amp;VAR:CHGPERIOD=NA&amp;VAR:FQLFORMULA=FMA_EPS&amp;VAR:CURRENCY=USD&amp;VAR:P=1071.247658&amp;VAR:THRESH=||||&amp;VAR:null=.html"}</definedName>
    <definedName name="_16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521"}</definedName>
    <definedName name="_16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521"}</definedName>
    <definedName name="_16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521"}</definedName>
    <definedName name="_1604__FDSAUDITLINK__" hidden="1">{"fdsup://directions/FAT%20Viewer?VAR:PED=2011&amp;VAR:PERIOD=CY&amp;VAR:V=97.224052&amp;VAR:PCT=N&amp;VAR:AUDIT_ID=00000117&amp;VAR:DATE=20100719&amp;action=UPDATE&amp;creator=factset&amp;DOC_NAME=FAT:FMA_audit_SUMMARY.fat&amp;DISPLAY_STRING=Display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Aggregates&amp;VAR:MEASURE=EPS_MEAN&amp;VAR:CALC_MODE=AGGREGATE&amp;VAR:CHGPERIOD=NA&amp;VAR:FQLFORMULA=FMA_EPS&amp;VAR:CURRENCY=USD&amp;VAR:P=1071.247658&amp;VAR:THRESH=||||&amp;VAR:null=.html"}</definedName>
    <definedName name="_16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520"}</definedName>
    <definedName name="_16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520"}</definedName>
    <definedName name="_1605__FDSAUDITLINK__" localSheetId="6" hidden="1">{"fdsup://directions/FAT%20Viewer?VAR:PED=2010&amp;VAR:PERIOD=CY&amp;VAR:V=83.203521&amp;VAR:PCT=N&amp;VAR:AUDIT_ID=00000117&amp;VAR:DATE=20100719&amp;action=UPDATE&amp;creator=factset&amp;DOC_NAME=FAT:FMA_audit_SUMMARY.fat&amp;DISPLAY_STRING=Display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Aggregates&amp;VAR:MEASURE=EPS_MEAN&amp;VAR:CALC_MODE=AGGREGATE&amp;VAR:CHGPERIOD=NA&amp;VAR:FQLFORMULA=FMA_EPS&amp;VAR:CURRENCY=USD&amp;VAR:P=1071.247658&amp;VAR:THRESH=||||&amp;VAR:null=.html"}</definedName>
    <definedName name="_16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520"}</definedName>
    <definedName name="_16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520"}</definedName>
    <definedName name="_16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520"}</definedName>
    <definedName name="_1605__FDSAUDITLINK__" hidden="1">{"fdsup://directions/FAT%20Viewer?VAR:PED=2010&amp;VAR:PERIOD=CY&amp;VAR:V=83.203521&amp;VAR:PCT=N&amp;VAR:AUDIT_ID=00000117&amp;VAR:DATE=20100719&amp;action=UPDATE&amp;creator=factset&amp;DOC_NAME=FAT:FMA_audit_SUMMARY.fat&amp;DISPLAY_STRING=Display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Aggregates&amp;VAR:MEASURE=EPS_MEAN&amp;VAR:CALC_MODE=AGGREGATE&amp;VAR:CHGPERIOD=NA&amp;VAR:FQLFORMULA=FMA_EPS&amp;VAR:CURRENCY=USD&amp;VAR:P=1071.247658&amp;VAR:THRESH=||||&amp;VAR:null=.html"}</definedName>
    <definedName name="_16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519"}</definedName>
    <definedName name="_16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519"}</definedName>
    <definedName name="_1606__FDSAUDITLINK__" localSheetId="6" hidden="1">{"fdsup://directions/FAT%20Viewer?VAR:PED=LTM&amp;VAR:PERIOD=FIXED&amp;VAR:V=21.853411&amp;VAR:PCT=N&amp;VAR:AUDIT_ID=00000117&amp;VAR:DATE=20100720&amp;action=UPDATE&amp;creator=factset&amp;DOC_NAME=FAT:FMA_audit_SUMMARY.fat&amp;DISPLAY_STRING=Display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Aggregates&amp;VAR:MEASURE=DPS&amp;VAR:CALC_MODE=AGGREGATE&amp;VAR:CHGPERIOD=NA&amp;VAR:FQLFORMULA=FMA_DPS&amp;VAR:CURRENCY=USD&amp;VAR:P=1077.100000&amp;VAR:THRESH=||||&amp;VAR:null=.html"}</definedName>
    <definedName name="_16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519"}</definedName>
    <definedName name="_16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519"}</definedName>
    <definedName name="_16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519"}</definedName>
    <definedName name="_1606__FDSAUDITLINK__" hidden="1">{"fdsup://directions/FAT%20Viewer?VAR:PED=LTM&amp;VAR:PERIOD=FIXED&amp;VAR:V=21.853411&amp;VAR:PCT=N&amp;VAR:AUDIT_ID=00000117&amp;VAR:DATE=20100720&amp;action=UPDATE&amp;creator=factset&amp;DOC_NAME=FAT:FMA_audit_SUMMARY.fat&amp;DISPLAY_STRING=Display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Aggregates&amp;VAR:MEASURE=DPS&amp;VAR:CALC_MODE=AGGREGATE&amp;VAR:CHGPERIOD=NA&amp;VAR:FQLFORMULA=FMA_DPS&amp;VAR:CURRENCY=USD&amp;VAR:P=1077.100000&amp;VAR:THRESH=||||&amp;VAR:null=.html"}</definedName>
    <definedName name="_16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518"}</definedName>
    <definedName name="_16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518"}</definedName>
    <definedName name="_1607__FDSAUDITLINK__" localSheetId="6" hidden="1">{"fdsup://directions/FAT%20Viewer?VAR:PED=LTM&amp;VAR:PERIOD=FIXED&amp;VAR:V=21.806223&amp;VAR:PCT=N&amp;VAR:AUDIT_ID=00000117&amp;VAR:DATE=20100823&amp;action=UPDATE&amp;creator=factset&amp;DOC_NAME=FAT:FMA_audit_SUMMARY.fat&amp;DISPLAY_STRING=Display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Aggregates&amp;VAR:MEASURE=DPS&amp;VAR:CALC_MODE=AGGREGATE&amp;VAR:CHGPERIOD=NA&amp;VAR:FQLFORMULA=FMA_DPS&amp;VAR:CURRENCY=USD&amp;VAR:P=1070.040000&amp;VAR:THRESH=||||&amp;VAR:null=.html"}</definedName>
    <definedName name="_16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518"}</definedName>
    <definedName name="_16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518"}</definedName>
    <definedName name="_16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518"}</definedName>
    <definedName name="_1607__FDSAUDITLINK__" hidden="1">{"fdsup://directions/FAT%20Viewer?VAR:PED=LTM&amp;VAR:PERIOD=FIXED&amp;VAR:V=21.806223&amp;VAR:PCT=N&amp;VAR:AUDIT_ID=00000117&amp;VAR:DATE=20100823&amp;action=UPDATE&amp;creator=factset&amp;DOC_NAME=FAT:FMA_audit_SUMMARY.fat&amp;DISPLAY_STRING=Display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Aggregates&amp;VAR:MEASURE=DPS&amp;VAR:CALC_MODE=AGGREGATE&amp;VAR:CHGPERIOD=NA&amp;VAR:FQLFORMULA=FMA_DPS&amp;VAR:CURRENCY=USD&amp;VAR:P=1070.040000&amp;VAR:THRESH=||||&amp;VAR:null=.html"}</definedName>
    <definedName name="_16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517"}</definedName>
    <definedName name="_16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517"}</definedName>
    <definedName name="_1608__FDSAUDITLINK__" localSheetId="6" hidden="1">{"fdsup://directions/FAT%20Viewer?VAR:PED=2011&amp;VAR:PERIOD=CY&amp;VAR:V=96.418926&amp;VAR:PCT=N&amp;VAR:AUDIT_ID=00000117&amp;VAR:DATE=20100820&amp;action=UPDATE&amp;creator=factset&amp;DOC_NAME=FAT:FMA_audit_SUMMARY.fat&amp;DISPLAY_STRING=Display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517"}</definedName>
    <definedName name="_16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517"}</definedName>
    <definedName name="_16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517"}</definedName>
    <definedName name="_1608__FDSAUDITLINK__" hidden="1">{"fdsup://directions/FAT%20Viewer?VAR:PED=2011&amp;VAR:PERIOD=CY&amp;VAR:V=96.418926&amp;VAR:PCT=N&amp;VAR:AUDIT_ID=00000117&amp;VAR:DATE=20100820&amp;action=UPDATE&amp;creator=factset&amp;DOC_NAME=FAT:FMA_audit_SUMMARY.fat&amp;DISPLAY_STRING=Display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516"}</definedName>
    <definedName name="_16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516"}</definedName>
    <definedName name="_1609__FDSAUDITLINK__" localSheetId="6" hidden="1">{"fdsup://directions/FAT%20Viewer?VAR:PED=2010&amp;VAR:PERIOD=CY&amp;VAR:V=83.076105&amp;VAR:PCT=N&amp;VAR:AUDIT_ID=00000117&amp;VAR:DATE=20100820&amp;action=UPDATE&amp;creator=factset&amp;DOC_NAME=FAT:FMA_audit_SUMMARY.fat&amp;DISPLAY_STRING=Display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516"}</definedName>
    <definedName name="_16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516"}</definedName>
    <definedName name="_16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516"}</definedName>
    <definedName name="_1609__FDSAUDITLINK__" hidden="1">{"fdsup://directions/FAT%20Viewer?VAR:PED=2010&amp;VAR:PERIOD=CY&amp;VAR:V=83.076105&amp;VAR:PCT=N&amp;VAR:AUDIT_ID=00000117&amp;VAR:DATE=20100820&amp;action=UPDATE&amp;creator=factset&amp;DOC_NAME=FAT:FMA_audit_SUMMARY.fat&amp;DISPLAY_STRING=Display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383"}</definedName>
    <definedName name="_16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383"}</definedName>
    <definedName name="_16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383"}</definedName>
    <definedName name="_16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383"}</definedName>
    <definedName name="_16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383"}</definedName>
    <definedName name="_16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383"}</definedName>
    <definedName name="_16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383"}</definedName>
    <definedName name="_16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515"}</definedName>
    <definedName name="_16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515"}</definedName>
    <definedName name="_1610__FDSAUDITLINK__" localSheetId="6" hidden="1">{"fdsup://directions/FAT%20Viewer?VAR:PED=LTM&amp;VAR:PERIOD=FIXED&amp;VAR:V=21.806223&amp;VAR:PCT=N&amp;VAR:AUDIT_ID=00000117&amp;VAR:DATE=20100823&amp;action=UPDATE&amp;creator=factset&amp;DOC_NAME=FAT:FMA_audit_SUMMARY.fat&amp;DISPLAY_STRING=Display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Aggregates&amp;VAR:MEASURE=DPS&amp;VAR:CALC_MODE=AGGREGATE&amp;VAR:CHGPERIOD=NA&amp;VAR:FQLFORMULA=FMA_DPS&amp;VAR:CURRENCY=USD&amp;VAR:P=1070.040000&amp;VAR:THRESH=||||&amp;VAR:null=.html"}</definedName>
    <definedName name="_16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515"}</definedName>
    <definedName name="_16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515"}</definedName>
    <definedName name="_16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515"}</definedName>
    <definedName name="_1610__FDSAUDITLINK__" hidden="1">{"fdsup://directions/FAT%20Viewer?VAR:PED=LTM&amp;VAR:PERIOD=FIXED&amp;VAR:V=21.806223&amp;VAR:PCT=N&amp;VAR:AUDIT_ID=00000117&amp;VAR:DATE=20100823&amp;action=UPDATE&amp;creator=factset&amp;DOC_NAME=FAT:FMA_audit_SUMMARY.fat&amp;DISPLAY_STRING=Display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Aggregates&amp;VAR:MEASURE=DPS&amp;VAR:CALC_MODE=AGGREGATE&amp;VAR:CHGPERIOD=NA&amp;VAR:FQLFORMULA=FMA_DPS&amp;VAR:CURRENCY=USD&amp;VAR:P=1070.040000&amp;VAR:THRESH=||||&amp;VAR:null=.html"}</definedName>
    <definedName name="_16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514"}</definedName>
    <definedName name="_16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514"}</definedName>
    <definedName name="_1611__FDSAUDITLINK__" localSheetId="6" hidden="1">{"fdsup://directions/FAT%20Viewer?VAR:PED=2011&amp;VAR:PERIOD=CY&amp;VAR:V=96.418926&amp;VAR:PCT=N&amp;VAR:AUDIT_ID=00000117&amp;VAR:DATE=20100820&amp;action=UPDATE&amp;creator=factset&amp;DOC_NAME=FAT:FMA_audit_SUMMARY.fat&amp;DISPLAY_STRING=Display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514"}</definedName>
    <definedName name="_16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514"}</definedName>
    <definedName name="_16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514"}</definedName>
    <definedName name="_1611__FDSAUDITLINK__" hidden="1">{"fdsup://directions/FAT%20Viewer?VAR:PED=2011&amp;VAR:PERIOD=CY&amp;VAR:V=96.418926&amp;VAR:PCT=N&amp;VAR:AUDIT_ID=00000117&amp;VAR:DATE=20100820&amp;action=UPDATE&amp;creator=factset&amp;DOC_NAME=FAT:FMA_audit_SUMMARY.fat&amp;DISPLAY_STRING=Display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513"}</definedName>
    <definedName name="_16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513"}</definedName>
    <definedName name="_1612__FDSAUDITLINK__" localSheetId="6" hidden="1">{"fdsup://directions/FAT%20Viewer?VAR:PED=2010&amp;VAR:PERIOD=CY&amp;VAR:V=83.076105&amp;VAR:PCT=N&amp;VAR:AUDIT_ID=00000117&amp;VAR:DATE=20100820&amp;action=UPDATE&amp;creator=factset&amp;DOC_NAME=FAT:FMA_audit_SUMMARY.fat&amp;DISPLAY_STRING=Display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513"}</definedName>
    <definedName name="_16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513"}</definedName>
    <definedName name="_16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513"}</definedName>
    <definedName name="_1612__FDSAUDITLINK__" hidden="1">{"fdsup://directions/FAT%20Viewer?VAR:PED=2010&amp;VAR:PERIOD=CY&amp;VAR:V=83.076105&amp;VAR:PCT=N&amp;VAR:AUDIT_ID=00000117&amp;VAR:DATE=20100820&amp;action=UPDATE&amp;creator=factset&amp;DOC_NAME=FAT:FMA_audit_SUMMARY.fat&amp;DISPLAY_STRING=Display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Aggregates&amp;VAR:MEASURE=EPS_MEAN&amp;VAR:CALC_MODE=AGGREGATE&amp;VAR:CHGPERIOD=NA&amp;VAR:FQLFORMULA=FMA_EPS&amp;VAR:CURRENCY=USD&amp;VAR:P=1071.692217&amp;VAR:THRESH=||||&amp;VAR:null=.html"}</definedName>
    <definedName name="_16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512"}</definedName>
    <definedName name="_16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511"}</definedName>
    <definedName name="_16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510"}</definedName>
    <definedName name="_1616__FDSAUDITLINK__" localSheetId="9" hidden="1">{"fdsup://directions/FAT Viewer?action=UPDATE&amp;creator=factset&amp;DYN_ARGS=TRUE&amp;DOC_NAME=FAT:FQL_AUDITING_CLIENT_TEMPLATE.FAT&amp;display_string=Audit&amp;VAR:KEY=HILYFOHUZM&amp;VAR:QUERY=RkZfREVCVChRVFIsMCk=&amp;WINDOW=FIRST_POPUP&amp;HEIGHT=450&amp;WIDTH=450&amp;START_MAXIMIZED=FALSE&amp;VA","R:CALENDAR=US&amp;VAR:SYMBOL=FLS&amp;VAR:INDEX=0"}</definedName>
    <definedName name="_1616__FDSAUDITLINK__" localSheetId="8" hidden="1">{"fdsup://directions/FAT Viewer?action=UPDATE&amp;creator=factset&amp;DYN_ARGS=TRUE&amp;DOC_NAME=FAT:FQL_AUDITING_CLIENT_TEMPLATE.FAT&amp;display_string=Audit&amp;VAR:KEY=HILYFOHUZM&amp;VAR:QUERY=RkZfREVCVChRVFIsMCk=&amp;WINDOW=FIRST_POPUP&amp;HEIGHT=450&amp;WIDTH=450&amp;START_MAXIMIZED=FALSE&amp;VA","R:CALENDAR=US&amp;VAR:SYMBOL=FLS&amp;VAR:INDEX=0"}</definedName>
    <definedName name="_16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509"}</definedName>
    <definedName name="_1616__FDSAUDITLINK__" localSheetId="5" hidden="1">{"fdsup://directions/FAT Viewer?action=UPDATE&amp;creator=factset&amp;DYN_ARGS=TRUE&amp;DOC_NAME=FAT:FQL_AUDITING_CLIENT_TEMPLATE.FAT&amp;display_string=Audit&amp;VAR:KEY=HILYFOHUZM&amp;VAR:QUERY=RkZfREVCVChRVFIsMCk=&amp;WINDOW=FIRST_POPUP&amp;HEIGHT=450&amp;WIDTH=450&amp;START_MAXIMIZED=FALSE&amp;VA","R:CALENDAR=US&amp;VAR:SYMBOL=FLS&amp;VAR:INDEX=0"}</definedName>
    <definedName name="_1616__FDSAUDITLINK__" localSheetId="1" hidden="1">{"fdsup://directions/FAT Viewer?action=UPDATE&amp;creator=factset&amp;DYN_ARGS=TRUE&amp;DOC_NAME=FAT:FQL_AUDITING_CLIENT_TEMPLATE.FAT&amp;display_string=Audit&amp;VAR:KEY=HILYFOHUZM&amp;VAR:QUERY=RkZfREVCVChRVFIsMCk=&amp;WINDOW=FIRST_POPUP&amp;HEIGHT=450&amp;WIDTH=450&amp;START_MAXIMIZED=FALSE&amp;VA","R:CALENDAR=US&amp;VAR:SYMBOL=FLS&amp;VAR:INDEX=0"}</definedName>
    <definedName name="_1616__FDSAUDITLINK__" localSheetId="3" hidden="1">{"fdsup://directions/FAT Viewer?action=UPDATE&amp;creator=factset&amp;DYN_ARGS=TRUE&amp;DOC_NAME=FAT:FQL_AUDITING_CLIENT_TEMPLATE.FAT&amp;display_string=Audit&amp;VAR:KEY=HILYFOHUZM&amp;VAR:QUERY=RkZfREVCVChRVFIsMCk=&amp;WINDOW=FIRST_POPUP&amp;HEIGHT=450&amp;WIDTH=450&amp;START_MAXIMIZED=FALSE&amp;VA","R:CALENDAR=US&amp;VAR:SYMBOL=FLS&amp;VAR:INDEX=0"}</definedName>
    <definedName name="_16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509"}</definedName>
    <definedName name="_16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508"}</definedName>
    <definedName name="_16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507"}</definedName>
    <definedName name="_16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506"}</definedName>
    <definedName name="_16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382"}</definedName>
    <definedName name="_16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382"}</definedName>
    <definedName name="_16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382"}</definedName>
    <definedName name="_16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382"}</definedName>
    <definedName name="_16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382"}</definedName>
    <definedName name="_16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382"}</definedName>
    <definedName name="_16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382"}</definedName>
    <definedName name="_16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505"}</definedName>
    <definedName name="_16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504"}</definedName>
    <definedName name="_1622__FDSAUDITLINK__" localSheetId="9" hidden="1">{"fdsup://Directions/FactSet Auditing Viewer?action=AUDIT_VALUE&amp;DB=129&amp;ID1=35351410&amp;VALUEID=02001&amp;SDATE=201102&amp;PERIODTYPE=QTR_STD&amp;SCFT=3&amp;window=popup_no_bar&amp;width=385&amp;height=120&amp;START_MAXIMIZED=FALSE&amp;creator=factset&amp;display_string=Audit"}</definedName>
    <definedName name="_1622__FDSAUDITLINK__" localSheetId="8" hidden="1">{"fdsup://Directions/FactSet Auditing Viewer?action=AUDIT_VALUE&amp;DB=129&amp;ID1=35351410&amp;VALUEID=02001&amp;SDATE=201102&amp;PERIODTYPE=QTR_STD&amp;SCFT=3&amp;window=popup_no_bar&amp;width=385&amp;height=120&amp;START_MAXIMIZED=FALSE&amp;creator=factset&amp;display_string=Audit"}</definedName>
    <definedName name="_16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503"}</definedName>
    <definedName name="_1622__FDSAUDITLINK__" localSheetId="5" hidden="1">{"fdsup://Directions/FactSet Auditing Viewer?action=AUDIT_VALUE&amp;DB=129&amp;ID1=35351410&amp;VALUEID=02001&amp;SDATE=201102&amp;PERIODTYPE=QTR_STD&amp;SCFT=3&amp;window=popup_no_bar&amp;width=385&amp;height=120&amp;START_MAXIMIZED=FALSE&amp;creator=factset&amp;display_string=Audit"}</definedName>
    <definedName name="_1622__FDSAUDITLINK__" localSheetId="1" hidden="1">{"fdsup://Directions/FactSet Auditing Viewer?action=AUDIT_VALUE&amp;DB=129&amp;ID1=35351410&amp;VALUEID=02001&amp;SDATE=201102&amp;PERIODTYPE=QTR_STD&amp;SCFT=3&amp;window=popup_no_bar&amp;width=385&amp;height=120&amp;START_MAXIMIZED=FALSE&amp;creator=factset&amp;display_string=Audit"}</definedName>
    <definedName name="_1622__FDSAUDITLINK__" localSheetId="3" hidden="1">{"fdsup://Directions/FactSet Auditing Viewer?action=AUDIT_VALUE&amp;DB=129&amp;ID1=35351410&amp;VALUEID=02001&amp;SDATE=201102&amp;PERIODTYPE=QTR_STD&amp;SCFT=3&amp;window=popup_no_bar&amp;width=385&amp;height=120&amp;START_MAXIMIZED=FALSE&amp;creator=factset&amp;display_string=Audit"}</definedName>
    <definedName name="_16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503"}</definedName>
    <definedName name="_16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502"}</definedName>
    <definedName name="_16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501"}</definedName>
    <definedName name="_1625__FDSAUDITLINK__" localSheetId="9" hidden="1">{"fdsup://directions/FAT Viewer?action=UPDATE&amp;creator=factset&amp;DYN_ARGS=TRUE&amp;DOC_NAME=FAT:FQL_AUDITING_CLIENT_TEMPLATE.FAT&amp;display_string=Audit&amp;VAR:KEY=DMJINWDCRY&amp;VAR:QUERY=RkZfREVCVChRVFIsMCk=&amp;WINDOW=FIRST_POPUP&amp;HEIGHT=450&amp;WIDTH=450&amp;START_MAXIMIZED=FALSE&amp;VA","R:CALENDAR=US&amp;VAR:SYMBOL=BA&amp;VAR:INDEX=0"}</definedName>
    <definedName name="_1625__FDSAUDITLINK__" localSheetId="8" hidden="1">{"fdsup://directions/FAT Viewer?action=UPDATE&amp;creator=factset&amp;DYN_ARGS=TRUE&amp;DOC_NAME=FAT:FQL_AUDITING_CLIENT_TEMPLATE.FAT&amp;display_string=Audit&amp;VAR:KEY=DMJINWDCRY&amp;VAR:QUERY=RkZfREVCVChRVFIsMCk=&amp;WINDOW=FIRST_POPUP&amp;HEIGHT=450&amp;WIDTH=450&amp;START_MAXIMIZED=FALSE&amp;VA","R:CALENDAR=US&amp;VAR:SYMBOL=BA&amp;VAR:INDEX=0"}</definedName>
    <definedName name="_16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500"}</definedName>
    <definedName name="_1625__FDSAUDITLINK__" localSheetId="5" hidden="1">{"fdsup://directions/FAT Viewer?action=UPDATE&amp;creator=factset&amp;DYN_ARGS=TRUE&amp;DOC_NAME=FAT:FQL_AUDITING_CLIENT_TEMPLATE.FAT&amp;display_string=Audit&amp;VAR:KEY=DMJINWDCRY&amp;VAR:QUERY=RkZfREVCVChRVFIsMCk=&amp;WINDOW=FIRST_POPUP&amp;HEIGHT=450&amp;WIDTH=450&amp;START_MAXIMIZED=FALSE&amp;VA","R:CALENDAR=US&amp;VAR:SYMBOL=BA&amp;VAR:INDEX=0"}</definedName>
    <definedName name="_1625__FDSAUDITLINK__" localSheetId="1" hidden="1">{"fdsup://directions/FAT Viewer?action=UPDATE&amp;creator=factset&amp;DYN_ARGS=TRUE&amp;DOC_NAME=FAT:FQL_AUDITING_CLIENT_TEMPLATE.FAT&amp;display_string=Audit&amp;VAR:KEY=DMJINWDCRY&amp;VAR:QUERY=RkZfREVCVChRVFIsMCk=&amp;WINDOW=FIRST_POPUP&amp;HEIGHT=450&amp;WIDTH=450&amp;START_MAXIMIZED=FALSE&amp;VA","R:CALENDAR=US&amp;VAR:SYMBOL=BA&amp;VAR:INDEX=0"}</definedName>
    <definedName name="_1625__FDSAUDITLINK__" localSheetId="3" hidden="1">{"fdsup://directions/FAT Viewer?action=UPDATE&amp;creator=factset&amp;DYN_ARGS=TRUE&amp;DOC_NAME=FAT:FQL_AUDITING_CLIENT_TEMPLATE.FAT&amp;display_string=Audit&amp;VAR:KEY=DMJINWDCRY&amp;VAR:QUERY=RkZfREVCVChRVFIsMCk=&amp;WINDOW=FIRST_POPUP&amp;HEIGHT=450&amp;WIDTH=450&amp;START_MAXIMIZED=FALSE&amp;VA","R:CALENDAR=US&amp;VAR:SYMBOL=BA&amp;VAR:INDEX=0"}</definedName>
    <definedName name="_16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500"}</definedName>
    <definedName name="_162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499"}</definedName>
    <definedName name="_162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498"}</definedName>
    <definedName name="_162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497"}</definedName>
    <definedName name="_162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2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496"}</definedName>
    <definedName name="_16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381"}</definedName>
    <definedName name="_16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381"}</definedName>
    <definedName name="_16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381"}</definedName>
    <definedName name="_16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381"}</definedName>
    <definedName name="_16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381"}</definedName>
    <definedName name="_16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381"}</definedName>
    <definedName name="_16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381"}</definedName>
    <definedName name="_163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495"}</definedName>
    <definedName name="_163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494"}</definedName>
    <definedName name="_163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493"}</definedName>
    <definedName name="_163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492"}</definedName>
    <definedName name="_163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491"}</definedName>
    <definedName name="_163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490"}</definedName>
    <definedName name="_163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489"}</definedName>
    <definedName name="_163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488"}</definedName>
    <definedName name="_163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487"}</definedName>
    <definedName name="_163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3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486"}</definedName>
    <definedName name="_16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380"}</definedName>
    <definedName name="_16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380"}</definedName>
    <definedName name="_16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380"}</definedName>
    <definedName name="_16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380"}</definedName>
    <definedName name="_16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380"}</definedName>
    <definedName name="_16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380"}</definedName>
    <definedName name="_16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380"}</definedName>
    <definedName name="_164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485"}</definedName>
    <definedName name="_164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484"}</definedName>
    <definedName name="_164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483"}</definedName>
    <definedName name="_164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482"}</definedName>
    <definedName name="_164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481"}</definedName>
    <definedName name="_164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480"}</definedName>
    <definedName name="_164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479"}</definedName>
    <definedName name="_164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478"}</definedName>
    <definedName name="_164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477"}</definedName>
    <definedName name="_164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4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476"}</definedName>
    <definedName name="_16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379"}</definedName>
    <definedName name="_16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379"}</definedName>
    <definedName name="_16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379"}</definedName>
    <definedName name="_16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379"}</definedName>
    <definedName name="_16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379"}</definedName>
    <definedName name="_16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379"}</definedName>
    <definedName name="_16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379"}</definedName>
    <definedName name="_165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475"}</definedName>
    <definedName name="_165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474"}</definedName>
    <definedName name="_165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473"}</definedName>
    <definedName name="_165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472"}</definedName>
    <definedName name="_165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471"}</definedName>
    <definedName name="_165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470"}</definedName>
    <definedName name="_165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469"}</definedName>
    <definedName name="_165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468"}</definedName>
    <definedName name="_165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467"}</definedName>
    <definedName name="_165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5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466"}</definedName>
    <definedName name="_16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378"}</definedName>
    <definedName name="_16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378"}</definedName>
    <definedName name="_16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378"}</definedName>
    <definedName name="_16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378"}</definedName>
    <definedName name="_16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378"}</definedName>
    <definedName name="_16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378"}</definedName>
    <definedName name="_16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378"}</definedName>
    <definedName name="_166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465"}</definedName>
    <definedName name="_166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464"}</definedName>
    <definedName name="_166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463"}</definedName>
    <definedName name="_166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462"}</definedName>
    <definedName name="_166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461"}</definedName>
    <definedName name="_166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460"}</definedName>
    <definedName name="_166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459"}</definedName>
    <definedName name="_166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458"}</definedName>
    <definedName name="_166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457"}</definedName>
    <definedName name="_166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6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456"}</definedName>
    <definedName name="_16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377"}</definedName>
    <definedName name="_16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377"}</definedName>
    <definedName name="_16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377"}</definedName>
    <definedName name="_16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377"}</definedName>
    <definedName name="_16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377"}</definedName>
    <definedName name="_16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377"}</definedName>
    <definedName name="_16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377"}</definedName>
    <definedName name="_167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455"}</definedName>
    <definedName name="_167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454"}</definedName>
    <definedName name="_167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453"}</definedName>
    <definedName name="_167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452"}</definedName>
    <definedName name="_167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451"}</definedName>
    <definedName name="_167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450"}</definedName>
    <definedName name="_167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449"}</definedName>
    <definedName name="_167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448"}</definedName>
    <definedName name="_167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447"}</definedName>
    <definedName name="_167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7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446"}</definedName>
    <definedName name="_16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376"}</definedName>
    <definedName name="_16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376"}</definedName>
    <definedName name="_16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376"}</definedName>
    <definedName name="_16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376"}</definedName>
    <definedName name="_16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376"}</definedName>
    <definedName name="_16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376"}</definedName>
    <definedName name="_16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376"}</definedName>
    <definedName name="_168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445"}</definedName>
    <definedName name="_168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444"}</definedName>
    <definedName name="_168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443"}</definedName>
    <definedName name="_168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442"}</definedName>
    <definedName name="_168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441"}</definedName>
    <definedName name="_168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440"}</definedName>
    <definedName name="_168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439"}</definedName>
    <definedName name="_168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438"}</definedName>
    <definedName name="_168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437"}</definedName>
    <definedName name="_168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8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436"}</definedName>
    <definedName name="_16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375"}</definedName>
    <definedName name="_16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375"}</definedName>
    <definedName name="_16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375"}</definedName>
    <definedName name="_16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375"}</definedName>
    <definedName name="_16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375"}</definedName>
    <definedName name="_16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375"}</definedName>
    <definedName name="_16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375"}</definedName>
    <definedName name="_169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435"}</definedName>
    <definedName name="_169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434"}</definedName>
    <definedName name="_169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433"}</definedName>
    <definedName name="_169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432"}</definedName>
    <definedName name="_169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431"}</definedName>
    <definedName name="_169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430"}</definedName>
    <definedName name="_169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429"}</definedName>
    <definedName name="_169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428"}</definedName>
    <definedName name="_169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427"}</definedName>
    <definedName name="_169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69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426"}</definedName>
    <definedName name="_17__FDSAUDITLINK__" localSheetId="9" hidden="1">{"fdsup://directions/FAT Viewer?action=UPDATE&amp;creator=factset&amp;DYN_ARGS=TRUE&amp;DOC_NAME=FAT:FQL_AUDITING_CLIENT_TEMPLATE.FAT&amp;display_string=Audit&amp;VAR:KEY=LCXGXUDCDI&amp;VAR:QUERY=RkZfRElWX1lMRChBTk4sTk9XKQ==&amp;WINDOW=FIRST_POPUP&amp;HEIGHT=450&amp;WIDTH=450&amp;START_MAXIMIZED=","FALSE&amp;VAR:CALENDAR=US&amp;VAR:SYMBOL=MIICF&amp;VAR:INDEX=0"}</definedName>
    <definedName name="_17__FDSAUDITLINK__" localSheetId="8" hidden="1">{"fdsup://directions/FAT Viewer?action=UPDATE&amp;creator=factset&amp;DYN_ARGS=TRUE&amp;DOC_NAME=FAT:FQL_AUDITING_CLIENT_TEMPLATE.FAT&amp;display_string=Audit&amp;VAR:KEY=LCXGXUDCDI&amp;VAR:QUERY=RkZfRElWX1lMRChBTk4sTk9XKQ==&amp;WINDOW=FIRST_POPUP&amp;HEIGHT=450&amp;WIDTH=450&amp;START_MAXIMIZED=","FALSE&amp;VAR:CALENDAR=US&amp;VAR:SYMBOL=MIICF&amp;VAR:INDEX=0"}</definedName>
    <definedName name="_17__FDSAUDITLINK__" localSheetId="6" hidden="1">{"fdsup://directions/FAT Viewer?action=UPDATE&amp;creator=factset&amp;DYN_ARGS=TRUE&amp;DOC_NAME=FAT:FQL_AUDITING_CLIENT_TEMPLATE.FAT&amp;display_string=Audit&amp;VAR:KEY=EBMDGJONWX&amp;VAR:QUERY=RkZfTFREX1RDQVAoJ0FOTicsMCk=&amp;WINDOW=FIRST_POPUP&amp;HEIGHT=450&amp;WIDTH=450&amp;START_MAXIMIZED=","FALSE&amp;VAR:CALENDAR=US&amp;VAR:SYMBOL=JEC&amp;VAR:INDEX=0"}</definedName>
    <definedName name="_17__FDSAUDITLINK__" localSheetId="5" hidden="1">{"fdsup://directions/FAT Viewer?action=UPDATE&amp;creator=factset&amp;DYN_ARGS=TRUE&amp;DOC_NAME=FAT:FQL_AUDITING_CLIENT_TEMPLATE.FAT&amp;display_string=Audit&amp;VAR:KEY=LCXGXUDCDI&amp;VAR:QUERY=RkZfRElWX1lMRChBTk4sTk9XKQ==&amp;WINDOW=FIRST_POPUP&amp;HEIGHT=450&amp;WIDTH=450&amp;START_MAXIMIZED=","FALSE&amp;VAR:CALENDAR=US&amp;VAR:SYMBOL=MIICF&amp;VAR:INDEX=0"}</definedName>
    <definedName name="_17__FDSAUDITLINK__" localSheetId="1" hidden="1">{"fdsup://directions/FAT Viewer?action=UPDATE&amp;creator=factset&amp;DYN_ARGS=TRUE&amp;DOC_NAME=FAT:FQL_AUDITING_CLIENT_TEMPLATE.FAT&amp;display_string=Audit&amp;VAR:KEY=LCXGXUDCDI&amp;VAR:QUERY=RkZfRElWX1lMRChBTk4sTk9XKQ==&amp;WINDOW=FIRST_POPUP&amp;HEIGHT=450&amp;WIDTH=450&amp;START_MAXIMIZED=","FALSE&amp;VAR:CALENDAR=US&amp;VAR:SYMBOL=MIICF&amp;VAR:INDEX=0"}</definedName>
    <definedName name="_17__FDSAUDITLINK__" localSheetId="3" hidden="1">{"fdsup://directions/FAT Viewer?action=UPDATE&amp;creator=factset&amp;DYN_ARGS=TRUE&amp;DOC_NAME=FAT:FQL_AUDITING_CLIENT_TEMPLATE.FAT&amp;display_string=Audit&amp;VAR:KEY=LCXGXUDCDI&amp;VAR:QUERY=RkZfRElWX1lMRChBTk4sTk9XKQ==&amp;WINDOW=FIRST_POPUP&amp;HEIGHT=450&amp;WIDTH=450&amp;START_MAXIMIZED=","FALSE&amp;VAR:CALENDAR=US&amp;VAR:SYMBOL=MIICF&amp;VAR:INDEX=0"}</definedName>
    <definedName name="_17__FDSAUDITLINK__" hidden="1">{"fdsup://directions/FAT Viewer?action=UPDATE&amp;creator=factset&amp;DYN_ARGS=TRUE&amp;DOC_NAME=FAT:FQL_AUDITING_CLIENT_TEMPLATE.FAT&amp;display_string=Audit&amp;VAR:KEY=EBMDGJONWX&amp;VAR:QUERY=RkZfTFREX1RDQVAoJ0FOTicsMCk=&amp;WINDOW=FIRST_POPUP&amp;HEIGHT=450&amp;WIDTH=450&amp;START_MAXIMIZED=","FALSE&amp;VAR:CALENDAR=US&amp;VAR:SYMBOL=JEC&amp;VAR:INDEX=0"}</definedName>
    <definedName name="_17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374"}</definedName>
    <definedName name="_17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374"}</definedName>
    <definedName name="_17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374"}</definedName>
    <definedName name="_17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374"}</definedName>
    <definedName name="_17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374"}</definedName>
    <definedName name="_17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374"}</definedName>
    <definedName name="_17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374"}</definedName>
    <definedName name="_170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425"}</definedName>
    <definedName name="_170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424"}</definedName>
    <definedName name="_170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423"}</definedName>
    <definedName name="_170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422"}</definedName>
    <definedName name="_17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421"}</definedName>
    <definedName name="_17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420"}</definedName>
    <definedName name="_17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419"}</definedName>
    <definedName name="_17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418"}</definedName>
    <definedName name="_17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417"}</definedName>
    <definedName name="_17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0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416"}</definedName>
    <definedName name="_17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373"}</definedName>
    <definedName name="_17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373"}</definedName>
    <definedName name="_17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373"}</definedName>
    <definedName name="_17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373"}</definedName>
    <definedName name="_17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373"}</definedName>
    <definedName name="_17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373"}</definedName>
    <definedName name="_17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373"}</definedName>
    <definedName name="_17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415"}</definedName>
    <definedName name="_17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414"}</definedName>
    <definedName name="_17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413"}</definedName>
    <definedName name="_17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412"}</definedName>
    <definedName name="_17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411"}</definedName>
    <definedName name="_17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410"}</definedName>
    <definedName name="_171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409"}</definedName>
    <definedName name="_17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408"}</definedName>
    <definedName name="_17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407"}</definedName>
    <definedName name="_17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406"}</definedName>
    <definedName name="_17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372"}</definedName>
    <definedName name="_17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372"}</definedName>
    <definedName name="_17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372"}</definedName>
    <definedName name="_17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372"}</definedName>
    <definedName name="_17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372"}</definedName>
    <definedName name="_17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372"}</definedName>
    <definedName name="_17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372"}</definedName>
    <definedName name="_17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405"}</definedName>
    <definedName name="_17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404"}</definedName>
    <definedName name="_172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403"}</definedName>
    <definedName name="_17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402"}</definedName>
    <definedName name="_17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401"}</definedName>
    <definedName name="_172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400"}</definedName>
    <definedName name="_172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399"}</definedName>
    <definedName name="_172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398"}</definedName>
    <definedName name="_172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397"}</definedName>
    <definedName name="_172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2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396"}</definedName>
    <definedName name="_17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371"}</definedName>
    <definedName name="_17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371"}</definedName>
    <definedName name="_17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371"}</definedName>
    <definedName name="_17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371"}</definedName>
    <definedName name="_17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371"}</definedName>
    <definedName name="_17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371"}</definedName>
    <definedName name="_17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371"}</definedName>
    <definedName name="_173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395"}</definedName>
    <definedName name="_173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394"}</definedName>
    <definedName name="_173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393"}</definedName>
    <definedName name="_173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392"}</definedName>
    <definedName name="_173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391"}</definedName>
    <definedName name="_173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390"}</definedName>
    <definedName name="_173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389"}</definedName>
    <definedName name="_173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388"}</definedName>
    <definedName name="_173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387"}</definedName>
    <definedName name="_173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3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386"}</definedName>
    <definedName name="_17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370"}</definedName>
    <definedName name="_17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370"}</definedName>
    <definedName name="_17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370"}</definedName>
    <definedName name="_17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370"}</definedName>
    <definedName name="_17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370"}</definedName>
    <definedName name="_17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370"}</definedName>
    <definedName name="_17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370"}</definedName>
    <definedName name="_174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385"}</definedName>
    <definedName name="_174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384"}</definedName>
    <definedName name="_174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383"}</definedName>
    <definedName name="_174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382"}</definedName>
    <definedName name="_174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381"}</definedName>
    <definedName name="_174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380"}</definedName>
    <definedName name="_174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379"}</definedName>
    <definedName name="_174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378"}</definedName>
    <definedName name="_174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377"}</definedName>
    <definedName name="_174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4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376"}</definedName>
    <definedName name="_17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369"}</definedName>
    <definedName name="_17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369"}</definedName>
    <definedName name="_17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369"}</definedName>
    <definedName name="_17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369"}</definedName>
    <definedName name="_17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369"}</definedName>
    <definedName name="_17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369"}</definedName>
    <definedName name="_17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369"}</definedName>
    <definedName name="_175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375"}</definedName>
    <definedName name="_175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374"}</definedName>
    <definedName name="_175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373"}</definedName>
    <definedName name="_175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372"}</definedName>
    <definedName name="_175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371"}</definedName>
    <definedName name="_175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370"}</definedName>
    <definedName name="_175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369"}</definedName>
    <definedName name="_175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368"}</definedName>
    <definedName name="_175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367"}</definedName>
    <definedName name="_175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5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366"}</definedName>
    <definedName name="_17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368"}</definedName>
    <definedName name="_17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368"}</definedName>
    <definedName name="_17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368"}</definedName>
    <definedName name="_17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368"}</definedName>
    <definedName name="_17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368"}</definedName>
    <definedName name="_17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368"}</definedName>
    <definedName name="_17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368"}</definedName>
    <definedName name="_176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365"}</definedName>
    <definedName name="_176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364"}</definedName>
    <definedName name="_176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363"}</definedName>
    <definedName name="_176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362"}</definedName>
    <definedName name="_176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361"}</definedName>
    <definedName name="_176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360"}</definedName>
    <definedName name="_176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359"}</definedName>
    <definedName name="_176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358"}</definedName>
    <definedName name="_176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357"}</definedName>
    <definedName name="_176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6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356"}</definedName>
    <definedName name="_17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367"}</definedName>
    <definedName name="_17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367"}</definedName>
    <definedName name="_17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367"}</definedName>
    <definedName name="_17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367"}</definedName>
    <definedName name="_17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367"}</definedName>
    <definedName name="_17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367"}</definedName>
    <definedName name="_17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367"}</definedName>
    <definedName name="_177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355"}</definedName>
    <definedName name="_177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354"}</definedName>
    <definedName name="_177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353"}</definedName>
    <definedName name="_177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352"}</definedName>
    <definedName name="_177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351"}</definedName>
    <definedName name="_177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350"}</definedName>
    <definedName name="_177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349"}</definedName>
    <definedName name="_177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348"}</definedName>
    <definedName name="_177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347"}</definedName>
    <definedName name="_177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7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346"}</definedName>
    <definedName name="_17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366"}</definedName>
    <definedName name="_17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366"}</definedName>
    <definedName name="_17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366"}</definedName>
    <definedName name="_17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366"}</definedName>
    <definedName name="_17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366"}</definedName>
    <definedName name="_17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366"}</definedName>
    <definedName name="_17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366"}</definedName>
    <definedName name="_178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345"}</definedName>
    <definedName name="_178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344"}</definedName>
    <definedName name="_178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343"}</definedName>
    <definedName name="_178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342"}</definedName>
    <definedName name="_178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341"}</definedName>
    <definedName name="_178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340"}</definedName>
    <definedName name="_178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339"}</definedName>
    <definedName name="_178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338"}</definedName>
    <definedName name="_178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337"}</definedName>
    <definedName name="_178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8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336"}</definedName>
    <definedName name="_17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365"}</definedName>
    <definedName name="_17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365"}</definedName>
    <definedName name="_17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365"}</definedName>
    <definedName name="_17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365"}</definedName>
    <definedName name="_17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365"}</definedName>
    <definedName name="_17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365"}</definedName>
    <definedName name="_17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365"}</definedName>
    <definedName name="_179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335"}</definedName>
    <definedName name="_179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334"}</definedName>
    <definedName name="_179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333"}</definedName>
    <definedName name="_179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332"}</definedName>
    <definedName name="_179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331"}</definedName>
    <definedName name="_179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330"}</definedName>
    <definedName name="_179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329"}</definedName>
    <definedName name="_179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328"}</definedName>
    <definedName name="_179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327"}</definedName>
    <definedName name="_179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79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326"}</definedName>
    <definedName name="_18__FDSAUDITLINK__" localSheetId="9"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localSheetId="8"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localSheetId="6"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localSheetId="5"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localSheetId="1"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localSheetId="3" hidden="1">{"fdsup://Directions/FactSet Auditing Viewer?action=AUDIT_VALUE&amp;DB=129&amp;ID1=46981410&amp;VALUEID=02001&amp;SDATE=2009&amp;PERIODTYPE=ANN_STD&amp;window=popup_no_bar&amp;width=385&amp;height=120&amp;START_MAXIMIZED=FALSE&amp;creator=factset&amp;display_string=Audit"}</definedName>
    <definedName name="_18__FDSAUDITLINK__" hidden="1">{"fdsup://Directions/FactSet Auditing Viewer?action=AUDIT_VALUE&amp;DB=129&amp;ID1=46981410&amp;VALUEID=02001&amp;SDATE=2009&amp;PERIODTYPE=ANN_STD&amp;window=popup_no_bar&amp;width=385&amp;height=120&amp;START_MAXIMIZED=FALSE&amp;creator=factset&amp;display_string=Audit"}</definedName>
    <definedName name="_18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364"}</definedName>
    <definedName name="_18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364"}</definedName>
    <definedName name="_18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364"}</definedName>
    <definedName name="_18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364"}</definedName>
    <definedName name="_18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364"}</definedName>
    <definedName name="_18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364"}</definedName>
    <definedName name="_18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364"}</definedName>
    <definedName name="_180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325"}</definedName>
    <definedName name="_180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324"}</definedName>
    <definedName name="_180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323"}</definedName>
    <definedName name="_180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322"}</definedName>
    <definedName name="_18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321"}</definedName>
    <definedName name="_18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320"}</definedName>
    <definedName name="_18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319"}</definedName>
    <definedName name="_18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318"}</definedName>
    <definedName name="_18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317"}</definedName>
    <definedName name="_18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0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316"}</definedName>
    <definedName name="_18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363"}</definedName>
    <definedName name="_18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363"}</definedName>
    <definedName name="_18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363"}</definedName>
    <definedName name="_18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363"}</definedName>
    <definedName name="_18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363"}</definedName>
    <definedName name="_18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363"}</definedName>
    <definedName name="_18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363"}</definedName>
    <definedName name="_18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315"}</definedName>
    <definedName name="_18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314"}</definedName>
    <definedName name="_18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313"}</definedName>
    <definedName name="_18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312"}</definedName>
    <definedName name="_18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311"}</definedName>
    <definedName name="_18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310"}</definedName>
    <definedName name="_181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309"}</definedName>
    <definedName name="_18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308"}</definedName>
    <definedName name="_18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307"}</definedName>
    <definedName name="_18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306"}</definedName>
    <definedName name="_18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362"}</definedName>
    <definedName name="_18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362"}</definedName>
    <definedName name="_18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362"}</definedName>
    <definedName name="_18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362"}</definedName>
    <definedName name="_18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362"}</definedName>
    <definedName name="_18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362"}</definedName>
    <definedName name="_18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362"}</definedName>
    <definedName name="_18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305"}</definedName>
    <definedName name="_18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304"}</definedName>
    <definedName name="_182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303"}</definedName>
    <definedName name="_18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302"}</definedName>
    <definedName name="_18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301"}</definedName>
    <definedName name="_182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300"}</definedName>
    <definedName name="_182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299"}</definedName>
    <definedName name="_182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298"}</definedName>
    <definedName name="_182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297"}</definedName>
    <definedName name="_182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2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296"}</definedName>
    <definedName name="_18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361"}</definedName>
    <definedName name="_18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361"}</definedName>
    <definedName name="_18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361"}</definedName>
    <definedName name="_18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361"}</definedName>
    <definedName name="_18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361"}</definedName>
    <definedName name="_18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361"}</definedName>
    <definedName name="_18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361"}</definedName>
    <definedName name="_183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295"}</definedName>
    <definedName name="_183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294"}</definedName>
    <definedName name="_183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293"}</definedName>
    <definedName name="_183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292"}</definedName>
    <definedName name="_183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291"}</definedName>
    <definedName name="_183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290"}</definedName>
    <definedName name="_183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289"}</definedName>
    <definedName name="_183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288"}</definedName>
    <definedName name="_183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287"}</definedName>
    <definedName name="_183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3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286"}</definedName>
    <definedName name="_18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360"}</definedName>
    <definedName name="_18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360"}</definedName>
    <definedName name="_18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360"}</definedName>
    <definedName name="_18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360"}</definedName>
    <definedName name="_18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360"}</definedName>
    <definedName name="_18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360"}</definedName>
    <definedName name="_18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360"}</definedName>
    <definedName name="_184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285"}</definedName>
    <definedName name="_184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284"}</definedName>
    <definedName name="_184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283"}</definedName>
    <definedName name="_184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282"}</definedName>
    <definedName name="_184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281"}</definedName>
    <definedName name="_184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280"}</definedName>
    <definedName name="_184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279"}</definedName>
    <definedName name="_184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278"}</definedName>
    <definedName name="_184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277"}</definedName>
    <definedName name="_184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4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276"}</definedName>
    <definedName name="_18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359"}</definedName>
    <definedName name="_18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359"}</definedName>
    <definedName name="_18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359"}</definedName>
    <definedName name="_18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359"}</definedName>
    <definedName name="_18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359"}</definedName>
    <definedName name="_18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359"}</definedName>
    <definedName name="_18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359"}</definedName>
    <definedName name="_185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275"}</definedName>
    <definedName name="_185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274"}</definedName>
    <definedName name="_185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273"}</definedName>
    <definedName name="_185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272"}</definedName>
    <definedName name="_185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271"}</definedName>
    <definedName name="_185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270"}</definedName>
    <definedName name="_185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269"}</definedName>
    <definedName name="_185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268"}</definedName>
    <definedName name="_185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267"}</definedName>
    <definedName name="_185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5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266"}</definedName>
    <definedName name="_18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358"}</definedName>
    <definedName name="_18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358"}</definedName>
    <definedName name="_18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358"}</definedName>
    <definedName name="_18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358"}</definedName>
    <definedName name="_18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358"}</definedName>
    <definedName name="_18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358"}</definedName>
    <definedName name="_18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358"}</definedName>
    <definedName name="_186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265"}</definedName>
    <definedName name="_186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264"}</definedName>
    <definedName name="_186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263"}</definedName>
    <definedName name="_186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262"}</definedName>
    <definedName name="_186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261"}</definedName>
    <definedName name="_186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260"}</definedName>
    <definedName name="_186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259"}</definedName>
    <definedName name="_186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258"}</definedName>
    <definedName name="_186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257"}</definedName>
    <definedName name="_186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6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256"}</definedName>
    <definedName name="_18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357"}</definedName>
    <definedName name="_18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357"}</definedName>
    <definedName name="_18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357"}</definedName>
    <definedName name="_18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357"}</definedName>
    <definedName name="_18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357"}</definedName>
    <definedName name="_18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357"}</definedName>
    <definedName name="_18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357"}</definedName>
    <definedName name="_187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255"}</definedName>
    <definedName name="_187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254"}</definedName>
    <definedName name="_187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253"}</definedName>
    <definedName name="_187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252"}</definedName>
    <definedName name="_187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251"}</definedName>
    <definedName name="_187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250"}</definedName>
    <definedName name="_187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249"}</definedName>
    <definedName name="_187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248"}</definedName>
    <definedName name="_187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247"}</definedName>
    <definedName name="_187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7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246"}</definedName>
    <definedName name="_18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356"}</definedName>
    <definedName name="_18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356"}</definedName>
    <definedName name="_18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356"}</definedName>
    <definedName name="_18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356"}</definedName>
    <definedName name="_18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356"}</definedName>
    <definedName name="_18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356"}</definedName>
    <definedName name="_18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356"}</definedName>
    <definedName name="_188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245"}</definedName>
    <definedName name="_188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244"}</definedName>
    <definedName name="_188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243"}</definedName>
    <definedName name="_188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242"}</definedName>
    <definedName name="_188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241"}</definedName>
    <definedName name="_188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240"}</definedName>
    <definedName name="_188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239"}</definedName>
    <definedName name="_188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238"}</definedName>
    <definedName name="_188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237"}</definedName>
    <definedName name="_188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8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236"}</definedName>
    <definedName name="_18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355"}</definedName>
    <definedName name="_18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355"}</definedName>
    <definedName name="_18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355"}</definedName>
    <definedName name="_18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355"}</definedName>
    <definedName name="_18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355"}</definedName>
    <definedName name="_18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355"}</definedName>
    <definedName name="_18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355"}</definedName>
    <definedName name="_189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235"}</definedName>
    <definedName name="_189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234"}</definedName>
    <definedName name="_189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233"}</definedName>
    <definedName name="_189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232"}</definedName>
    <definedName name="_189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231"}</definedName>
    <definedName name="_189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230"}</definedName>
    <definedName name="_189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229"}</definedName>
    <definedName name="_189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228"}</definedName>
    <definedName name="_189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227"}</definedName>
    <definedName name="_189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89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226"}</definedName>
    <definedName name="_19__FDSAUDITLINK__" localSheetId="9" hidden="1">{"fdsup://directions/FAT Viewer?action=UPDATE&amp;creator=factset&amp;DYN_ARGS=TRUE&amp;DOC_NAME=FAT:FQL_AUDITING_CLIENT_TEMPLATE.FAT&amp;display_string=Audit&amp;VAR:KEY=ZCTSTOVKNY&amp;VAR:QUERY=RkZfRElWX1lMRChBTk4sTk9XKQ==&amp;WINDOW=FIRST_POPUP&amp;HEIGHT=450&amp;WIDTH=450&amp;START_MAXIMIZED=","FALSE&amp;VAR:CALENDAR=US&amp;VAR:SYMBOL=B09LSH&amp;VAR:INDEX=0"}</definedName>
    <definedName name="_19__FDSAUDITLINK__" localSheetId="8" hidden="1">{"fdsup://directions/FAT Viewer?action=UPDATE&amp;creator=factset&amp;DYN_ARGS=TRUE&amp;DOC_NAME=FAT:FQL_AUDITING_CLIENT_TEMPLATE.FAT&amp;display_string=Audit&amp;VAR:KEY=ZCTSTOVKNY&amp;VAR:QUERY=RkZfRElWX1lMRChBTk4sTk9XKQ==&amp;WINDOW=FIRST_POPUP&amp;HEIGHT=450&amp;WIDTH=450&amp;START_MAXIMIZED=","FALSE&amp;VAR:CALENDAR=US&amp;VAR:SYMBOL=B09LSH&amp;VAR:INDEX=0"}</definedName>
    <definedName name="_19__FDSAUDITLINK__" localSheetId="6" hidden="1">{"fdsup://directions/FAT Viewer?action=UPDATE&amp;creator=factset&amp;DYN_ARGS=TRUE&amp;DOC_NAME=FAT:FQL_AUDITING_CLIENT_TEMPLATE.FAT&amp;display_string=Audit&amp;VAR:KEY=AFGBAHMNED&amp;VAR:QUERY=RkZfRU5UUlBSX1ZBTF9EQUlMWSgwLCwsLCdVU0QnLCdESUwnKQ==&amp;WINDOW=FIRST_POPUP&amp;HEIGHT=450&amp;WI","DTH=450&amp;START_MAXIMIZED=FALSE&amp;VAR:CALENDAR=US&amp;VAR:SYMBOL=JEC&amp;VAR:INDEX=0"}</definedName>
    <definedName name="_19__FDSAUDITLINK__" localSheetId="5" hidden="1">{"fdsup://directions/FAT Viewer?action=UPDATE&amp;creator=factset&amp;DYN_ARGS=TRUE&amp;DOC_NAME=FAT:FQL_AUDITING_CLIENT_TEMPLATE.FAT&amp;display_string=Audit&amp;VAR:KEY=ZCTSTOVKNY&amp;VAR:QUERY=RkZfRElWX1lMRChBTk4sTk9XKQ==&amp;WINDOW=FIRST_POPUP&amp;HEIGHT=450&amp;WIDTH=450&amp;START_MAXIMIZED=","FALSE&amp;VAR:CALENDAR=US&amp;VAR:SYMBOL=B09LSH&amp;VAR:INDEX=0"}</definedName>
    <definedName name="_19__FDSAUDITLINK__" localSheetId="1" hidden="1">{"fdsup://directions/FAT Viewer?action=UPDATE&amp;creator=factset&amp;DYN_ARGS=TRUE&amp;DOC_NAME=FAT:FQL_AUDITING_CLIENT_TEMPLATE.FAT&amp;display_string=Audit&amp;VAR:KEY=ZCTSTOVKNY&amp;VAR:QUERY=RkZfRElWX1lMRChBTk4sTk9XKQ==&amp;WINDOW=FIRST_POPUP&amp;HEIGHT=450&amp;WIDTH=450&amp;START_MAXIMIZED=","FALSE&amp;VAR:CALENDAR=US&amp;VAR:SYMBOL=B09LSH&amp;VAR:INDEX=0"}</definedName>
    <definedName name="_19__FDSAUDITLINK__" localSheetId="3" hidden="1">{"fdsup://directions/FAT Viewer?action=UPDATE&amp;creator=factset&amp;DYN_ARGS=TRUE&amp;DOC_NAME=FAT:FQL_AUDITING_CLIENT_TEMPLATE.FAT&amp;display_string=Audit&amp;VAR:KEY=ZCTSTOVKNY&amp;VAR:QUERY=RkZfRElWX1lMRChBTk4sTk9XKQ==&amp;WINDOW=FIRST_POPUP&amp;HEIGHT=450&amp;WIDTH=450&amp;START_MAXIMIZED=","FALSE&amp;VAR:CALENDAR=US&amp;VAR:SYMBOL=B09LSH&amp;VAR:INDEX=0"}</definedName>
    <definedName name="_19__FDSAUDITLINK__" hidden="1">{"fdsup://directions/FAT Viewer?action=UPDATE&amp;creator=factset&amp;DYN_ARGS=TRUE&amp;DOC_NAME=FAT:FQL_AUDITING_CLIENT_TEMPLATE.FAT&amp;display_string=Audit&amp;VAR:KEY=AFGBAHMNED&amp;VAR:QUERY=RkZfRU5UUlBSX1ZBTF9EQUlMWSgwLCwsLCdVU0QnLCdESUwnKQ==&amp;WINDOW=FIRST_POPUP&amp;HEIGHT=450&amp;WI","DTH=450&amp;START_MAXIMIZED=FALSE&amp;VAR:CALENDAR=US&amp;VAR:SYMBOL=JEC&amp;VAR:INDEX=0"}</definedName>
    <definedName name="_19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354"}</definedName>
    <definedName name="_19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354"}</definedName>
    <definedName name="_19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354"}</definedName>
    <definedName name="_19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354"}</definedName>
    <definedName name="_19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354"}</definedName>
    <definedName name="_19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354"}</definedName>
    <definedName name="_19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354"}</definedName>
    <definedName name="_190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225"}</definedName>
    <definedName name="_190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224"}</definedName>
    <definedName name="_190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223"}</definedName>
    <definedName name="_190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222"}</definedName>
    <definedName name="_19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221"}</definedName>
    <definedName name="_19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220"}</definedName>
    <definedName name="_19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219"}</definedName>
    <definedName name="_19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218"}</definedName>
    <definedName name="_19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217"}</definedName>
    <definedName name="_19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0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216"}</definedName>
    <definedName name="_19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353"}</definedName>
    <definedName name="_19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353"}</definedName>
    <definedName name="_19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353"}</definedName>
    <definedName name="_19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353"}</definedName>
    <definedName name="_19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353"}</definedName>
    <definedName name="_19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353"}</definedName>
    <definedName name="_19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353"}</definedName>
    <definedName name="_19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215"}</definedName>
    <definedName name="_19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214"}</definedName>
    <definedName name="_19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213"}</definedName>
    <definedName name="_19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212"}</definedName>
    <definedName name="_19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211"}</definedName>
    <definedName name="_19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210"}</definedName>
    <definedName name="_191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209"}</definedName>
    <definedName name="_19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208"}</definedName>
    <definedName name="_19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207"}</definedName>
    <definedName name="_19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206"}</definedName>
    <definedName name="_19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352"}</definedName>
    <definedName name="_19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352"}</definedName>
    <definedName name="_19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352"}</definedName>
    <definedName name="_19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352"}</definedName>
    <definedName name="_19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352"}</definedName>
    <definedName name="_19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352"}</definedName>
    <definedName name="_19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352"}</definedName>
    <definedName name="_19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205"}</definedName>
    <definedName name="_19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204"}</definedName>
    <definedName name="_192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203"}</definedName>
    <definedName name="_19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202"}</definedName>
    <definedName name="_19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201"}</definedName>
    <definedName name="_192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200"}</definedName>
    <definedName name="_192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199"}</definedName>
    <definedName name="_192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198"}</definedName>
    <definedName name="_192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197"}</definedName>
    <definedName name="_192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2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196"}</definedName>
    <definedName name="_19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351"}</definedName>
    <definedName name="_19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351"}</definedName>
    <definedName name="_19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351"}</definedName>
    <definedName name="_19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351"}</definedName>
    <definedName name="_19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351"}</definedName>
    <definedName name="_19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351"}</definedName>
    <definedName name="_19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351"}</definedName>
    <definedName name="_193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195"}</definedName>
    <definedName name="_193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194"}</definedName>
    <definedName name="_193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193"}</definedName>
    <definedName name="_193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192"}</definedName>
    <definedName name="_193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191"}</definedName>
    <definedName name="_193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190"}</definedName>
    <definedName name="_193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189"}</definedName>
    <definedName name="_193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188"}</definedName>
    <definedName name="_193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187"}</definedName>
    <definedName name="_193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3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186"}</definedName>
    <definedName name="_19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350"}</definedName>
    <definedName name="_19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350"}</definedName>
    <definedName name="_19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350"}</definedName>
    <definedName name="_19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350"}</definedName>
    <definedName name="_19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350"}</definedName>
    <definedName name="_19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350"}</definedName>
    <definedName name="_19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350"}</definedName>
    <definedName name="_194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185"}</definedName>
    <definedName name="_194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184"}</definedName>
    <definedName name="_194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183"}</definedName>
    <definedName name="_194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182"}</definedName>
    <definedName name="_194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181"}</definedName>
    <definedName name="_194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180"}</definedName>
    <definedName name="_194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179"}</definedName>
    <definedName name="_194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178"}</definedName>
    <definedName name="_194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177"}</definedName>
    <definedName name="_194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4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176"}</definedName>
    <definedName name="_19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349"}</definedName>
    <definedName name="_19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349"}</definedName>
    <definedName name="_19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349"}</definedName>
    <definedName name="_19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349"}</definedName>
    <definedName name="_19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349"}</definedName>
    <definedName name="_19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349"}</definedName>
    <definedName name="_19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349"}</definedName>
    <definedName name="_195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175"}</definedName>
    <definedName name="_195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174"}</definedName>
    <definedName name="_195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173"}</definedName>
    <definedName name="_195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172"}</definedName>
    <definedName name="_195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171"}</definedName>
    <definedName name="_195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170"}</definedName>
    <definedName name="_195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169"}</definedName>
    <definedName name="_195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168"}</definedName>
    <definedName name="_195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167"}</definedName>
    <definedName name="_195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5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166"}</definedName>
    <definedName name="_19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348"}</definedName>
    <definedName name="_19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348"}</definedName>
    <definedName name="_19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348"}</definedName>
    <definedName name="_19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348"}</definedName>
    <definedName name="_19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348"}</definedName>
    <definedName name="_19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348"}</definedName>
    <definedName name="_19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348"}</definedName>
    <definedName name="_196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165"}</definedName>
    <definedName name="_196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164"}</definedName>
    <definedName name="_196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163"}</definedName>
    <definedName name="_196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162"}</definedName>
    <definedName name="_196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161"}</definedName>
    <definedName name="_196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160"}</definedName>
    <definedName name="_196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159"}</definedName>
    <definedName name="_196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158"}</definedName>
    <definedName name="_196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157"}</definedName>
    <definedName name="_196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6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156"}</definedName>
    <definedName name="_19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347"}</definedName>
    <definedName name="_19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347"}</definedName>
    <definedName name="_19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347"}</definedName>
    <definedName name="_19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347"}</definedName>
    <definedName name="_19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347"}</definedName>
    <definedName name="_19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347"}</definedName>
    <definedName name="_19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347"}</definedName>
    <definedName name="_197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155"}</definedName>
    <definedName name="_197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154"}</definedName>
    <definedName name="_197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153"}</definedName>
    <definedName name="_197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152"}</definedName>
    <definedName name="_197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151"}</definedName>
    <definedName name="_197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150"}</definedName>
    <definedName name="_197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149"}</definedName>
    <definedName name="_197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148"}</definedName>
    <definedName name="_197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147"}</definedName>
    <definedName name="_197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7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146"}</definedName>
    <definedName name="_19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346"}</definedName>
    <definedName name="_19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346"}</definedName>
    <definedName name="_19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346"}</definedName>
    <definedName name="_19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346"}</definedName>
    <definedName name="_19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346"}</definedName>
    <definedName name="_19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346"}</definedName>
    <definedName name="_19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346"}</definedName>
    <definedName name="_198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145"}</definedName>
    <definedName name="_198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144"}</definedName>
    <definedName name="_198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143"}</definedName>
    <definedName name="_198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142"}</definedName>
    <definedName name="_198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141"}</definedName>
    <definedName name="_198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140"}</definedName>
    <definedName name="_198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139"}</definedName>
    <definedName name="_198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138"}</definedName>
    <definedName name="_198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137"}</definedName>
    <definedName name="_198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8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136"}</definedName>
    <definedName name="_19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345"}</definedName>
    <definedName name="_19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345"}</definedName>
    <definedName name="_19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345"}</definedName>
    <definedName name="_19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345"}</definedName>
    <definedName name="_19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345"}</definedName>
    <definedName name="_19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345"}</definedName>
    <definedName name="_19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345"}</definedName>
    <definedName name="_199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135"}</definedName>
    <definedName name="_199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134"}</definedName>
    <definedName name="_199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133"}</definedName>
    <definedName name="_199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132"}</definedName>
    <definedName name="_1994" localSheetId="6">#REF!</definedName>
    <definedName name="_1994" localSheetId="2">#REF!</definedName>
    <definedName name="_1994">#REF!</definedName>
    <definedName name="_199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131"}</definedName>
    <definedName name="_1995" localSheetId="6">#REF!</definedName>
    <definedName name="_1995" localSheetId="2">#REF!</definedName>
    <definedName name="_1995">#REF!</definedName>
    <definedName name="_199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130"}</definedName>
    <definedName name="_1996" localSheetId="6">#REF!</definedName>
    <definedName name="_1996" localSheetId="2">#REF!</definedName>
    <definedName name="_1996">#REF!</definedName>
    <definedName name="_199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129"}</definedName>
    <definedName name="_1997" localSheetId="6">#REF!</definedName>
    <definedName name="_1997" localSheetId="2">#REF!</definedName>
    <definedName name="_1997">#REF!</definedName>
    <definedName name="_199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128"}</definedName>
    <definedName name="_1998" localSheetId="6">#REF!</definedName>
    <definedName name="_1998" localSheetId="2">#REF!</definedName>
    <definedName name="_1998">#REF!</definedName>
    <definedName name="_199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127"}</definedName>
    <definedName name="_1999" localSheetId="6">#REF!</definedName>
    <definedName name="_1999" localSheetId="2">#REF!</definedName>
    <definedName name="_1999">#REF!</definedName>
    <definedName name="_199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99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126"}</definedName>
    <definedName name="_1Q94" localSheetId="6">#REF!</definedName>
    <definedName name="_1Q94" localSheetId="2">#REF!</definedName>
    <definedName name="_1Q94">#REF!</definedName>
    <definedName name="_1Q95" localSheetId="2">#REF!</definedName>
    <definedName name="_1Q95">#REF!</definedName>
    <definedName name="_1Table2_" hidden="1">#REF!</definedName>
    <definedName name="_2__FDSAUDITLINK__" localSheetId="9" hidden="1">{"fdsup://directions/FAT Viewer?action=UPDATE&amp;creator=factset&amp;DYN_ARGS=TRUE&amp;DOC_NAME=FAT:FQL_AUDITING_CLIENT_TEMPLATE.FAT&amp;display_string=Audit&amp;VAR:KEY=PWDOBUVWZY&amp;VAR:QUERY=RkZfRElWX1lMRChBTk4sTk9XKQ==&amp;WINDOW=FIRST_POPUP&amp;HEIGHT=450&amp;WIDTH=450&amp;START_MAXIMIZED=","FALSE&amp;VAR:CALENDAR=US&amp;VAR:SYMBOL=TU&amp;VAR:INDEX=0"}</definedName>
    <definedName name="_2__FDSAUDITLINK__" localSheetId="8" hidden="1">{"fdsup://directions/FAT Viewer?action=UPDATE&amp;creator=factset&amp;DYN_ARGS=TRUE&amp;DOC_NAME=FAT:FQL_AUDITING_CLIENT_TEMPLATE.FAT&amp;display_string=Audit&amp;VAR:KEY=PWDOBUVWZY&amp;VAR:QUERY=RkZfRElWX1lMRChBTk4sTk9XKQ==&amp;WINDOW=FIRST_POPUP&amp;HEIGHT=450&amp;WIDTH=450&amp;START_MAXIMIZED=","FALSE&amp;VAR:CALENDAR=US&amp;VAR:SYMBOL=TU&amp;VAR:INDEX=0"}</definedName>
    <definedName name="_2__FDSAUDITLINK__" localSheetId="6" hidden="1">{"fdsup://directions/FAT Viewer?action=UPDATE&amp;creator=factset&amp;DYN_ARGS=TRUE&amp;DOC_NAME=FAT:FQL_AUDITING_CLIENT_TEMPLATE.FAT&amp;display_string=Audit&amp;VAR:KEY=TOLIBETMZA&amp;VAR:QUERY=RkZfRU5UUlBSX1ZBTCgp&amp;WINDOW=FIRST_POPUP&amp;HEIGHT=450&amp;WIDTH=450&amp;START_MAXIMIZED=FALSE&amp;VA","R:CALENDAR=US&amp;VAR:SYMBOL=CAT&amp;VAR:INDEX=0"}</definedName>
    <definedName name="_2__FDSAUDITLINK__" localSheetId="5" hidden="1">{"fdsup://directions/FAT Viewer?action=UPDATE&amp;creator=factset&amp;DYN_ARGS=TRUE&amp;DOC_NAME=FAT:FQL_AUDITING_CLIENT_TEMPLATE.FAT&amp;display_string=Audit&amp;VAR:KEY=PWDOBUVWZY&amp;VAR:QUERY=RkZfRElWX1lMRChBTk4sTk9XKQ==&amp;WINDOW=FIRST_POPUP&amp;HEIGHT=450&amp;WIDTH=450&amp;START_MAXIMIZED=","FALSE&amp;VAR:CALENDAR=US&amp;VAR:SYMBOL=TU&amp;VAR:INDEX=0"}</definedName>
    <definedName name="_2__FDSAUDITLINK__" localSheetId="1" hidden="1">{"fdsup://directions/FAT Viewer?action=UPDATE&amp;creator=factset&amp;DYN_ARGS=TRUE&amp;DOC_NAME=FAT:FQL_AUDITING_CLIENT_TEMPLATE.FAT&amp;display_string=Audit&amp;VAR:KEY=PWDOBUVWZY&amp;VAR:QUERY=RkZfRElWX1lMRChBTk4sTk9XKQ==&amp;WINDOW=FIRST_POPUP&amp;HEIGHT=450&amp;WIDTH=450&amp;START_MAXIMIZED=","FALSE&amp;VAR:CALENDAR=US&amp;VAR:SYMBOL=TU&amp;VAR:INDEX=0"}</definedName>
    <definedName name="_2__FDSAUDITLINK__" localSheetId="3" hidden="1">{"fdsup://directions/FAT Viewer?action=UPDATE&amp;creator=factset&amp;DYN_ARGS=TRUE&amp;DOC_NAME=FAT:FQL_AUDITING_CLIENT_TEMPLATE.FAT&amp;display_string=Audit&amp;VAR:KEY=PWDOBUVWZY&amp;VAR:QUERY=RkZfRElWX1lMRChBTk4sTk9XKQ==&amp;WINDOW=FIRST_POPUP&amp;HEIGHT=450&amp;WIDTH=450&amp;START_MAXIMIZED=","FALSE&amp;VAR:CALENDAR=US&amp;VAR:SYMBOL=TU&amp;VAR:INDEX=0"}</definedName>
    <definedName name="_2__FDSAUDITLINK__" hidden="1">{"fdsup://directions/FAT Viewer?action=UPDATE&amp;creator=factset&amp;DYN_ARGS=TRUE&amp;DOC_NAME=FAT:FQL_AUDITING_CLIENT_TEMPLATE.FAT&amp;display_string=Audit&amp;VAR:KEY=TOLIBETMZA&amp;VAR:QUERY=RkZfRU5UUlBSX1ZBTCgp&amp;WINDOW=FIRST_POPUP&amp;HEIGHT=450&amp;WIDTH=450&amp;START_MAXIMIZED=FALSE&amp;VA","R:CALENDAR=US&amp;VAR:SYMBOL=CAT&amp;VAR:INDEX=0"}</definedName>
    <definedName name="_20__FDSAUDITLINK__" localSheetId="9" hidden="1">{"fdsup://directions/FAT Viewer?action=UPDATE&amp;creator=factset&amp;DYN_ARGS=TRUE&amp;DOC_NAME=FAT:FQL_AUDITING_CLIENT_TEMPLATE.FAT&amp;display_string=Audit&amp;VAR:KEY=TGNKFENIRE&amp;VAR:QUERY=RkZfRElWX1lMRChBTk4sTk9XKQ==&amp;WINDOW=FIRST_POPUP&amp;HEIGHT=450&amp;WIDTH=450&amp;START_MAXIMIZED=","FALSE&amp;VAR:CALENDAR=US&amp;VAR:SYMBOL=TEF&amp;VAR:INDEX=0"}</definedName>
    <definedName name="_20__FDSAUDITLINK__" localSheetId="8" hidden="1">{"fdsup://directions/FAT Viewer?action=UPDATE&amp;creator=factset&amp;DYN_ARGS=TRUE&amp;DOC_NAME=FAT:FQL_AUDITING_CLIENT_TEMPLATE.FAT&amp;display_string=Audit&amp;VAR:KEY=TGNKFENIRE&amp;VAR:QUERY=RkZfRElWX1lMRChBTk4sTk9XKQ==&amp;WINDOW=FIRST_POPUP&amp;HEIGHT=450&amp;WIDTH=450&amp;START_MAXIMIZED=","FALSE&amp;VAR:CALENDAR=US&amp;VAR:SYMBOL=TEF&amp;VAR:INDEX=0"}</definedName>
    <definedName name="_20__FDSAUDITLINK__" localSheetId="6" hidden="1">{"fdsup://directions/FAT Viewer?action=UPDATE&amp;creator=factset&amp;DYN_ARGS=TRUE&amp;DOC_NAME=FAT:FQL_AUDITING_CLIENT_TEMPLATE.FAT&amp;display_string=Audit&amp;VAR:KEY=CRYPMJQPIT&amp;VAR:QUERY=RkZfRU5UUlBSX1ZBTF9FQklUREEoJ0FOTicsMCwsLCwnVVNEJyk=&amp;WINDOW=FIRST_POPUP&amp;HEIGHT=450&amp;WI","DTH=450&amp;START_MAXIMIZED=FALSE&amp;VAR:CALENDAR=US&amp;VAR:SYMBOL=FLR&amp;VAR:INDEX=0"}</definedName>
    <definedName name="_20__FDSAUDITLINK__" localSheetId="5" hidden="1">{"fdsup://directions/FAT Viewer?action=UPDATE&amp;creator=factset&amp;DYN_ARGS=TRUE&amp;DOC_NAME=FAT:FQL_AUDITING_CLIENT_TEMPLATE.FAT&amp;display_string=Audit&amp;VAR:KEY=TGNKFENIRE&amp;VAR:QUERY=RkZfRElWX1lMRChBTk4sTk9XKQ==&amp;WINDOW=FIRST_POPUP&amp;HEIGHT=450&amp;WIDTH=450&amp;START_MAXIMIZED=","FALSE&amp;VAR:CALENDAR=US&amp;VAR:SYMBOL=TEF&amp;VAR:INDEX=0"}</definedName>
    <definedName name="_20__FDSAUDITLINK__" localSheetId="1" hidden="1">{"fdsup://directions/FAT Viewer?action=UPDATE&amp;creator=factset&amp;DYN_ARGS=TRUE&amp;DOC_NAME=FAT:FQL_AUDITING_CLIENT_TEMPLATE.FAT&amp;display_string=Audit&amp;VAR:KEY=TGNKFENIRE&amp;VAR:QUERY=RkZfRElWX1lMRChBTk4sTk9XKQ==&amp;WINDOW=FIRST_POPUP&amp;HEIGHT=450&amp;WIDTH=450&amp;START_MAXIMIZED=","FALSE&amp;VAR:CALENDAR=US&amp;VAR:SYMBOL=TEF&amp;VAR:INDEX=0"}</definedName>
    <definedName name="_20__FDSAUDITLINK__" localSheetId="3" hidden="1">{"fdsup://directions/FAT Viewer?action=UPDATE&amp;creator=factset&amp;DYN_ARGS=TRUE&amp;DOC_NAME=FAT:FQL_AUDITING_CLIENT_TEMPLATE.FAT&amp;display_string=Audit&amp;VAR:KEY=TGNKFENIRE&amp;VAR:QUERY=RkZfRElWX1lMRChBTk4sTk9XKQ==&amp;WINDOW=FIRST_POPUP&amp;HEIGHT=450&amp;WIDTH=450&amp;START_MAXIMIZED=","FALSE&amp;VAR:CALENDAR=US&amp;VAR:SYMBOL=TEF&amp;VAR:INDEX=0"}</definedName>
    <definedName name="_20__FDSAUDITLINK__" hidden="1">{"fdsup://directions/FAT Viewer?action=UPDATE&amp;creator=factset&amp;DYN_ARGS=TRUE&amp;DOC_NAME=FAT:FQL_AUDITING_CLIENT_TEMPLATE.FAT&amp;display_string=Audit&amp;VAR:KEY=CRYPMJQPIT&amp;VAR:QUERY=RkZfRU5UUlBSX1ZBTF9FQklUREEoJ0FOTicsMCwsLCwnVVNEJyk=&amp;WINDOW=FIRST_POPUP&amp;HEIGHT=450&amp;WI","DTH=450&amp;START_MAXIMIZED=FALSE&amp;VAR:CALENDAR=US&amp;VAR:SYMBOL=FLR&amp;VAR:INDEX=0"}</definedName>
    <definedName name="_20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344"}</definedName>
    <definedName name="_20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344"}</definedName>
    <definedName name="_20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344"}</definedName>
    <definedName name="_20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344"}</definedName>
    <definedName name="_20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344"}</definedName>
    <definedName name="_20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344"}</definedName>
    <definedName name="_20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344"}</definedName>
    <definedName name="_200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125"}</definedName>
    <definedName name="_200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124"}</definedName>
    <definedName name="_200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123"}</definedName>
    <definedName name="_200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122"}</definedName>
    <definedName name="_20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121"}</definedName>
    <definedName name="_20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120"}</definedName>
    <definedName name="_20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119"}</definedName>
    <definedName name="_20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118"}</definedName>
    <definedName name="_20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117"}</definedName>
    <definedName name="_20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0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116"}</definedName>
    <definedName name="_20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343"}</definedName>
    <definedName name="_20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343"}</definedName>
    <definedName name="_20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343"}</definedName>
    <definedName name="_20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343"}</definedName>
    <definedName name="_20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343"}</definedName>
    <definedName name="_20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343"}</definedName>
    <definedName name="_20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343"}</definedName>
    <definedName name="_20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115"}</definedName>
    <definedName name="_20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114"}</definedName>
    <definedName name="_20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113"}</definedName>
    <definedName name="_20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112"}</definedName>
    <definedName name="_20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111"}</definedName>
    <definedName name="_20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110"}</definedName>
    <definedName name="_201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109"}</definedName>
    <definedName name="_20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108"}</definedName>
    <definedName name="_20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107"}</definedName>
    <definedName name="_20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106"}</definedName>
    <definedName name="_20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342"}</definedName>
    <definedName name="_20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342"}</definedName>
    <definedName name="_20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342"}</definedName>
    <definedName name="_20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342"}</definedName>
    <definedName name="_20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342"}</definedName>
    <definedName name="_20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342"}</definedName>
    <definedName name="_20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342"}</definedName>
    <definedName name="_20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105"}</definedName>
    <definedName name="_20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104"}</definedName>
    <definedName name="_202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103"}</definedName>
    <definedName name="_20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102"}</definedName>
    <definedName name="_20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101"}</definedName>
    <definedName name="_202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100"}</definedName>
    <definedName name="_202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99"}</definedName>
    <definedName name="_202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98"}</definedName>
    <definedName name="_202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97"}</definedName>
    <definedName name="_202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2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96"}</definedName>
    <definedName name="_20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341"}</definedName>
    <definedName name="_20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341"}</definedName>
    <definedName name="_20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341"}</definedName>
    <definedName name="_20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341"}</definedName>
    <definedName name="_20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341"}</definedName>
    <definedName name="_20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341"}</definedName>
    <definedName name="_20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341"}</definedName>
    <definedName name="_203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95"}</definedName>
    <definedName name="_203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94"}</definedName>
    <definedName name="_203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93"}</definedName>
    <definedName name="_203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92"}</definedName>
    <definedName name="_203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91"}</definedName>
    <definedName name="_203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90"}</definedName>
    <definedName name="_203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89"}</definedName>
    <definedName name="_203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88"}</definedName>
    <definedName name="_203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87"}</definedName>
    <definedName name="_203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3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86"}</definedName>
    <definedName name="_20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340"}</definedName>
    <definedName name="_20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340"}</definedName>
    <definedName name="_20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340"}</definedName>
    <definedName name="_20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340"}</definedName>
    <definedName name="_20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340"}</definedName>
    <definedName name="_20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340"}</definedName>
    <definedName name="_20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340"}</definedName>
    <definedName name="_204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85"}</definedName>
    <definedName name="_204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84"}</definedName>
    <definedName name="_204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83"}</definedName>
    <definedName name="_204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82"}</definedName>
    <definedName name="_204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81"}</definedName>
    <definedName name="_204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80"}</definedName>
    <definedName name="_204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79"}</definedName>
    <definedName name="_204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78"}</definedName>
    <definedName name="_204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77"}</definedName>
    <definedName name="_204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4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76"}</definedName>
    <definedName name="_20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339"}</definedName>
    <definedName name="_20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339"}</definedName>
    <definedName name="_20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339"}</definedName>
    <definedName name="_20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339"}</definedName>
    <definedName name="_20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339"}</definedName>
    <definedName name="_20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339"}</definedName>
    <definedName name="_20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339"}</definedName>
    <definedName name="_205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75"}</definedName>
    <definedName name="_205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74"}</definedName>
    <definedName name="_205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73"}</definedName>
    <definedName name="_205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72"}</definedName>
    <definedName name="_205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71"}</definedName>
    <definedName name="_205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70"}</definedName>
    <definedName name="_205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69"}</definedName>
    <definedName name="_205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68"}</definedName>
    <definedName name="_205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67"}</definedName>
    <definedName name="_205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5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66"}</definedName>
    <definedName name="_20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338"}</definedName>
    <definedName name="_20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338"}</definedName>
    <definedName name="_20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338"}</definedName>
    <definedName name="_20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338"}</definedName>
    <definedName name="_20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338"}</definedName>
    <definedName name="_20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338"}</definedName>
    <definedName name="_20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338"}</definedName>
    <definedName name="_206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65"}</definedName>
    <definedName name="_206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64"}</definedName>
    <definedName name="_206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63"}</definedName>
    <definedName name="_206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62"}</definedName>
    <definedName name="_206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61"}</definedName>
    <definedName name="_206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60"}</definedName>
    <definedName name="_206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59"}</definedName>
    <definedName name="_206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58"}</definedName>
    <definedName name="_206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57"}</definedName>
    <definedName name="_206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6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56"}</definedName>
    <definedName name="_20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337"}</definedName>
    <definedName name="_20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337"}</definedName>
    <definedName name="_20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337"}</definedName>
    <definedName name="_20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337"}</definedName>
    <definedName name="_20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337"}</definedName>
    <definedName name="_20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337"}</definedName>
    <definedName name="_20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337"}</definedName>
    <definedName name="_207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55"}</definedName>
    <definedName name="_207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54"}</definedName>
    <definedName name="_207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53"}</definedName>
    <definedName name="_207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52"}</definedName>
    <definedName name="_207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51"}</definedName>
    <definedName name="_207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50"}</definedName>
    <definedName name="_207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49"}</definedName>
    <definedName name="_207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48"}</definedName>
    <definedName name="_207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47"}</definedName>
    <definedName name="_207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7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46"}</definedName>
    <definedName name="_20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336"}</definedName>
    <definedName name="_20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336"}</definedName>
    <definedName name="_20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336"}</definedName>
    <definedName name="_20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336"}</definedName>
    <definedName name="_20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336"}</definedName>
    <definedName name="_20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336"}</definedName>
    <definedName name="_20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336"}</definedName>
    <definedName name="_208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45"}</definedName>
    <definedName name="_208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44"}</definedName>
    <definedName name="_208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43"}</definedName>
    <definedName name="_208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42"}</definedName>
    <definedName name="_208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41"}</definedName>
    <definedName name="_208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40"}</definedName>
    <definedName name="_208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39"}</definedName>
    <definedName name="_208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38"}</definedName>
    <definedName name="_208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37"}</definedName>
    <definedName name="_208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8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36"}</definedName>
    <definedName name="_20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335"}</definedName>
    <definedName name="_20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335"}</definedName>
    <definedName name="_20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335"}</definedName>
    <definedName name="_20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335"}</definedName>
    <definedName name="_20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335"}</definedName>
    <definedName name="_20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335"}</definedName>
    <definedName name="_20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335"}</definedName>
    <definedName name="_209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35"}</definedName>
    <definedName name="_209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34"}</definedName>
    <definedName name="_209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33"}</definedName>
    <definedName name="_209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32"}</definedName>
    <definedName name="_209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31"}</definedName>
    <definedName name="_209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30"}</definedName>
    <definedName name="_209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29"}</definedName>
    <definedName name="_209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28"}</definedName>
    <definedName name="_209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27"}</definedName>
    <definedName name="_209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09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26"}</definedName>
    <definedName name="_21__FDSAUDITLINK__" localSheetId="9" hidden="1">{"fdsup://directions/FAT Viewer?action=UPDATE&amp;creator=factset&amp;DYN_ARGS=TRUE&amp;DOC_NAME=FAT:FQL_AUDITING_CLIENT_TEMPLATE.FAT&amp;display_string=Audit&amp;VAR:KEY=LITAXAZMZK&amp;VAR:QUERY=RkZfRElWX1lMRChBTk4sTk9XKQ==&amp;WINDOW=FIRST_POPUP&amp;HEIGHT=450&amp;WIDTH=450&amp;START_MAXIMIZED=","FALSE&amp;VAR:CALENDAR=US&amp;VAR:SYMBOL=B282YM&amp;VAR:INDEX=0"}</definedName>
    <definedName name="_21__FDSAUDITLINK__" localSheetId="8" hidden="1">{"fdsup://directions/FAT Viewer?action=UPDATE&amp;creator=factset&amp;DYN_ARGS=TRUE&amp;DOC_NAME=FAT:FQL_AUDITING_CLIENT_TEMPLATE.FAT&amp;display_string=Audit&amp;VAR:KEY=LITAXAZMZK&amp;VAR:QUERY=RkZfRElWX1lMRChBTk4sTk9XKQ==&amp;WINDOW=FIRST_POPUP&amp;HEIGHT=450&amp;WIDTH=450&amp;START_MAXIMIZED=","FALSE&amp;VAR:CALENDAR=US&amp;VAR:SYMBOL=B282YM&amp;VAR:INDEX=0"}</definedName>
    <definedName name="_21__FDSAUDITLINK__" localSheetId="6" hidden="1">{"fdsup://directions/FAT Viewer?action=UPDATE&amp;creator=factset&amp;DYN_ARGS=TRUE&amp;DOC_NAME=FAT:FQL_AUDITING_CLIENT_TEMPLATE.FAT&amp;display_string=Audit&amp;VAR:KEY=SHULCXSPEF&amp;VAR:QUERY=RkZfREVCVF9FQklUREEoJ0FOTicsMCwsLCwnVVNEJyk=&amp;WINDOW=FIRST_POPUP&amp;HEIGHT=450&amp;WIDTH=450&amp;","START_MAXIMIZED=FALSE&amp;VAR:CALENDAR=US&amp;VAR:SYMBOL=FLR&amp;VAR:INDEX=0"}</definedName>
    <definedName name="_21__FDSAUDITLINK__" localSheetId="5" hidden="1">{"fdsup://directions/FAT Viewer?action=UPDATE&amp;creator=factset&amp;DYN_ARGS=TRUE&amp;DOC_NAME=FAT:FQL_AUDITING_CLIENT_TEMPLATE.FAT&amp;display_string=Audit&amp;VAR:KEY=LITAXAZMZK&amp;VAR:QUERY=RkZfRElWX1lMRChBTk4sTk9XKQ==&amp;WINDOW=FIRST_POPUP&amp;HEIGHT=450&amp;WIDTH=450&amp;START_MAXIMIZED=","FALSE&amp;VAR:CALENDAR=US&amp;VAR:SYMBOL=B282YM&amp;VAR:INDEX=0"}</definedName>
    <definedName name="_21__FDSAUDITLINK__" localSheetId="1" hidden="1">{"fdsup://directions/FAT Viewer?action=UPDATE&amp;creator=factset&amp;DYN_ARGS=TRUE&amp;DOC_NAME=FAT:FQL_AUDITING_CLIENT_TEMPLATE.FAT&amp;display_string=Audit&amp;VAR:KEY=LITAXAZMZK&amp;VAR:QUERY=RkZfRElWX1lMRChBTk4sTk9XKQ==&amp;WINDOW=FIRST_POPUP&amp;HEIGHT=450&amp;WIDTH=450&amp;START_MAXIMIZED=","FALSE&amp;VAR:CALENDAR=US&amp;VAR:SYMBOL=B282YM&amp;VAR:INDEX=0"}</definedName>
    <definedName name="_21__FDSAUDITLINK__" localSheetId="3" hidden="1">{"fdsup://directions/FAT Viewer?action=UPDATE&amp;creator=factset&amp;DYN_ARGS=TRUE&amp;DOC_NAME=FAT:FQL_AUDITING_CLIENT_TEMPLATE.FAT&amp;display_string=Audit&amp;VAR:KEY=LITAXAZMZK&amp;VAR:QUERY=RkZfRElWX1lMRChBTk4sTk9XKQ==&amp;WINDOW=FIRST_POPUP&amp;HEIGHT=450&amp;WIDTH=450&amp;START_MAXIMIZED=","FALSE&amp;VAR:CALENDAR=US&amp;VAR:SYMBOL=B282YM&amp;VAR:INDEX=0"}</definedName>
    <definedName name="_21__FDSAUDITLINK__" hidden="1">{"fdsup://directions/FAT Viewer?action=UPDATE&amp;creator=factset&amp;DYN_ARGS=TRUE&amp;DOC_NAME=FAT:FQL_AUDITING_CLIENT_TEMPLATE.FAT&amp;display_string=Audit&amp;VAR:KEY=SHULCXSPEF&amp;VAR:QUERY=RkZfREVCVF9FQklUREEoJ0FOTicsMCwsLCwnVVNEJyk=&amp;WINDOW=FIRST_POPUP&amp;HEIGHT=450&amp;WIDTH=450&amp;","START_MAXIMIZED=FALSE&amp;VAR:CALENDAR=US&amp;VAR:SYMBOL=FLR&amp;VAR:INDEX=0"}</definedName>
    <definedName name="_21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334"}</definedName>
    <definedName name="_21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334"}</definedName>
    <definedName name="_21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334"}</definedName>
    <definedName name="_21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334"}</definedName>
    <definedName name="_21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334"}</definedName>
    <definedName name="_21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334"}</definedName>
    <definedName name="_21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334"}</definedName>
    <definedName name="_210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25"}</definedName>
    <definedName name="_210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24"}</definedName>
    <definedName name="_210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23"}</definedName>
    <definedName name="_210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22"}</definedName>
    <definedName name="_210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21"}</definedName>
    <definedName name="_210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20"}</definedName>
    <definedName name="_210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19"}</definedName>
    <definedName name="_210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18"}</definedName>
    <definedName name="_210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17"}</definedName>
    <definedName name="_210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0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16"}</definedName>
    <definedName name="_21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333"}</definedName>
    <definedName name="_21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333"}</definedName>
    <definedName name="_21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333"}</definedName>
    <definedName name="_21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333"}</definedName>
    <definedName name="_21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333"}</definedName>
    <definedName name="_21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333"}</definedName>
    <definedName name="_21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333"}</definedName>
    <definedName name="_211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15"}</definedName>
    <definedName name="_211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14"}</definedName>
    <definedName name="_211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13"}</definedName>
    <definedName name="_211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12"}</definedName>
    <definedName name="_211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11"}</definedName>
    <definedName name="_211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10"}</definedName>
    <definedName name="_2116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6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9"}</definedName>
    <definedName name="_2117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7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8"}</definedName>
    <definedName name="_2118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8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7"}</definedName>
    <definedName name="_2119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19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6"}</definedName>
    <definedName name="_21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332"}</definedName>
    <definedName name="_21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332"}</definedName>
    <definedName name="_21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332"}</definedName>
    <definedName name="_21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332"}</definedName>
    <definedName name="_21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332"}</definedName>
    <definedName name="_21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332"}</definedName>
    <definedName name="_21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332"}</definedName>
    <definedName name="_2120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0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5"}</definedName>
    <definedName name="_2121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1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4"}</definedName>
    <definedName name="_2122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2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3"}</definedName>
    <definedName name="_2123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3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2"}</definedName>
    <definedName name="_2124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4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1"}</definedName>
    <definedName name="_2125__FDSAUDITLINK__" localSheetId="9"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localSheetId="8"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localSheetId="6"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localSheetId="5"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localSheetId="1"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localSheetId="3"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25__FDSAUDITLINK__" hidden="1">{"fdsup://directions/FAT Viewer?action=UPDATE&amp;creator=factset&amp;DYN_ARGS=TRUE&amp;DOC_NAME=FAT:FQL_AUDITING_CLIENT_TEMPLATE.FAT&amp;display_string=Audit&amp;VAR:KEY=JGXCVWRUTO&amp;VAR:QUERY=RkZfRU5UUlBSX1ZBTF9EQUlMWShOT1csLTEwQVksVywsLCdESUwnKQ==&amp;WINDOW=FIRST_POPUP&amp;HEIGHT=45","0&amp;WIDTH=450&amp;START_MAXIMIZED=FALSE&amp;VAR:CALENDAR=US&amp;VAR:SYMBOL=BEZ&amp;VAR:INDEX=0"}</definedName>
    <definedName name="_21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331"}</definedName>
    <definedName name="_21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331"}</definedName>
    <definedName name="_21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331"}</definedName>
    <definedName name="_21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331"}</definedName>
    <definedName name="_21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331"}</definedName>
    <definedName name="_21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331"}</definedName>
    <definedName name="_21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331"}</definedName>
    <definedName name="_21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330"}</definedName>
    <definedName name="_21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330"}</definedName>
    <definedName name="_21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330"}</definedName>
    <definedName name="_21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330"}</definedName>
    <definedName name="_21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330"}</definedName>
    <definedName name="_21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330"}</definedName>
    <definedName name="_21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330"}</definedName>
    <definedName name="_21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329"}</definedName>
    <definedName name="_21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329"}</definedName>
    <definedName name="_21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329"}</definedName>
    <definedName name="_21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329"}</definedName>
    <definedName name="_21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329"}</definedName>
    <definedName name="_21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329"}</definedName>
    <definedName name="_21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329"}</definedName>
    <definedName name="_21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328"}</definedName>
    <definedName name="_21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328"}</definedName>
    <definedName name="_21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328"}</definedName>
    <definedName name="_21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328"}</definedName>
    <definedName name="_21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328"}</definedName>
    <definedName name="_21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328"}</definedName>
    <definedName name="_21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328"}</definedName>
    <definedName name="_21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327"}</definedName>
    <definedName name="_21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327"}</definedName>
    <definedName name="_21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327"}</definedName>
    <definedName name="_21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327"}</definedName>
    <definedName name="_21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327"}</definedName>
    <definedName name="_21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327"}</definedName>
    <definedName name="_21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327"}</definedName>
    <definedName name="_21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326"}</definedName>
    <definedName name="_21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326"}</definedName>
    <definedName name="_21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326"}</definedName>
    <definedName name="_21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326"}</definedName>
    <definedName name="_21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326"}</definedName>
    <definedName name="_21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326"}</definedName>
    <definedName name="_21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326"}</definedName>
    <definedName name="_21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325"}</definedName>
    <definedName name="_21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325"}</definedName>
    <definedName name="_21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325"}</definedName>
    <definedName name="_21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325"}</definedName>
    <definedName name="_21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325"}</definedName>
    <definedName name="_21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325"}</definedName>
    <definedName name="_21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325"}</definedName>
    <definedName name="_22__FDSAUDITLINK__" localSheetId="9" hidden="1">{"fdsup://directions/FAT Viewer?action=UPDATE&amp;creator=factset&amp;DYN_ARGS=TRUE&amp;DOC_NAME=FAT:FQL_AUDITING_CLIENT_TEMPLATE.FAT&amp;display_string=Audit&amp;VAR:KEY=ZSVKRCLAXO&amp;VAR:QUERY=RkZfRElWX1lMRChBTk4sTk9XKQ==&amp;WINDOW=FIRST_POPUP&amp;HEIGHT=450&amp;WIDTH=450&amp;START_MAXIMIZED=","FALSE&amp;VAR:CALENDAR=US&amp;VAR:SYMBOL=CTL&amp;VAR:INDEX=0"}</definedName>
    <definedName name="_22__FDSAUDITLINK__" localSheetId="8" hidden="1">{"fdsup://directions/FAT Viewer?action=UPDATE&amp;creator=factset&amp;DYN_ARGS=TRUE&amp;DOC_NAME=FAT:FQL_AUDITING_CLIENT_TEMPLATE.FAT&amp;display_string=Audit&amp;VAR:KEY=ZSVKRCLAXO&amp;VAR:QUERY=RkZfRElWX1lMRChBTk4sTk9XKQ==&amp;WINDOW=FIRST_POPUP&amp;HEIGHT=450&amp;WIDTH=450&amp;START_MAXIMIZED=","FALSE&amp;VAR:CALENDAR=US&amp;VAR:SYMBOL=CTL&amp;VAR:INDEX=0"}</definedName>
    <definedName name="_22__FDSAUDITLINK__" localSheetId="6" hidden="1">{"fdsup://directions/FAT Viewer?action=UPDATE&amp;creator=factset&amp;DYN_ARGS=TRUE&amp;DOC_NAME=FAT:FQL_AUDITING_CLIENT_TEMPLATE.FAT&amp;display_string=Audit&amp;VAR:KEY=WBWBOJGXMD&amp;VAR:QUERY=RkZfTFREX1RDQVAoJ0FOTicsMCk=&amp;WINDOW=FIRST_POPUP&amp;HEIGHT=450&amp;WIDTH=450&amp;START_MAXIMIZED=","FALSE&amp;VAR:CALENDAR=US&amp;VAR:SYMBOL=FLR&amp;VAR:INDEX=0"}</definedName>
    <definedName name="_22__FDSAUDITLINK__" localSheetId="5" hidden="1">{"fdsup://directions/FAT Viewer?action=UPDATE&amp;creator=factset&amp;DYN_ARGS=TRUE&amp;DOC_NAME=FAT:FQL_AUDITING_CLIENT_TEMPLATE.FAT&amp;display_string=Audit&amp;VAR:KEY=ZSVKRCLAXO&amp;VAR:QUERY=RkZfRElWX1lMRChBTk4sTk9XKQ==&amp;WINDOW=FIRST_POPUP&amp;HEIGHT=450&amp;WIDTH=450&amp;START_MAXIMIZED=","FALSE&amp;VAR:CALENDAR=US&amp;VAR:SYMBOL=CTL&amp;VAR:INDEX=0"}</definedName>
    <definedName name="_22__FDSAUDITLINK__" localSheetId="1" hidden="1">{"fdsup://directions/FAT Viewer?action=UPDATE&amp;creator=factset&amp;DYN_ARGS=TRUE&amp;DOC_NAME=FAT:FQL_AUDITING_CLIENT_TEMPLATE.FAT&amp;display_string=Audit&amp;VAR:KEY=ZSVKRCLAXO&amp;VAR:QUERY=RkZfRElWX1lMRChBTk4sTk9XKQ==&amp;WINDOW=FIRST_POPUP&amp;HEIGHT=450&amp;WIDTH=450&amp;START_MAXIMIZED=","FALSE&amp;VAR:CALENDAR=US&amp;VAR:SYMBOL=CTL&amp;VAR:INDEX=0"}</definedName>
    <definedName name="_22__FDSAUDITLINK__" localSheetId="3" hidden="1">{"fdsup://directions/FAT Viewer?action=UPDATE&amp;creator=factset&amp;DYN_ARGS=TRUE&amp;DOC_NAME=FAT:FQL_AUDITING_CLIENT_TEMPLATE.FAT&amp;display_string=Audit&amp;VAR:KEY=ZSVKRCLAXO&amp;VAR:QUERY=RkZfRElWX1lMRChBTk4sTk9XKQ==&amp;WINDOW=FIRST_POPUP&amp;HEIGHT=450&amp;WIDTH=450&amp;START_MAXIMIZED=","FALSE&amp;VAR:CALENDAR=US&amp;VAR:SYMBOL=CTL&amp;VAR:INDEX=0"}</definedName>
    <definedName name="_22__FDSAUDITLINK__" hidden="1">{"fdsup://directions/FAT Viewer?action=UPDATE&amp;creator=factset&amp;DYN_ARGS=TRUE&amp;DOC_NAME=FAT:FQL_AUDITING_CLIENT_TEMPLATE.FAT&amp;display_string=Audit&amp;VAR:KEY=WBWBOJGXMD&amp;VAR:QUERY=RkZfTFREX1RDQVAoJ0FOTicsMCk=&amp;WINDOW=FIRST_POPUP&amp;HEIGHT=450&amp;WIDTH=450&amp;START_MAXIMIZED=","FALSE&amp;VAR:CALENDAR=US&amp;VAR:SYMBOL=FLR&amp;VAR:INDEX=0"}</definedName>
    <definedName name="_22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324"}</definedName>
    <definedName name="_22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324"}</definedName>
    <definedName name="_22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324"}</definedName>
    <definedName name="_22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324"}</definedName>
    <definedName name="_22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324"}</definedName>
    <definedName name="_22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324"}</definedName>
    <definedName name="_22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324"}</definedName>
    <definedName name="_22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323"}</definedName>
    <definedName name="_22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323"}</definedName>
    <definedName name="_22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323"}</definedName>
    <definedName name="_22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323"}</definedName>
    <definedName name="_22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323"}</definedName>
    <definedName name="_22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323"}</definedName>
    <definedName name="_22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323"}</definedName>
    <definedName name="_22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322"}</definedName>
    <definedName name="_22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322"}</definedName>
    <definedName name="_22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322"}</definedName>
    <definedName name="_22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322"}</definedName>
    <definedName name="_22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322"}</definedName>
    <definedName name="_22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322"}</definedName>
    <definedName name="_22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322"}</definedName>
    <definedName name="_22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321"}</definedName>
    <definedName name="_22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321"}</definedName>
    <definedName name="_22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321"}</definedName>
    <definedName name="_22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321"}</definedName>
    <definedName name="_22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321"}</definedName>
    <definedName name="_22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321"}</definedName>
    <definedName name="_22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321"}</definedName>
    <definedName name="_22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320"}</definedName>
    <definedName name="_22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320"}</definedName>
    <definedName name="_22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320"}</definedName>
    <definedName name="_22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320"}</definedName>
    <definedName name="_22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320"}</definedName>
    <definedName name="_22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320"}</definedName>
    <definedName name="_22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320"}</definedName>
    <definedName name="_22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319"}</definedName>
    <definedName name="_22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319"}</definedName>
    <definedName name="_22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319"}</definedName>
    <definedName name="_22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319"}</definedName>
    <definedName name="_22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319"}</definedName>
    <definedName name="_22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319"}</definedName>
    <definedName name="_22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319"}</definedName>
    <definedName name="_22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318"}</definedName>
    <definedName name="_22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318"}</definedName>
    <definedName name="_22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318"}</definedName>
    <definedName name="_22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318"}</definedName>
    <definedName name="_22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318"}</definedName>
    <definedName name="_22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318"}</definedName>
    <definedName name="_22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318"}</definedName>
    <definedName name="_22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317"}</definedName>
    <definedName name="_22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317"}</definedName>
    <definedName name="_22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317"}</definedName>
    <definedName name="_22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317"}</definedName>
    <definedName name="_22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317"}</definedName>
    <definedName name="_22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317"}</definedName>
    <definedName name="_22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317"}</definedName>
    <definedName name="_22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316"}</definedName>
    <definedName name="_22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316"}</definedName>
    <definedName name="_22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316"}</definedName>
    <definedName name="_22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316"}</definedName>
    <definedName name="_22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316"}</definedName>
    <definedName name="_22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316"}</definedName>
    <definedName name="_22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316"}</definedName>
    <definedName name="_22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315"}</definedName>
    <definedName name="_22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315"}</definedName>
    <definedName name="_22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315"}</definedName>
    <definedName name="_22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315"}</definedName>
    <definedName name="_22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315"}</definedName>
    <definedName name="_22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315"}</definedName>
    <definedName name="_22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315"}</definedName>
    <definedName name="_23__FDSAUDITLINK__" localSheetId="9" hidden="1">{"fdsup://directions/FAT Viewer?action=UPDATE&amp;creator=factset&amp;DYN_ARGS=TRUE&amp;DOC_NAME=FAT:FQL_AUDITING_CLIENT_TEMPLATE.FAT&amp;display_string=Audit&amp;VAR:KEY=QDCXIDEPON&amp;VAR:QUERY=RkZfRElWX1lMRChBTk4sTk9XKQ==&amp;WINDOW=FIRST_POPUP&amp;HEIGHT=450&amp;WIDTH=450&amp;START_MAXIMIZED=","FALSE&amp;VAR:CALENDAR=US&amp;VAR:SYMBOL=GILT&amp;VAR:INDEX=0"}</definedName>
    <definedName name="_23__FDSAUDITLINK__" localSheetId="8" hidden="1">{"fdsup://directions/FAT Viewer?action=UPDATE&amp;creator=factset&amp;DYN_ARGS=TRUE&amp;DOC_NAME=FAT:FQL_AUDITING_CLIENT_TEMPLATE.FAT&amp;display_string=Audit&amp;VAR:KEY=QDCXIDEPON&amp;VAR:QUERY=RkZfRElWX1lMRChBTk4sTk9XKQ==&amp;WINDOW=FIRST_POPUP&amp;HEIGHT=450&amp;WIDTH=450&amp;START_MAXIMIZED=","FALSE&amp;VAR:CALENDAR=US&amp;VAR:SYMBOL=GILT&amp;VAR:INDEX=0"}</definedName>
    <definedName name="_23__FDSAUDITLINK__" localSheetId="6" hidden="1">{"fdsup://Directions/FactSet Auditing Viewer?action=AUDIT_VALUE&amp;DB=129&amp;ID1=34341210&amp;VALUEID=02001&amp;SDATE=2009&amp;PERIODTYPE=ANN_STD&amp;window=popup_no_bar&amp;width=385&amp;height=120&amp;START_MAXIMIZED=FALSE&amp;creator=factset&amp;display_string=Audit"}</definedName>
    <definedName name="_23__FDSAUDITLINK__" localSheetId="5" hidden="1">{"fdsup://directions/FAT Viewer?action=UPDATE&amp;creator=factset&amp;DYN_ARGS=TRUE&amp;DOC_NAME=FAT:FQL_AUDITING_CLIENT_TEMPLATE.FAT&amp;display_string=Audit&amp;VAR:KEY=QDCXIDEPON&amp;VAR:QUERY=RkZfRElWX1lMRChBTk4sTk9XKQ==&amp;WINDOW=FIRST_POPUP&amp;HEIGHT=450&amp;WIDTH=450&amp;START_MAXIMIZED=","FALSE&amp;VAR:CALENDAR=US&amp;VAR:SYMBOL=GILT&amp;VAR:INDEX=0"}</definedName>
    <definedName name="_23__FDSAUDITLINK__" localSheetId="1" hidden="1">{"fdsup://directions/FAT Viewer?action=UPDATE&amp;creator=factset&amp;DYN_ARGS=TRUE&amp;DOC_NAME=FAT:FQL_AUDITING_CLIENT_TEMPLATE.FAT&amp;display_string=Audit&amp;VAR:KEY=QDCXIDEPON&amp;VAR:QUERY=RkZfRElWX1lMRChBTk4sTk9XKQ==&amp;WINDOW=FIRST_POPUP&amp;HEIGHT=450&amp;WIDTH=450&amp;START_MAXIMIZED=","FALSE&amp;VAR:CALENDAR=US&amp;VAR:SYMBOL=GILT&amp;VAR:INDEX=0"}</definedName>
    <definedName name="_23__FDSAUDITLINK__" localSheetId="3" hidden="1">{"fdsup://directions/FAT Viewer?action=UPDATE&amp;creator=factset&amp;DYN_ARGS=TRUE&amp;DOC_NAME=FAT:FQL_AUDITING_CLIENT_TEMPLATE.FAT&amp;display_string=Audit&amp;VAR:KEY=QDCXIDEPON&amp;VAR:QUERY=RkZfRElWX1lMRChBTk4sTk9XKQ==&amp;WINDOW=FIRST_POPUP&amp;HEIGHT=450&amp;WIDTH=450&amp;START_MAXIMIZED=","FALSE&amp;VAR:CALENDAR=US&amp;VAR:SYMBOL=GILT&amp;VAR:INDEX=0"}</definedName>
    <definedName name="_23__FDSAUDITLINK__" hidden="1">{"fdsup://Directions/FactSet Auditing Viewer?action=AUDIT_VALUE&amp;DB=129&amp;ID1=34341210&amp;VALUEID=02001&amp;SDATE=2009&amp;PERIODTYPE=ANN_STD&amp;window=popup_no_bar&amp;width=385&amp;height=120&amp;START_MAXIMIZED=FALSE&amp;creator=factset&amp;display_string=Audit"}</definedName>
    <definedName name="_23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314"}</definedName>
    <definedName name="_23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314"}</definedName>
    <definedName name="_23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314"}</definedName>
    <definedName name="_23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314"}</definedName>
    <definedName name="_23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314"}</definedName>
    <definedName name="_23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314"}</definedName>
    <definedName name="_23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314"}</definedName>
    <definedName name="_23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313"}</definedName>
    <definedName name="_23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313"}</definedName>
    <definedName name="_23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313"}</definedName>
    <definedName name="_23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313"}</definedName>
    <definedName name="_23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313"}</definedName>
    <definedName name="_23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313"}</definedName>
    <definedName name="_23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313"}</definedName>
    <definedName name="_23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312"}</definedName>
    <definedName name="_23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312"}</definedName>
    <definedName name="_23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312"}</definedName>
    <definedName name="_23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312"}</definedName>
    <definedName name="_23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312"}</definedName>
    <definedName name="_23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312"}</definedName>
    <definedName name="_23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312"}</definedName>
    <definedName name="_23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311"}</definedName>
    <definedName name="_23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311"}</definedName>
    <definedName name="_23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311"}</definedName>
    <definedName name="_23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311"}</definedName>
    <definedName name="_23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311"}</definedName>
    <definedName name="_23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311"}</definedName>
    <definedName name="_23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311"}</definedName>
    <definedName name="_23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310"}</definedName>
    <definedName name="_23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310"}</definedName>
    <definedName name="_23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310"}</definedName>
    <definedName name="_23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310"}</definedName>
    <definedName name="_23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310"}</definedName>
    <definedName name="_23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310"}</definedName>
    <definedName name="_23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310"}</definedName>
    <definedName name="_23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309"}</definedName>
    <definedName name="_23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309"}</definedName>
    <definedName name="_23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309"}</definedName>
    <definedName name="_23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309"}</definedName>
    <definedName name="_23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309"}</definedName>
    <definedName name="_23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309"}</definedName>
    <definedName name="_23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309"}</definedName>
    <definedName name="_23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308"}</definedName>
    <definedName name="_23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308"}</definedName>
    <definedName name="_23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308"}</definedName>
    <definedName name="_23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308"}</definedName>
    <definedName name="_23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308"}</definedName>
    <definedName name="_23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308"}</definedName>
    <definedName name="_23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308"}</definedName>
    <definedName name="_23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307"}</definedName>
    <definedName name="_23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307"}</definedName>
    <definedName name="_23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307"}</definedName>
    <definedName name="_23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307"}</definedName>
    <definedName name="_23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307"}</definedName>
    <definedName name="_23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307"}</definedName>
    <definedName name="_23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307"}</definedName>
    <definedName name="_23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306"}</definedName>
    <definedName name="_23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306"}</definedName>
    <definedName name="_23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306"}</definedName>
    <definedName name="_23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306"}</definedName>
    <definedName name="_23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306"}</definedName>
    <definedName name="_23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306"}</definedName>
    <definedName name="_23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306"}</definedName>
    <definedName name="_23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305"}</definedName>
    <definedName name="_23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305"}</definedName>
    <definedName name="_23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305"}</definedName>
    <definedName name="_23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305"}</definedName>
    <definedName name="_23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305"}</definedName>
    <definedName name="_23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305"}</definedName>
    <definedName name="_23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305"}</definedName>
    <definedName name="_24__FDSAUDITLINK__" localSheetId="9"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localSheetId="8"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localSheetId="6"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localSheetId="5"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localSheetId="1"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localSheetId="3"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__FDSAUDITLINK__" hidden="1">{"fdsup://directions/FAT Viewer?action=UPDATE&amp;creator=factset&amp;DYN_ARGS=TRUE&amp;DOC_NAME=FAT:FQL_AUDITING_CLIENT_TEMPLATE.FAT&amp;display_string=Audit&amp;VAR:KEY=MBGNKFYDQJ&amp;VAR:QUERY=RkZfRU5UUlBSX1ZBTF9EQUlMWSgwLCwsLCdVU0QnLCdESUwnKQ==&amp;WINDOW=FIRST_POPUP&amp;HEIGHT=450&amp;WI","DTH=450&amp;START_MAXIMIZED=FALSE&amp;VAR:CALENDAR=US&amp;VAR:SYMBOL=FLR&amp;VAR:INDEX=0"}</definedName>
    <definedName name="_24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304"}</definedName>
    <definedName name="_24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304"}</definedName>
    <definedName name="_24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304"}</definedName>
    <definedName name="_24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304"}</definedName>
    <definedName name="_24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304"}</definedName>
    <definedName name="_24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304"}</definedName>
    <definedName name="_24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304"}</definedName>
    <definedName name="_24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303"}</definedName>
    <definedName name="_24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303"}</definedName>
    <definedName name="_24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303"}</definedName>
    <definedName name="_24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303"}</definedName>
    <definedName name="_24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303"}</definedName>
    <definedName name="_24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303"}</definedName>
    <definedName name="_24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303"}</definedName>
    <definedName name="_24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302"}</definedName>
    <definedName name="_24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302"}</definedName>
    <definedName name="_24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302"}</definedName>
    <definedName name="_24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302"}</definedName>
    <definedName name="_24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302"}</definedName>
    <definedName name="_24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302"}</definedName>
    <definedName name="_24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302"}</definedName>
    <definedName name="_24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301"}</definedName>
    <definedName name="_24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301"}</definedName>
    <definedName name="_24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301"}</definedName>
    <definedName name="_24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301"}</definedName>
    <definedName name="_24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301"}</definedName>
    <definedName name="_24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301"}</definedName>
    <definedName name="_24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301"}</definedName>
    <definedName name="_24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300"}</definedName>
    <definedName name="_24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300"}</definedName>
    <definedName name="_24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300"}</definedName>
    <definedName name="_24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300"}</definedName>
    <definedName name="_24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300"}</definedName>
    <definedName name="_24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300"}</definedName>
    <definedName name="_24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300"}</definedName>
    <definedName name="_24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299"}</definedName>
    <definedName name="_24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299"}</definedName>
    <definedName name="_24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299"}</definedName>
    <definedName name="_24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299"}</definedName>
    <definedName name="_24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299"}</definedName>
    <definedName name="_24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299"}</definedName>
    <definedName name="_24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299"}</definedName>
    <definedName name="_24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298"}</definedName>
    <definedName name="_24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298"}</definedName>
    <definedName name="_24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298"}</definedName>
    <definedName name="_24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298"}</definedName>
    <definedName name="_24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298"}</definedName>
    <definedName name="_24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298"}</definedName>
    <definedName name="_24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298"}</definedName>
    <definedName name="_24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297"}</definedName>
    <definedName name="_24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297"}</definedName>
    <definedName name="_24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297"}</definedName>
    <definedName name="_24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297"}</definedName>
    <definedName name="_24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297"}</definedName>
    <definedName name="_24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297"}</definedName>
    <definedName name="_24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297"}</definedName>
    <definedName name="_24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296"}</definedName>
    <definedName name="_24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296"}</definedName>
    <definedName name="_24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296"}</definedName>
    <definedName name="_24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296"}</definedName>
    <definedName name="_24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296"}</definedName>
    <definedName name="_24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296"}</definedName>
    <definedName name="_24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296"}</definedName>
    <definedName name="_24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295"}</definedName>
    <definedName name="_24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295"}</definedName>
    <definedName name="_24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295"}</definedName>
    <definedName name="_24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295"}</definedName>
    <definedName name="_24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295"}</definedName>
    <definedName name="_24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295"}</definedName>
    <definedName name="_24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295"}</definedName>
    <definedName name="_25__FDSAUDITLINK__" localSheetId="9" hidden="1">{"fdsup://directions/FAT Viewer?action=UPDATE&amp;creator=factset&amp;DYN_ARGS=TRUE&amp;DOC_NAME=FAT:FQL_AUDITING_CLIENT_TEMPLATE.FAT&amp;display_string=Audit&amp;VAR:KEY=VWFAFSJUTG&amp;VAR:QUERY=RkZfRElWX1lMRChBTk4sTk9XKQ==&amp;WINDOW=FIRST_POPUP&amp;HEIGHT=450&amp;WIDTH=450&amp;START_MAXIMIZED=","FALSE&amp;VAR:CALENDAR=US&amp;VAR:SYMBOL=JCOM&amp;VAR:INDEX=0"}</definedName>
    <definedName name="_25__FDSAUDITLINK__" localSheetId="8" hidden="1">{"fdsup://directions/FAT Viewer?action=UPDATE&amp;creator=factset&amp;DYN_ARGS=TRUE&amp;DOC_NAME=FAT:FQL_AUDITING_CLIENT_TEMPLATE.FAT&amp;display_string=Audit&amp;VAR:KEY=VWFAFSJUTG&amp;VAR:QUERY=RkZfRElWX1lMRChBTk4sTk9XKQ==&amp;WINDOW=FIRST_POPUP&amp;HEIGHT=450&amp;WIDTH=450&amp;START_MAXIMIZED=","FALSE&amp;VAR:CALENDAR=US&amp;VAR:SYMBOL=JCOM&amp;VAR:INDEX=0"}</definedName>
    <definedName name="_25__FDSAUDITLINK__" localSheetId="6" hidden="1">{"fdsup://directions/FAT Viewer?action=UPDATE&amp;creator=factset&amp;DYN_ARGS=TRUE&amp;DOC_NAME=FAT:FQL_AUDITING_CLIENT_TEMPLATE.FAT&amp;display_string=Audit&amp;VAR:KEY=IFSRKFUJWF&amp;VAR:QUERY=RkZfRU5UUlBSX1ZBTF9FQklUREEoJ0FOTicsMCwsLCwnVVNEJyk=&amp;WINDOW=FIRST_POPUP&amp;HEIGHT=450&amp;WI","DTH=450&amp;START_MAXIMIZED=FALSE&amp;VAR:CALENDAR=US&amp;VAR:SYMBOL=LMT&amp;VAR:INDEX=0"}</definedName>
    <definedName name="_25__FDSAUDITLINK__" localSheetId="5" hidden="1">{"fdsup://directions/FAT Viewer?action=UPDATE&amp;creator=factset&amp;DYN_ARGS=TRUE&amp;DOC_NAME=FAT:FQL_AUDITING_CLIENT_TEMPLATE.FAT&amp;display_string=Audit&amp;VAR:KEY=VWFAFSJUTG&amp;VAR:QUERY=RkZfRElWX1lMRChBTk4sTk9XKQ==&amp;WINDOW=FIRST_POPUP&amp;HEIGHT=450&amp;WIDTH=450&amp;START_MAXIMIZED=","FALSE&amp;VAR:CALENDAR=US&amp;VAR:SYMBOL=JCOM&amp;VAR:INDEX=0"}</definedName>
    <definedName name="_25__FDSAUDITLINK__" localSheetId="1" hidden="1">{"fdsup://directions/FAT Viewer?action=UPDATE&amp;creator=factset&amp;DYN_ARGS=TRUE&amp;DOC_NAME=FAT:FQL_AUDITING_CLIENT_TEMPLATE.FAT&amp;display_string=Audit&amp;VAR:KEY=VWFAFSJUTG&amp;VAR:QUERY=RkZfRElWX1lMRChBTk4sTk9XKQ==&amp;WINDOW=FIRST_POPUP&amp;HEIGHT=450&amp;WIDTH=450&amp;START_MAXIMIZED=","FALSE&amp;VAR:CALENDAR=US&amp;VAR:SYMBOL=JCOM&amp;VAR:INDEX=0"}</definedName>
    <definedName name="_25__FDSAUDITLINK__" localSheetId="3" hidden="1">{"fdsup://directions/FAT Viewer?action=UPDATE&amp;creator=factset&amp;DYN_ARGS=TRUE&amp;DOC_NAME=FAT:FQL_AUDITING_CLIENT_TEMPLATE.FAT&amp;display_string=Audit&amp;VAR:KEY=VWFAFSJUTG&amp;VAR:QUERY=RkZfRElWX1lMRChBTk4sTk9XKQ==&amp;WINDOW=FIRST_POPUP&amp;HEIGHT=450&amp;WIDTH=450&amp;START_MAXIMIZED=","FALSE&amp;VAR:CALENDAR=US&amp;VAR:SYMBOL=JCOM&amp;VAR:INDEX=0"}</definedName>
    <definedName name="_25__FDSAUDITLINK__" hidden="1">{"fdsup://directions/FAT Viewer?action=UPDATE&amp;creator=factset&amp;DYN_ARGS=TRUE&amp;DOC_NAME=FAT:FQL_AUDITING_CLIENT_TEMPLATE.FAT&amp;display_string=Audit&amp;VAR:KEY=IFSRKFUJWF&amp;VAR:QUERY=RkZfRU5UUlBSX1ZBTF9FQklUREEoJ0FOTicsMCwsLCwnVVNEJyk=&amp;WINDOW=FIRST_POPUP&amp;HEIGHT=450&amp;WI","DTH=450&amp;START_MAXIMIZED=FALSE&amp;VAR:CALENDAR=US&amp;VAR:SYMBOL=LMT&amp;VAR:INDEX=0"}</definedName>
    <definedName name="_25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294"}</definedName>
    <definedName name="_25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294"}</definedName>
    <definedName name="_25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294"}</definedName>
    <definedName name="_25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294"}</definedName>
    <definedName name="_25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294"}</definedName>
    <definedName name="_25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294"}</definedName>
    <definedName name="_25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294"}</definedName>
    <definedName name="_25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293"}</definedName>
    <definedName name="_25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293"}</definedName>
    <definedName name="_25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293"}</definedName>
    <definedName name="_25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293"}</definedName>
    <definedName name="_25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293"}</definedName>
    <definedName name="_25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293"}</definedName>
    <definedName name="_25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293"}</definedName>
    <definedName name="_25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292"}</definedName>
    <definedName name="_25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292"}</definedName>
    <definedName name="_25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292"}</definedName>
    <definedName name="_25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292"}</definedName>
    <definedName name="_25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292"}</definedName>
    <definedName name="_25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292"}</definedName>
    <definedName name="_25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292"}</definedName>
    <definedName name="_25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291"}</definedName>
    <definedName name="_25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291"}</definedName>
    <definedName name="_25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291"}</definedName>
    <definedName name="_25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291"}</definedName>
    <definedName name="_25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291"}</definedName>
    <definedName name="_25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291"}</definedName>
    <definedName name="_25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291"}</definedName>
    <definedName name="_25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290"}</definedName>
    <definedName name="_25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290"}</definedName>
    <definedName name="_25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290"}</definedName>
    <definedName name="_25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290"}</definedName>
    <definedName name="_25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290"}</definedName>
    <definedName name="_25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290"}</definedName>
    <definedName name="_25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290"}</definedName>
    <definedName name="_25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289"}</definedName>
    <definedName name="_25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289"}</definedName>
    <definedName name="_25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289"}</definedName>
    <definedName name="_25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289"}</definedName>
    <definedName name="_25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289"}</definedName>
    <definedName name="_25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289"}</definedName>
    <definedName name="_25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289"}</definedName>
    <definedName name="_25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288"}</definedName>
    <definedName name="_25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288"}</definedName>
    <definedName name="_25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288"}</definedName>
    <definedName name="_25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288"}</definedName>
    <definedName name="_25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288"}</definedName>
    <definedName name="_25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288"}</definedName>
    <definedName name="_25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288"}</definedName>
    <definedName name="_25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287"}</definedName>
    <definedName name="_25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287"}</definedName>
    <definedName name="_25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287"}</definedName>
    <definedName name="_25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287"}</definedName>
    <definedName name="_25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287"}</definedName>
    <definedName name="_25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287"}</definedName>
    <definedName name="_25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287"}</definedName>
    <definedName name="_25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286"}</definedName>
    <definedName name="_25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286"}</definedName>
    <definedName name="_25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286"}</definedName>
    <definedName name="_25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286"}</definedName>
    <definedName name="_25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286"}</definedName>
    <definedName name="_25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286"}</definedName>
    <definedName name="_25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286"}</definedName>
    <definedName name="_25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285"}</definedName>
    <definedName name="_25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285"}</definedName>
    <definedName name="_25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285"}</definedName>
    <definedName name="_25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285"}</definedName>
    <definedName name="_25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285"}</definedName>
    <definedName name="_25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285"}</definedName>
    <definedName name="_25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285"}</definedName>
    <definedName name="_26__FDSAUDITLINK__" localSheetId="9" hidden="1">{"fdsup://directions/FAT Viewer?action=UPDATE&amp;creator=factset&amp;DYN_ARGS=TRUE&amp;DOC_NAME=FAT:FQL_AUDITING_CLIENT_TEMPLATE.FAT&amp;display_string=Audit&amp;VAR:KEY=CNIHSNULYT&amp;VAR:QUERY=RkZfRElWX1lMRChBTk4sTk9XKQ==&amp;WINDOW=FIRST_POPUP&amp;HEIGHT=450&amp;WIDTH=450&amp;START_MAXIMIZED=","FALSE&amp;VAR:CALENDAR=US&amp;VAR:SYMBOL=AKAM&amp;VAR:INDEX=0"}</definedName>
    <definedName name="_26__FDSAUDITLINK__" localSheetId="8" hidden="1">{"fdsup://directions/FAT Viewer?action=UPDATE&amp;creator=factset&amp;DYN_ARGS=TRUE&amp;DOC_NAME=FAT:FQL_AUDITING_CLIENT_TEMPLATE.FAT&amp;display_string=Audit&amp;VAR:KEY=CNIHSNULYT&amp;VAR:QUERY=RkZfRElWX1lMRChBTk4sTk9XKQ==&amp;WINDOW=FIRST_POPUP&amp;HEIGHT=450&amp;WIDTH=450&amp;START_MAXIMIZED=","FALSE&amp;VAR:CALENDAR=US&amp;VAR:SYMBOL=AKAM&amp;VAR:INDEX=0"}</definedName>
    <definedName name="_26__FDSAUDITLINK__" localSheetId="6" hidden="1">{"fdsup://directions/FAT Viewer?action=UPDATE&amp;creator=factset&amp;DYN_ARGS=TRUE&amp;DOC_NAME=FAT:FQL_AUDITING_CLIENT_TEMPLATE.FAT&amp;display_string=Audit&amp;VAR:KEY=YBKNEXSXGV&amp;VAR:QUERY=RkZfREVCVF9FQklUREEoJ0FOTicsMCwsLCwnVVNEJyk=&amp;WINDOW=FIRST_POPUP&amp;HEIGHT=450&amp;WIDTH=450&amp;","START_MAXIMIZED=FALSE&amp;VAR:CALENDAR=US&amp;VAR:SYMBOL=LMT&amp;VAR:INDEX=0"}</definedName>
    <definedName name="_26__FDSAUDITLINK__" localSheetId="5" hidden="1">{"fdsup://directions/FAT Viewer?action=UPDATE&amp;creator=factset&amp;DYN_ARGS=TRUE&amp;DOC_NAME=FAT:FQL_AUDITING_CLIENT_TEMPLATE.FAT&amp;display_string=Audit&amp;VAR:KEY=CNIHSNULYT&amp;VAR:QUERY=RkZfRElWX1lMRChBTk4sTk9XKQ==&amp;WINDOW=FIRST_POPUP&amp;HEIGHT=450&amp;WIDTH=450&amp;START_MAXIMIZED=","FALSE&amp;VAR:CALENDAR=US&amp;VAR:SYMBOL=AKAM&amp;VAR:INDEX=0"}</definedName>
    <definedName name="_26__FDSAUDITLINK__" localSheetId="1" hidden="1">{"fdsup://directions/FAT Viewer?action=UPDATE&amp;creator=factset&amp;DYN_ARGS=TRUE&amp;DOC_NAME=FAT:FQL_AUDITING_CLIENT_TEMPLATE.FAT&amp;display_string=Audit&amp;VAR:KEY=CNIHSNULYT&amp;VAR:QUERY=RkZfRElWX1lMRChBTk4sTk9XKQ==&amp;WINDOW=FIRST_POPUP&amp;HEIGHT=450&amp;WIDTH=450&amp;START_MAXIMIZED=","FALSE&amp;VAR:CALENDAR=US&amp;VAR:SYMBOL=AKAM&amp;VAR:INDEX=0"}</definedName>
    <definedName name="_26__FDSAUDITLINK__" localSheetId="3" hidden="1">{"fdsup://directions/FAT Viewer?action=UPDATE&amp;creator=factset&amp;DYN_ARGS=TRUE&amp;DOC_NAME=FAT:FQL_AUDITING_CLIENT_TEMPLATE.FAT&amp;display_string=Audit&amp;VAR:KEY=CNIHSNULYT&amp;VAR:QUERY=RkZfRElWX1lMRChBTk4sTk9XKQ==&amp;WINDOW=FIRST_POPUP&amp;HEIGHT=450&amp;WIDTH=450&amp;START_MAXIMIZED=","FALSE&amp;VAR:CALENDAR=US&amp;VAR:SYMBOL=AKAM&amp;VAR:INDEX=0"}</definedName>
    <definedName name="_26__FDSAUDITLINK__" hidden="1">{"fdsup://directions/FAT Viewer?action=UPDATE&amp;creator=factset&amp;DYN_ARGS=TRUE&amp;DOC_NAME=FAT:FQL_AUDITING_CLIENT_TEMPLATE.FAT&amp;display_string=Audit&amp;VAR:KEY=YBKNEXSXGV&amp;VAR:QUERY=RkZfREVCVF9FQklUREEoJ0FOTicsMCwsLCwnVVNEJyk=&amp;WINDOW=FIRST_POPUP&amp;HEIGHT=450&amp;WIDTH=450&amp;","START_MAXIMIZED=FALSE&amp;VAR:CALENDAR=US&amp;VAR:SYMBOL=LMT&amp;VAR:INDEX=0"}</definedName>
    <definedName name="_26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284"}</definedName>
    <definedName name="_26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284"}</definedName>
    <definedName name="_26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284"}</definedName>
    <definedName name="_26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284"}</definedName>
    <definedName name="_26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284"}</definedName>
    <definedName name="_26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284"}</definedName>
    <definedName name="_26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284"}</definedName>
    <definedName name="_26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283"}</definedName>
    <definedName name="_26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283"}</definedName>
    <definedName name="_26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283"}</definedName>
    <definedName name="_26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283"}</definedName>
    <definedName name="_26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283"}</definedName>
    <definedName name="_26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283"}</definedName>
    <definedName name="_26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283"}</definedName>
    <definedName name="_26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282"}</definedName>
    <definedName name="_26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282"}</definedName>
    <definedName name="_26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282"}</definedName>
    <definedName name="_26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282"}</definedName>
    <definedName name="_26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282"}</definedName>
    <definedName name="_26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282"}</definedName>
    <definedName name="_26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282"}</definedName>
    <definedName name="_26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281"}</definedName>
    <definedName name="_26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281"}</definedName>
    <definedName name="_26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281"}</definedName>
    <definedName name="_26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281"}</definedName>
    <definedName name="_26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281"}</definedName>
    <definedName name="_26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281"}</definedName>
    <definedName name="_26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281"}</definedName>
    <definedName name="_26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280"}</definedName>
    <definedName name="_26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280"}</definedName>
    <definedName name="_26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280"}</definedName>
    <definedName name="_26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280"}</definedName>
    <definedName name="_26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280"}</definedName>
    <definedName name="_26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280"}</definedName>
    <definedName name="_26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280"}</definedName>
    <definedName name="_26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279"}</definedName>
    <definedName name="_26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279"}</definedName>
    <definedName name="_26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279"}</definedName>
    <definedName name="_26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279"}</definedName>
    <definedName name="_26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279"}</definedName>
    <definedName name="_26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279"}</definedName>
    <definedName name="_26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279"}</definedName>
    <definedName name="_26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278"}</definedName>
    <definedName name="_26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278"}</definedName>
    <definedName name="_26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278"}</definedName>
    <definedName name="_26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278"}</definedName>
    <definedName name="_26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278"}</definedName>
    <definedName name="_26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278"}</definedName>
    <definedName name="_26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278"}</definedName>
    <definedName name="_26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277"}</definedName>
    <definedName name="_26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277"}</definedName>
    <definedName name="_26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277"}</definedName>
    <definedName name="_26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277"}</definedName>
    <definedName name="_26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277"}</definedName>
    <definedName name="_26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277"}</definedName>
    <definedName name="_26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277"}</definedName>
    <definedName name="_26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276"}</definedName>
    <definedName name="_26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276"}</definedName>
    <definedName name="_26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276"}</definedName>
    <definedName name="_26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276"}</definedName>
    <definedName name="_26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276"}</definedName>
    <definedName name="_26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276"}</definedName>
    <definedName name="_26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276"}</definedName>
    <definedName name="_26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275"}</definedName>
    <definedName name="_26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275"}</definedName>
    <definedName name="_26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275"}</definedName>
    <definedName name="_26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275"}</definedName>
    <definedName name="_26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275"}</definedName>
    <definedName name="_26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275"}</definedName>
    <definedName name="_26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275"}</definedName>
    <definedName name="_27__FDSAUDITLINK__" localSheetId="9" hidden="1">{"fdsup://directions/FAT Viewer?action=UPDATE&amp;creator=factset&amp;DYN_ARGS=TRUE&amp;DOC_NAME=FAT:FQL_AUDITING_CLIENT_TEMPLATE.FAT&amp;display_string=Audit&amp;VAR:KEY=OLKVUDKTWT&amp;VAR:QUERY=RkZfRElWX1lMRChBTk4sTk9XKQ==&amp;WINDOW=FIRST_POPUP&amp;HEIGHT=450&amp;WIDTH=450&amp;START_MAXIMIZED=","FALSE&amp;VAR:CALENDAR=US&amp;VAR:SYMBOL=CMCSA&amp;VAR:INDEX=0"}</definedName>
    <definedName name="_27__FDSAUDITLINK__" localSheetId="8" hidden="1">{"fdsup://directions/FAT Viewer?action=UPDATE&amp;creator=factset&amp;DYN_ARGS=TRUE&amp;DOC_NAME=FAT:FQL_AUDITING_CLIENT_TEMPLATE.FAT&amp;display_string=Audit&amp;VAR:KEY=OLKVUDKTWT&amp;VAR:QUERY=RkZfRElWX1lMRChBTk4sTk9XKQ==&amp;WINDOW=FIRST_POPUP&amp;HEIGHT=450&amp;WIDTH=450&amp;START_MAXIMIZED=","FALSE&amp;VAR:CALENDAR=US&amp;VAR:SYMBOL=CMCSA&amp;VAR:INDEX=0"}</definedName>
    <definedName name="_27__FDSAUDITLINK__" localSheetId="6" hidden="1">{"fdsup://directions/FAT Viewer?action=UPDATE&amp;creator=factset&amp;DYN_ARGS=TRUE&amp;DOC_NAME=FAT:FQL_AUDITING_CLIENT_TEMPLATE.FAT&amp;display_string=Audit&amp;VAR:KEY=ADQTGZWRWT&amp;VAR:QUERY=RkZfTFREX1RDQVAoJ0FOTicsMCk=&amp;WINDOW=FIRST_POPUP&amp;HEIGHT=450&amp;WIDTH=450&amp;START_MAXIMIZED=","FALSE&amp;VAR:CALENDAR=US&amp;VAR:SYMBOL=LMT&amp;VAR:INDEX=0"}</definedName>
    <definedName name="_27__FDSAUDITLINK__" localSheetId="5" hidden="1">{"fdsup://directions/FAT Viewer?action=UPDATE&amp;creator=factset&amp;DYN_ARGS=TRUE&amp;DOC_NAME=FAT:FQL_AUDITING_CLIENT_TEMPLATE.FAT&amp;display_string=Audit&amp;VAR:KEY=OLKVUDKTWT&amp;VAR:QUERY=RkZfRElWX1lMRChBTk4sTk9XKQ==&amp;WINDOW=FIRST_POPUP&amp;HEIGHT=450&amp;WIDTH=450&amp;START_MAXIMIZED=","FALSE&amp;VAR:CALENDAR=US&amp;VAR:SYMBOL=CMCSA&amp;VAR:INDEX=0"}</definedName>
    <definedName name="_27__FDSAUDITLINK__" localSheetId="1" hidden="1">{"fdsup://directions/FAT Viewer?action=UPDATE&amp;creator=factset&amp;DYN_ARGS=TRUE&amp;DOC_NAME=FAT:FQL_AUDITING_CLIENT_TEMPLATE.FAT&amp;display_string=Audit&amp;VAR:KEY=OLKVUDKTWT&amp;VAR:QUERY=RkZfRElWX1lMRChBTk4sTk9XKQ==&amp;WINDOW=FIRST_POPUP&amp;HEIGHT=450&amp;WIDTH=450&amp;START_MAXIMIZED=","FALSE&amp;VAR:CALENDAR=US&amp;VAR:SYMBOL=CMCSA&amp;VAR:INDEX=0"}</definedName>
    <definedName name="_27__FDSAUDITLINK__" localSheetId="3" hidden="1">{"fdsup://directions/FAT Viewer?action=UPDATE&amp;creator=factset&amp;DYN_ARGS=TRUE&amp;DOC_NAME=FAT:FQL_AUDITING_CLIENT_TEMPLATE.FAT&amp;display_string=Audit&amp;VAR:KEY=OLKVUDKTWT&amp;VAR:QUERY=RkZfRElWX1lMRChBTk4sTk9XKQ==&amp;WINDOW=FIRST_POPUP&amp;HEIGHT=450&amp;WIDTH=450&amp;START_MAXIMIZED=","FALSE&amp;VAR:CALENDAR=US&amp;VAR:SYMBOL=CMCSA&amp;VAR:INDEX=0"}</definedName>
    <definedName name="_27__FDSAUDITLINK__" hidden="1">{"fdsup://directions/FAT Viewer?action=UPDATE&amp;creator=factset&amp;DYN_ARGS=TRUE&amp;DOC_NAME=FAT:FQL_AUDITING_CLIENT_TEMPLATE.FAT&amp;display_string=Audit&amp;VAR:KEY=ADQTGZWRWT&amp;VAR:QUERY=RkZfTFREX1RDQVAoJ0FOTicsMCk=&amp;WINDOW=FIRST_POPUP&amp;HEIGHT=450&amp;WIDTH=450&amp;START_MAXIMIZED=","FALSE&amp;VAR:CALENDAR=US&amp;VAR:SYMBOL=LMT&amp;VAR:INDEX=0"}</definedName>
    <definedName name="_27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274"}</definedName>
    <definedName name="_27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274"}</definedName>
    <definedName name="_27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274"}</definedName>
    <definedName name="_27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274"}</definedName>
    <definedName name="_27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274"}</definedName>
    <definedName name="_27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274"}</definedName>
    <definedName name="_27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274"}</definedName>
    <definedName name="_27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273"}</definedName>
    <definedName name="_27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273"}</definedName>
    <definedName name="_27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273"}</definedName>
    <definedName name="_27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273"}</definedName>
    <definedName name="_27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273"}</definedName>
    <definedName name="_27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273"}</definedName>
    <definedName name="_27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273"}</definedName>
    <definedName name="_27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272"}</definedName>
    <definedName name="_27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272"}</definedName>
    <definedName name="_27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272"}</definedName>
    <definedName name="_27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272"}</definedName>
    <definedName name="_27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272"}</definedName>
    <definedName name="_27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272"}</definedName>
    <definedName name="_27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272"}</definedName>
    <definedName name="_27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271"}</definedName>
    <definedName name="_27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271"}</definedName>
    <definedName name="_27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271"}</definedName>
    <definedName name="_27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271"}</definedName>
    <definedName name="_27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271"}</definedName>
    <definedName name="_27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271"}</definedName>
    <definedName name="_27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271"}</definedName>
    <definedName name="_27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270"}</definedName>
    <definedName name="_27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270"}</definedName>
    <definedName name="_27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270"}</definedName>
    <definedName name="_27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270"}</definedName>
    <definedName name="_27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270"}</definedName>
    <definedName name="_27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270"}</definedName>
    <definedName name="_27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270"}</definedName>
    <definedName name="_27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269"}</definedName>
    <definedName name="_27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269"}</definedName>
    <definedName name="_27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269"}</definedName>
    <definedName name="_27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269"}</definedName>
    <definedName name="_27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269"}</definedName>
    <definedName name="_27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269"}</definedName>
    <definedName name="_27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269"}</definedName>
    <definedName name="_27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268"}</definedName>
    <definedName name="_27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268"}</definedName>
    <definedName name="_27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268"}</definedName>
    <definedName name="_27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268"}</definedName>
    <definedName name="_27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268"}</definedName>
    <definedName name="_27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268"}</definedName>
    <definedName name="_27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268"}</definedName>
    <definedName name="_27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267"}</definedName>
    <definedName name="_27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267"}</definedName>
    <definedName name="_27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267"}</definedName>
    <definedName name="_27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267"}</definedName>
    <definedName name="_27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267"}</definedName>
    <definedName name="_27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267"}</definedName>
    <definedName name="_27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267"}</definedName>
    <definedName name="_27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266"}</definedName>
    <definedName name="_27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266"}</definedName>
    <definedName name="_27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266"}</definedName>
    <definedName name="_27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266"}</definedName>
    <definedName name="_27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266"}</definedName>
    <definedName name="_27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266"}</definedName>
    <definedName name="_27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266"}</definedName>
    <definedName name="_27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265"}</definedName>
    <definedName name="_27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265"}</definedName>
    <definedName name="_27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265"}</definedName>
    <definedName name="_27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265"}</definedName>
    <definedName name="_27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265"}</definedName>
    <definedName name="_27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265"}</definedName>
    <definedName name="_27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265"}</definedName>
    <definedName name="_28__FDSAUDITLINK__" localSheetId="9"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localSheetId="8"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localSheetId="6"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localSheetId="5"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localSheetId="1"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localSheetId="3"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__FDSAUDITLINK__" hidden="1">{"fdsup://directions/FAT Viewer?action=UPDATE&amp;creator=factset&amp;DYN_ARGS=TRUE&amp;DOC_NAME=FAT:FQL_AUDITING_CLIENT_TEMPLATE.FAT&amp;display_string=Audit&amp;VAR:KEY=EHSNSNMDWX&amp;VAR:QUERY=RkZfRU5UUlBSX1ZBTF9EQUlMWSgwLCwsLCdVU0QnLCdESUwnKQ==&amp;WINDOW=FIRST_POPUP&amp;HEIGHT=450&amp;WI","DTH=450&amp;START_MAXIMIZED=FALSE&amp;VAR:CALENDAR=US&amp;VAR:SYMBOL=LMT&amp;VAR:INDEX=0"}</definedName>
    <definedName name="_28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264"}</definedName>
    <definedName name="_28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264"}</definedName>
    <definedName name="_28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264"}</definedName>
    <definedName name="_28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264"}</definedName>
    <definedName name="_28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264"}</definedName>
    <definedName name="_28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264"}</definedName>
    <definedName name="_28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264"}</definedName>
    <definedName name="_28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263"}</definedName>
    <definedName name="_28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263"}</definedName>
    <definedName name="_28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263"}</definedName>
    <definedName name="_28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263"}</definedName>
    <definedName name="_28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263"}</definedName>
    <definedName name="_28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263"}</definedName>
    <definedName name="_28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263"}</definedName>
    <definedName name="_28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262"}</definedName>
    <definedName name="_28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262"}</definedName>
    <definedName name="_28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262"}</definedName>
    <definedName name="_28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262"}</definedName>
    <definedName name="_28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262"}</definedName>
    <definedName name="_28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262"}</definedName>
    <definedName name="_28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262"}</definedName>
    <definedName name="_28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261"}</definedName>
    <definedName name="_28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261"}</definedName>
    <definedName name="_28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261"}</definedName>
    <definedName name="_28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261"}</definedName>
    <definedName name="_28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261"}</definedName>
    <definedName name="_28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261"}</definedName>
    <definedName name="_28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261"}</definedName>
    <definedName name="_28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260"}</definedName>
    <definedName name="_28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260"}</definedName>
    <definedName name="_28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260"}</definedName>
    <definedName name="_28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260"}</definedName>
    <definedName name="_28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260"}</definedName>
    <definedName name="_28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260"}</definedName>
    <definedName name="_28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260"}</definedName>
    <definedName name="_28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259"}</definedName>
    <definedName name="_28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259"}</definedName>
    <definedName name="_28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259"}</definedName>
    <definedName name="_28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259"}</definedName>
    <definedName name="_28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259"}</definedName>
    <definedName name="_28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259"}</definedName>
    <definedName name="_28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259"}</definedName>
    <definedName name="_28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258"}</definedName>
    <definedName name="_28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258"}</definedName>
    <definedName name="_28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258"}</definedName>
    <definedName name="_28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258"}</definedName>
    <definedName name="_28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258"}</definedName>
    <definedName name="_28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258"}</definedName>
    <definedName name="_28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258"}</definedName>
    <definedName name="_28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257"}</definedName>
    <definedName name="_28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257"}</definedName>
    <definedName name="_28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257"}</definedName>
    <definedName name="_28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257"}</definedName>
    <definedName name="_28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257"}</definedName>
    <definedName name="_28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257"}</definedName>
    <definedName name="_28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257"}</definedName>
    <definedName name="_28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256"}</definedName>
    <definedName name="_28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256"}</definedName>
    <definedName name="_28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256"}</definedName>
    <definedName name="_28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256"}</definedName>
    <definedName name="_28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256"}</definedName>
    <definedName name="_28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256"}</definedName>
    <definedName name="_28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256"}</definedName>
    <definedName name="_28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255"}</definedName>
    <definedName name="_28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255"}</definedName>
    <definedName name="_28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255"}</definedName>
    <definedName name="_28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255"}</definedName>
    <definedName name="_28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255"}</definedName>
    <definedName name="_28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255"}</definedName>
    <definedName name="_28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255"}</definedName>
    <definedName name="_29__FDSAUDITLINK__" localSheetId="9" hidden="1">{"fdsup://directions/FAT Viewer?action=UPDATE&amp;creator=factset&amp;DYN_ARGS=TRUE&amp;DOC_NAME=FAT:FQL_AUDITING_CLIENT_TEMPLATE.FAT&amp;display_string=Audit&amp;VAR:KEY=TWRERWLIHK&amp;VAR:QUERY=RkZfRElWX1lMRChBTk4sTk9XKQ==&amp;WINDOW=FIRST_POPUP&amp;HEIGHT=450&amp;WIDTH=450&amp;START_MAXIMIZED=","FALSE&amp;VAR:CALENDAR=US&amp;VAR:SYMBOL=LVLT&amp;VAR:INDEX=0"}</definedName>
    <definedName name="_29__FDSAUDITLINK__" localSheetId="8" hidden="1">{"fdsup://directions/FAT Viewer?action=UPDATE&amp;creator=factset&amp;DYN_ARGS=TRUE&amp;DOC_NAME=FAT:FQL_AUDITING_CLIENT_TEMPLATE.FAT&amp;display_string=Audit&amp;VAR:KEY=TWRERWLIHK&amp;VAR:QUERY=RkZfRElWX1lMRChBTk4sTk9XKQ==&amp;WINDOW=FIRST_POPUP&amp;HEIGHT=450&amp;WIDTH=450&amp;START_MAXIMIZED=","FALSE&amp;VAR:CALENDAR=US&amp;VAR:SYMBOL=LVLT&amp;VAR:INDEX=0"}</definedName>
    <definedName name="_29__FDSAUDITLINK__" localSheetId="6" hidden="1">{"fdsup://directions/FAT Viewer?action=UPDATE&amp;creator=factset&amp;DYN_ARGS=TRUE&amp;DOC_NAME=FAT:FQL_AUDITING_CLIENT_TEMPLATE.FAT&amp;display_string=Audit&amp;VAR:KEY=IBMZINELSZ&amp;VAR:QUERY=RkZfRU5UUlBSX1ZBTF9FQklUREEoJ0FOTicsMCwsLCwnVVNEJyk=&amp;WINDOW=FIRST_POPUP&amp;HEIGHT=450&amp;WI","DTH=450&amp;START_MAXIMIZED=FALSE&amp;VAR:CALENDAR=US&amp;VAR:SYMBOL=ES&amp;VAR:INDEX=0"}</definedName>
    <definedName name="_29__FDSAUDITLINK__" localSheetId="5" hidden="1">{"fdsup://directions/FAT Viewer?action=UPDATE&amp;creator=factset&amp;DYN_ARGS=TRUE&amp;DOC_NAME=FAT:FQL_AUDITING_CLIENT_TEMPLATE.FAT&amp;display_string=Audit&amp;VAR:KEY=TWRERWLIHK&amp;VAR:QUERY=RkZfRElWX1lMRChBTk4sTk9XKQ==&amp;WINDOW=FIRST_POPUP&amp;HEIGHT=450&amp;WIDTH=450&amp;START_MAXIMIZED=","FALSE&amp;VAR:CALENDAR=US&amp;VAR:SYMBOL=LVLT&amp;VAR:INDEX=0"}</definedName>
    <definedName name="_29__FDSAUDITLINK__" localSheetId="1" hidden="1">{"fdsup://directions/FAT Viewer?action=UPDATE&amp;creator=factset&amp;DYN_ARGS=TRUE&amp;DOC_NAME=FAT:FQL_AUDITING_CLIENT_TEMPLATE.FAT&amp;display_string=Audit&amp;VAR:KEY=TWRERWLIHK&amp;VAR:QUERY=RkZfRElWX1lMRChBTk4sTk9XKQ==&amp;WINDOW=FIRST_POPUP&amp;HEIGHT=450&amp;WIDTH=450&amp;START_MAXIMIZED=","FALSE&amp;VAR:CALENDAR=US&amp;VAR:SYMBOL=LVLT&amp;VAR:INDEX=0"}</definedName>
    <definedName name="_29__FDSAUDITLINK__" localSheetId="3" hidden="1">{"fdsup://directions/FAT Viewer?action=UPDATE&amp;creator=factset&amp;DYN_ARGS=TRUE&amp;DOC_NAME=FAT:FQL_AUDITING_CLIENT_TEMPLATE.FAT&amp;display_string=Audit&amp;VAR:KEY=TWRERWLIHK&amp;VAR:QUERY=RkZfRElWX1lMRChBTk4sTk9XKQ==&amp;WINDOW=FIRST_POPUP&amp;HEIGHT=450&amp;WIDTH=450&amp;START_MAXIMIZED=","FALSE&amp;VAR:CALENDAR=US&amp;VAR:SYMBOL=LVLT&amp;VAR:INDEX=0"}</definedName>
    <definedName name="_29__FDSAUDITLINK__" hidden="1">{"fdsup://directions/FAT Viewer?action=UPDATE&amp;creator=factset&amp;DYN_ARGS=TRUE&amp;DOC_NAME=FAT:FQL_AUDITING_CLIENT_TEMPLATE.FAT&amp;display_string=Audit&amp;VAR:KEY=IBMZINELSZ&amp;VAR:QUERY=RkZfRU5UUlBSX1ZBTF9FQklUREEoJ0FOTicsMCwsLCwnVVNEJyk=&amp;WINDOW=FIRST_POPUP&amp;HEIGHT=450&amp;WI","DTH=450&amp;START_MAXIMIZED=FALSE&amp;VAR:CALENDAR=US&amp;VAR:SYMBOL=ES&amp;VAR:INDEX=0"}</definedName>
    <definedName name="_29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254"}</definedName>
    <definedName name="_29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254"}</definedName>
    <definedName name="_29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254"}</definedName>
    <definedName name="_29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254"}</definedName>
    <definedName name="_29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254"}</definedName>
    <definedName name="_29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254"}</definedName>
    <definedName name="_29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254"}</definedName>
    <definedName name="_29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253"}</definedName>
    <definedName name="_29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253"}</definedName>
    <definedName name="_29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253"}</definedName>
    <definedName name="_29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253"}</definedName>
    <definedName name="_29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253"}</definedName>
    <definedName name="_29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253"}</definedName>
    <definedName name="_29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253"}</definedName>
    <definedName name="_29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252"}</definedName>
    <definedName name="_29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252"}</definedName>
    <definedName name="_29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252"}</definedName>
    <definedName name="_29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252"}</definedName>
    <definedName name="_29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252"}</definedName>
    <definedName name="_29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252"}</definedName>
    <definedName name="_29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252"}</definedName>
    <definedName name="_29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251"}</definedName>
    <definedName name="_29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251"}</definedName>
    <definedName name="_29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251"}</definedName>
    <definedName name="_29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251"}</definedName>
    <definedName name="_29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251"}</definedName>
    <definedName name="_29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251"}</definedName>
    <definedName name="_29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251"}</definedName>
    <definedName name="_29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250"}</definedName>
    <definedName name="_29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250"}</definedName>
    <definedName name="_29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250"}</definedName>
    <definedName name="_29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250"}</definedName>
    <definedName name="_29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250"}</definedName>
    <definedName name="_29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250"}</definedName>
    <definedName name="_29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250"}</definedName>
    <definedName name="_29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249"}</definedName>
    <definedName name="_29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249"}</definedName>
    <definedName name="_29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249"}</definedName>
    <definedName name="_29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249"}</definedName>
    <definedName name="_29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249"}</definedName>
    <definedName name="_29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249"}</definedName>
    <definedName name="_29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249"}</definedName>
    <definedName name="_29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248"}</definedName>
    <definedName name="_29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248"}</definedName>
    <definedName name="_29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248"}</definedName>
    <definedName name="_29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248"}</definedName>
    <definedName name="_29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248"}</definedName>
    <definedName name="_29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248"}</definedName>
    <definedName name="_29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248"}</definedName>
    <definedName name="_29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247"}</definedName>
    <definedName name="_29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247"}</definedName>
    <definedName name="_29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247"}</definedName>
    <definedName name="_29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247"}</definedName>
    <definedName name="_29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247"}</definedName>
    <definedName name="_29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247"}</definedName>
    <definedName name="_29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247"}</definedName>
    <definedName name="_29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246"}</definedName>
    <definedName name="_29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246"}</definedName>
    <definedName name="_29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246"}</definedName>
    <definedName name="_29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246"}</definedName>
    <definedName name="_29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246"}</definedName>
    <definedName name="_29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246"}</definedName>
    <definedName name="_29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246"}</definedName>
    <definedName name="_29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245"}</definedName>
    <definedName name="_29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245"}</definedName>
    <definedName name="_29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245"}</definedName>
    <definedName name="_29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245"}</definedName>
    <definedName name="_29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245"}</definedName>
    <definedName name="_29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245"}</definedName>
    <definedName name="_29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245"}</definedName>
    <definedName name="_2Q94" localSheetId="6">#REF!</definedName>
    <definedName name="_2Q94" localSheetId="2">#REF!</definedName>
    <definedName name="_2Q94">#REF!</definedName>
    <definedName name="_2Q95" localSheetId="2">#REF!</definedName>
    <definedName name="_2Q95">#REF!</definedName>
    <definedName name="_2S" hidden="1">#REF!</definedName>
    <definedName name="_3__FDSAUDITLINK__" localSheetId="9" hidden="1">{"fdsup://directions/FAT Viewer?action=UPDATE&amp;creator=factset&amp;DYN_ARGS=TRUE&amp;DOC_NAME=FAT:FQL_AUDITING_CLIENT_TEMPLATE.FAT&amp;display_string=Audit&amp;VAR:KEY=DIZQZCNOLI&amp;VAR:QUERY=RkZfRElWX1lMRChBTk4sTk9XKQ==&amp;WINDOW=FIRST_POPUP&amp;HEIGHT=450&amp;WIDTH=450&amp;START_MAXIMIZED=","FALSE&amp;VAR:CALENDAR=US&amp;VAR:SYMBOL=WIN&amp;VAR:INDEX=0"}</definedName>
    <definedName name="_3__FDSAUDITLINK__" localSheetId="8" hidden="1">{"fdsup://directions/FAT Viewer?action=UPDATE&amp;creator=factset&amp;DYN_ARGS=TRUE&amp;DOC_NAME=FAT:FQL_AUDITING_CLIENT_TEMPLATE.FAT&amp;display_string=Audit&amp;VAR:KEY=DIZQZCNOLI&amp;VAR:QUERY=RkZfRElWX1lMRChBTk4sTk9XKQ==&amp;WINDOW=FIRST_POPUP&amp;HEIGHT=450&amp;WIDTH=450&amp;START_MAXIMIZED=","FALSE&amp;VAR:CALENDAR=US&amp;VAR:SYMBOL=WIN&amp;VAR:INDEX=0"}</definedName>
    <definedName name="_3__FDSAUDITLINK__" localSheetId="6" hidden="1">{"fdsup://directions/FAT Viewer?action=UPDATE&amp;creator=factset&amp;DYN_ARGS=TRUE&amp;DOC_NAME=FAT:FQL_AUDITING_CLIENT_TEMPLATE.FAT&amp;display_string=Audit&amp;VAR:KEY=FEZARUJUNM&amp;VAR:QUERY=RkZfRU5UUlBSX1ZBTCgp&amp;WINDOW=FIRST_POPUP&amp;HEIGHT=450&amp;WIDTH=450&amp;START_MAXIMIZED=FALSE&amp;VA","R:CALENDAR=US&amp;VAR:SYMBOL=EBAY&amp;VAR:INDEX=0"}</definedName>
    <definedName name="_3__FDSAUDITLINK__" localSheetId="5" hidden="1">{"fdsup://directions/FAT Viewer?action=UPDATE&amp;creator=factset&amp;DYN_ARGS=TRUE&amp;DOC_NAME=FAT:FQL_AUDITING_CLIENT_TEMPLATE.FAT&amp;display_string=Audit&amp;VAR:KEY=DIZQZCNOLI&amp;VAR:QUERY=RkZfRElWX1lMRChBTk4sTk9XKQ==&amp;WINDOW=FIRST_POPUP&amp;HEIGHT=450&amp;WIDTH=450&amp;START_MAXIMIZED=","FALSE&amp;VAR:CALENDAR=US&amp;VAR:SYMBOL=WIN&amp;VAR:INDEX=0"}</definedName>
    <definedName name="_3__FDSAUDITLINK__" localSheetId="1" hidden="1">{"fdsup://directions/FAT Viewer?action=UPDATE&amp;creator=factset&amp;DYN_ARGS=TRUE&amp;DOC_NAME=FAT:FQL_AUDITING_CLIENT_TEMPLATE.FAT&amp;display_string=Audit&amp;VAR:KEY=DIZQZCNOLI&amp;VAR:QUERY=RkZfRElWX1lMRChBTk4sTk9XKQ==&amp;WINDOW=FIRST_POPUP&amp;HEIGHT=450&amp;WIDTH=450&amp;START_MAXIMIZED=","FALSE&amp;VAR:CALENDAR=US&amp;VAR:SYMBOL=WIN&amp;VAR:INDEX=0"}</definedName>
    <definedName name="_3__FDSAUDITLINK__" localSheetId="3" hidden="1">{"fdsup://directions/FAT Viewer?action=UPDATE&amp;creator=factset&amp;DYN_ARGS=TRUE&amp;DOC_NAME=FAT:FQL_AUDITING_CLIENT_TEMPLATE.FAT&amp;display_string=Audit&amp;VAR:KEY=DIZQZCNOLI&amp;VAR:QUERY=RkZfRElWX1lMRChBTk4sTk9XKQ==&amp;WINDOW=FIRST_POPUP&amp;HEIGHT=450&amp;WIDTH=450&amp;START_MAXIMIZED=","FALSE&amp;VAR:CALENDAR=US&amp;VAR:SYMBOL=WIN&amp;VAR:INDEX=0"}</definedName>
    <definedName name="_3__FDSAUDITLINK__" hidden="1">{"fdsup://directions/FAT Viewer?action=UPDATE&amp;creator=factset&amp;DYN_ARGS=TRUE&amp;DOC_NAME=FAT:FQL_AUDITING_CLIENT_TEMPLATE.FAT&amp;display_string=Audit&amp;VAR:KEY=FEZARUJUNM&amp;VAR:QUERY=RkZfRU5UUlBSX1ZBTCgp&amp;WINDOW=FIRST_POPUP&amp;HEIGHT=450&amp;WIDTH=450&amp;START_MAXIMIZED=FALSE&amp;VA","R:CALENDAR=US&amp;VAR:SYMBOL=EBAY&amp;VAR:INDEX=0"}</definedName>
    <definedName name="_3_2005_3" localSheetId="9">#REF!</definedName>
    <definedName name="_3_2005_3" localSheetId="8">#REF!</definedName>
    <definedName name="_3_2005_3" localSheetId="5">#REF!</definedName>
    <definedName name="_3_2005_3" localSheetId="3">#REF!</definedName>
    <definedName name="_3_2005_3">#REF!</definedName>
    <definedName name="_30__FDSAUDITLINK__" localSheetId="9" hidden="1">{"fdsup://directions/FAT Viewer?action=UPDATE&amp;creator=factset&amp;DYN_ARGS=TRUE&amp;DOC_NAME=FAT:FQL_AUDITING_CLIENT_TEMPLATE.FAT&amp;display_string=Audit&amp;VAR:KEY=FQZQVOPMVW&amp;VAR:QUERY=RkZfRElWX1lMRChBTk4sTk9XKQ==&amp;WINDOW=FIRST_POPUP&amp;HEIGHT=450&amp;WIDTH=450&amp;START_MAXIMIZED=","FALSE&amp;VAR:CALENDAR=US&amp;VAR:SYMBOL=EQIX&amp;VAR:INDEX=0"}</definedName>
    <definedName name="_30__FDSAUDITLINK__" localSheetId="8" hidden="1">{"fdsup://directions/FAT Viewer?action=UPDATE&amp;creator=factset&amp;DYN_ARGS=TRUE&amp;DOC_NAME=FAT:FQL_AUDITING_CLIENT_TEMPLATE.FAT&amp;display_string=Audit&amp;VAR:KEY=FQZQVOPMVW&amp;VAR:QUERY=RkZfRElWX1lMRChBTk4sTk9XKQ==&amp;WINDOW=FIRST_POPUP&amp;HEIGHT=450&amp;WIDTH=450&amp;START_MAXIMIZED=","FALSE&amp;VAR:CALENDAR=US&amp;VAR:SYMBOL=EQIX&amp;VAR:INDEX=0"}</definedName>
    <definedName name="_30__FDSAUDITLINK__" localSheetId="6" hidden="1">{"fdsup://directions/FAT Viewer?action=UPDATE&amp;creator=factset&amp;DYN_ARGS=TRUE&amp;DOC_NAME=FAT:FQL_AUDITING_CLIENT_TEMPLATE.FAT&amp;display_string=Audit&amp;VAR:KEY=MXYJQJALUP&amp;VAR:QUERY=RkZfREVCVF9FQklUREEoJ0FOTicsMCwsLCwnVVNEJyk=&amp;WINDOW=FIRST_POPUP&amp;HEIGHT=450&amp;WIDTH=450&amp;","START_MAXIMIZED=FALSE&amp;VAR:CALENDAR=US&amp;VAR:SYMBOL=ES&amp;VAR:INDEX=0"}</definedName>
    <definedName name="_30__FDSAUDITLINK__" localSheetId="5" hidden="1">{"fdsup://directions/FAT Viewer?action=UPDATE&amp;creator=factset&amp;DYN_ARGS=TRUE&amp;DOC_NAME=FAT:FQL_AUDITING_CLIENT_TEMPLATE.FAT&amp;display_string=Audit&amp;VAR:KEY=FQZQVOPMVW&amp;VAR:QUERY=RkZfRElWX1lMRChBTk4sTk9XKQ==&amp;WINDOW=FIRST_POPUP&amp;HEIGHT=450&amp;WIDTH=450&amp;START_MAXIMIZED=","FALSE&amp;VAR:CALENDAR=US&amp;VAR:SYMBOL=EQIX&amp;VAR:INDEX=0"}</definedName>
    <definedName name="_30__FDSAUDITLINK__" localSheetId="1" hidden="1">{"fdsup://directions/FAT Viewer?action=UPDATE&amp;creator=factset&amp;DYN_ARGS=TRUE&amp;DOC_NAME=FAT:FQL_AUDITING_CLIENT_TEMPLATE.FAT&amp;display_string=Audit&amp;VAR:KEY=FQZQVOPMVW&amp;VAR:QUERY=RkZfRElWX1lMRChBTk4sTk9XKQ==&amp;WINDOW=FIRST_POPUP&amp;HEIGHT=450&amp;WIDTH=450&amp;START_MAXIMIZED=","FALSE&amp;VAR:CALENDAR=US&amp;VAR:SYMBOL=EQIX&amp;VAR:INDEX=0"}</definedName>
    <definedName name="_30__FDSAUDITLINK__" localSheetId="3" hidden="1">{"fdsup://directions/FAT Viewer?action=UPDATE&amp;creator=factset&amp;DYN_ARGS=TRUE&amp;DOC_NAME=FAT:FQL_AUDITING_CLIENT_TEMPLATE.FAT&amp;display_string=Audit&amp;VAR:KEY=FQZQVOPMVW&amp;VAR:QUERY=RkZfRElWX1lMRChBTk4sTk9XKQ==&amp;WINDOW=FIRST_POPUP&amp;HEIGHT=450&amp;WIDTH=450&amp;START_MAXIMIZED=","FALSE&amp;VAR:CALENDAR=US&amp;VAR:SYMBOL=EQIX&amp;VAR:INDEX=0"}</definedName>
    <definedName name="_30__FDSAUDITLINK__" hidden="1">{"fdsup://directions/FAT Viewer?action=UPDATE&amp;creator=factset&amp;DYN_ARGS=TRUE&amp;DOC_NAME=FAT:FQL_AUDITING_CLIENT_TEMPLATE.FAT&amp;display_string=Audit&amp;VAR:KEY=MXYJQJALUP&amp;VAR:QUERY=RkZfREVCVF9FQklUREEoJ0FOTicsMCwsLCwnVVNEJyk=&amp;WINDOW=FIRST_POPUP&amp;HEIGHT=450&amp;WIDTH=450&amp;","START_MAXIMIZED=FALSE&amp;VAR:CALENDAR=US&amp;VAR:SYMBOL=ES&amp;VAR:INDEX=0"}</definedName>
    <definedName name="_30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244"}</definedName>
    <definedName name="_30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244"}</definedName>
    <definedName name="_30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244"}</definedName>
    <definedName name="_30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244"}</definedName>
    <definedName name="_30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244"}</definedName>
    <definedName name="_30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244"}</definedName>
    <definedName name="_30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244"}</definedName>
    <definedName name="_30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243"}</definedName>
    <definedName name="_30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243"}</definedName>
    <definedName name="_30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243"}</definedName>
    <definedName name="_30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243"}</definedName>
    <definedName name="_30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243"}</definedName>
    <definedName name="_30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243"}</definedName>
    <definedName name="_30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243"}</definedName>
    <definedName name="_30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242"}</definedName>
    <definedName name="_30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242"}</definedName>
    <definedName name="_30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242"}</definedName>
    <definedName name="_30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242"}</definedName>
    <definedName name="_30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242"}</definedName>
    <definedName name="_30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242"}</definedName>
    <definedName name="_30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242"}</definedName>
    <definedName name="_30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241"}</definedName>
    <definedName name="_30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241"}</definedName>
    <definedName name="_30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241"}</definedName>
    <definedName name="_30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241"}</definedName>
    <definedName name="_30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241"}</definedName>
    <definedName name="_30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241"}</definedName>
    <definedName name="_30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241"}</definedName>
    <definedName name="_30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240"}</definedName>
    <definedName name="_30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240"}</definedName>
    <definedName name="_30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240"}</definedName>
    <definedName name="_30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240"}</definedName>
    <definedName name="_30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240"}</definedName>
    <definedName name="_30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240"}</definedName>
    <definedName name="_30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240"}</definedName>
    <definedName name="_30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239"}</definedName>
    <definedName name="_30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239"}</definedName>
    <definedName name="_30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239"}</definedName>
    <definedName name="_30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239"}</definedName>
    <definedName name="_30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239"}</definedName>
    <definedName name="_30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239"}</definedName>
    <definedName name="_30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239"}</definedName>
    <definedName name="_30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238"}</definedName>
    <definedName name="_30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238"}</definedName>
    <definedName name="_30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238"}</definedName>
    <definedName name="_30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238"}</definedName>
    <definedName name="_30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238"}</definedName>
    <definedName name="_30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238"}</definedName>
    <definedName name="_30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238"}</definedName>
    <definedName name="_30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237"}</definedName>
    <definedName name="_30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237"}</definedName>
    <definedName name="_30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237"}</definedName>
    <definedName name="_30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237"}</definedName>
    <definedName name="_30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237"}</definedName>
    <definedName name="_30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237"}</definedName>
    <definedName name="_30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237"}</definedName>
    <definedName name="_30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236"}</definedName>
    <definedName name="_30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236"}</definedName>
    <definedName name="_30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236"}</definedName>
    <definedName name="_30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236"}</definedName>
    <definedName name="_30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236"}</definedName>
    <definedName name="_30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236"}</definedName>
    <definedName name="_30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236"}</definedName>
    <definedName name="_30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235"}</definedName>
    <definedName name="_30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235"}</definedName>
    <definedName name="_30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235"}</definedName>
    <definedName name="_30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235"}</definedName>
    <definedName name="_30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235"}</definedName>
    <definedName name="_30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235"}</definedName>
    <definedName name="_30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235"}</definedName>
    <definedName name="_31__FDSAUDITLINK__" localSheetId="9" hidden="1">{"fdsup://directions/FAT Viewer?action=UPDATE&amp;creator=factset&amp;DYN_ARGS=TRUE&amp;DOC_NAME=FAT:FQL_AUDITING_CLIENT_TEMPLATE.FAT&amp;display_string=Audit&amp;VAR:KEY=DADOJWLMJO&amp;VAR:QUERY=RkZfRElWX1lMRChBTk4sTk9XKQ==&amp;WINDOW=FIRST_POPUP&amp;HEIGHT=450&amp;WIDTH=450&amp;START_MAXIMIZED=","FALSE&amp;VAR:CALENDAR=US&amp;VAR:SYMBOL=DLR&amp;VAR:INDEX=0"}</definedName>
    <definedName name="_31__FDSAUDITLINK__" localSheetId="8" hidden="1">{"fdsup://directions/FAT Viewer?action=UPDATE&amp;creator=factset&amp;DYN_ARGS=TRUE&amp;DOC_NAME=FAT:FQL_AUDITING_CLIENT_TEMPLATE.FAT&amp;display_string=Audit&amp;VAR:KEY=DADOJWLMJO&amp;VAR:QUERY=RkZfRElWX1lMRChBTk4sTk9XKQ==&amp;WINDOW=FIRST_POPUP&amp;HEIGHT=450&amp;WIDTH=450&amp;START_MAXIMIZED=","FALSE&amp;VAR:CALENDAR=US&amp;VAR:SYMBOL=DLR&amp;VAR:INDEX=0"}</definedName>
    <definedName name="_31__FDSAUDITLINK__" localSheetId="6" hidden="1">{"fdsup://directions/FAT Viewer?action=UPDATE&amp;creator=factset&amp;DYN_ARGS=TRUE&amp;DOC_NAME=FAT:FQL_AUDITING_CLIENT_TEMPLATE.FAT&amp;display_string=Audit&amp;VAR:KEY=EDQFKTGNEJ&amp;VAR:QUERY=RkZfTFREX1RDQVAoJ0FOTicsMCk=&amp;WINDOW=FIRST_POPUP&amp;HEIGHT=450&amp;WIDTH=450&amp;START_MAXIMIZED=","FALSE&amp;VAR:CALENDAR=US&amp;VAR:SYMBOL=ES&amp;VAR:INDEX=0"}</definedName>
    <definedName name="_31__FDSAUDITLINK__" localSheetId="5" hidden="1">{"fdsup://directions/FAT Viewer?action=UPDATE&amp;creator=factset&amp;DYN_ARGS=TRUE&amp;DOC_NAME=FAT:FQL_AUDITING_CLIENT_TEMPLATE.FAT&amp;display_string=Audit&amp;VAR:KEY=DADOJWLMJO&amp;VAR:QUERY=RkZfRElWX1lMRChBTk4sTk9XKQ==&amp;WINDOW=FIRST_POPUP&amp;HEIGHT=450&amp;WIDTH=450&amp;START_MAXIMIZED=","FALSE&amp;VAR:CALENDAR=US&amp;VAR:SYMBOL=DLR&amp;VAR:INDEX=0"}</definedName>
    <definedName name="_31__FDSAUDITLINK__" localSheetId="1" hidden="1">{"fdsup://directions/FAT Viewer?action=UPDATE&amp;creator=factset&amp;DYN_ARGS=TRUE&amp;DOC_NAME=FAT:FQL_AUDITING_CLIENT_TEMPLATE.FAT&amp;display_string=Audit&amp;VAR:KEY=DADOJWLMJO&amp;VAR:QUERY=RkZfRElWX1lMRChBTk4sTk9XKQ==&amp;WINDOW=FIRST_POPUP&amp;HEIGHT=450&amp;WIDTH=450&amp;START_MAXIMIZED=","FALSE&amp;VAR:CALENDAR=US&amp;VAR:SYMBOL=DLR&amp;VAR:INDEX=0"}</definedName>
    <definedName name="_31__FDSAUDITLINK__" localSheetId="3" hidden="1">{"fdsup://directions/FAT Viewer?action=UPDATE&amp;creator=factset&amp;DYN_ARGS=TRUE&amp;DOC_NAME=FAT:FQL_AUDITING_CLIENT_TEMPLATE.FAT&amp;display_string=Audit&amp;VAR:KEY=DADOJWLMJO&amp;VAR:QUERY=RkZfRElWX1lMRChBTk4sTk9XKQ==&amp;WINDOW=FIRST_POPUP&amp;HEIGHT=450&amp;WIDTH=450&amp;START_MAXIMIZED=","FALSE&amp;VAR:CALENDAR=US&amp;VAR:SYMBOL=DLR&amp;VAR:INDEX=0"}</definedName>
    <definedName name="_31__FDSAUDITLINK__" hidden="1">{"fdsup://directions/FAT Viewer?action=UPDATE&amp;creator=factset&amp;DYN_ARGS=TRUE&amp;DOC_NAME=FAT:FQL_AUDITING_CLIENT_TEMPLATE.FAT&amp;display_string=Audit&amp;VAR:KEY=EDQFKTGNEJ&amp;VAR:QUERY=RkZfTFREX1RDQVAoJ0FOTicsMCk=&amp;WINDOW=FIRST_POPUP&amp;HEIGHT=450&amp;WIDTH=450&amp;START_MAXIMIZED=","FALSE&amp;VAR:CALENDAR=US&amp;VAR:SYMBOL=ES&amp;VAR:INDEX=0"}</definedName>
    <definedName name="_31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234"}</definedName>
    <definedName name="_31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234"}</definedName>
    <definedName name="_31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234"}</definedName>
    <definedName name="_31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234"}</definedName>
    <definedName name="_31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234"}</definedName>
    <definedName name="_31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234"}</definedName>
    <definedName name="_31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234"}</definedName>
    <definedName name="_31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233"}</definedName>
    <definedName name="_31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233"}</definedName>
    <definedName name="_31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233"}</definedName>
    <definedName name="_31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233"}</definedName>
    <definedName name="_31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233"}</definedName>
    <definedName name="_31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233"}</definedName>
    <definedName name="_31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233"}</definedName>
    <definedName name="_31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232"}</definedName>
    <definedName name="_31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232"}</definedName>
    <definedName name="_31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232"}</definedName>
    <definedName name="_31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232"}</definedName>
    <definedName name="_31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232"}</definedName>
    <definedName name="_31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232"}</definedName>
    <definedName name="_31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232"}</definedName>
    <definedName name="_31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231"}</definedName>
    <definedName name="_31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231"}</definedName>
    <definedName name="_31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231"}</definedName>
    <definedName name="_31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231"}</definedName>
    <definedName name="_31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231"}</definedName>
    <definedName name="_31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231"}</definedName>
    <definedName name="_31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231"}</definedName>
    <definedName name="_31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230"}</definedName>
    <definedName name="_31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230"}</definedName>
    <definedName name="_31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230"}</definedName>
    <definedName name="_31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230"}</definedName>
    <definedName name="_31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230"}</definedName>
    <definedName name="_31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230"}</definedName>
    <definedName name="_31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230"}</definedName>
    <definedName name="_31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229"}</definedName>
    <definedName name="_31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229"}</definedName>
    <definedName name="_31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229"}</definedName>
    <definedName name="_31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229"}</definedName>
    <definedName name="_31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229"}</definedName>
    <definedName name="_31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229"}</definedName>
    <definedName name="_31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229"}</definedName>
    <definedName name="_31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228"}</definedName>
    <definedName name="_31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228"}</definedName>
    <definedName name="_31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228"}</definedName>
    <definedName name="_31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228"}</definedName>
    <definedName name="_31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228"}</definedName>
    <definedName name="_31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228"}</definedName>
    <definedName name="_31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228"}</definedName>
    <definedName name="_31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227"}</definedName>
    <definedName name="_31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227"}</definedName>
    <definedName name="_31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227"}</definedName>
    <definedName name="_31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227"}</definedName>
    <definedName name="_31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227"}</definedName>
    <definedName name="_31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227"}</definedName>
    <definedName name="_31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227"}</definedName>
    <definedName name="_31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226"}</definedName>
    <definedName name="_31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226"}</definedName>
    <definedName name="_31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226"}</definedName>
    <definedName name="_31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226"}</definedName>
    <definedName name="_31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226"}</definedName>
    <definedName name="_31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226"}</definedName>
    <definedName name="_31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226"}</definedName>
    <definedName name="_31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225"}</definedName>
    <definedName name="_31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225"}</definedName>
    <definedName name="_31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225"}</definedName>
    <definedName name="_31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225"}</definedName>
    <definedName name="_31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225"}</definedName>
    <definedName name="_31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225"}</definedName>
    <definedName name="_31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225"}</definedName>
    <definedName name="_32__FDSAUDITLINK__" localSheetId="9" hidden="1">{"fdsup://Directions/FactSet Auditing Viewer?action=AUDIT_VALUE&amp;DB=129&amp;ID1=52186330&amp;VALUEID=05194&amp;SDATE=201103&amp;PERIODTYPE=QTR_STD&amp;SCFT=3&amp;window=popup_no_bar&amp;width=385&amp;height=120&amp;START_MAXIMIZED=FALSE&amp;creator=factset&amp;display_string=Audit"}</definedName>
    <definedName name="_32__FDSAUDITLINK__" localSheetId="8" hidden="1">{"fdsup://Directions/FactSet Auditing Viewer?action=AUDIT_VALUE&amp;DB=129&amp;ID1=52186330&amp;VALUEID=05194&amp;SDATE=201103&amp;PERIODTYPE=QTR_STD&amp;SCFT=3&amp;window=popup_no_bar&amp;width=385&amp;height=120&amp;START_MAXIMIZED=FALSE&amp;creator=factset&amp;display_string=Audit"}</definedName>
    <definedName name="_32__FDSAUDITLINK__" localSheetId="6" hidden="1">{"fdsup://directions/FAT Viewer?action=UPDATE&amp;creator=factset&amp;DYN_ARGS=TRUE&amp;DOC_NAME=FAT:FQL_AUDITING_CLIENT_TEMPLATE.FAT&amp;display_string=Audit&amp;VAR:KEY=UDGZWPYJSZ&amp;VAR:QUERY=RkZfRU5UUlBSX1ZBTF9EQUlMWSgwLCwsLCdVU0QnLCdESUwnKQ==&amp;WINDOW=FIRST_POPUP&amp;HEIGHT=450&amp;WI","DTH=450&amp;START_MAXIMIZED=FALSE&amp;VAR:CALENDAR=US&amp;VAR:SYMBOL=ES&amp;VAR:INDEX=0"}</definedName>
    <definedName name="_32__FDSAUDITLINK__" localSheetId="5" hidden="1">{"fdsup://Directions/FactSet Auditing Viewer?action=AUDIT_VALUE&amp;DB=129&amp;ID1=52186330&amp;VALUEID=05194&amp;SDATE=201103&amp;PERIODTYPE=QTR_STD&amp;SCFT=3&amp;window=popup_no_bar&amp;width=385&amp;height=120&amp;START_MAXIMIZED=FALSE&amp;creator=factset&amp;display_string=Audit"}</definedName>
    <definedName name="_32__FDSAUDITLINK__" localSheetId="1" hidden="1">{"fdsup://Directions/FactSet Auditing Viewer?action=AUDIT_VALUE&amp;DB=129&amp;ID1=52186330&amp;VALUEID=05194&amp;SDATE=201103&amp;PERIODTYPE=QTR_STD&amp;SCFT=3&amp;window=popup_no_bar&amp;width=385&amp;height=120&amp;START_MAXIMIZED=FALSE&amp;creator=factset&amp;display_string=Audit"}</definedName>
    <definedName name="_32__FDSAUDITLINK__" localSheetId="3" hidden="1">{"fdsup://Directions/FactSet Auditing Viewer?action=AUDIT_VALUE&amp;DB=129&amp;ID1=52186330&amp;VALUEID=05194&amp;SDATE=201103&amp;PERIODTYPE=QTR_STD&amp;SCFT=3&amp;window=popup_no_bar&amp;width=385&amp;height=120&amp;START_MAXIMIZED=FALSE&amp;creator=factset&amp;display_string=Audit"}</definedName>
    <definedName name="_32__FDSAUDITLINK__" hidden="1">{"fdsup://directions/FAT Viewer?action=UPDATE&amp;creator=factset&amp;DYN_ARGS=TRUE&amp;DOC_NAME=FAT:FQL_AUDITING_CLIENT_TEMPLATE.FAT&amp;display_string=Audit&amp;VAR:KEY=UDGZWPYJSZ&amp;VAR:QUERY=RkZfRU5UUlBSX1ZBTF9EQUlMWSgwLCwsLCdVU0QnLCdESUwnKQ==&amp;WINDOW=FIRST_POPUP&amp;HEIGHT=450&amp;WI","DTH=450&amp;START_MAXIMIZED=FALSE&amp;VAR:CALENDAR=US&amp;VAR:SYMBOL=ES&amp;VAR:INDEX=0"}</definedName>
    <definedName name="_32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224"}</definedName>
    <definedName name="_32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224"}</definedName>
    <definedName name="_32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224"}</definedName>
    <definedName name="_32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224"}</definedName>
    <definedName name="_32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224"}</definedName>
    <definedName name="_32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224"}</definedName>
    <definedName name="_32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224"}</definedName>
    <definedName name="_32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223"}</definedName>
    <definedName name="_32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223"}</definedName>
    <definedName name="_32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223"}</definedName>
    <definedName name="_32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223"}</definedName>
    <definedName name="_32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223"}</definedName>
    <definedName name="_32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223"}</definedName>
    <definedName name="_32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223"}</definedName>
    <definedName name="_32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222"}</definedName>
    <definedName name="_32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222"}</definedName>
    <definedName name="_32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222"}</definedName>
    <definedName name="_32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222"}</definedName>
    <definedName name="_32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222"}</definedName>
    <definedName name="_32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222"}</definedName>
    <definedName name="_32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222"}</definedName>
    <definedName name="_32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221"}</definedName>
    <definedName name="_32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221"}</definedName>
    <definedName name="_32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221"}</definedName>
    <definedName name="_32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221"}</definedName>
    <definedName name="_32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221"}</definedName>
    <definedName name="_32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221"}</definedName>
    <definedName name="_32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221"}</definedName>
    <definedName name="_32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220"}</definedName>
    <definedName name="_32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220"}</definedName>
    <definedName name="_32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220"}</definedName>
    <definedName name="_32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220"}</definedName>
    <definedName name="_32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220"}</definedName>
    <definedName name="_32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220"}</definedName>
    <definedName name="_32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220"}</definedName>
    <definedName name="_32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219"}</definedName>
    <definedName name="_32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219"}</definedName>
    <definedName name="_32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219"}</definedName>
    <definedName name="_32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219"}</definedName>
    <definedName name="_32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219"}</definedName>
    <definedName name="_32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219"}</definedName>
    <definedName name="_32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219"}</definedName>
    <definedName name="_32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218"}</definedName>
    <definedName name="_32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218"}</definedName>
    <definedName name="_32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218"}</definedName>
    <definedName name="_32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218"}</definedName>
    <definedName name="_32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218"}</definedName>
    <definedName name="_32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218"}</definedName>
    <definedName name="_32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218"}</definedName>
    <definedName name="_32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217"}</definedName>
    <definedName name="_32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217"}</definedName>
    <definedName name="_32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217"}</definedName>
    <definedName name="_32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217"}</definedName>
    <definedName name="_32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217"}</definedName>
    <definedName name="_32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217"}</definedName>
    <definedName name="_32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217"}</definedName>
    <definedName name="_32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216"}</definedName>
    <definedName name="_32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216"}</definedName>
    <definedName name="_32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216"}</definedName>
    <definedName name="_32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216"}</definedName>
    <definedName name="_32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216"}</definedName>
    <definedName name="_32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216"}</definedName>
    <definedName name="_32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216"}</definedName>
    <definedName name="_32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215"}</definedName>
    <definedName name="_32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215"}</definedName>
    <definedName name="_32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215"}</definedName>
    <definedName name="_32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215"}</definedName>
    <definedName name="_32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215"}</definedName>
    <definedName name="_32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215"}</definedName>
    <definedName name="_32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215"}</definedName>
    <definedName name="_33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3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3__FDSAUDITLINK__" localSheetId="6" hidden="1">{"fdsup://directions/FAT Viewer?action=UPDATE&amp;creator=factset&amp;DYN_ARGS=TRUE&amp;DOC_NAME=FAT:FQL_AUDITING_CLIENT_TEMPLATE.FAT&amp;display_string=Audit&amp;VAR:KEY=SRERMFAJCR&amp;VAR:QUERY=RkZfRU5UUlBSX1ZBTF9FQklUREEoJ0FOTicsMCwsLCwnVVNEJyk=&amp;WINDOW=FIRST_POPUP&amp;HEIGHT=450&amp;WI","DTH=450&amp;START_MAXIMIZED=FALSE&amp;VAR:CALENDAR=US&amp;VAR:SYMBOL=B0DJ8Q&amp;VAR:INDEX=0"}</definedName>
    <definedName name="_33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3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3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3__FDSAUDITLINK__" hidden="1">{"fdsup://directions/FAT Viewer?action=UPDATE&amp;creator=factset&amp;DYN_ARGS=TRUE&amp;DOC_NAME=FAT:FQL_AUDITING_CLIENT_TEMPLATE.FAT&amp;display_string=Audit&amp;VAR:KEY=SRERMFAJCR&amp;VAR:QUERY=RkZfRU5UUlBSX1ZBTF9FQklUREEoJ0FOTicsMCwsLCwnVVNEJyk=&amp;WINDOW=FIRST_POPUP&amp;HEIGHT=450&amp;WI","DTH=450&amp;START_MAXIMIZED=FALSE&amp;VAR:CALENDAR=US&amp;VAR:SYMBOL=B0DJ8Q&amp;VAR:INDEX=0"}</definedName>
    <definedName name="_33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214"}</definedName>
    <definedName name="_33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214"}</definedName>
    <definedName name="_33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214"}</definedName>
    <definedName name="_33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214"}</definedName>
    <definedName name="_33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214"}</definedName>
    <definedName name="_33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214"}</definedName>
    <definedName name="_33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214"}</definedName>
    <definedName name="_33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213"}</definedName>
    <definedName name="_33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213"}</definedName>
    <definedName name="_33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213"}</definedName>
    <definedName name="_33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213"}</definedName>
    <definedName name="_33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213"}</definedName>
    <definedName name="_33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213"}</definedName>
    <definedName name="_33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213"}</definedName>
    <definedName name="_33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212"}</definedName>
    <definedName name="_33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212"}</definedName>
    <definedName name="_33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212"}</definedName>
    <definedName name="_33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212"}</definedName>
    <definedName name="_33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212"}</definedName>
    <definedName name="_33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212"}</definedName>
    <definedName name="_33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212"}</definedName>
    <definedName name="_33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211"}</definedName>
    <definedName name="_33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211"}</definedName>
    <definedName name="_33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211"}</definedName>
    <definedName name="_33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211"}</definedName>
    <definedName name="_33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211"}</definedName>
    <definedName name="_33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211"}</definedName>
    <definedName name="_33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211"}</definedName>
    <definedName name="_33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210"}</definedName>
    <definedName name="_33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210"}</definedName>
    <definedName name="_33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210"}</definedName>
    <definedName name="_33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210"}</definedName>
    <definedName name="_33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210"}</definedName>
    <definedName name="_33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210"}</definedName>
    <definedName name="_33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210"}</definedName>
    <definedName name="_33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209"}</definedName>
    <definedName name="_33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209"}</definedName>
    <definedName name="_33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209"}</definedName>
    <definedName name="_33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209"}</definedName>
    <definedName name="_33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209"}</definedName>
    <definedName name="_33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209"}</definedName>
    <definedName name="_33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209"}</definedName>
    <definedName name="_33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208"}</definedName>
    <definedName name="_33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208"}</definedName>
    <definedName name="_33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208"}</definedName>
    <definedName name="_33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208"}</definedName>
    <definedName name="_33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208"}</definedName>
    <definedName name="_33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208"}</definedName>
    <definedName name="_33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208"}</definedName>
    <definedName name="_33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207"}</definedName>
    <definedName name="_33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207"}</definedName>
    <definedName name="_33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207"}</definedName>
    <definedName name="_33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207"}</definedName>
    <definedName name="_33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207"}</definedName>
    <definedName name="_33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207"}</definedName>
    <definedName name="_33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207"}</definedName>
    <definedName name="_33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206"}</definedName>
    <definedName name="_33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206"}</definedName>
    <definedName name="_33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206"}</definedName>
    <definedName name="_33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206"}</definedName>
    <definedName name="_33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206"}</definedName>
    <definedName name="_33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206"}</definedName>
    <definedName name="_33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206"}</definedName>
    <definedName name="_33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205"}</definedName>
    <definedName name="_33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205"}</definedName>
    <definedName name="_33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205"}</definedName>
    <definedName name="_33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205"}</definedName>
    <definedName name="_33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205"}</definedName>
    <definedName name="_33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205"}</definedName>
    <definedName name="_33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205"}</definedName>
    <definedName name="_34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4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4__FDSAUDITLINK__" localSheetId="6" hidden="1">{"fdsup://directions/FAT Viewer?action=UPDATE&amp;creator=factset&amp;DYN_ARGS=TRUE&amp;DOC_NAME=FAT:FQL_AUDITING_CLIENT_TEMPLATE.FAT&amp;display_string=Audit&amp;VAR:KEY=GJIXQFATAF&amp;VAR:QUERY=RkZfREVCVF9FQklUREEoJ0FOTicsMCwsLCwnVVNEJyk=&amp;WINDOW=FIRST_POPUP&amp;HEIGHT=450&amp;WIDTH=450&amp;","START_MAXIMIZED=FALSE&amp;VAR:CALENDAR=US&amp;VAR:SYMBOL=B0DJ8Q&amp;VAR:INDEX=0"}</definedName>
    <definedName name="_34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4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4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4__FDSAUDITLINK__" hidden="1">{"fdsup://directions/FAT Viewer?action=UPDATE&amp;creator=factset&amp;DYN_ARGS=TRUE&amp;DOC_NAME=FAT:FQL_AUDITING_CLIENT_TEMPLATE.FAT&amp;display_string=Audit&amp;VAR:KEY=GJIXQFATAF&amp;VAR:QUERY=RkZfREVCVF9FQklUREEoJ0FOTicsMCwsLCwnVVNEJyk=&amp;WINDOW=FIRST_POPUP&amp;HEIGHT=450&amp;WIDTH=450&amp;","START_MAXIMIZED=FALSE&amp;VAR:CALENDAR=US&amp;VAR:SYMBOL=B0DJ8Q&amp;VAR:INDEX=0"}</definedName>
    <definedName name="_34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204"}</definedName>
    <definedName name="_34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204"}</definedName>
    <definedName name="_34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204"}</definedName>
    <definedName name="_34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204"}</definedName>
    <definedName name="_34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204"}</definedName>
    <definedName name="_34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204"}</definedName>
    <definedName name="_34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204"}</definedName>
    <definedName name="_34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203"}</definedName>
    <definedName name="_34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203"}</definedName>
    <definedName name="_34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203"}</definedName>
    <definedName name="_34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203"}</definedName>
    <definedName name="_34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203"}</definedName>
    <definedName name="_34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203"}</definedName>
    <definedName name="_34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203"}</definedName>
    <definedName name="_34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202"}</definedName>
    <definedName name="_34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202"}</definedName>
    <definedName name="_34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202"}</definedName>
    <definedName name="_34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202"}</definedName>
    <definedName name="_34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202"}</definedName>
    <definedName name="_34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202"}</definedName>
    <definedName name="_34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202"}</definedName>
    <definedName name="_34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201"}</definedName>
    <definedName name="_34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201"}</definedName>
    <definedName name="_34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201"}</definedName>
    <definedName name="_34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201"}</definedName>
    <definedName name="_34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201"}</definedName>
    <definedName name="_34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201"}</definedName>
    <definedName name="_34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201"}</definedName>
    <definedName name="_34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200"}</definedName>
    <definedName name="_34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200"}</definedName>
    <definedName name="_34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200"}</definedName>
    <definedName name="_34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200"}</definedName>
    <definedName name="_34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200"}</definedName>
    <definedName name="_34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200"}</definedName>
    <definedName name="_34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200"}</definedName>
    <definedName name="_34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199"}</definedName>
    <definedName name="_34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199"}</definedName>
    <definedName name="_34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199"}</definedName>
    <definedName name="_34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199"}</definedName>
    <definedName name="_34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199"}</definedName>
    <definedName name="_34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199"}</definedName>
    <definedName name="_34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199"}</definedName>
    <definedName name="_34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198"}</definedName>
    <definedName name="_34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198"}</definedName>
    <definedName name="_34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198"}</definedName>
    <definedName name="_34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198"}</definedName>
    <definedName name="_34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198"}</definedName>
    <definedName name="_34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198"}</definedName>
    <definedName name="_34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198"}</definedName>
    <definedName name="_34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197"}</definedName>
    <definedName name="_34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197"}</definedName>
    <definedName name="_34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197"}</definedName>
    <definedName name="_34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197"}</definedName>
    <definedName name="_34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197"}</definedName>
    <definedName name="_34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197"}</definedName>
    <definedName name="_34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197"}</definedName>
    <definedName name="_34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196"}</definedName>
    <definedName name="_34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196"}</definedName>
    <definedName name="_34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196"}</definedName>
    <definedName name="_34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196"}</definedName>
    <definedName name="_34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196"}</definedName>
    <definedName name="_34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196"}</definedName>
    <definedName name="_34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196"}</definedName>
    <definedName name="_34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195"}</definedName>
    <definedName name="_34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195"}</definedName>
    <definedName name="_34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195"}</definedName>
    <definedName name="_34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195"}</definedName>
    <definedName name="_34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195"}</definedName>
    <definedName name="_34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195"}</definedName>
    <definedName name="_34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195"}</definedName>
    <definedName name="_35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5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5__FDSAUDITLINK__" localSheetId="6" hidden="1">{"fdsup://directions/FAT Viewer?action=UPDATE&amp;creator=factset&amp;DYN_ARGS=TRUE&amp;DOC_NAME=FAT:FQL_AUDITING_CLIENT_TEMPLATE.FAT&amp;display_string=Audit&amp;VAR:KEY=QHAXEHENWD&amp;VAR:QUERY=RkZfTFREX1RDQVAoJ0FOTicsMCk=&amp;WINDOW=FIRST_POPUP&amp;HEIGHT=450&amp;WIDTH=450&amp;START_MAXIMIZED=","FALSE&amp;VAR:CALENDAR=US&amp;VAR:SYMBOL=B0DJ8Q&amp;VAR:INDEX=0"}</definedName>
    <definedName name="_35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5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5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5__FDSAUDITLINK__" hidden="1">{"fdsup://directions/FAT Viewer?action=UPDATE&amp;creator=factset&amp;DYN_ARGS=TRUE&amp;DOC_NAME=FAT:FQL_AUDITING_CLIENT_TEMPLATE.FAT&amp;display_string=Audit&amp;VAR:KEY=QHAXEHENWD&amp;VAR:QUERY=RkZfTFREX1RDQVAoJ0FOTicsMCk=&amp;WINDOW=FIRST_POPUP&amp;HEIGHT=450&amp;WIDTH=450&amp;START_MAXIMIZED=","FALSE&amp;VAR:CALENDAR=US&amp;VAR:SYMBOL=B0DJ8Q&amp;VAR:INDEX=0"}</definedName>
    <definedName name="_35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194"}</definedName>
    <definedName name="_35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194"}</definedName>
    <definedName name="_35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194"}</definedName>
    <definedName name="_35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194"}</definedName>
    <definedName name="_35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194"}</definedName>
    <definedName name="_35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194"}</definedName>
    <definedName name="_35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194"}</definedName>
    <definedName name="_35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193"}</definedName>
    <definedName name="_35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193"}</definedName>
    <definedName name="_35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193"}</definedName>
    <definedName name="_35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193"}</definedName>
    <definedName name="_35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193"}</definedName>
    <definedName name="_35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193"}</definedName>
    <definedName name="_35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193"}</definedName>
    <definedName name="_35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192"}</definedName>
    <definedName name="_35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192"}</definedName>
    <definedName name="_35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192"}</definedName>
    <definedName name="_35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192"}</definedName>
    <definedName name="_35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192"}</definedName>
    <definedName name="_35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192"}</definedName>
    <definedName name="_35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192"}</definedName>
    <definedName name="_35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191"}</definedName>
    <definedName name="_35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191"}</definedName>
    <definedName name="_35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191"}</definedName>
    <definedName name="_35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191"}</definedName>
    <definedName name="_35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191"}</definedName>
    <definedName name="_35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191"}</definedName>
    <definedName name="_35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191"}</definedName>
    <definedName name="_35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190"}</definedName>
    <definedName name="_35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190"}</definedName>
    <definedName name="_35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190"}</definedName>
    <definedName name="_35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190"}</definedName>
    <definedName name="_35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190"}</definedName>
    <definedName name="_35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190"}</definedName>
    <definedName name="_35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190"}</definedName>
    <definedName name="_35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189"}</definedName>
    <definedName name="_35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189"}</definedName>
    <definedName name="_35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189"}</definedName>
    <definedName name="_35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189"}</definedName>
    <definedName name="_35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189"}</definedName>
    <definedName name="_35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189"}</definedName>
    <definedName name="_35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189"}</definedName>
    <definedName name="_35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188"}</definedName>
    <definedName name="_35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188"}</definedName>
    <definedName name="_35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188"}</definedName>
    <definedName name="_35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188"}</definedName>
    <definedName name="_35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188"}</definedName>
    <definedName name="_35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188"}</definedName>
    <definedName name="_35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188"}</definedName>
    <definedName name="_35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187"}</definedName>
    <definedName name="_35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187"}</definedName>
    <definedName name="_35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187"}</definedName>
    <definedName name="_35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187"}</definedName>
    <definedName name="_35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187"}</definedName>
    <definedName name="_35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187"}</definedName>
    <definedName name="_35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187"}</definedName>
    <definedName name="_35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186"}</definedName>
    <definedName name="_35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186"}</definedName>
    <definedName name="_35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186"}</definedName>
    <definedName name="_35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186"}</definedName>
    <definedName name="_35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186"}</definedName>
    <definedName name="_35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186"}</definedName>
    <definedName name="_35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186"}</definedName>
    <definedName name="_35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185"}</definedName>
    <definedName name="_35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185"}</definedName>
    <definedName name="_35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185"}</definedName>
    <definedName name="_35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185"}</definedName>
    <definedName name="_35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185"}</definedName>
    <definedName name="_35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185"}</definedName>
    <definedName name="_35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185"}</definedName>
    <definedName name="_36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6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6__FDSAUDITLINK__" localSheetId="6" hidden="1">{"fdsup://directions/FAT Viewer?action=UPDATE&amp;creator=factset&amp;DYN_ARGS=TRUE&amp;DOC_NAME=FAT:FQL_AUDITING_CLIENT_TEMPLATE.FAT&amp;display_string=Audit&amp;VAR:KEY=UTCHABUPAJ&amp;VAR:QUERY=RkZfRU5UUlBSX1ZBTF9EQUlMWSgwLCwsLCdVU0QnLCdESUwnKQ==&amp;WINDOW=FIRST_POPUP&amp;HEIGHT=450&amp;WI","DTH=450&amp;START_MAXIMIZED=FALSE&amp;VAR:CALENDAR=US&amp;VAR:SYMBOL=B0DJ8Q&amp;VAR:INDEX=0"}</definedName>
    <definedName name="_36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6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6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6__FDSAUDITLINK__" hidden="1">{"fdsup://directions/FAT Viewer?action=UPDATE&amp;creator=factset&amp;DYN_ARGS=TRUE&amp;DOC_NAME=FAT:FQL_AUDITING_CLIENT_TEMPLATE.FAT&amp;display_string=Audit&amp;VAR:KEY=UTCHABUPAJ&amp;VAR:QUERY=RkZfRU5UUlBSX1ZBTF9EQUlMWSgwLCwsLCdVU0QnLCdESUwnKQ==&amp;WINDOW=FIRST_POPUP&amp;HEIGHT=450&amp;WI","DTH=450&amp;START_MAXIMIZED=FALSE&amp;VAR:CALENDAR=US&amp;VAR:SYMBOL=B0DJ8Q&amp;VAR:INDEX=0"}</definedName>
    <definedName name="_36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184"}</definedName>
    <definedName name="_36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184"}</definedName>
    <definedName name="_36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184"}</definedName>
    <definedName name="_36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184"}</definedName>
    <definedName name="_36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184"}</definedName>
    <definedName name="_36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184"}</definedName>
    <definedName name="_36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184"}</definedName>
    <definedName name="_36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183"}</definedName>
    <definedName name="_36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183"}</definedName>
    <definedName name="_36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183"}</definedName>
    <definedName name="_36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183"}</definedName>
    <definedName name="_36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183"}</definedName>
    <definedName name="_36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183"}</definedName>
    <definedName name="_36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183"}</definedName>
    <definedName name="_36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182"}</definedName>
    <definedName name="_36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182"}</definedName>
    <definedName name="_36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182"}</definedName>
    <definedName name="_36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182"}</definedName>
    <definedName name="_36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182"}</definedName>
    <definedName name="_36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182"}</definedName>
    <definedName name="_36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182"}</definedName>
    <definedName name="_36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181"}</definedName>
    <definedName name="_36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181"}</definedName>
    <definedName name="_36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181"}</definedName>
    <definedName name="_36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181"}</definedName>
    <definedName name="_36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181"}</definedName>
    <definedName name="_36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181"}</definedName>
    <definedName name="_36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181"}</definedName>
    <definedName name="_36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180"}</definedName>
    <definedName name="_36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180"}</definedName>
    <definedName name="_36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180"}</definedName>
    <definedName name="_36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180"}</definedName>
    <definedName name="_36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180"}</definedName>
    <definedName name="_36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180"}</definedName>
    <definedName name="_36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180"}</definedName>
    <definedName name="_36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179"}</definedName>
    <definedName name="_36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179"}</definedName>
    <definedName name="_36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179"}</definedName>
    <definedName name="_36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179"}</definedName>
    <definedName name="_36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179"}</definedName>
    <definedName name="_36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179"}</definedName>
    <definedName name="_36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179"}</definedName>
    <definedName name="_36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178"}</definedName>
    <definedName name="_36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178"}</definedName>
    <definedName name="_36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178"}</definedName>
    <definedName name="_36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178"}</definedName>
    <definedName name="_36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178"}</definedName>
    <definedName name="_36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178"}</definedName>
    <definedName name="_36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178"}</definedName>
    <definedName name="_36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177"}</definedName>
    <definedName name="_36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177"}</definedName>
    <definedName name="_36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177"}</definedName>
    <definedName name="_36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177"}</definedName>
    <definedName name="_36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177"}</definedName>
    <definedName name="_36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177"}</definedName>
    <definedName name="_36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177"}</definedName>
    <definedName name="_36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176"}</definedName>
    <definedName name="_36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176"}</definedName>
    <definedName name="_36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176"}</definedName>
    <definedName name="_36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176"}</definedName>
    <definedName name="_36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176"}</definedName>
    <definedName name="_36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176"}</definedName>
    <definedName name="_36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176"}</definedName>
    <definedName name="_36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175"}</definedName>
    <definedName name="_36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175"}</definedName>
    <definedName name="_36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175"}</definedName>
    <definedName name="_36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175"}</definedName>
    <definedName name="_36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175"}</definedName>
    <definedName name="_36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175"}</definedName>
    <definedName name="_36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175"}</definedName>
    <definedName name="_37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7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7__FDSAUDITLINK__" localSheetId="6" hidden="1">{"fdsup://directions/FAT Viewer?action=UPDATE&amp;creator=factset&amp;DYN_ARGS=TRUE&amp;DOC_NAME=FAT:FQL_AUDITING_CLIENT_TEMPLATE.FAT&amp;display_string=Audit&amp;VAR:KEY=GJEPMJUHEP&amp;VAR:QUERY=RkZfRU5UUlBSX1ZBTF9FQklUREEoJ0FOTicsMCwsLCwnVVNEJyk=&amp;WINDOW=FIRST_POPUP&amp;HEIGHT=450&amp;WI","DTH=450&amp;START_MAXIMIZED=FALSE&amp;VAR:CALENDAR=US&amp;VAR:SYMBOL=URS&amp;VAR:INDEX=0"}</definedName>
    <definedName name="_37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7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7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7__FDSAUDITLINK__" hidden="1">{"fdsup://directions/FAT Viewer?action=UPDATE&amp;creator=factset&amp;DYN_ARGS=TRUE&amp;DOC_NAME=FAT:FQL_AUDITING_CLIENT_TEMPLATE.FAT&amp;display_string=Audit&amp;VAR:KEY=GJEPMJUHEP&amp;VAR:QUERY=RkZfRU5UUlBSX1ZBTF9FQklUREEoJ0FOTicsMCwsLCwnVVNEJyk=&amp;WINDOW=FIRST_POPUP&amp;HEIGHT=450&amp;WI","DTH=450&amp;START_MAXIMIZED=FALSE&amp;VAR:CALENDAR=US&amp;VAR:SYMBOL=URS&amp;VAR:INDEX=0"}</definedName>
    <definedName name="_37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174"}</definedName>
    <definedName name="_37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174"}</definedName>
    <definedName name="_37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174"}</definedName>
    <definedName name="_37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174"}</definedName>
    <definedName name="_37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174"}</definedName>
    <definedName name="_37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174"}</definedName>
    <definedName name="_37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174"}</definedName>
    <definedName name="_37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173"}</definedName>
    <definedName name="_37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173"}</definedName>
    <definedName name="_37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173"}</definedName>
    <definedName name="_37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173"}</definedName>
    <definedName name="_37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173"}</definedName>
    <definedName name="_37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173"}</definedName>
    <definedName name="_37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173"}</definedName>
    <definedName name="_37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172"}</definedName>
    <definedName name="_37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172"}</definedName>
    <definedName name="_37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172"}</definedName>
    <definedName name="_37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172"}</definedName>
    <definedName name="_37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172"}</definedName>
    <definedName name="_37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172"}</definedName>
    <definedName name="_37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172"}</definedName>
    <definedName name="_37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171"}</definedName>
    <definedName name="_37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171"}</definedName>
    <definedName name="_37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171"}</definedName>
    <definedName name="_37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171"}</definedName>
    <definedName name="_37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171"}</definedName>
    <definedName name="_37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171"}</definedName>
    <definedName name="_37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171"}</definedName>
    <definedName name="_37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170"}</definedName>
    <definedName name="_37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170"}</definedName>
    <definedName name="_37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170"}</definedName>
    <definedName name="_37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170"}</definedName>
    <definedName name="_37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170"}</definedName>
    <definedName name="_37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170"}</definedName>
    <definedName name="_37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170"}</definedName>
    <definedName name="_37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169"}</definedName>
    <definedName name="_37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169"}</definedName>
    <definedName name="_37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169"}</definedName>
    <definedName name="_37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169"}</definedName>
    <definedName name="_37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169"}</definedName>
    <definedName name="_37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169"}</definedName>
    <definedName name="_37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169"}</definedName>
    <definedName name="_37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168"}</definedName>
    <definedName name="_37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168"}</definedName>
    <definedName name="_37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168"}</definedName>
    <definedName name="_37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168"}</definedName>
    <definedName name="_37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168"}</definedName>
    <definedName name="_37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168"}</definedName>
    <definedName name="_37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168"}</definedName>
    <definedName name="_37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167"}</definedName>
    <definedName name="_37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167"}</definedName>
    <definedName name="_37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167"}</definedName>
    <definedName name="_37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167"}</definedName>
    <definedName name="_37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167"}</definedName>
    <definedName name="_37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167"}</definedName>
    <definedName name="_37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167"}</definedName>
    <definedName name="_37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166"}</definedName>
    <definedName name="_37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166"}</definedName>
    <definedName name="_37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166"}</definedName>
    <definedName name="_37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166"}</definedName>
    <definedName name="_37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166"}</definedName>
    <definedName name="_37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166"}</definedName>
    <definedName name="_37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166"}</definedName>
    <definedName name="_37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165"}</definedName>
    <definedName name="_37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165"}</definedName>
    <definedName name="_37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165"}</definedName>
    <definedName name="_37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165"}</definedName>
    <definedName name="_37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165"}</definedName>
    <definedName name="_37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165"}</definedName>
    <definedName name="_37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165"}</definedName>
    <definedName name="_38__FDSAUDITLINK__" localSheetId="9" hidden="1">{"fdsup://directions/FAT Viewer?action=UPDATE&amp;creator=factset&amp;DYN_ARGS=TRUE&amp;DOC_NAME=FAT:FQL_AUDITING_CLIENT_TEMPLATE.FAT&amp;display_string=Audit&amp;VAR:KEY=YZQPKRQNMB&amp;VAR:QUERY=RkZfRElWX1lMRChBTk4sTk9XKQ==&amp;WINDOW=FIRST_POPUP&amp;HEIGHT=450&amp;WIDTH=450&amp;START_MAXIMIZED=","FALSE&amp;VAR:CALENDAR=US&amp;VAR:SYMBOL=DTV&amp;VAR:INDEX=0"}</definedName>
    <definedName name="_38__FDSAUDITLINK__" localSheetId="8" hidden="1">{"fdsup://directions/FAT Viewer?action=UPDATE&amp;creator=factset&amp;DYN_ARGS=TRUE&amp;DOC_NAME=FAT:FQL_AUDITING_CLIENT_TEMPLATE.FAT&amp;display_string=Audit&amp;VAR:KEY=YZQPKRQNMB&amp;VAR:QUERY=RkZfRElWX1lMRChBTk4sTk9XKQ==&amp;WINDOW=FIRST_POPUP&amp;HEIGHT=450&amp;WIDTH=450&amp;START_MAXIMIZED=","FALSE&amp;VAR:CALENDAR=US&amp;VAR:SYMBOL=DTV&amp;VAR:INDEX=0"}</definedName>
    <definedName name="_38__FDSAUDITLINK__" localSheetId="6" hidden="1">{"fdsup://directions/FAT Viewer?action=UPDATE&amp;creator=factset&amp;DYN_ARGS=TRUE&amp;DOC_NAME=FAT:FQL_AUDITING_CLIENT_TEMPLATE.FAT&amp;display_string=Audit&amp;VAR:KEY=WBABMBMTMZ&amp;VAR:QUERY=RkZfREVCVF9FQklUREEoJ0FOTicsMCwsLCwnVVNEJyk=&amp;WINDOW=FIRST_POPUP&amp;HEIGHT=450&amp;WIDTH=450&amp;","START_MAXIMIZED=FALSE&amp;VAR:CALENDAR=US&amp;VAR:SYMBOL=URS&amp;VAR:INDEX=0"}</definedName>
    <definedName name="_38__FDSAUDITLINK__" localSheetId="5" hidden="1">{"fdsup://directions/FAT Viewer?action=UPDATE&amp;creator=factset&amp;DYN_ARGS=TRUE&amp;DOC_NAME=FAT:FQL_AUDITING_CLIENT_TEMPLATE.FAT&amp;display_string=Audit&amp;VAR:KEY=YZQPKRQNMB&amp;VAR:QUERY=RkZfRElWX1lMRChBTk4sTk9XKQ==&amp;WINDOW=FIRST_POPUP&amp;HEIGHT=450&amp;WIDTH=450&amp;START_MAXIMIZED=","FALSE&amp;VAR:CALENDAR=US&amp;VAR:SYMBOL=DTV&amp;VAR:INDEX=0"}</definedName>
    <definedName name="_38__FDSAUDITLINK__" localSheetId="1" hidden="1">{"fdsup://directions/FAT Viewer?action=UPDATE&amp;creator=factset&amp;DYN_ARGS=TRUE&amp;DOC_NAME=FAT:FQL_AUDITING_CLIENT_TEMPLATE.FAT&amp;display_string=Audit&amp;VAR:KEY=YZQPKRQNMB&amp;VAR:QUERY=RkZfRElWX1lMRChBTk4sTk9XKQ==&amp;WINDOW=FIRST_POPUP&amp;HEIGHT=450&amp;WIDTH=450&amp;START_MAXIMIZED=","FALSE&amp;VAR:CALENDAR=US&amp;VAR:SYMBOL=DTV&amp;VAR:INDEX=0"}</definedName>
    <definedName name="_38__FDSAUDITLINK__" localSheetId="3" hidden="1">{"fdsup://directions/FAT Viewer?action=UPDATE&amp;creator=factset&amp;DYN_ARGS=TRUE&amp;DOC_NAME=FAT:FQL_AUDITING_CLIENT_TEMPLATE.FAT&amp;display_string=Audit&amp;VAR:KEY=YZQPKRQNMB&amp;VAR:QUERY=RkZfRElWX1lMRChBTk4sTk9XKQ==&amp;WINDOW=FIRST_POPUP&amp;HEIGHT=450&amp;WIDTH=450&amp;START_MAXIMIZED=","FALSE&amp;VAR:CALENDAR=US&amp;VAR:SYMBOL=DTV&amp;VAR:INDEX=0"}</definedName>
    <definedName name="_38__FDSAUDITLINK__" hidden="1">{"fdsup://directions/FAT Viewer?action=UPDATE&amp;creator=factset&amp;DYN_ARGS=TRUE&amp;DOC_NAME=FAT:FQL_AUDITING_CLIENT_TEMPLATE.FAT&amp;display_string=Audit&amp;VAR:KEY=WBABMBMTMZ&amp;VAR:QUERY=RkZfREVCVF9FQklUREEoJ0FOTicsMCwsLCwnVVNEJyk=&amp;WINDOW=FIRST_POPUP&amp;HEIGHT=450&amp;WIDTH=450&amp;","START_MAXIMIZED=FALSE&amp;VAR:CALENDAR=US&amp;VAR:SYMBOL=URS&amp;VAR:INDEX=0"}</definedName>
    <definedName name="_38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164"}</definedName>
    <definedName name="_38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164"}</definedName>
    <definedName name="_38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164"}</definedName>
    <definedName name="_38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164"}</definedName>
    <definedName name="_38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164"}</definedName>
    <definedName name="_38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164"}</definedName>
    <definedName name="_38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164"}</definedName>
    <definedName name="_38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163"}</definedName>
    <definedName name="_38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163"}</definedName>
    <definedName name="_38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163"}</definedName>
    <definedName name="_38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163"}</definedName>
    <definedName name="_38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163"}</definedName>
    <definedName name="_38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163"}</definedName>
    <definedName name="_38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163"}</definedName>
    <definedName name="_38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162"}</definedName>
    <definedName name="_38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162"}</definedName>
    <definedName name="_38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162"}</definedName>
    <definedName name="_38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162"}</definedName>
    <definedName name="_38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162"}</definedName>
    <definedName name="_38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162"}</definedName>
    <definedName name="_38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162"}</definedName>
    <definedName name="_38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161"}</definedName>
    <definedName name="_38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161"}</definedName>
    <definedName name="_38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161"}</definedName>
    <definedName name="_38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161"}</definedName>
    <definedName name="_38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161"}</definedName>
    <definedName name="_38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161"}</definedName>
    <definedName name="_38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161"}</definedName>
    <definedName name="_38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160"}</definedName>
    <definedName name="_38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160"}</definedName>
    <definedName name="_38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160"}</definedName>
    <definedName name="_38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160"}</definedName>
    <definedName name="_38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160"}</definedName>
    <definedName name="_38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160"}</definedName>
    <definedName name="_38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160"}</definedName>
    <definedName name="_38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159"}</definedName>
    <definedName name="_38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159"}</definedName>
    <definedName name="_38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159"}</definedName>
    <definedName name="_38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159"}</definedName>
    <definedName name="_38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159"}</definedName>
    <definedName name="_38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159"}</definedName>
    <definedName name="_38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159"}</definedName>
    <definedName name="_38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158"}</definedName>
    <definedName name="_38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158"}</definedName>
    <definedName name="_38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158"}</definedName>
    <definedName name="_38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158"}</definedName>
    <definedName name="_38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158"}</definedName>
    <definedName name="_38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158"}</definedName>
    <definedName name="_38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158"}</definedName>
    <definedName name="_38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157"}</definedName>
    <definedName name="_38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157"}</definedName>
    <definedName name="_38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157"}</definedName>
    <definedName name="_38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157"}</definedName>
    <definedName name="_38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157"}</definedName>
    <definedName name="_38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157"}</definedName>
    <definedName name="_38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157"}</definedName>
    <definedName name="_38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156"}</definedName>
    <definedName name="_38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156"}</definedName>
    <definedName name="_38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156"}</definedName>
    <definedName name="_38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156"}</definedName>
    <definedName name="_38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156"}</definedName>
    <definedName name="_38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156"}</definedName>
    <definedName name="_38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156"}</definedName>
    <definedName name="_38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155"}</definedName>
    <definedName name="_38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155"}</definedName>
    <definedName name="_38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155"}</definedName>
    <definedName name="_38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155"}</definedName>
    <definedName name="_38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155"}</definedName>
    <definedName name="_38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155"}</definedName>
    <definedName name="_38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155"}</definedName>
    <definedName name="_39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39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39__FDSAUDITLINK__" localSheetId="6" hidden="1">{"fdsup://directions/FAT Viewer?action=UPDATE&amp;creator=factset&amp;DYN_ARGS=TRUE&amp;DOC_NAME=FAT:FQL_AUDITING_CLIENT_TEMPLATE.FAT&amp;display_string=Audit&amp;VAR:KEY=SDSJELGZAF&amp;VAR:QUERY=RkZfTFREX1RDQVAoJ0FOTicsMCk=&amp;WINDOW=FIRST_POPUP&amp;HEIGHT=450&amp;WIDTH=450&amp;START_MAXIMIZED=","FALSE&amp;VAR:CALENDAR=US&amp;VAR:SYMBOL=URS&amp;VAR:INDEX=0"}</definedName>
    <definedName name="_39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39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39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39__FDSAUDITLINK__" hidden="1">{"fdsup://directions/FAT Viewer?action=UPDATE&amp;creator=factset&amp;DYN_ARGS=TRUE&amp;DOC_NAME=FAT:FQL_AUDITING_CLIENT_TEMPLATE.FAT&amp;display_string=Audit&amp;VAR:KEY=SDSJELGZAF&amp;VAR:QUERY=RkZfTFREX1RDQVAoJ0FOTicsMCk=&amp;WINDOW=FIRST_POPUP&amp;HEIGHT=450&amp;WIDTH=450&amp;START_MAXIMIZED=","FALSE&amp;VAR:CALENDAR=US&amp;VAR:SYMBOL=URS&amp;VAR:INDEX=0"}</definedName>
    <definedName name="_39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154"}</definedName>
    <definedName name="_39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154"}</definedName>
    <definedName name="_39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154"}</definedName>
    <definedName name="_39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154"}</definedName>
    <definedName name="_39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154"}</definedName>
    <definedName name="_39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154"}</definedName>
    <definedName name="_39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154"}</definedName>
    <definedName name="_39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153"}</definedName>
    <definedName name="_39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153"}</definedName>
    <definedName name="_39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153"}</definedName>
    <definedName name="_39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153"}</definedName>
    <definedName name="_39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153"}</definedName>
    <definedName name="_39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153"}</definedName>
    <definedName name="_39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153"}</definedName>
    <definedName name="_39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152"}</definedName>
    <definedName name="_39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152"}</definedName>
    <definedName name="_39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152"}</definedName>
    <definedName name="_39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152"}</definedName>
    <definedName name="_39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152"}</definedName>
    <definedName name="_39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152"}</definedName>
    <definedName name="_39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152"}</definedName>
    <definedName name="_39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151"}</definedName>
    <definedName name="_39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151"}</definedName>
    <definedName name="_39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151"}</definedName>
    <definedName name="_39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151"}</definedName>
    <definedName name="_39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151"}</definedName>
    <definedName name="_39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151"}</definedName>
    <definedName name="_39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151"}</definedName>
    <definedName name="_39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150"}</definedName>
    <definedName name="_39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150"}</definedName>
    <definedName name="_39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150"}</definedName>
    <definedName name="_39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150"}</definedName>
    <definedName name="_39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150"}</definedName>
    <definedName name="_39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150"}</definedName>
    <definedName name="_39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150"}</definedName>
    <definedName name="_39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149"}</definedName>
    <definedName name="_39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149"}</definedName>
    <definedName name="_39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149"}</definedName>
    <definedName name="_39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149"}</definedName>
    <definedName name="_39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149"}</definedName>
    <definedName name="_39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149"}</definedName>
    <definedName name="_39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149"}</definedName>
    <definedName name="_39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148"}</definedName>
    <definedName name="_39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148"}</definedName>
    <definedName name="_39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148"}</definedName>
    <definedName name="_39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148"}</definedName>
    <definedName name="_39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148"}</definedName>
    <definedName name="_39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148"}</definedName>
    <definedName name="_39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148"}</definedName>
    <definedName name="_39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147"}</definedName>
    <definedName name="_39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147"}</definedName>
    <definedName name="_39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147"}</definedName>
    <definedName name="_39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147"}</definedName>
    <definedName name="_39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147"}</definedName>
    <definedName name="_39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147"}</definedName>
    <definedName name="_39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147"}</definedName>
    <definedName name="_39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146"}</definedName>
    <definedName name="_39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146"}</definedName>
    <definedName name="_39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146"}</definedName>
    <definedName name="_39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146"}</definedName>
    <definedName name="_39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146"}</definedName>
    <definedName name="_39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146"}</definedName>
    <definedName name="_39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146"}</definedName>
    <definedName name="_39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145"}</definedName>
    <definedName name="_39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145"}</definedName>
    <definedName name="_39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145"}</definedName>
    <definedName name="_39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145"}</definedName>
    <definedName name="_39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145"}</definedName>
    <definedName name="_39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145"}</definedName>
    <definedName name="_39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145"}</definedName>
    <definedName name="_3Q94" localSheetId="6">#REF!</definedName>
    <definedName name="_3Q94" localSheetId="2">#REF!</definedName>
    <definedName name="_3Q94">#REF!</definedName>
    <definedName name="_3Q95" localSheetId="2">#REF!</definedName>
    <definedName name="_3Q95">#REF!</definedName>
    <definedName name="_3Table2_" hidden="1">#REF!</definedName>
    <definedName name="_4__FDSAUDITLINK__" localSheetId="9" hidden="1">{"fdsup://directions/FAT%20Viewer?VAR:PED=2011&amp;VAR:PERIOD=CY&amp;VAR:V=96.748947&amp;VAR:PCT=N&amp;VAR:AUDIT_ID=00000117&amp;VAR:DATE=20100618&amp;action=UPDATE&amp;creator=factset&amp;DOC_NAME=FAT:FMA_audit_SUMMARY.fat&amp;DISPLAY_STRING=Display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Aggregates&amp;VAR:MEASURE=EPS_MEAN&amp;VAR:CALC_MODE=AGGREGATE&amp;VAR:CHGPERIOD=NA&amp;VAR:FQLFORMULA=FMA_EPS&amp;VAR:CURRENCY=USD&amp;VAR:P=1117.510608&amp;VAR:THRESH=||||&amp;VAR:null=.html"}</definedName>
    <definedName name="_4__FDSAUDITLINK__" localSheetId="8" hidden="1">{"fdsup://directions/FAT%20Viewer?VAR:PED=2011&amp;VAR:PERIOD=CY&amp;VAR:V=96.748947&amp;VAR:PCT=N&amp;VAR:AUDIT_ID=00000117&amp;VAR:DATE=20100618&amp;action=UPDATE&amp;creator=factset&amp;DOC_NAME=FAT:FMA_audit_SUMMARY.fat&amp;DISPLAY_STRING=Display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Aggregates&amp;VAR:MEASURE=EPS_MEAN&amp;VAR:CALC_MODE=AGGREGATE&amp;VAR:CHGPERIOD=NA&amp;VAR:FQLFORMULA=FMA_EPS&amp;VAR:CURRENCY=USD&amp;VAR:P=1117.510608&amp;VAR:THRESH=||||&amp;VAR:null=.html"}</definedName>
    <definedName name="_4__FDSAUDITLINK__" localSheetId="6" hidden="1">{"fdsup://directions/FAT Viewer?action=UPDATE&amp;creator=factset&amp;DYN_ARGS=TRUE&amp;DOC_NAME=FAT:FQL_AUDITING_CLIENT_TEMPLATE.FAT&amp;display_string=Audit&amp;VAR:KEY=DYNWLIBOFK&amp;VAR:QUERY=RkZfRU5UUlBSX1ZBTCgp&amp;WINDOW=FIRST_POPUP&amp;HEIGHT=450&amp;WIDTH=450&amp;START_MAXIMIZED=FALSE&amp;VA","R:CALENDAR=US&amp;VAR:SYMBOL=DE&amp;VAR:INDEX=0"}</definedName>
    <definedName name="_4__FDSAUDITLINK__" localSheetId="5" hidden="1">{"fdsup://directions/FAT%20Viewer?VAR:PED=2011&amp;VAR:PERIOD=CY&amp;VAR:V=96.748947&amp;VAR:PCT=N&amp;VAR:AUDIT_ID=00000117&amp;VAR:DATE=20100618&amp;action=UPDATE&amp;creator=factset&amp;DOC_NAME=FAT:FMA_audit_SUMMARY.fat&amp;DISPLAY_STRING=Display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Aggregates&amp;VAR:MEASURE=EPS_MEAN&amp;VAR:CALC_MODE=AGGREGATE&amp;VAR:CHGPERIOD=NA&amp;VAR:FQLFORMULA=FMA_EPS&amp;VAR:CURRENCY=USD&amp;VAR:P=1117.510608&amp;VAR:THRESH=||||&amp;VAR:null=.html"}</definedName>
    <definedName name="_4__FDSAUDITLINK__" localSheetId="1" hidden="1">{"fdsup://directions/FAT%20Viewer?VAR:PED=2011&amp;VAR:PERIOD=CY&amp;VAR:V=96.748947&amp;VAR:PCT=N&amp;VAR:AUDIT_ID=00000117&amp;VAR:DATE=20100618&amp;action=UPDATE&amp;creator=factset&amp;DOC_NAME=FAT:FMA_audit_SUMMARY.fat&amp;DISPLAY_STRING=Display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Aggregates&amp;VAR:MEASURE=EPS_MEAN&amp;VAR:CALC_MODE=AGGREGATE&amp;VAR:CHGPERIOD=NA&amp;VAR:FQLFORMULA=FMA_EPS&amp;VAR:CURRENCY=USD&amp;VAR:P=1117.510608&amp;VAR:THRESH=||||&amp;VAR:null=.html"}</definedName>
    <definedName name="_4__FDSAUDITLINK__" localSheetId="3" hidden="1">{"fdsup://directions/FAT%20Viewer?VAR:PED=2011&amp;VAR:PERIOD=CY&amp;VAR:V=96.748947&amp;VAR:PCT=N&amp;VAR:AUDIT_ID=00000117&amp;VAR:DATE=20100618&amp;action=UPDATE&amp;creator=factset&amp;DOC_NAME=FAT:FMA_audit_SUMMARY.fat&amp;DISPLAY_STRING=Display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Aggregates&amp;VAR:MEASURE=EPS_MEAN&amp;VAR:CALC_MODE=AGGREGATE&amp;VAR:CHGPERIOD=NA&amp;VAR:FQLFORMULA=FMA_EPS&amp;VAR:CURRENCY=USD&amp;VAR:P=1117.510608&amp;VAR:THRESH=||||&amp;VAR:null=.html"}</definedName>
    <definedName name="_4__FDSAUDITLINK__" hidden="1">{"fdsup://directions/FAT Viewer?action=UPDATE&amp;creator=factset&amp;DYN_ARGS=TRUE&amp;DOC_NAME=FAT:FQL_AUDITING_CLIENT_TEMPLATE.FAT&amp;display_string=Audit&amp;VAR:KEY=DYNWLIBOFK&amp;VAR:QUERY=RkZfRU5UUlBSX1ZBTCgp&amp;WINDOW=FIRST_POPUP&amp;HEIGHT=450&amp;WIDTH=450&amp;START_MAXIMIZED=FALSE&amp;VA","R:CALENDAR=US&amp;VAR:SYMBOL=DE&amp;VAR:INDEX=0"}</definedName>
    <definedName name="_40__FDSAUDITLINK__" localSheetId="9" hidden="1">{"fdsup://directions/FAT Viewer?action=UPDATE&amp;creator=factset&amp;DYN_ARGS=TRUE&amp;DOC_NAME=FAT:FQL_AUDITING_CLIENT_TEMPLATE.FAT&amp;display_string=Audit&amp;VAR:KEY=XKXOVKDAFA&amp;VAR:QUERY=Q1NGX0RFQlQoQU5OLE5PVyk=&amp;WINDOW=FIRST_POPUP&amp;HEIGHT=450&amp;WIDTH=450&amp;START_MAXIMIZED=FALS","E&amp;VAR:CALENDAR=US&amp;VAR:SYMBOL=19239V30&amp;VAR:INDEX=0"}</definedName>
    <definedName name="_40__FDSAUDITLINK__" localSheetId="8" hidden="1">{"fdsup://directions/FAT Viewer?action=UPDATE&amp;creator=factset&amp;DYN_ARGS=TRUE&amp;DOC_NAME=FAT:FQL_AUDITING_CLIENT_TEMPLATE.FAT&amp;display_string=Audit&amp;VAR:KEY=XKXOVKDAFA&amp;VAR:QUERY=Q1NGX0RFQlQoQU5OLE5PVyk=&amp;WINDOW=FIRST_POPUP&amp;HEIGHT=450&amp;WIDTH=450&amp;START_MAXIMIZED=FALS","E&amp;VAR:CALENDAR=US&amp;VAR:SYMBOL=19239V30&amp;VAR:INDEX=0"}</definedName>
    <definedName name="_40__FDSAUDITLINK__" localSheetId="6" hidden="1">{"fdsup://Directions/FactSet Auditing Viewer?action=AUDIT_VALUE&amp;DB=129&amp;ID1=90323610&amp;VALUEID=02001&amp;SDATE=2008&amp;PERIODTYPE=ANN_STD&amp;window=popup_no_bar&amp;width=385&amp;height=120&amp;START_MAXIMIZED=FALSE&amp;creator=factset&amp;display_string=Audit"}</definedName>
    <definedName name="_40__FDSAUDITLINK__" localSheetId="5" hidden="1">{"fdsup://directions/FAT Viewer?action=UPDATE&amp;creator=factset&amp;DYN_ARGS=TRUE&amp;DOC_NAME=FAT:FQL_AUDITING_CLIENT_TEMPLATE.FAT&amp;display_string=Audit&amp;VAR:KEY=XKXOVKDAFA&amp;VAR:QUERY=Q1NGX0RFQlQoQU5OLE5PVyk=&amp;WINDOW=FIRST_POPUP&amp;HEIGHT=450&amp;WIDTH=450&amp;START_MAXIMIZED=FALS","E&amp;VAR:CALENDAR=US&amp;VAR:SYMBOL=19239V30&amp;VAR:INDEX=0"}</definedName>
    <definedName name="_40__FDSAUDITLINK__" localSheetId="1" hidden="1">{"fdsup://directions/FAT Viewer?action=UPDATE&amp;creator=factset&amp;DYN_ARGS=TRUE&amp;DOC_NAME=FAT:FQL_AUDITING_CLIENT_TEMPLATE.FAT&amp;display_string=Audit&amp;VAR:KEY=XKXOVKDAFA&amp;VAR:QUERY=Q1NGX0RFQlQoQU5OLE5PVyk=&amp;WINDOW=FIRST_POPUP&amp;HEIGHT=450&amp;WIDTH=450&amp;START_MAXIMIZED=FALS","E&amp;VAR:CALENDAR=US&amp;VAR:SYMBOL=19239V30&amp;VAR:INDEX=0"}</definedName>
    <definedName name="_40__FDSAUDITLINK__" localSheetId="3" hidden="1">{"fdsup://directions/FAT Viewer?action=UPDATE&amp;creator=factset&amp;DYN_ARGS=TRUE&amp;DOC_NAME=FAT:FQL_AUDITING_CLIENT_TEMPLATE.FAT&amp;display_string=Audit&amp;VAR:KEY=XKXOVKDAFA&amp;VAR:QUERY=Q1NGX0RFQlQoQU5OLE5PVyk=&amp;WINDOW=FIRST_POPUP&amp;HEIGHT=450&amp;WIDTH=450&amp;START_MAXIMIZED=FALS","E&amp;VAR:CALENDAR=US&amp;VAR:SYMBOL=19239V30&amp;VAR:INDEX=0"}</definedName>
    <definedName name="_40__FDSAUDITLINK__" hidden="1">{"fdsup://Directions/FactSet Auditing Viewer?action=AUDIT_VALUE&amp;DB=129&amp;ID1=90323610&amp;VALUEID=02001&amp;SDATE=2008&amp;PERIODTYPE=ANN_STD&amp;window=popup_no_bar&amp;width=385&amp;height=120&amp;START_MAXIMIZED=FALSE&amp;creator=factset&amp;display_string=Audit"}</definedName>
    <definedName name="_40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144"}</definedName>
    <definedName name="_40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144"}</definedName>
    <definedName name="_40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144"}</definedName>
    <definedName name="_40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144"}</definedName>
    <definedName name="_40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144"}</definedName>
    <definedName name="_40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144"}</definedName>
    <definedName name="_40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144"}</definedName>
    <definedName name="_40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143"}</definedName>
    <definedName name="_40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143"}</definedName>
    <definedName name="_40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143"}</definedName>
    <definedName name="_40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143"}</definedName>
    <definedName name="_40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143"}</definedName>
    <definedName name="_40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143"}</definedName>
    <definedName name="_40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143"}</definedName>
    <definedName name="_40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142"}</definedName>
    <definedName name="_40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142"}</definedName>
    <definedName name="_40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142"}</definedName>
    <definedName name="_40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142"}</definedName>
    <definedName name="_40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142"}</definedName>
    <definedName name="_40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142"}</definedName>
    <definedName name="_40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142"}</definedName>
    <definedName name="_40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141"}</definedName>
    <definedName name="_40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141"}</definedName>
    <definedName name="_40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141"}</definedName>
    <definedName name="_40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141"}</definedName>
    <definedName name="_40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141"}</definedName>
    <definedName name="_40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141"}</definedName>
    <definedName name="_40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141"}</definedName>
    <definedName name="_40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140"}</definedName>
    <definedName name="_40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140"}</definedName>
    <definedName name="_40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140"}</definedName>
    <definedName name="_40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140"}</definedName>
    <definedName name="_40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140"}</definedName>
    <definedName name="_40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140"}</definedName>
    <definedName name="_40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140"}</definedName>
    <definedName name="_40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139"}</definedName>
    <definedName name="_40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139"}</definedName>
    <definedName name="_40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139"}</definedName>
    <definedName name="_40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139"}</definedName>
    <definedName name="_40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139"}</definedName>
    <definedName name="_40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139"}</definedName>
    <definedName name="_40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139"}</definedName>
    <definedName name="_40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138"}</definedName>
    <definedName name="_40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138"}</definedName>
    <definedName name="_40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138"}</definedName>
    <definedName name="_40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138"}</definedName>
    <definedName name="_40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138"}</definedName>
    <definedName name="_40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138"}</definedName>
    <definedName name="_40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138"}</definedName>
    <definedName name="_40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137"}</definedName>
    <definedName name="_40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137"}</definedName>
    <definedName name="_40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137"}</definedName>
    <definedName name="_40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137"}</definedName>
    <definedName name="_40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137"}</definedName>
    <definedName name="_40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137"}</definedName>
    <definedName name="_40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137"}</definedName>
    <definedName name="_40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136"}</definedName>
    <definedName name="_40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136"}</definedName>
    <definedName name="_40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136"}</definedName>
    <definedName name="_40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136"}</definedName>
    <definedName name="_40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136"}</definedName>
    <definedName name="_40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136"}</definedName>
    <definedName name="_40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136"}</definedName>
    <definedName name="_40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135"}</definedName>
    <definedName name="_40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135"}</definedName>
    <definedName name="_40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135"}</definedName>
    <definedName name="_40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135"}</definedName>
    <definedName name="_40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135"}</definedName>
    <definedName name="_40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135"}</definedName>
    <definedName name="_40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135"}</definedName>
    <definedName name="_41__FDSAUDITLINK__" localSheetId="9" hidden="1">{"fdsup://Directions/FactSet Auditing Viewer?action=AUDIT_VALUE&amp;DB=129&amp;ID1=75610910&amp;VALUEID=05194&amp;SDATE=201104&amp;PERIODTYPE=QTR_STD&amp;SCFT=3&amp;window=popup_no_bar&amp;width=385&amp;height=120&amp;START_MAXIMIZED=FALSE&amp;creator=factset&amp;display_string=Audit"}</definedName>
    <definedName name="_41__FDSAUDITLINK__" localSheetId="8" hidden="1">{"fdsup://Directions/FactSet Auditing Viewer?action=AUDIT_VALUE&amp;DB=129&amp;ID1=75610910&amp;VALUEID=05194&amp;SDATE=201104&amp;PERIODTYPE=QTR_STD&amp;SCFT=3&amp;window=popup_no_bar&amp;width=385&amp;height=120&amp;START_MAXIMIZED=FALSE&amp;creator=factset&amp;display_string=Audit"}</definedName>
    <definedName name="_41__FDSAUDITLINK__" localSheetId="6" hidden="1">{"fdsup://directions/FAT Viewer?action=UPDATE&amp;creator=factset&amp;DYN_ARGS=TRUE&amp;DOC_NAME=FAT:FQL_AUDITING_CLIENT_TEMPLATE.FAT&amp;display_string=Audit&amp;VAR:KEY=KTIBWNEFWP&amp;VAR:QUERY=RkZfRU5UUlBSX1ZBTF9EQUlMWSgwLCwsLCdVU0QnLCdESUwnKQ==&amp;WINDOW=FIRST_POPUP&amp;HEIGHT=450&amp;WI","DTH=450&amp;START_MAXIMIZED=FALSE&amp;VAR:CALENDAR=US&amp;VAR:SYMBOL=URS&amp;VAR:INDEX=0"}</definedName>
    <definedName name="_41__FDSAUDITLINK__" localSheetId="5" hidden="1">{"fdsup://Directions/FactSet Auditing Viewer?action=AUDIT_VALUE&amp;DB=129&amp;ID1=75610910&amp;VALUEID=05194&amp;SDATE=201104&amp;PERIODTYPE=QTR_STD&amp;SCFT=3&amp;window=popup_no_bar&amp;width=385&amp;height=120&amp;START_MAXIMIZED=FALSE&amp;creator=factset&amp;display_string=Audit"}</definedName>
    <definedName name="_41__FDSAUDITLINK__" localSheetId="1" hidden="1">{"fdsup://Directions/FactSet Auditing Viewer?action=AUDIT_VALUE&amp;DB=129&amp;ID1=75610910&amp;VALUEID=05194&amp;SDATE=201104&amp;PERIODTYPE=QTR_STD&amp;SCFT=3&amp;window=popup_no_bar&amp;width=385&amp;height=120&amp;START_MAXIMIZED=FALSE&amp;creator=factset&amp;display_string=Audit"}</definedName>
    <definedName name="_41__FDSAUDITLINK__" localSheetId="3" hidden="1">{"fdsup://Directions/FactSet Auditing Viewer?action=AUDIT_VALUE&amp;DB=129&amp;ID1=75610910&amp;VALUEID=05194&amp;SDATE=201104&amp;PERIODTYPE=QTR_STD&amp;SCFT=3&amp;window=popup_no_bar&amp;width=385&amp;height=120&amp;START_MAXIMIZED=FALSE&amp;creator=factset&amp;display_string=Audit"}</definedName>
    <definedName name="_41__FDSAUDITLINK__" hidden="1">{"fdsup://directions/FAT Viewer?action=UPDATE&amp;creator=factset&amp;DYN_ARGS=TRUE&amp;DOC_NAME=FAT:FQL_AUDITING_CLIENT_TEMPLATE.FAT&amp;display_string=Audit&amp;VAR:KEY=KTIBWNEFWP&amp;VAR:QUERY=RkZfRU5UUlBSX1ZBTF9EQUlMWSgwLCwsLCdVU0QnLCdESUwnKQ==&amp;WINDOW=FIRST_POPUP&amp;HEIGHT=450&amp;WI","DTH=450&amp;START_MAXIMIZED=FALSE&amp;VAR:CALENDAR=US&amp;VAR:SYMBOL=URS&amp;VAR:INDEX=0"}</definedName>
    <definedName name="_41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134"}</definedName>
    <definedName name="_41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134"}</definedName>
    <definedName name="_41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134"}</definedName>
    <definedName name="_41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134"}</definedName>
    <definedName name="_41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134"}</definedName>
    <definedName name="_41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134"}</definedName>
    <definedName name="_41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134"}</definedName>
    <definedName name="_41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133"}</definedName>
    <definedName name="_41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133"}</definedName>
    <definedName name="_41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133"}</definedName>
    <definedName name="_41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133"}</definedName>
    <definedName name="_41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133"}</definedName>
    <definedName name="_41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133"}</definedName>
    <definedName name="_41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133"}</definedName>
    <definedName name="_41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132"}</definedName>
    <definedName name="_41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132"}</definedName>
    <definedName name="_41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132"}</definedName>
    <definedName name="_41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132"}</definedName>
    <definedName name="_41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132"}</definedName>
    <definedName name="_41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132"}</definedName>
    <definedName name="_41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132"}</definedName>
    <definedName name="_41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131"}</definedName>
    <definedName name="_41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131"}</definedName>
    <definedName name="_41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131"}</definedName>
    <definedName name="_41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131"}</definedName>
    <definedName name="_41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131"}</definedName>
    <definedName name="_41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131"}</definedName>
    <definedName name="_41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131"}</definedName>
    <definedName name="_41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130"}</definedName>
    <definedName name="_41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130"}</definedName>
    <definedName name="_41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130"}</definedName>
    <definedName name="_41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130"}</definedName>
    <definedName name="_41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130"}</definedName>
    <definedName name="_41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130"}</definedName>
    <definedName name="_41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130"}</definedName>
    <definedName name="_41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129"}</definedName>
    <definedName name="_41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129"}</definedName>
    <definedName name="_41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129"}</definedName>
    <definedName name="_41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129"}</definedName>
    <definedName name="_41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129"}</definedName>
    <definedName name="_41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129"}</definedName>
    <definedName name="_41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129"}</definedName>
    <definedName name="_41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128"}</definedName>
    <definedName name="_41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128"}</definedName>
    <definedName name="_41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128"}</definedName>
    <definedName name="_41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128"}</definedName>
    <definedName name="_41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128"}</definedName>
    <definedName name="_41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128"}</definedName>
    <definedName name="_41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128"}</definedName>
    <definedName name="_41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127"}</definedName>
    <definedName name="_41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127"}</definedName>
    <definedName name="_41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127"}</definedName>
    <definedName name="_41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127"}</definedName>
    <definedName name="_41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127"}</definedName>
    <definedName name="_41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127"}</definedName>
    <definedName name="_41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127"}</definedName>
    <definedName name="_41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126"}</definedName>
    <definedName name="_41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126"}</definedName>
    <definedName name="_41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126"}</definedName>
    <definedName name="_41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126"}</definedName>
    <definedName name="_41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126"}</definedName>
    <definedName name="_41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126"}</definedName>
    <definedName name="_41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126"}</definedName>
    <definedName name="_41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125"}</definedName>
    <definedName name="_41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125"}</definedName>
    <definedName name="_41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125"}</definedName>
    <definedName name="_41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125"}</definedName>
    <definedName name="_41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125"}</definedName>
    <definedName name="_41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125"}</definedName>
    <definedName name="_41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125"}</definedName>
    <definedName name="_42__FDSAUDITLINK__" localSheetId="9"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localSheetId="8"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localSheetId="6"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localSheetId="5"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localSheetId="1"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localSheetId="3"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__FDSAUDITLINK__" hidden="1">{"fdsup://directions/FAT Viewer?action=UPDATE&amp;creator=factset&amp;DYN_ARGS=TRUE&amp;DOC_NAME=FAT:FQL_AUDITING_CLIENT_TEMPLATE.FAT&amp;display_string=Audit&amp;VAR:KEY=URIHGZIZEP&amp;VAR:QUERY=RkZfRU5UUlBSX1ZBTF9FQklUREEoJ0FOTicsMCwsLCwnVVNEJyk=&amp;WINDOW=FIRST_POPUP&amp;HEIGHT=450&amp;WI","DTH=450&amp;START_MAXIMIZED=FALSE&amp;VAR:CALENDAR=US&amp;VAR:SYMBOL=SHAW&amp;VAR:INDEX=0"}</definedName>
    <definedName name="_42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124"}</definedName>
    <definedName name="_42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124"}</definedName>
    <definedName name="_42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124"}</definedName>
    <definedName name="_42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124"}</definedName>
    <definedName name="_42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124"}</definedName>
    <definedName name="_42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124"}</definedName>
    <definedName name="_42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124"}</definedName>
    <definedName name="_42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123"}</definedName>
    <definedName name="_42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123"}</definedName>
    <definedName name="_42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123"}</definedName>
    <definedName name="_42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123"}</definedName>
    <definedName name="_42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123"}</definedName>
    <definedName name="_42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123"}</definedName>
    <definedName name="_42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123"}</definedName>
    <definedName name="_42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122"}</definedName>
    <definedName name="_42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122"}</definedName>
    <definedName name="_42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122"}</definedName>
    <definedName name="_42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122"}</definedName>
    <definedName name="_42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122"}</definedName>
    <definedName name="_42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122"}</definedName>
    <definedName name="_42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122"}</definedName>
    <definedName name="_42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121"}</definedName>
    <definedName name="_42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121"}</definedName>
    <definedName name="_42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121"}</definedName>
    <definedName name="_42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121"}</definedName>
    <definedName name="_42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121"}</definedName>
    <definedName name="_42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121"}</definedName>
    <definedName name="_42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121"}</definedName>
    <definedName name="_42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120"}</definedName>
    <definedName name="_42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120"}</definedName>
    <definedName name="_42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120"}</definedName>
    <definedName name="_42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120"}</definedName>
    <definedName name="_42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120"}</definedName>
    <definedName name="_42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120"}</definedName>
    <definedName name="_42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120"}</definedName>
    <definedName name="_42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119"}</definedName>
    <definedName name="_42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119"}</definedName>
    <definedName name="_42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119"}</definedName>
    <definedName name="_42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119"}</definedName>
    <definedName name="_42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119"}</definedName>
    <definedName name="_42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119"}</definedName>
    <definedName name="_42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119"}</definedName>
    <definedName name="_42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118"}</definedName>
    <definedName name="_42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118"}</definedName>
    <definedName name="_42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118"}</definedName>
    <definedName name="_42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118"}</definedName>
    <definedName name="_42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118"}</definedName>
    <definedName name="_42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118"}</definedName>
    <definedName name="_42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118"}</definedName>
    <definedName name="_42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117"}</definedName>
    <definedName name="_42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117"}</definedName>
    <definedName name="_42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117"}</definedName>
    <definedName name="_42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117"}</definedName>
    <definedName name="_42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117"}</definedName>
    <definedName name="_42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117"}</definedName>
    <definedName name="_42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117"}</definedName>
    <definedName name="_42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116"}</definedName>
    <definedName name="_42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116"}</definedName>
    <definedName name="_42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116"}</definedName>
    <definedName name="_42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116"}</definedName>
    <definedName name="_42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116"}</definedName>
    <definedName name="_42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116"}</definedName>
    <definedName name="_42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116"}</definedName>
    <definedName name="_42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115"}</definedName>
    <definedName name="_42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115"}</definedName>
    <definedName name="_42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115"}</definedName>
    <definedName name="_42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115"}</definedName>
    <definedName name="_42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115"}</definedName>
    <definedName name="_42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115"}</definedName>
    <definedName name="_42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115"}</definedName>
    <definedName name="_43__FDSAUDITLINK__" localSheetId="9"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localSheetId="8"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localSheetId="6"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localSheetId="5"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localSheetId="1"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localSheetId="3"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__FDSAUDITLINK__" hidden="1">{"fdsup://directions/FAT Viewer?action=UPDATE&amp;creator=factset&amp;DYN_ARGS=TRUE&amp;DOC_NAME=FAT:FQL_AUDITING_CLIENT_TEMPLATE.FAT&amp;display_string=Audit&amp;VAR:KEY=AHUDQDQNAN&amp;VAR:QUERY=RkZfREVCVF9FQklUREEoJ0FOTicsMCwsLCwnVVNEJyk=&amp;WINDOW=FIRST_POPUP&amp;HEIGHT=450&amp;WIDTH=450&amp;","START_MAXIMIZED=FALSE&amp;VAR:CALENDAR=US&amp;VAR:SYMBOL=SHAW&amp;VAR:INDEX=0"}</definedName>
    <definedName name="_43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114"}</definedName>
    <definedName name="_43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114"}</definedName>
    <definedName name="_43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114"}</definedName>
    <definedName name="_43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114"}</definedName>
    <definedName name="_43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114"}</definedName>
    <definedName name="_43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114"}</definedName>
    <definedName name="_43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114"}</definedName>
    <definedName name="_43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113"}</definedName>
    <definedName name="_43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113"}</definedName>
    <definedName name="_43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113"}</definedName>
    <definedName name="_43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113"}</definedName>
    <definedName name="_43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113"}</definedName>
    <definedName name="_43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113"}</definedName>
    <definedName name="_43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113"}</definedName>
    <definedName name="_43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112"}</definedName>
    <definedName name="_43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112"}</definedName>
    <definedName name="_43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112"}</definedName>
    <definedName name="_43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112"}</definedName>
    <definedName name="_43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112"}</definedName>
    <definedName name="_43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112"}</definedName>
    <definedName name="_43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112"}</definedName>
    <definedName name="_43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111"}</definedName>
    <definedName name="_43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111"}</definedName>
    <definedName name="_43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111"}</definedName>
    <definedName name="_43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111"}</definedName>
    <definedName name="_43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111"}</definedName>
    <definedName name="_43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111"}</definedName>
    <definedName name="_43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111"}</definedName>
    <definedName name="_43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110"}</definedName>
    <definedName name="_43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110"}</definedName>
    <definedName name="_43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110"}</definedName>
    <definedName name="_43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110"}</definedName>
    <definedName name="_43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110"}</definedName>
    <definedName name="_43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110"}</definedName>
    <definedName name="_43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110"}</definedName>
    <definedName name="_43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109"}</definedName>
    <definedName name="_43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109"}</definedName>
    <definedName name="_43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109"}</definedName>
    <definedName name="_43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109"}</definedName>
    <definedName name="_43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109"}</definedName>
    <definedName name="_43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109"}</definedName>
    <definedName name="_43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109"}</definedName>
    <definedName name="_43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108"}</definedName>
    <definedName name="_43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108"}</definedName>
    <definedName name="_43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108"}</definedName>
    <definedName name="_43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108"}</definedName>
    <definedName name="_43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108"}</definedName>
    <definedName name="_43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108"}</definedName>
    <definedName name="_43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108"}</definedName>
    <definedName name="_43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107"}</definedName>
    <definedName name="_43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107"}</definedName>
    <definedName name="_43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107"}</definedName>
    <definedName name="_43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107"}</definedName>
    <definedName name="_43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107"}</definedName>
    <definedName name="_43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107"}</definedName>
    <definedName name="_43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107"}</definedName>
    <definedName name="_43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106"}</definedName>
    <definedName name="_43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106"}</definedName>
    <definedName name="_43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106"}</definedName>
    <definedName name="_43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106"}</definedName>
    <definedName name="_43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106"}</definedName>
    <definedName name="_43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106"}</definedName>
    <definedName name="_43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106"}</definedName>
    <definedName name="_43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105"}</definedName>
    <definedName name="_43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105"}</definedName>
    <definedName name="_43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105"}</definedName>
    <definedName name="_43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105"}</definedName>
    <definedName name="_43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105"}</definedName>
    <definedName name="_43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105"}</definedName>
    <definedName name="_43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105"}</definedName>
    <definedName name="_44__FDSAUDITLINK__" localSheetId="9" hidden="1">{"fdsup://directions/FAT Viewer?action=UPDATE&amp;creator=factset&amp;DYN_ARGS=TRUE&amp;DOC_NAME=FAT:FQL_AUDITING_CLIENT_TEMPLATE.FAT&amp;display_string=Audit&amp;VAR:KEY=RURUPKLCFO&amp;VAR:QUERY=RkZfRElWX1lMRChBTk4sTk9XKQ==&amp;WINDOW=FIRST_POPUP&amp;HEIGHT=450&amp;WIDTH=450&amp;START_MAXIMIZED=","FALSE&amp;VAR:CALENDAR=US&amp;VAR:SYMBOL=IMASY&amp;VAR:INDEX=0"}</definedName>
    <definedName name="_44__FDSAUDITLINK__" localSheetId="8" hidden="1">{"fdsup://directions/FAT Viewer?action=UPDATE&amp;creator=factset&amp;DYN_ARGS=TRUE&amp;DOC_NAME=FAT:FQL_AUDITING_CLIENT_TEMPLATE.FAT&amp;display_string=Audit&amp;VAR:KEY=RURUPKLCFO&amp;VAR:QUERY=RkZfRElWX1lMRChBTk4sTk9XKQ==&amp;WINDOW=FIRST_POPUP&amp;HEIGHT=450&amp;WIDTH=450&amp;START_MAXIMIZED=","FALSE&amp;VAR:CALENDAR=US&amp;VAR:SYMBOL=IMASY&amp;VAR:INDEX=0"}</definedName>
    <definedName name="_44__FDSAUDITLINK__" localSheetId="6" hidden="1">{"fdsup://directions/FAT Viewer?action=UPDATE&amp;creator=factset&amp;DYN_ARGS=TRUE&amp;DOC_NAME=FAT:FQL_AUDITING_CLIENT_TEMPLATE.FAT&amp;display_string=Audit&amp;VAR:KEY=WJYFCLQJCZ&amp;VAR:QUERY=RkZfTFREX1RDQVAoJ0FOTicsMCk=&amp;WINDOW=FIRST_POPUP&amp;HEIGHT=450&amp;WIDTH=450&amp;START_MAXIMIZED=","FALSE&amp;VAR:CALENDAR=US&amp;VAR:SYMBOL=SHAW&amp;VAR:INDEX=0"}</definedName>
    <definedName name="_44__FDSAUDITLINK__" localSheetId="5" hidden="1">{"fdsup://directions/FAT Viewer?action=UPDATE&amp;creator=factset&amp;DYN_ARGS=TRUE&amp;DOC_NAME=FAT:FQL_AUDITING_CLIENT_TEMPLATE.FAT&amp;display_string=Audit&amp;VAR:KEY=RURUPKLCFO&amp;VAR:QUERY=RkZfRElWX1lMRChBTk4sTk9XKQ==&amp;WINDOW=FIRST_POPUP&amp;HEIGHT=450&amp;WIDTH=450&amp;START_MAXIMIZED=","FALSE&amp;VAR:CALENDAR=US&amp;VAR:SYMBOL=IMASY&amp;VAR:INDEX=0"}</definedName>
    <definedName name="_44__FDSAUDITLINK__" localSheetId="1" hidden="1">{"fdsup://directions/FAT Viewer?action=UPDATE&amp;creator=factset&amp;DYN_ARGS=TRUE&amp;DOC_NAME=FAT:FQL_AUDITING_CLIENT_TEMPLATE.FAT&amp;display_string=Audit&amp;VAR:KEY=RURUPKLCFO&amp;VAR:QUERY=RkZfRElWX1lMRChBTk4sTk9XKQ==&amp;WINDOW=FIRST_POPUP&amp;HEIGHT=450&amp;WIDTH=450&amp;START_MAXIMIZED=","FALSE&amp;VAR:CALENDAR=US&amp;VAR:SYMBOL=IMASY&amp;VAR:INDEX=0"}</definedName>
    <definedName name="_44__FDSAUDITLINK__" localSheetId="3" hidden="1">{"fdsup://directions/FAT Viewer?action=UPDATE&amp;creator=factset&amp;DYN_ARGS=TRUE&amp;DOC_NAME=FAT:FQL_AUDITING_CLIENT_TEMPLATE.FAT&amp;display_string=Audit&amp;VAR:KEY=RURUPKLCFO&amp;VAR:QUERY=RkZfRElWX1lMRChBTk4sTk9XKQ==&amp;WINDOW=FIRST_POPUP&amp;HEIGHT=450&amp;WIDTH=450&amp;START_MAXIMIZED=","FALSE&amp;VAR:CALENDAR=US&amp;VAR:SYMBOL=IMASY&amp;VAR:INDEX=0"}</definedName>
    <definedName name="_44__FDSAUDITLINK__" hidden="1">{"fdsup://directions/FAT Viewer?action=UPDATE&amp;creator=factset&amp;DYN_ARGS=TRUE&amp;DOC_NAME=FAT:FQL_AUDITING_CLIENT_TEMPLATE.FAT&amp;display_string=Audit&amp;VAR:KEY=WJYFCLQJCZ&amp;VAR:QUERY=RkZfTFREX1RDQVAoJ0FOTicsMCk=&amp;WINDOW=FIRST_POPUP&amp;HEIGHT=450&amp;WIDTH=450&amp;START_MAXIMIZED=","FALSE&amp;VAR:CALENDAR=US&amp;VAR:SYMBOL=SHAW&amp;VAR:INDEX=0"}</definedName>
    <definedName name="_44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104"}</definedName>
    <definedName name="_44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104"}</definedName>
    <definedName name="_44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104"}</definedName>
    <definedName name="_44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104"}</definedName>
    <definedName name="_44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104"}</definedName>
    <definedName name="_44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104"}</definedName>
    <definedName name="_44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104"}</definedName>
    <definedName name="_44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103"}</definedName>
    <definedName name="_44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103"}</definedName>
    <definedName name="_44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103"}</definedName>
    <definedName name="_44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103"}</definedName>
    <definedName name="_44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103"}</definedName>
    <definedName name="_44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103"}</definedName>
    <definedName name="_44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103"}</definedName>
    <definedName name="_44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102"}</definedName>
    <definedName name="_44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102"}</definedName>
    <definedName name="_44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102"}</definedName>
    <definedName name="_44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102"}</definedName>
    <definedName name="_44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102"}</definedName>
    <definedName name="_44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102"}</definedName>
    <definedName name="_44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102"}</definedName>
    <definedName name="_44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101"}</definedName>
    <definedName name="_44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101"}</definedName>
    <definedName name="_44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101"}</definedName>
    <definedName name="_44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101"}</definedName>
    <definedName name="_44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101"}</definedName>
    <definedName name="_44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101"}</definedName>
    <definedName name="_44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101"}</definedName>
    <definedName name="_44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100"}</definedName>
    <definedName name="_44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100"}</definedName>
    <definedName name="_44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100"}</definedName>
    <definedName name="_44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100"}</definedName>
    <definedName name="_44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100"}</definedName>
    <definedName name="_44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100"}</definedName>
    <definedName name="_44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100"}</definedName>
    <definedName name="_44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99"}</definedName>
    <definedName name="_44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99"}</definedName>
    <definedName name="_44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99"}</definedName>
    <definedName name="_44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99"}</definedName>
    <definedName name="_44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99"}</definedName>
    <definedName name="_44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99"}</definedName>
    <definedName name="_44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99"}</definedName>
    <definedName name="_44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98"}</definedName>
    <definedName name="_44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98"}</definedName>
    <definedName name="_44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98"}</definedName>
    <definedName name="_44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98"}</definedName>
    <definedName name="_44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98"}</definedName>
    <definedName name="_44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98"}</definedName>
    <definedName name="_44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98"}</definedName>
    <definedName name="_44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97"}</definedName>
    <definedName name="_44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97"}</definedName>
    <definedName name="_44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97"}</definedName>
    <definedName name="_44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97"}</definedName>
    <definedName name="_44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97"}</definedName>
    <definedName name="_44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97"}</definedName>
    <definedName name="_44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97"}</definedName>
    <definedName name="_44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96"}</definedName>
    <definedName name="_44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96"}</definedName>
    <definedName name="_44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96"}</definedName>
    <definedName name="_44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96"}</definedName>
    <definedName name="_44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96"}</definedName>
    <definedName name="_44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96"}</definedName>
    <definedName name="_44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96"}</definedName>
    <definedName name="_44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95"}</definedName>
    <definedName name="_44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95"}</definedName>
    <definedName name="_44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95"}</definedName>
    <definedName name="_44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95"}</definedName>
    <definedName name="_44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95"}</definedName>
    <definedName name="_44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95"}</definedName>
    <definedName name="_44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95"}</definedName>
    <definedName name="_45__FDSAUDITLINK__" localSheetId="9" hidden="1">{"fdsup://directions/FAT Viewer?action=UPDATE&amp;creator=factset&amp;DYN_ARGS=TRUE&amp;DOC_NAME=FAT:FQL_AUDITING_CLIENT_TEMPLATE.FAT&amp;display_string=Audit&amp;VAR:KEY=WJKJOZUFSZ&amp;VAR:QUERY=RkZfRElWX1lMRChBTk4sTk9XKQ==&amp;WINDOW=FIRST_POPUP&amp;HEIGHT=450&amp;WIDTH=450&amp;START_MAXIMIZED=","FALSE&amp;VAR:CALENDAR=US&amp;VAR:SYMBOL=CCOI&amp;VAR:INDEX=0"}</definedName>
    <definedName name="_45__FDSAUDITLINK__" localSheetId="8" hidden="1">{"fdsup://directions/FAT Viewer?action=UPDATE&amp;creator=factset&amp;DYN_ARGS=TRUE&amp;DOC_NAME=FAT:FQL_AUDITING_CLIENT_TEMPLATE.FAT&amp;display_string=Audit&amp;VAR:KEY=WJKJOZUFSZ&amp;VAR:QUERY=RkZfRElWX1lMRChBTk4sTk9XKQ==&amp;WINDOW=FIRST_POPUP&amp;HEIGHT=450&amp;WIDTH=450&amp;START_MAXIMIZED=","FALSE&amp;VAR:CALENDAR=US&amp;VAR:SYMBOL=CCOI&amp;VAR:INDEX=0"}</definedName>
    <definedName name="_45__FDSAUDITLINK__" localSheetId="6" hidden="1">{"fdsup://Directions/FactSet Auditing Viewer?action=AUDIT_VALUE&amp;DB=129&amp;ID1=82028010&amp;VALUEID=02001&amp;SDATE=2009&amp;PERIODTYPE=ANN_STD&amp;window=popup_no_bar&amp;width=385&amp;height=120&amp;START_MAXIMIZED=FALSE&amp;creator=factset&amp;display_string=Audit"}</definedName>
    <definedName name="_45__FDSAUDITLINK__" localSheetId="5" hidden="1">{"fdsup://directions/FAT Viewer?action=UPDATE&amp;creator=factset&amp;DYN_ARGS=TRUE&amp;DOC_NAME=FAT:FQL_AUDITING_CLIENT_TEMPLATE.FAT&amp;display_string=Audit&amp;VAR:KEY=WJKJOZUFSZ&amp;VAR:QUERY=RkZfRElWX1lMRChBTk4sTk9XKQ==&amp;WINDOW=FIRST_POPUP&amp;HEIGHT=450&amp;WIDTH=450&amp;START_MAXIMIZED=","FALSE&amp;VAR:CALENDAR=US&amp;VAR:SYMBOL=CCOI&amp;VAR:INDEX=0"}</definedName>
    <definedName name="_45__FDSAUDITLINK__" localSheetId="1" hidden="1">{"fdsup://directions/FAT Viewer?action=UPDATE&amp;creator=factset&amp;DYN_ARGS=TRUE&amp;DOC_NAME=FAT:FQL_AUDITING_CLIENT_TEMPLATE.FAT&amp;display_string=Audit&amp;VAR:KEY=WJKJOZUFSZ&amp;VAR:QUERY=RkZfRElWX1lMRChBTk4sTk9XKQ==&amp;WINDOW=FIRST_POPUP&amp;HEIGHT=450&amp;WIDTH=450&amp;START_MAXIMIZED=","FALSE&amp;VAR:CALENDAR=US&amp;VAR:SYMBOL=CCOI&amp;VAR:INDEX=0"}</definedName>
    <definedName name="_45__FDSAUDITLINK__" localSheetId="3" hidden="1">{"fdsup://directions/FAT Viewer?action=UPDATE&amp;creator=factset&amp;DYN_ARGS=TRUE&amp;DOC_NAME=FAT:FQL_AUDITING_CLIENT_TEMPLATE.FAT&amp;display_string=Audit&amp;VAR:KEY=WJKJOZUFSZ&amp;VAR:QUERY=RkZfRElWX1lMRChBTk4sTk9XKQ==&amp;WINDOW=FIRST_POPUP&amp;HEIGHT=450&amp;WIDTH=450&amp;START_MAXIMIZED=","FALSE&amp;VAR:CALENDAR=US&amp;VAR:SYMBOL=CCOI&amp;VAR:INDEX=0"}</definedName>
    <definedName name="_45__FDSAUDITLINK__" hidden="1">{"fdsup://Directions/FactSet Auditing Viewer?action=AUDIT_VALUE&amp;DB=129&amp;ID1=82028010&amp;VALUEID=02001&amp;SDATE=2009&amp;PERIODTYPE=ANN_STD&amp;window=popup_no_bar&amp;width=385&amp;height=120&amp;START_MAXIMIZED=FALSE&amp;creator=factset&amp;display_string=Audit"}</definedName>
    <definedName name="_45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94"}</definedName>
    <definedName name="_45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94"}</definedName>
    <definedName name="_45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94"}</definedName>
    <definedName name="_45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94"}</definedName>
    <definedName name="_45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94"}</definedName>
    <definedName name="_45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94"}</definedName>
    <definedName name="_45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94"}</definedName>
    <definedName name="_45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93"}</definedName>
    <definedName name="_45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93"}</definedName>
    <definedName name="_45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93"}</definedName>
    <definedName name="_45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93"}</definedName>
    <definedName name="_45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93"}</definedName>
    <definedName name="_45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93"}</definedName>
    <definedName name="_45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93"}</definedName>
    <definedName name="_45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92"}</definedName>
    <definedName name="_45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92"}</definedName>
    <definedName name="_45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92"}</definedName>
    <definedName name="_45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92"}</definedName>
    <definedName name="_45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92"}</definedName>
    <definedName name="_45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92"}</definedName>
    <definedName name="_45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92"}</definedName>
    <definedName name="_45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91"}</definedName>
    <definedName name="_45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91"}</definedName>
    <definedName name="_45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91"}</definedName>
    <definedName name="_45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91"}</definedName>
    <definedName name="_45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91"}</definedName>
    <definedName name="_45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91"}</definedName>
    <definedName name="_45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91"}</definedName>
    <definedName name="_45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90"}</definedName>
    <definedName name="_45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90"}</definedName>
    <definedName name="_45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90"}</definedName>
    <definedName name="_45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90"}</definedName>
    <definedName name="_45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90"}</definedName>
    <definedName name="_45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90"}</definedName>
    <definedName name="_45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90"}</definedName>
    <definedName name="_45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89"}</definedName>
    <definedName name="_45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89"}</definedName>
    <definedName name="_45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89"}</definedName>
    <definedName name="_45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89"}</definedName>
    <definedName name="_45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89"}</definedName>
    <definedName name="_45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89"}</definedName>
    <definedName name="_45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89"}</definedName>
    <definedName name="_45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88"}</definedName>
    <definedName name="_45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88"}</definedName>
    <definedName name="_45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88"}</definedName>
    <definedName name="_45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88"}</definedName>
    <definedName name="_45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88"}</definedName>
    <definedName name="_45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88"}</definedName>
    <definedName name="_45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88"}</definedName>
    <definedName name="_45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87"}</definedName>
    <definedName name="_45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87"}</definedName>
    <definedName name="_45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87"}</definedName>
    <definedName name="_45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87"}</definedName>
    <definedName name="_45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87"}</definedName>
    <definedName name="_45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87"}</definedName>
    <definedName name="_45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87"}</definedName>
    <definedName name="_45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86"}</definedName>
    <definedName name="_45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86"}</definedName>
    <definedName name="_45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86"}</definedName>
    <definedName name="_45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86"}</definedName>
    <definedName name="_45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86"}</definedName>
    <definedName name="_45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86"}</definedName>
    <definedName name="_45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86"}</definedName>
    <definedName name="_45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85"}</definedName>
    <definedName name="_45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85"}</definedName>
    <definedName name="_45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85"}</definedName>
    <definedName name="_45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85"}</definedName>
    <definedName name="_45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85"}</definedName>
    <definedName name="_45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85"}</definedName>
    <definedName name="_45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85"}</definedName>
    <definedName name="_46__FDSAUDITLINK__" localSheetId="9"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localSheetId="8"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localSheetId="6"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localSheetId="5"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localSheetId="1"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localSheetId="3"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__FDSAUDITLINK__" hidden="1">{"fdsup://directions/FAT Viewer?action=UPDATE&amp;creator=factset&amp;DYN_ARGS=TRUE&amp;DOC_NAME=FAT:FQL_AUDITING_CLIENT_TEMPLATE.FAT&amp;display_string=Audit&amp;VAR:KEY=MJKJAPSNEB&amp;VAR:QUERY=RkZfRU5UUlBSX1ZBTF9EQUlMWSgwLCwsLCdVU0QnLCdESUwnKQ==&amp;WINDOW=FIRST_POPUP&amp;HEIGHT=450&amp;WI","DTH=450&amp;START_MAXIMIZED=FALSE&amp;VAR:CALENDAR=US&amp;VAR:SYMBOL=SHAW&amp;VAR:INDEX=0"}</definedName>
    <definedName name="_46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84"}</definedName>
    <definedName name="_46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84"}</definedName>
    <definedName name="_46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84"}</definedName>
    <definedName name="_46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84"}</definedName>
    <definedName name="_46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84"}</definedName>
    <definedName name="_46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84"}</definedName>
    <definedName name="_46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84"}</definedName>
    <definedName name="_46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83"}</definedName>
    <definedName name="_46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83"}</definedName>
    <definedName name="_46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83"}</definedName>
    <definedName name="_46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83"}</definedName>
    <definedName name="_46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83"}</definedName>
    <definedName name="_46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83"}</definedName>
    <definedName name="_46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83"}</definedName>
    <definedName name="_46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82"}</definedName>
    <definedName name="_46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82"}</definedName>
    <definedName name="_46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82"}</definedName>
    <definedName name="_46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82"}</definedName>
    <definedName name="_46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82"}</definedName>
    <definedName name="_46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82"}</definedName>
    <definedName name="_46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82"}</definedName>
    <definedName name="_46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81"}</definedName>
    <definedName name="_46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81"}</definedName>
    <definedName name="_46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81"}</definedName>
    <definedName name="_46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81"}</definedName>
    <definedName name="_46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81"}</definedName>
    <definedName name="_46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81"}</definedName>
    <definedName name="_46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81"}</definedName>
    <definedName name="_46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80"}</definedName>
    <definedName name="_46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80"}</definedName>
    <definedName name="_46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80"}</definedName>
    <definedName name="_46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80"}</definedName>
    <definedName name="_46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80"}</definedName>
    <definedName name="_46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80"}</definedName>
    <definedName name="_46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80"}</definedName>
    <definedName name="_46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79"}</definedName>
    <definedName name="_46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79"}</definedName>
    <definedName name="_46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79"}</definedName>
    <definedName name="_46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79"}</definedName>
    <definedName name="_46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79"}</definedName>
    <definedName name="_46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79"}</definedName>
    <definedName name="_46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79"}</definedName>
    <definedName name="_46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78"}</definedName>
    <definedName name="_46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78"}</definedName>
    <definedName name="_46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78"}</definedName>
    <definedName name="_46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78"}</definedName>
    <definedName name="_46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78"}</definedName>
    <definedName name="_46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78"}</definedName>
    <definedName name="_46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78"}</definedName>
    <definedName name="_46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77"}</definedName>
    <definedName name="_46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77"}</definedName>
    <definedName name="_46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77"}</definedName>
    <definedName name="_46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77"}</definedName>
    <definedName name="_46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77"}</definedName>
    <definedName name="_46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77"}</definedName>
    <definedName name="_46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77"}</definedName>
    <definedName name="_46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76"}</definedName>
    <definedName name="_46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76"}</definedName>
    <definedName name="_46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76"}</definedName>
    <definedName name="_46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76"}</definedName>
    <definedName name="_46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76"}</definedName>
    <definedName name="_46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76"}</definedName>
    <definedName name="_46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76"}</definedName>
    <definedName name="_46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75"}</definedName>
    <definedName name="_46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75"}</definedName>
    <definedName name="_46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75"}</definedName>
    <definedName name="_46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75"}</definedName>
    <definedName name="_46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75"}</definedName>
    <definedName name="_46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75"}</definedName>
    <definedName name="_46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75"}</definedName>
    <definedName name="_47__FDSAUDITLINK__" localSheetId="9" hidden="1">{"fdsup://directions/FAT Viewer?action=UPDATE&amp;creator=factset&amp;DYN_ARGS=TRUE&amp;DOC_NAME=FAT:FQL_AUDITING_CLIENT_TEMPLATE.FAT&amp;display_string=Audit&amp;VAR:KEY=IVQNILIJCF&amp;VAR:QUERY=RkZfRElWX1lMRChBTk4sTk9XKQ==&amp;WINDOW=FIRST_POPUP&amp;HEIGHT=450&amp;WIDTH=450&amp;START_MAXIMIZED=","FALSE&amp;VAR:CALENDAR=US&amp;VAR:SYMBOL=CBB&amp;VAR:INDEX=0"}</definedName>
    <definedName name="_47__FDSAUDITLINK__" localSheetId="8" hidden="1">{"fdsup://directions/FAT Viewer?action=UPDATE&amp;creator=factset&amp;DYN_ARGS=TRUE&amp;DOC_NAME=FAT:FQL_AUDITING_CLIENT_TEMPLATE.FAT&amp;display_string=Audit&amp;VAR:KEY=IVQNILIJCF&amp;VAR:QUERY=RkZfRElWX1lMRChBTk4sTk9XKQ==&amp;WINDOW=FIRST_POPUP&amp;HEIGHT=450&amp;WIDTH=450&amp;START_MAXIMIZED=","FALSE&amp;VAR:CALENDAR=US&amp;VAR:SYMBOL=CBB&amp;VAR:INDEX=0"}</definedName>
    <definedName name="_47__FDSAUDITLINK__" localSheetId="6"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47__FDSAUDITLINK__" localSheetId="5" hidden="1">{"fdsup://directions/FAT Viewer?action=UPDATE&amp;creator=factset&amp;DYN_ARGS=TRUE&amp;DOC_NAME=FAT:FQL_AUDITING_CLIENT_TEMPLATE.FAT&amp;display_string=Audit&amp;VAR:KEY=IVQNILIJCF&amp;VAR:QUERY=RkZfRElWX1lMRChBTk4sTk9XKQ==&amp;WINDOW=FIRST_POPUP&amp;HEIGHT=450&amp;WIDTH=450&amp;START_MAXIMIZED=","FALSE&amp;VAR:CALENDAR=US&amp;VAR:SYMBOL=CBB&amp;VAR:INDEX=0"}</definedName>
    <definedName name="_47__FDSAUDITLINK__" localSheetId="1" hidden="1">{"fdsup://directions/FAT Viewer?action=UPDATE&amp;creator=factset&amp;DYN_ARGS=TRUE&amp;DOC_NAME=FAT:FQL_AUDITING_CLIENT_TEMPLATE.FAT&amp;display_string=Audit&amp;VAR:KEY=IVQNILIJCF&amp;VAR:QUERY=RkZfRElWX1lMRChBTk4sTk9XKQ==&amp;WINDOW=FIRST_POPUP&amp;HEIGHT=450&amp;WIDTH=450&amp;START_MAXIMIZED=","FALSE&amp;VAR:CALENDAR=US&amp;VAR:SYMBOL=CBB&amp;VAR:INDEX=0"}</definedName>
    <definedName name="_47__FDSAUDITLINK__" localSheetId="3" hidden="1">{"fdsup://directions/FAT Viewer?action=UPDATE&amp;creator=factset&amp;DYN_ARGS=TRUE&amp;DOC_NAME=FAT:FQL_AUDITING_CLIENT_TEMPLATE.FAT&amp;display_string=Audit&amp;VAR:KEY=IVQNILIJCF&amp;VAR:QUERY=RkZfRElWX1lMRChBTk4sTk9XKQ==&amp;WINDOW=FIRST_POPUP&amp;HEIGHT=450&amp;WIDTH=450&amp;START_MAXIMIZED=","FALSE&amp;VAR:CALENDAR=US&amp;VAR:SYMBOL=CBB&amp;VAR:INDEX=0"}</definedName>
    <definedName name="_47__FDSAUDITLINK__"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47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74"}</definedName>
    <definedName name="_47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74"}</definedName>
    <definedName name="_47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74"}</definedName>
    <definedName name="_47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74"}</definedName>
    <definedName name="_47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74"}</definedName>
    <definedName name="_47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74"}</definedName>
    <definedName name="_47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74"}</definedName>
    <definedName name="_47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73"}</definedName>
    <definedName name="_47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73"}</definedName>
    <definedName name="_47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73"}</definedName>
    <definedName name="_47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73"}</definedName>
    <definedName name="_47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73"}</definedName>
    <definedName name="_47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73"}</definedName>
    <definedName name="_47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73"}</definedName>
    <definedName name="_47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72"}</definedName>
    <definedName name="_47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72"}</definedName>
    <definedName name="_47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72"}</definedName>
    <definedName name="_47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72"}</definedName>
    <definedName name="_47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72"}</definedName>
    <definedName name="_47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72"}</definedName>
    <definedName name="_47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72"}</definedName>
    <definedName name="_47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71"}</definedName>
    <definedName name="_47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71"}</definedName>
    <definedName name="_47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71"}</definedName>
    <definedName name="_47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71"}</definedName>
    <definedName name="_47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71"}</definedName>
    <definedName name="_47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71"}</definedName>
    <definedName name="_47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71"}</definedName>
    <definedName name="_47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70"}</definedName>
    <definedName name="_47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70"}</definedName>
    <definedName name="_47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70"}</definedName>
    <definedName name="_47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70"}</definedName>
    <definedName name="_47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70"}</definedName>
    <definedName name="_47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70"}</definedName>
    <definedName name="_47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70"}</definedName>
    <definedName name="_47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69"}</definedName>
    <definedName name="_47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69"}</definedName>
    <definedName name="_47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69"}</definedName>
    <definedName name="_47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69"}</definedName>
    <definedName name="_47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69"}</definedName>
    <definedName name="_47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69"}</definedName>
    <definedName name="_47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69"}</definedName>
    <definedName name="_47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68"}</definedName>
    <definedName name="_47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68"}</definedName>
    <definedName name="_47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68"}</definedName>
    <definedName name="_47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68"}</definedName>
    <definedName name="_47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68"}</definedName>
    <definedName name="_47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68"}</definedName>
    <definedName name="_47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68"}</definedName>
    <definedName name="_47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67"}</definedName>
    <definedName name="_47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67"}</definedName>
    <definedName name="_47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67"}</definedName>
    <definedName name="_47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67"}</definedName>
    <definedName name="_47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67"}</definedName>
    <definedName name="_47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67"}</definedName>
    <definedName name="_47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67"}</definedName>
    <definedName name="_47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66"}</definedName>
    <definedName name="_47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66"}</definedName>
    <definedName name="_47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66"}</definedName>
    <definedName name="_47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66"}</definedName>
    <definedName name="_47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66"}</definedName>
    <definedName name="_47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66"}</definedName>
    <definedName name="_47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66"}</definedName>
    <definedName name="_47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65"}</definedName>
    <definedName name="_47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65"}</definedName>
    <definedName name="_47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65"}</definedName>
    <definedName name="_47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65"}</definedName>
    <definedName name="_47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65"}</definedName>
    <definedName name="_47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65"}</definedName>
    <definedName name="_47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65"}</definedName>
    <definedName name="_48__FDSAUDITLINK__" localSheetId="9" hidden="1">{"fdsup://directions/FAT Viewer?action=UPDATE&amp;creator=factset&amp;DYN_ARGS=TRUE&amp;DOC_NAME=FAT:FQL_AUDITING_CLIENT_TEMPLATE.FAT&amp;display_string=Audit&amp;VAR:KEY=WPYVULYZIJ&amp;VAR:QUERY=RkZfRElWX1lMRChBTk4sTk9XKQ==&amp;WINDOW=FIRST_POPUP&amp;HEIGHT=450&amp;WIDTH=450&amp;START_MAXIMIZED=","FALSE&amp;VAR:CALENDAR=US&amp;VAR:SYMBOL=USM&amp;VAR:INDEX=0"}</definedName>
    <definedName name="_48__FDSAUDITLINK__" localSheetId="8" hidden="1">{"fdsup://directions/FAT Viewer?action=UPDATE&amp;creator=factset&amp;DYN_ARGS=TRUE&amp;DOC_NAME=FAT:FQL_AUDITING_CLIENT_TEMPLATE.FAT&amp;display_string=Audit&amp;VAR:KEY=WPYVULYZIJ&amp;VAR:QUERY=RkZfRElWX1lMRChBTk4sTk9XKQ==&amp;WINDOW=FIRST_POPUP&amp;HEIGHT=450&amp;WIDTH=450&amp;START_MAXIMIZED=","FALSE&amp;VAR:CALENDAR=US&amp;VAR:SYMBOL=USM&amp;VAR:INDEX=0"}</definedName>
    <definedName name="_48__FDSAUDITLINK__" localSheetId="6" hidden="1">{"fdsup://directions/FAT Viewer?action=UPDATE&amp;creator=factset&amp;DYN_ARGS=TRUE&amp;DOC_NAME=FAT:FQL_AUDITING_CLIENT_TEMPLATE.FAT&amp;display_string=Audit&amp;VAR:KEY=KJEFILYJQD&amp;VAR:QUERY=RkZfRU5UUlBSX1ZBTF9EQUlMWSgp&amp;WINDOW=FIRST_POPUP&amp;HEIGHT=450&amp;WIDTH=450&amp;START_MAXIMIZED=","FALSE&amp;VAR:CALENDAR=US&amp;VAR:SYMBOL=GIFI&amp;VAR:INDEX=0"}</definedName>
    <definedName name="_48__FDSAUDITLINK__" localSheetId="5" hidden="1">{"fdsup://directions/FAT Viewer?action=UPDATE&amp;creator=factset&amp;DYN_ARGS=TRUE&amp;DOC_NAME=FAT:FQL_AUDITING_CLIENT_TEMPLATE.FAT&amp;display_string=Audit&amp;VAR:KEY=WPYVULYZIJ&amp;VAR:QUERY=RkZfRElWX1lMRChBTk4sTk9XKQ==&amp;WINDOW=FIRST_POPUP&amp;HEIGHT=450&amp;WIDTH=450&amp;START_MAXIMIZED=","FALSE&amp;VAR:CALENDAR=US&amp;VAR:SYMBOL=USM&amp;VAR:INDEX=0"}</definedName>
    <definedName name="_48__FDSAUDITLINK__" localSheetId="1" hidden="1">{"fdsup://directions/FAT Viewer?action=UPDATE&amp;creator=factset&amp;DYN_ARGS=TRUE&amp;DOC_NAME=FAT:FQL_AUDITING_CLIENT_TEMPLATE.FAT&amp;display_string=Audit&amp;VAR:KEY=WPYVULYZIJ&amp;VAR:QUERY=RkZfRElWX1lMRChBTk4sTk9XKQ==&amp;WINDOW=FIRST_POPUP&amp;HEIGHT=450&amp;WIDTH=450&amp;START_MAXIMIZED=","FALSE&amp;VAR:CALENDAR=US&amp;VAR:SYMBOL=USM&amp;VAR:INDEX=0"}</definedName>
    <definedName name="_48__FDSAUDITLINK__" localSheetId="3" hidden="1">{"fdsup://directions/FAT Viewer?action=UPDATE&amp;creator=factset&amp;DYN_ARGS=TRUE&amp;DOC_NAME=FAT:FQL_AUDITING_CLIENT_TEMPLATE.FAT&amp;display_string=Audit&amp;VAR:KEY=WPYVULYZIJ&amp;VAR:QUERY=RkZfRElWX1lMRChBTk4sTk9XKQ==&amp;WINDOW=FIRST_POPUP&amp;HEIGHT=450&amp;WIDTH=450&amp;START_MAXIMIZED=","FALSE&amp;VAR:CALENDAR=US&amp;VAR:SYMBOL=USM&amp;VAR:INDEX=0"}</definedName>
    <definedName name="_48__FDSAUDITLINK__" hidden="1">{"fdsup://directions/FAT Viewer?action=UPDATE&amp;creator=factset&amp;DYN_ARGS=TRUE&amp;DOC_NAME=FAT:FQL_AUDITING_CLIENT_TEMPLATE.FAT&amp;display_string=Audit&amp;VAR:KEY=KJEFILYJQD&amp;VAR:QUERY=RkZfRU5UUlBSX1ZBTF9EQUlMWSgp&amp;WINDOW=FIRST_POPUP&amp;HEIGHT=450&amp;WIDTH=450&amp;START_MAXIMIZED=","FALSE&amp;VAR:CALENDAR=US&amp;VAR:SYMBOL=GIFI&amp;VAR:INDEX=0"}</definedName>
    <definedName name="_48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64"}</definedName>
    <definedName name="_48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64"}</definedName>
    <definedName name="_48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64"}</definedName>
    <definedName name="_48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64"}</definedName>
    <definedName name="_48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64"}</definedName>
    <definedName name="_48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64"}</definedName>
    <definedName name="_48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64"}</definedName>
    <definedName name="_48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63"}</definedName>
    <definedName name="_48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63"}</definedName>
    <definedName name="_48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63"}</definedName>
    <definedName name="_48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63"}</definedName>
    <definedName name="_48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63"}</definedName>
    <definedName name="_48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63"}</definedName>
    <definedName name="_48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63"}</definedName>
    <definedName name="_48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62"}</definedName>
    <definedName name="_48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62"}</definedName>
    <definedName name="_48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62"}</definedName>
    <definedName name="_48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62"}</definedName>
    <definedName name="_48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62"}</definedName>
    <definedName name="_48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62"}</definedName>
    <definedName name="_48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62"}</definedName>
    <definedName name="_48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61"}</definedName>
    <definedName name="_48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61"}</definedName>
    <definedName name="_48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61"}</definedName>
    <definedName name="_48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61"}</definedName>
    <definedName name="_48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61"}</definedName>
    <definedName name="_48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61"}</definedName>
    <definedName name="_48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61"}</definedName>
    <definedName name="_48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60"}</definedName>
    <definedName name="_48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60"}</definedName>
    <definedName name="_48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60"}</definedName>
    <definedName name="_48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60"}</definedName>
    <definedName name="_48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60"}</definedName>
    <definedName name="_48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60"}</definedName>
    <definedName name="_48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60"}</definedName>
    <definedName name="_48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59"}</definedName>
    <definedName name="_48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59"}</definedName>
    <definedName name="_48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59"}</definedName>
    <definedName name="_48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59"}</definedName>
    <definedName name="_48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59"}</definedName>
    <definedName name="_48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59"}</definedName>
    <definedName name="_48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59"}</definedName>
    <definedName name="_48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58"}</definedName>
    <definedName name="_48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58"}</definedName>
    <definedName name="_48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58"}</definedName>
    <definedName name="_48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58"}</definedName>
    <definedName name="_48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58"}</definedName>
    <definedName name="_48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58"}</definedName>
    <definedName name="_48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58"}</definedName>
    <definedName name="_48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57"}</definedName>
    <definedName name="_48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57"}</definedName>
    <definedName name="_48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57"}</definedName>
    <definedName name="_48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57"}</definedName>
    <definedName name="_48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57"}</definedName>
    <definedName name="_48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57"}</definedName>
    <definedName name="_48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57"}</definedName>
    <definedName name="_48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56"}</definedName>
    <definedName name="_48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56"}</definedName>
    <definedName name="_48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56"}</definedName>
    <definedName name="_48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56"}</definedName>
    <definedName name="_48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56"}</definedName>
    <definedName name="_48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56"}</definedName>
    <definedName name="_48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56"}</definedName>
    <definedName name="_48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55"}</definedName>
    <definedName name="_48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55"}</definedName>
    <definedName name="_48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55"}</definedName>
    <definedName name="_48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55"}</definedName>
    <definedName name="_48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55"}</definedName>
    <definedName name="_48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55"}</definedName>
    <definedName name="_48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55"}</definedName>
    <definedName name="_49__FDSAUDITLINK__" localSheetId="9"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localSheetId="8"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localSheetId="6"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localSheetId="5"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localSheetId="1"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localSheetId="3"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__FDSAUDITLINK__" hidden="1">{"fdsup://directions/FAT Viewer?action=UPDATE&amp;creator=factset&amp;DYN_ARGS=TRUE&amp;DOC_NAME=FAT:FQL_AUDITING_CLIENT_TEMPLATE.FAT&amp;display_string=Audit&amp;VAR:KEY=ETMZUJSBEX&amp;VAR:QUERY=RkZfRU5UUlBSX1ZBTF9FQklUREEoJ0FOTicsMCwsLCwnVVNEJyk=&amp;WINDOW=FIRST_POPUP&amp;HEIGHT=450&amp;WI","DTH=450&amp;START_MAXIMIZED=FALSE&amp;VAR:CALENDAR=US&amp;VAR:SYMBOL=677221&amp;VAR:INDEX=0"}</definedName>
    <definedName name="_49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54"}</definedName>
    <definedName name="_49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54"}</definedName>
    <definedName name="_49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54"}</definedName>
    <definedName name="_49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54"}</definedName>
    <definedName name="_49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54"}</definedName>
    <definedName name="_49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54"}</definedName>
    <definedName name="_49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54"}</definedName>
    <definedName name="_49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53"}</definedName>
    <definedName name="_49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53"}</definedName>
    <definedName name="_49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53"}</definedName>
    <definedName name="_49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53"}</definedName>
    <definedName name="_49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53"}</definedName>
    <definedName name="_49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53"}</definedName>
    <definedName name="_49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53"}</definedName>
    <definedName name="_49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52"}</definedName>
    <definedName name="_49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52"}</definedName>
    <definedName name="_49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52"}</definedName>
    <definedName name="_49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52"}</definedName>
    <definedName name="_49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52"}</definedName>
    <definedName name="_49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52"}</definedName>
    <definedName name="_49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52"}</definedName>
    <definedName name="_49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51"}</definedName>
    <definedName name="_49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51"}</definedName>
    <definedName name="_49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51"}</definedName>
    <definedName name="_49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51"}</definedName>
    <definedName name="_49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51"}</definedName>
    <definedName name="_49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51"}</definedName>
    <definedName name="_49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51"}</definedName>
    <definedName name="_49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50"}</definedName>
    <definedName name="_49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50"}</definedName>
    <definedName name="_49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50"}</definedName>
    <definedName name="_49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50"}</definedName>
    <definedName name="_49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50"}</definedName>
    <definedName name="_49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50"}</definedName>
    <definedName name="_49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50"}</definedName>
    <definedName name="_49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49"}</definedName>
    <definedName name="_49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49"}</definedName>
    <definedName name="_49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49"}</definedName>
    <definedName name="_49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49"}</definedName>
    <definedName name="_49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49"}</definedName>
    <definedName name="_49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49"}</definedName>
    <definedName name="_49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49"}</definedName>
    <definedName name="_49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48"}</definedName>
    <definedName name="_49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48"}</definedName>
    <definedName name="_49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48"}</definedName>
    <definedName name="_49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48"}</definedName>
    <definedName name="_49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48"}</definedName>
    <definedName name="_49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48"}</definedName>
    <definedName name="_49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48"}</definedName>
    <definedName name="_49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47"}</definedName>
    <definedName name="_49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47"}</definedName>
    <definedName name="_49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47"}</definedName>
    <definedName name="_49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47"}</definedName>
    <definedName name="_49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47"}</definedName>
    <definedName name="_49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47"}</definedName>
    <definedName name="_49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47"}</definedName>
    <definedName name="_49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46"}</definedName>
    <definedName name="_49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46"}</definedName>
    <definedName name="_49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46"}</definedName>
    <definedName name="_49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46"}</definedName>
    <definedName name="_49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46"}</definedName>
    <definedName name="_49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46"}</definedName>
    <definedName name="_49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46"}</definedName>
    <definedName name="_49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45"}</definedName>
    <definedName name="_49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45"}</definedName>
    <definedName name="_49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45"}</definedName>
    <definedName name="_49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45"}</definedName>
    <definedName name="_49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45"}</definedName>
    <definedName name="_49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45"}</definedName>
    <definedName name="_49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45"}</definedName>
    <definedName name="_4LOOP_A" localSheetId="9">#REF!</definedName>
    <definedName name="_4LOOP_A" localSheetId="8">#REF!</definedName>
    <definedName name="_4LOOP_A" localSheetId="5">#REF!</definedName>
    <definedName name="_4LOOP_A" localSheetId="3">#REF!</definedName>
    <definedName name="_4LOOP_A">#REF!</definedName>
    <definedName name="_4Q94" localSheetId="6">#REF!</definedName>
    <definedName name="_4Q94" localSheetId="2">#REF!</definedName>
    <definedName name="_4Q94">#REF!</definedName>
    <definedName name="_4Q95" localSheetId="2">#REF!</definedName>
    <definedName name="_4Q95">#REF!</definedName>
    <definedName name="_4Table2_" hidden="1">#REF!</definedName>
    <definedName name="_5__FDSAUDITLINK__" localSheetId="9" hidden="1">{"fdsup://Directions/FactSet Auditing Viewer?action=AUDIT_VALUE&amp;DB=129&amp;ID1=25386810&amp;VALUEID=05194&amp;SDATE=201202&amp;PERIODTYPE=QTR_STD&amp;SCFT=3&amp;window=popup_no_bar&amp;width=385&amp;height=120&amp;START_MAXIMIZED=FALSE&amp;creator=factset&amp;display_string=Audit"}</definedName>
    <definedName name="_5__FDSAUDITLINK__" localSheetId="8" hidden="1">{"fdsup://Directions/FactSet Auditing Viewer?action=AUDIT_VALUE&amp;DB=129&amp;ID1=25386810&amp;VALUEID=05194&amp;SDATE=201202&amp;PERIODTYPE=QTR_STD&amp;SCFT=3&amp;window=popup_no_bar&amp;width=385&amp;height=120&amp;START_MAXIMIZED=FALSE&amp;creator=factset&amp;display_string=Audit"}</definedName>
    <definedName name="_5__FDSAUDITLINK__" localSheetId="6" hidden="1">{"fdsup://directions/FAT Viewer?action=UPDATE&amp;creator=factset&amp;DYN_ARGS=TRUE&amp;DOC_NAME=FAT:FQL_AUDITING_CLIENT_TEMPLATE.FAT&amp;display_string=Audit&amp;VAR:KEY=BOBCFWNWTO&amp;VAR:QUERY=RkZfRU5UUlBSX1ZBTCgp&amp;WINDOW=FIRST_POPUP&amp;HEIGHT=450&amp;WIDTH=450&amp;START_MAXIMIZED=FALSE&amp;VA","R:CALENDAR=US&amp;VAR:SYMBOL=TEX&amp;VAR:INDEX=0"}</definedName>
    <definedName name="_5__FDSAUDITLINK__" localSheetId="5" hidden="1">{"fdsup://Directions/FactSet Auditing Viewer?action=AUDIT_VALUE&amp;DB=129&amp;ID1=25386810&amp;VALUEID=05194&amp;SDATE=201202&amp;PERIODTYPE=QTR_STD&amp;SCFT=3&amp;window=popup_no_bar&amp;width=385&amp;height=120&amp;START_MAXIMIZED=FALSE&amp;creator=factset&amp;display_string=Audit"}</definedName>
    <definedName name="_5__FDSAUDITLINK__" localSheetId="1" hidden="1">{"fdsup://Directions/FactSet Auditing Viewer?action=AUDIT_VALUE&amp;DB=129&amp;ID1=25386810&amp;VALUEID=05194&amp;SDATE=201202&amp;PERIODTYPE=QTR_STD&amp;SCFT=3&amp;window=popup_no_bar&amp;width=385&amp;height=120&amp;START_MAXIMIZED=FALSE&amp;creator=factset&amp;display_string=Audit"}</definedName>
    <definedName name="_5__FDSAUDITLINK__" localSheetId="3" hidden="1">{"fdsup://Directions/FactSet Auditing Viewer?action=AUDIT_VALUE&amp;DB=129&amp;ID1=25386810&amp;VALUEID=05194&amp;SDATE=201202&amp;PERIODTYPE=QTR_STD&amp;SCFT=3&amp;window=popup_no_bar&amp;width=385&amp;height=120&amp;START_MAXIMIZED=FALSE&amp;creator=factset&amp;display_string=Audit"}</definedName>
    <definedName name="_5__FDSAUDITLINK__" hidden="1">{"fdsup://directions/FAT Viewer?action=UPDATE&amp;creator=factset&amp;DYN_ARGS=TRUE&amp;DOC_NAME=FAT:FQL_AUDITING_CLIENT_TEMPLATE.FAT&amp;display_string=Audit&amp;VAR:KEY=BOBCFWNWTO&amp;VAR:QUERY=RkZfRU5UUlBSX1ZBTCgp&amp;WINDOW=FIRST_POPUP&amp;HEIGHT=450&amp;WIDTH=450&amp;START_MAXIMIZED=FALSE&amp;VA","R:CALENDAR=US&amp;VAR:SYMBOL=TEX&amp;VAR:INDEX=0"}</definedName>
    <definedName name="_50__FDSAUDITLINK__" localSheetId="9" hidden="1">{"fdsup://directions/FAT Viewer?action=UPDATE&amp;creator=factset&amp;DYN_ARGS=TRUE&amp;DOC_NAME=FAT:FQL_AUDITING_CLIENT_TEMPLATE.FAT&amp;display_string=Audit&amp;VAR:KEY=VOPOVGVERS&amp;VAR:QUERY=RkZfRElWX1lMRChBTk4sTk9XKQ==&amp;WINDOW=FIRST_POPUP&amp;HEIGHT=450&amp;WIDTH=450&amp;START_MAXIMIZED=","FALSE&amp;VAR:CALENDAR=US&amp;VAR:SYMBOL=IQNT&amp;VAR:INDEX=0"}</definedName>
    <definedName name="_50__FDSAUDITLINK__" localSheetId="8" hidden="1">{"fdsup://directions/FAT Viewer?action=UPDATE&amp;creator=factset&amp;DYN_ARGS=TRUE&amp;DOC_NAME=FAT:FQL_AUDITING_CLIENT_TEMPLATE.FAT&amp;display_string=Audit&amp;VAR:KEY=VOPOVGVERS&amp;VAR:QUERY=RkZfRElWX1lMRChBTk4sTk9XKQ==&amp;WINDOW=FIRST_POPUP&amp;HEIGHT=450&amp;WIDTH=450&amp;START_MAXIMIZED=","FALSE&amp;VAR:CALENDAR=US&amp;VAR:SYMBOL=IQNT&amp;VAR:INDEX=0"}</definedName>
    <definedName name="_50__FDSAUDITLINK__" localSheetId="6" hidden="1">{"fdsup://directions/FAT Viewer?action=UPDATE&amp;creator=factset&amp;DYN_ARGS=TRUE&amp;DOC_NAME=FAT:FQL_AUDITING_CLIENT_TEMPLATE.FAT&amp;display_string=Audit&amp;VAR:KEY=APSFMLSBUZ&amp;VAR:QUERY=RkZfREVCVF9FQklUREEoJ0FOTicsMCwsLCwnVVNEJyk=&amp;WINDOW=FIRST_POPUP&amp;HEIGHT=450&amp;WIDTH=450&amp;","START_MAXIMIZED=FALSE&amp;VAR:CALENDAR=US&amp;VAR:SYMBOL=677221&amp;VAR:INDEX=0"}</definedName>
    <definedName name="_50__FDSAUDITLINK__" localSheetId="5" hidden="1">{"fdsup://directions/FAT Viewer?action=UPDATE&amp;creator=factset&amp;DYN_ARGS=TRUE&amp;DOC_NAME=FAT:FQL_AUDITING_CLIENT_TEMPLATE.FAT&amp;display_string=Audit&amp;VAR:KEY=VOPOVGVERS&amp;VAR:QUERY=RkZfRElWX1lMRChBTk4sTk9XKQ==&amp;WINDOW=FIRST_POPUP&amp;HEIGHT=450&amp;WIDTH=450&amp;START_MAXIMIZED=","FALSE&amp;VAR:CALENDAR=US&amp;VAR:SYMBOL=IQNT&amp;VAR:INDEX=0"}</definedName>
    <definedName name="_50__FDSAUDITLINK__" localSheetId="1" hidden="1">{"fdsup://directions/FAT Viewer?action=UPDATE&amp;creator=factset&amp;DYN_ARGS=TRUE&amp;DOC_NAME=FAT:FQL_AUDITING_CLIENT_TEMPLATE.FAT&amp;display_string=Audit&amp;VAR:KEY=VOPOVGVERS&amp;VAR:QUERY=RkZfRElWX1lMRChBTk4sTk9XKQ==&amp;WINDOW=FIRST_POPUP&amp;HEIGHT=450&amp;WIDTH=450&amp;START_MAXIMIZED=","FALSE&amp;VAR:CALENDAR=US&amp;VAR:SYMBOL=IQNT&amp;VAR:INDEX=0"}</definedName>
    <definedName name="_50__FDSAUDITLINK__" localSheetId="3" hidden="1">{"fdsup://directions/FAT Viewer?action=UPDATE&amp;creator=factset&amp;DYN_ARGS=TRUE&amp;DOC_NAME=FAT:FQL_AUDITING_CLIENT_TEMPLATE.FAT&amp;display_string=Audit&amp;VAR:KEY=VOPOVGVERS&amp;VAR:QUERY=RkZfRElWX1lMRChBTk4sTk9XKQ==&amp;WINDOW=FIRST_POPUP&amp;HEIGHT=450&amp;WIDTH=450&amp;START_MAXIMIZED=","FALSE&amp;VAR:CALENDAR=US&amp;VAR:SYMBOL=IQNT&amp;VAR:INDEX=0"}</definedName>
    <definedName name="_50__FDSAUDITLINK__" hidden="1">{"fdsup://directions/FAT Viewer?action=UPDATE&amp;creator=factset&amp;DYN_ARGS=TRUE&amp;DOC_NAME=FAT:FQL_AUDITING_CLIENT_TEMPLATE.FAT&amp;display_string=Audit&amp;VAR:KEY=APSFMLSBUZ&amp;VAR:QUERY=RkZfREVCVF9FQklUREEoJ0FOTicsMCwsLCwnVVNEJyk=&amp;WINDOW=FIRST_POPUP&amp;HEIGHT=450&amp;WIDTH=450&amp;","START_MAXIMIZED=FALSE&amp;VAR:CALENDAR=US&amp;VAR:SYMBOL=677221&amp;VAR:INDEX=0"}</definedName>
    <definedName name="_50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44"}</definedName>
    <definedName name="_50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44"}</definedName>
    <definedName name="_50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44"}</definedName>
    <definedName name="_50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44"}</definedName>
    <definedName name="_50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44"}</definedName>
    <definedName name="_50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44"}</definedName>
    <definedName name="_50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44"}</definedName>
    <definedName name="_50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definedName>
    <definedName name="_50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definedName>
    <definedName name="_50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definedName>
    <definedName name="_50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definedName>
    <definedName name="_50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definedName>
    <definedName name="_50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43"}</definedName>
    <definedName name="_50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43"}</definedName>
    <definedName name="_50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definedName>
    <definedName name="_50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definedName>
    <definedName name="_50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definedName>
    <definedName name="_50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definedName>
    <definedName name="_50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definedName>
    <definedName name="_50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42"}</definedName>
    <definedName name="_50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42"}</definedName>
    <definedName name="_50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definedName>
    <definedName name="_50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definedName>
    <definedName name="_50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definedName>
    <definedName name="_50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definedName>
    <definedName name="_50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definedName>
    <definedName name="_50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41"}</definedName>
    <definedName name="_50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41"}</definedName>
    <definedName name="_50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definedName>
    <definedName name="_50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definedName>
    <definedName name="_50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definedName>
    <definedName name="_50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definedName>
    <definedName name="_50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definedName>
    <definedName name="_50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40"}</definedName>
    <definedName name="_50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40"}</definedName>
    <definedName name="_50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_50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_50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definedName>
    <definedName name="_50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_50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_50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_50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39"}</definedName>
    <definedName name="_50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_50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_50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definedName>
    <definedName name="_50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_50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_50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_50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38"}</definedName>
    <definedName name="_50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_50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_50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definedName>
    <definedName name="_50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_50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_50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_50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37"}</definedName>
    <definedName name="_50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definedName>
    <definedName name="_50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definedName>
    <definedName name="_50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definedName>
    <definedName name="_50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definedName>
    <definedName name="_50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definedName>
    <definedName name="_50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36"}</definedName>
    <definedName name="_50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36"}</definedName>
    <definedName name="_50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definedName>
    <definedName name="_50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definedName>
    <definedName name="_50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definedName>
    <definedName name="_50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definedName>
    <definedName name="_50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definedName>
    <definedName name="_50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35"}</definedName>
    <definedName name="_50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35"}</definedName>
    <definedName name="_51__FDSAUDITLINK__" localSheetId="9"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localSheetId="8"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localSheetId="6"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localSheetId="5"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localSheetId="1"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localSheetId="3"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__FDSAUDITLINK__" hidden="1">{"fdsup://directions/FAT Viewer?action=UPDATE&amp;creator=factset&amp;DYN_ARGS=TRUE&amp;DOC_NAME=FAT:FQL_AUDITING_CLIENT_TEMPLATE.FAT&amp;display_string=Audit&amp;VAR:KEY=QZAHYPAJUN&amp;VAR:QUERY=RkZfTFREX1RDQVAoJ0FOTicsMCk=&amp;WINDOW=FIRST_POPUP&amp;HEIGHT=450&amp;WIDTH=450&amp;START_MAXIMIZED=","FALSE&amp;VAR:CALENDAR=US&amp;VAR:SYMBOL=677221&amp;VAR:INDEX=0"}</definedName>
    <definedName name="_51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definedName>
    <definedName name="_51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definedName>
    <definedName name="_51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definedName>
    <definedName name="_51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definedName>
    <definedName name="_51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definedName>
    <definedName name="_51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34"}</definedName>
    <definedName name="_51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34"}</definedName>
    <definedName name="_51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definedName>
    <definedName name="_51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definedName>
    <definedName name="_51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definedName>
    <definedName name="_51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definedName>
    <definedName name="_51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definedName>
    <definedName name="_51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33"}</definedName>
    <definedName name="_51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33"}</definedName>
    <definedName name="_51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definedName>
    <definedName name="_51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definedName>
    <definedName name="_51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definedName>
    <definedName name="_51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definedName>
    <definedName name="_51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definedName>
    <definedName name="_51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32"}</definedName>
    <definedName name="_51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32"}</definedName>
    <definedName name="_51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definedName>
    <definedName name="_51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definedName>
    <definedName name="_51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definedName>
    <definedName name="_51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definedName>
    <definedName name="_51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definedName>
    <definedName name="_51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31"}</definedName>
    <definedName name="_51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31"}</definedName>
    <definedName name="_51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definedName>
    <definedName name="_51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definedName>
    <definedName name="_51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definedName>
    <definedName name="_51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definedName>
    <definedName name="_51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definedName>
    <definedName name="_51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30"}</definedName>
    <definedName name="_51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30"}</definedName>
    <definedName name="_51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definedName>
    <definedName name="_51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definedName>
    <definedName name="_51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definedName>
    <definedName name="_51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definedName>
    <definedName name="_51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definedName>
    <definedName name="_51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29"}</definedName>
    <definedName name="_51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29"}</definedName>
    <definedName name="_51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definedName>
    <definedName name="_51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definedName>
    <definedName name="_51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definedName>
    <definedName name="_51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definedName>
    <definedName name="_51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definedName>
    <definedName name="_51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28"}</definedName>
    <definedName name="_51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28"}</definedName>
    <definedName name="_51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definedName>
    <definedName name="_51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definedName>
    <definedName name="_51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definedName>
    <definedName name="_51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definedName>
    <definedName name="_51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definedName>
    <definedName name="_51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27"}</definedName>
    <definedName name="_51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27"}</definedName>
    <definedName name="_51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definedName>
    <definedName name="_51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definedName>
    <definedName name="_51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definedName>
    <definedName name="_51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definedName>
    <definedName name="_51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definedName>
    <definedName name="_51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26"}</definedName>
    <definedName name="_51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26"}</definedName>
    <definedName name="_51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definedName>
    <definedName name="_51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definedName>
    <definedName name="_51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definedName>
    <definedName name="_51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definedName>
    <definedName name="_51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definedName>
    <definedName name="_51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25"}</definedName>
    <definedName name="_51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25"}</definedName>
    <definedName name="_52__FDSAUDITLINK__" localSheetId="9"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localSheetId="8"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localSheetId="6"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localSheetId="5"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localSheetId="1"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localSheetId="3"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__FDSAUDITLINK__" hidden="1">{"fdsup://directions/FAT Viewer?action=UPDATE&amp;creator=factset&amp;DYN_ARGS=TRUE&amp;DOC_NAME=FAT:FQL_AUDITING_CLIENT_TEMPLATE.FAT&amp;display_string=Audit&amp;VAR:KEY=MLMHEJOPIZ&amp;VAR:QUERY=RkZfRU5UUlBSX1ZBTF9EQUlMWSgwLCwsLCdVU0QnLCdESUwnKQ==&amp;WINDOW=FIRST_POPUP&amp;HEIGHT=450&amp;WI","DTH=450&amp;START_MAXIMIZED=FALSE&amp;VAR:CALENDAR=US&amp;VAR:SYMBOL=677221&amp;VAR:INDEX=0"}</definedName>
    <definedName name="_52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definedName>
    <definedName name="_52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definedName>
    <definedName name="_52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definedName>
    <definedName name="_52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definedName>
    <definedName name="_52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definedName>
    <definedName name="_52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24"}</definedName>
    <definedName name="_52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24"}</definedName>
    <definedName name="_52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definedName>
    <definedName name="_52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definedName>
    <definedName name="_52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definedName>
    <definedName name="_52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definedName>
    <definedName name="_52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definedName>
    <definedName name="_52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23"}</definedName>
    <definedName name="_52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23"}</definedName>
    <definedName name="_52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definedName>
    <definedName name="_52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definedName>
    <definedName name="_52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definedName>
    <definedName name="_52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definedName>
    <definedName name="_52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definedName>
    <definedName name="_52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22"}</definedName>
    <definedName name="_52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22"}</definedName>
    <definedName name="_52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definedName>
    <definedName name="_52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definedName>
    <definedName name="_52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definedName>
    <definedName name="_52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definedName>
    <definedName name="_52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definedName>
    <definedName name="_52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21"}</definedName>
    <definedName name="_52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21"}</definedName>
    <definedName name="_52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definedName>
    <definedName name="_52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definedName>
    <definedName name="_52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definedName>
    <definedName name="_52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definedName>
    <definedName name="_52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definedName>
    <definedName name="_52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20"}</definedName>
    <definedName name="_52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20"}</definedName>
    <definedName name="_52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definedName>
    <definedName name="_52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definedName>
    <definedName name="_52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definedName>
    <definedName name="_52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definedName>
    <definedName name="_52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definedName>
    <definedName name="_52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19"}</definedName>
    <definedName name="_52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19"}</definedName>
    <definedName name="_52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definedName>
    <definedName name="_52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definedName>
    <definedName name="_52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definedName>
    <definedName name="_52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definedName>
    <definedName name="_52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definedName>
    <definedName name="_52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18"}</definedName>
    <definedName name="_52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18"}</definedName>
    <definedName name="_52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definedName>
    <definedName name="_52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definedName>
    <definedName name="_52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definedName>
    <definedName name="_52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definedName>
    <definedName name="_52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definedName>
    <definedName name="_52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17"}</definedName>
    <definedName name="_52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17"}</definedName>
    <definedName name="_52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definedName>
    <definedName name="_52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definedName>
    <definedName name="_52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definedName>
    <definedName name="_52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definedName>
    <definedName name="_52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definedName>
    <definedName name="_52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16"}</definedName>
    <definedName name="_52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16"}</definedName>
    <definedName name="_52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definedName>
    <definedName name="_52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definedName>
    <definedName name="_52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definedName>
    <definedName name="_52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definedName>
    <definedName name="_52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definedName>
    <definedName name="_52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15"}</definedName>
    <definedName name="_52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15"}</definedName>
    <definedName name="_53__FDSAUDITLINK__" localSheetId="9"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localSheetId="8"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localSheetId="6"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localSheetId="5"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localSheetId="1"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localSheetId="3"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__FDSAUDITLINK__" hidden="1">{"fdsup://directions/FAT Viewer?action=UPDATE&amp;creator=factset&amp;DYN_ARGS=TRUE&amp;DOC_NAME=FAT:FQL_AUDITING_CLIENT_TEMPLATE.FAT&amp;display_string=Audit&amp;VAR:KEY=EPKHEVUXOV&amp;VAR:QUERY=RkZfRU5UUlBSX1ZBTF9FQklUREEoJ0FOTicsMCwsLCwnVVNEJyk=&amp;WINDOW=FIRST_POPUP&amp;HEIGHT=450&amp;WI","DTH=450&amp;START_MAXIMIZED=FALSE&amp;VAR:CALENDAR=US&amp;VAR:SYMBOL=664256&amp;VAR:INDEX=0"}</definedName>
    <definedName name="_53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definedName>
    <definedName name="_53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definedName>
    <definedName name="_53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definedName>
    <definedName name="_53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definedName>
    <definedName name="_53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definedName>
    <definedName name="_53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14"}</definedName>
    <definedName name="_53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14"}</definedName>
    <definedName name="_53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definedName>
    <definedName name="_53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definedName>
    <definedName name="_53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definedName>
    <definedName name="_53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definedName>
    <definedName name="_53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definedName>
    <definedName name="_53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13"}</definedName>
    <definedName name="_53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13"}</definedName>
    <definedName name="_53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definedName>
    <definedName name="_53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definedName>
    <definedName name="_53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definedName>
    <definedName name="_53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definedName>
    <definedName name="_53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definedName>
    <definedName name="_53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12"}</definedName>
    <definedName name="_53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12"}</definedName>
    <definedName name="_53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definedName>
    <definedName name="_53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definedName>
    <definedName name="_53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definedName>
    <definedName name="_53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definedName>
    <definedName name="_53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definedName>
    <definedName name="_53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11"}</definedName>
    <definedName name="_53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11"}</definedName>
    <definedName name="_53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definedName>
    <definedName name="_53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definedName>
    <definedName name="_53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definedName>
    <definedName name="_53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definedName>
    <definedName name="_53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definedName>
    <definedName name="_53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10"}</definedName>
    <definedName name="_53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10"}</definedName>
    <definedName name="_535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definedName>
    <definedName name="_535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definedName>
    <definedName name="_535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definedName>
    <definedName name="_535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definedName>
    <definedName name="_535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definedName>
    <definedName name="_535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9"}</definedName>
    <definedName name="_535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9"}</definedName>
    <definedName name="_536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definedName>
    <definedName name="_536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definedName>
    <definedName name="_536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definedName>
    <definedName name="_536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definedName>
    <definedName name="_536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definedName>
    <definedName name="_536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8"}</definedName>
    <definedName name="_536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8"}</definedName>
    <definedName name="_537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definedName>
    <definedName name="_537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definedName>
    <definedName name="_537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definedName>
    <definedName name="_537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definedName>
    <definedName name="_537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definedName>
    <definedName name="_537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7"}</definedName>
    <definedName name="_537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7"}</definedName>
    <definedName name="_538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definedName>
    <definedName name="_538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definedName>
    <definedName name="_538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definedName>
    <definedName name="_538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definedName>
    <definedName name="_538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definedName>
    <definedName name="_538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6"}</definedName>
    <definedName name="_538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6"}</definedName>
    <definedName name="_539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definedName>
    <definedName name="_539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definedName>
    <definedName name="_539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definedName>
    <definedName name="_539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definedName>
    <definedName name="_539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definedName>
    <definedName name="_539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5"}</definedName>
    <definedName name="_539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5"}</definedName>
    <definedName name="_54__FDSAUDITLINK__" localSheetId="9" hidden="1">{"fdsup://directions/FAT Viewer?action=UPDATE&amp;creator=factset&amp;DYN_ARGS=TRUE&amp;DOC_NAME=FAT:FQL_AUDITING_CLIENT_TEMPLATE.FAT&amp;display_string=Audit&amp;VAR:KEY=FILGFWBQNU&amp;VAR:QUERY=RkZfRElWX1lMRChBTk4sTk9XKQ==&amp;WINDOW=FIRST_POPUP&amp;HEIGHT=450&amp;WIDTH=450&amp;START_MAXIMIZED=","FALSE&amp;VAR:CALENDAR=US&amp;VAR:SYMBOL=RAX&amp;VAR:INDEX=0"}</definedName>
    <definedName name="_54__FDSAUDITLINK__" localSheetId="8" hidden="1">{"fdsup://directions/FAT Viewer?action=UPDATE&amp;creator=factset&amp;DYN_ARGS=TRUE&amp;DOC_NAME=FAT:FQL_AUDITING_CLIENT_TEMPLATE.FAT&amp;display_string=Audit&amp;VAR:KEY=FILGFWBQNU&amp;VAR:QUERY=RkZfRElWX1lMRChBTk4sTk9XKQ==&amp;WINDOW=FIRST_POPUP&amp;HEIGHT=450&amp;WIDTH=450&amp;START_MAXIMIZED=","FALSE&amp;VAR:CALENDAR=US&amp;VAR:SYMBOL=RAX&amp;VAR:INDEX=0"}</definedName>
    <definedName name="_54__FDSAUDITLINK__" localSheetId="6" hidden="1">{"fdsup://directions/FAT Viewer?action=UPDATE&amp;creator=factset&amp;DYN_ARGS=TRUE&amp;DOC_NAME=FAT:FQL_AUDITING_CLIENT_TEMPLATE.FAT&amp;display_string=Audit&amp;VAR:KEY=QPIRWREBYH&amp;VAR:QUERY=RkZfREVCVF9FQklUREEoJ0FOTicsMCwsLCwnVVNEJyk=&amp;WINDOW=FIRST_POPUP&amp;HEIGHT=450&amp;WIDTH=450&amp;","START_MAXIMIZED=FALSE&amp;VAR:CALENDAR=US&amp;VAR:SYMBOL=664256&amp;VAR:INDEX=0"}</definedName>
    <definedName name="_54__FDSAUDITLINK__" localSheetId="5" hidden="1">{"fdsup://directions/FAT Viewer?action=UPDATE&amp;creator=factset&amp;DYN_ARGS=TRUE&amp;DOC_NAME=FAT:FQL_AUDITING_CLIENT_TEMPLATE.FAT&amp;display_string=Audit&amp;VAR:KEY=FILGFWBQNU&amp;VAR:QUERY=RkZfRElWX1lMRChBTk4sTk9XKQ==&amp;WINDOW=FIRST_POPUP&amp;HEIGHT=450&amp;WIDTH=450&amp;START_MAXIMIZED=","FALSE&amp;VAR:CALENDAR=US&amp;VAR:SYMBOL=RAX&amp;VAR:INDEX=0"}</definedName>
    <definedName name="_54__FDSAUDITLINK__" localSheetId="1" hidden="1">{"fdsup://directions/FAT Viewer?action=UPDATE&amp;creator=factset&amp;DYN_ARGS=TRUE&amp;DOC_NAME=FAT:FQL_AUDITING_CLIENT_TEMPLATE.FAT&amp;display_string=Audit&amp;VAR:KEY=FILGFWBQNU&amp;VAR:QUERY=RkZfRElWX1lMRChBTk4sTk9XKQ==&amp;WINDOW=FIRST_POPUP&amp;HEIGHT=450&amp;WIDTH=450&amp;START_MAXIMIZED=","FALSE&amp;VAR:CALENDAR=US&amp;VAR:SYMBOL=RAX&amp;VAR:INDEX=0"}</definedName>
    <definedName name="_54__FDSAUDITLINK__" localSheetId="3" hidden="1">{"fdsup://directions/FAT Viewer?action=UPDATE&amp;creator=factset&amp;DYN_ARGS=TRUE&amp;DOC_NAME=FAT:FQL_AUDITING_CLIENT_TEMPLATE.FAT&amp;display_string=Audit&amp;VAR:KEY=FILGFWBQNU&amp;VAR:QUERY=RkZfRElWX1lMRChBTk4sTk9XKQ==&amp;WINDOW=FIRST_POPUP&amp;HEIGHT=450&amp;WIDTH=450&amp;START_MAXIMIZED=","FALSE&amp;VAR:CALENDAR=US&amp;VAR:SYMBOL=RAX&amp;VAR:INDEX=0"}</definedName>
    <definedName name="_54__FDSAUDITLINK__" hidden="1">{"fdsup://directions/FAT Viewer?action=UPDATE&amp;creator=factset&amp;DYN_ARGS=TRUE&amp;DOC_NAME=FAT:FQL_AUDITING_CLIENT_TEMPLATE.FAT&amp;display_string=Audit&amp;VAR:KEY=QPIRWREBYH&amp;VAR:QUERY=RkZfREVCVF9FQklUREEoJ0FOTicsMCwsLCwnVVNEJyk=&amp;WINDOW=FIRST_POPUP&amp;HEIGHT=450&amp;WIDTH=450&amp;","START_MAXIMIZED=FALSE&amp;VAR:CALENDAR=US&amp;VAR:SYMBOL=664256&amp;VAR:INDEX=0"}</definedName>
    <definedName name="_540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definedName>
    <definedName name="_540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definedName>
    <definedName name="_540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definedName>
    <definedName name="_540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definedName>
    <definedName name="_540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definedName>
    <definedName name="_540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4"}</definedName>
    <definedName name="_540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4"}</definedName>
    <definedName name="_541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definedName>
    <definedName name="_541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definedName>
    <definedName name="_541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definedName>
    <definedName name="_541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definedName>
    <definedName name="_541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definedName>
    <definedName name="_541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definedName>
    <definedName name="_541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3"}</definedName>
    <definedName name="_542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definedName>
    <definedName name="_542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definedName>
    <definedName name="_542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definedName>
    <definedName name="_542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definedName>
    <definedName name="_542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definedName>
    <definedName name="_542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2"}</definedName>
    <definedName name="_542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2"}</definedName>
    <definedName name="_543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definedName>
    <definedName name="_543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definedName>
    <definedName name="_543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definedName>
    <definedName name="_543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definedName>
    <definedName name="_543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definedName>
    <definedName name="_543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1"}</definedName>
    <definedName name="_543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1"}</definedName>
    <definedName name="_544__FDSAUDITLINK__"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0"}</definedName>
    <definedName name="_544__FDSAUDITLINK__"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0"}</definedName>
    <definedName name="_544__FDSAUDITLINK__" localSheetId="6"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0"}</definedName>
    <definedName name="_544__FDSAUDITLINK__"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0"}</definedName>
    <definedName name="_544__FDSAUDITLINK__"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0"}</definedName>
    <definedName name="_544__FDSAUDITLINK__"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0"}</definedName>
    <definedName name="_544__FDSAUDITLINK__" hidden="1">{"fdsup://directions/FAT Viewer?action=UPDATE&amp;creator=factset&amp;DYN_ARGS=TRUE&amp;DOC_NAME=FAT:FQL_AUDITING_CLIENT_TEMPLATE.FAT&amp;display_string=Audit&amp;VAR:KEY=ZORWVEXEDI&amp;VAR:QUERY=RkZfRU5UUlBSX1ZBTF9EQUlMWShOT1csLTEwQVksVywsLCdESUwnKQ==&amp;WINDOW=FIRST_POPUP&amp;HEIGHT=45","0&amp;WIDTH=450&amp;START_MAXIMIZED=FALSE&amp;VAR:CALENDAR=US&amp;VAR:SYMBOL=AOS&amp;VAR:INDEX=0"}</definedName>
    <definedName name="_545__FDSAUDITLINK__" localSheetId="9"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localSheetId="8"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localSheetId="6"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localSheetId="5"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localSheetId="1"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localSheetId="3"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5__FDSAUDITLINK__" hidden="1">{"fdsup://directions/FAT%20Viewer?VAR:PED=2011&amp;VAR:PERIOD=CY&amp;VAR:V=96.181346&amp;VAR:AUDIT_ID=00000117&amp;VAR:DATE=20100526&amp;action=UPDATE&amp;creator=factset&amp;DOC_NAME=FAT:FMA_audit_SUMMARY.fat&amp;DISPLAY_STRING=Display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9"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8"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6"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5"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1"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localSheetId="3"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6__FDSAUDITLINK__" hidden="1">{"fdsup://directions/FAT%20Viewer?VAR:PED=2010&amp;VAR:PERIOD=CY&amp;VAR:V=81.898586&amp;VAR:AUDIT_ID=00000117&amp;VAR:DATE=20100526&amp;action=UPDATE&amp;creator=factset&amp;DOC_NAME=FAT:FMA_audit_SUMMARY.fat&amp;DISPLAY_STRING=Display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Aggregates&amp;VAR:MEASURE=EPS_MEAN&amp;VAR:CALC_MODE=AGGREGATE&amp;VAR:CHGPERIOD=NA&amp;VAR:PCT=N&amp;VAR:FQLFORMULA=FMA_EPS&amp;VAR:CURRENCY=USD&amp;VAR:P=1067.947410&amp;VAR:THRESH=||||&amp;VAR:null=.html"}</definedName>
    <definedName name="_547__FDSAUDITLINK__" localSheetId="9"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localSheetId="8"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localSheetId="6"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localSheetId="5"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localSheetId="1"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localSheetId="3"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7__FDSAUDITLINK__" hidden="1">{"fdsup://directions/FAT%20Viewer?VAR:PED=LTM&amp;VAR:PERIOD=FIXED&amp;VAR:V=22.063965&amp;VAR:AUDIT_ID=00000117&amp;VAR:DATE=20100527&amp;action=UPDATE&amp;creator=factset&amp;DOC_NAME=FAT:FMA_audit_SUMMARY.fat&amp;DISPLAY_STRING=Display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Aggregates&amp;VAR:MEASURE=DPS&amp;VAR:CALC_MODE=AGGREGATE&amp;VAR:CHGPERIOD=NA&amp;VAR:PCT=N&amp;VAR:FQLFORMULA=FMA_DPS&amp;VAR:CURRENCY=USD&amp;VAR:P=1094.900000&amp;VAR:THRESH=||||&amp;VAR:null=.html"}</definedName>
    <definedName name="_548__FDSAUDITLINK__" localSheetId="9"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localSheetId="8"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localSheetId="6"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localSheetId="5"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localSheetId="1"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localSheetId="3"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8__FDSAUDITLINK__" hidden="1">{"fdsup://directions/FAT%20Viewer?VAR:PED=2011&amp;VAR:PERIOD=CY&amp;VAR:V=96.797494&amp;VAR:PCT=N&amp;VAR:AUDIT_ID=00000117&amp;VAR:DATE=20100604&amp;action=UPDATE&amp;creator=factset&amp;DOC_NAME=FAT:FMA_audit_SUMMARY.fat&amp;DISPLAY_STRING=Display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9"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8"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6"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5"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1"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localSheetId="3"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49__FDSAUDITLINK__" hidden="1">{"fdsup://directions/FAT%20Viewer?VAR:PED=2010&amp;VAR:PERIOD=CY&amp;VAR:V=82.327789&amp;VAR:PCT=N&amp;VAR:AUDIT_ID=00000117&amp;VAR:DATE=20100604&amp;action=UPDATE&amp;creator=factset&amp;DOC_NAME=FAT:FMA_audit_SUMMARY.fat&amp;DISPLAY_STRING=Display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Aggregates&amp;VAR:MEASURE=EPS_MEAN&amp;VAR:CALC_MODE=AGGREGATE&amp;VAR:CHGPERIOD=NA&amp;VAR:FQLFORMULA=FMA_EPS&amp;VAR:CURRENCY=USD&amp;VAR:P=1064.875042&amp;VAR:THRESH=||||&amp;VAR:null=.html"}</definedName>
    <definedName name="_55__FDSAUDITLINK__" localSheetId="9" hidden="1">{"fdsup://directions/FAT Viewer?action=UPDATE&amp;creator=factset&amp;DYN_ARGS=TRUE&amp;DOC_NAME=FAT:FQL_AUDITING_CLIENT_TEMPLATE.FAT&amp;display_string=Audit&amp;VAR:KEY=HSTCTCTYVY&amp;VAR:QUERY=RkZfRElWX1lMRChBTk4sTk9XKQ==&amp;WINDOW=FIRST_POPUP&amp;HEIGHT=450&amp;WIDTH=450&amp;START_MAXIMIZED=","FALSE&amp;VAR:CALENDAR=US&amp;VAR:SYMBOL=PTNR&amp;VAR:INDEX=0"}</definedName>
    <definedName name="_55__FDSAUDITLINK__" localSheetId="8" hidden="1">{"fdsup://directions/FAT Viewer?action=UPDATE&amp;creator=factset&amp;DYN_ARGS=TRUE&amp;DOC_NAME=FAT:FQL_AUDITING_CLIENT_TEMPLATE.FAT&amp;display_string=Audit&amp;VAR:KEY=HSTCTCTYVY&amp;VAR:QUERY=RkZfRElWX1lMRChBTk4sTk9XKQ==&amp;WINDOW=FIRST_POPUP&amp;HEIGHT=450&amp;WIDTH=450&amp;START_MAXIMIZED=","FALSE&amp;VAR:CALENDAR=US&amp;VAR:SYMBOL=PTNR&amp;VAR:INDEX=0"}</definedName>
    <definedName name="_55__FDSAUDITLINK__" localSheetId="6" hidden="1">{"fdsup://directions/FAT Viewer?action=UPDATE&amp;creator=factset&amp;DYN_ARGS=TRUE&amp;DOC_NAME=FAT:FQL_AUDITING_CLIENT_TEMPLATE.FAT&amp;display_string=Audit&amp;VAR:KEY=EHCNGRUZQD&amp;VAR:QUERY=RkZfTFREX1RDQVAoJ0FOTicsMCk=&amp;WINDOW=FIRST_POPUP&amp;HEIGHT=450&amp;WIDTH=450&amp;START_MAXIMIZED=","FALSE&amp;VAR:CALENDAR=US&amp;VAR:SYMBOL=664256&amp;VAR:INDEX=0"}</definedName>
    <definedName name="_55__FDSAUDITLINK__" localSheetId="5" hidden="1">{"fdsup://directions/FAT Viewer?action=UPDATE&amp;creator=factset&amp;DYN_ARGS=TRUE&amp;DOC_NAME=FAT:FQL_AUDITING_CLIENT_TEMPLATE.FAT&amp;display_string=Audit&amp;VAR:KEY=HSTCTCTYVY&amp;VAR:QUERY=RkZfRElWX1lMRChBTk4sTk9XKQ==&amp;WINDOW=FIRST_POPUP&amp;HEIGHT=450&amp;WIDTH=450&amp;START_MAXIMIZED=","FALSE&amp;VAR:CALENDAR=US&amp;VAR:SYMBOL=PTNR&amp;VAR:INDEX=0"}</definedName>
    <definedName name="_55__FDSAUDITLINK__" localSheetId="1" hidden="1">{"fdsup://directions/FAT Viewer?action=UPDATE&amp;creator=factset&amp;DYN_ARGS=TRUE&amp;DOC_NAME=FAT:FQL_AUDITING_CLIENT_TEMPLATE.FAT&amp;display_string=Audit&amp;VAR:KEY=HSTCTCTYVY&amp;VAR:QUERY=RkZfRElWX1lMRChBTk4sTk9XKQ==&amp;WINDOW=FIRST_POPUP&amp;HEIGHT=450&amp;WIDTH=450&amp;START_MAXIMIZED=","FALSE&amp;VAR:CALENDAR=US&amp;VAR:SYMBOL=PTNR&amp;VAR:INDEX=0"}</definedName>
    <definedName name="_55__FDSAUDITLINK__" localSheetId="3" hidden="1">{"fdsup://directions/FAT Viewer?action=UPDATE&amp;creator=factset&amp;DYN_ARGS=TRUE&amp;DOC_NAME=FAT:FQL_AUDITING_CLIENT_TEMPLATE.FAT&amp;display_string=Audit&amp;VAR:KEY=HSTCTCTYVY&amp;VAR:QUERY=RkZfRElWX1lMRChBTk4sTk9XKQ==&amp;WINDOW=FIRST_POPUP&amp;HEIGHT=450&amp;WIDTH=450&amp;START_MAXIMIZED=","FALSE&amp;VAR:CALENDAR=US&amp;VAR:SYMBOL=PTNR&amp;VAR:INDEX=0"}</definedName>
    <definedName name="_55__FDSAUDITLINK__" hidden="1">{"fdsup://directions/FAT Viewer?action=UPDATE&amp;creator=factset&amp;DYN_ARGS=TRUE&amp;DOC_NAME=FAT:FQL_AUDITING_CLIENT_TEMPLATE.FAT&amp;display_string=Audit&amp;VAR:KEY=EHCNGRUZQD&amp;VAR:QUERY=RkZfTFREX1RDQVAoJ0FOTicsMCk=&amp;WINDOW=FIRST_POPUP&amp;HEIGHT=450&amp;WIDTH=450&amp;START_MAXIMIZED=","FALSE&amp;VAR:CALENDAR=US&amp;VAR:SYMBOL=664256&amp;VAR:INDEX=0"}</definedName>
    <definedName name="_550__FDSAUDITLINK__" localSheetId="9"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localSheetId="8"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localSheetId="6"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localSheetId="5"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localSheetId="1"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localSheetId="3"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0__FDSAUDITLINK__" hidden="1">{"fdsup://directions/FAT%20Viewer?VAR:PED=LTM&amp;VAR:PERIOD=FIXED&amp;VAR:V=21.374575&amp;VAR:PCT=N&amp;VAR:AUDIT_ID=00000117&amp;VAR:DATE=20100607&amp;action=UPDATE&amp;creator=factset&amp;DOC_NAME=FAT:FMA_audit_SUMMARY.fat&amp;DISPLAY_STRING=Display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Aggregates&amp;VAR:MEASURE=DPS&amp;VAR:CALC_MODE=AGGREGATE&amp;VAR:CHGPERIOD=NA&amp;VAR:FQLFORMULA=FMA_DPS&amp;VAR:CURRENCY=USD&amp;VAR:P=1050.470000&amp;VAR:THRESH=||||&amp;VAR:null=.html"}</definedName>
    <definedName name="_551__FDSAUDITLINK__" localSheetId="9"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localSheetId="8"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localSheetId="6"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localSheetId="5"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localSheetId="1"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localSheetId="3"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1__FDSAUDITLINK__"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9"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8"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6"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5"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1"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localSheetId="3"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2__FDSAUDITLINK__"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3__FDSAUDITLINK__" localSheetId="9"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localSheetId="8"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localSheetId="6"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localSheetId="5"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localSheetId="1"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localSheetId="3"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3__FDSAUDITLINK__"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4__FDSAUDITLINK__" localSheetId="9"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localSheetId="8"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localSheetId="6"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localSheetId="5"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localSheetId="1"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localSheetId="3"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4__FDSAUDITLINK__" hidden="1">{"fdsup://directions/FAT%20Viewer?VAR:PED=2011&amp;VAR:PERIOD=CY&amp;VAR:V=95.488509&amp;VAR:PCT=N&amp;VAR:AUDIT_ID=00000117&amp;VAR:DATE=20100607&amp;action=UPDATE&amp;creator=factset&amp;DOC_NAME=FAT:FMA_audit_SUMMARY.fat&amp;DISPLAY_STRING=Display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9"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8"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6"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5"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1"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localSheetId="3"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5__FDSAUDITLINK__" hidden="1">{"fdsup://directions/FAT%20Viewer?VAR:PED=2010&amp;VAR:PERIOD=CY&amp;VAR:V=81.214477&amp;VAR:PCT=N&amp;VAR:AUDIT_ID=00000117&amp;VAR:DATE=20100607&amp;action=UPDATE&amp;creator=factset&amp;DOC_NAME=FAT:FMA_audit_SUMMARY.fat&amp;DISPLAY_STRING=Display Audit for Earnings Per Share&amp;DYN_ARGS=TRUE","&amp;WINDOW=first_popup&amp;START_MAXIMIZED=FALSE&amp;WIDTH=500&amp;HEIGHT=525&amp;TITLEBAR=FactSet Market Aggregates&amp;VAR:MEASURE=EPS_MEAN&amp;VAR:CALC_MODE=AGGREGATE&amp;VAR:CHGPERIOD=NA&amp;VAR:FQLFORMULA=FMA_EPS&amp;VAR:CURRENCY=USD&amp;VAR:P=1050.474819&amp;VAR:THRESH=||||&amp;VAR:null=.html"}</definedName>
    <definedName name="_556__FDSAUDITLINK__" localSheetId="9"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localSheetId="8"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localSheetId="6"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localSheetId="5"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localSheetId="1"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localSheetId="3"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6__FDSAUDITLINK__" hidden="1">{"fdsup://directions/FAT%20Viewer?VAR:PED=LTM&amp;VAR:PERIOD=FIXED&amp;VAR:V=21.374673&amp;VAR:PCT=N&amp;VAR:AUDIT_ID=00000117&amp;VAR:DATE=20100608&amp;action=UPDATE&amp;creator=factset&amp;DOC_NAME=FAT:FMA_audit_SUMMARY.fat&amp;DISPLAY_STRING=Display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Aggregates&amp;VAR:MEASURE=DPS&amp;VAR:CALC_MODE=AGGREGATE&amp;VAR:CHGPERIOD=NA&amp;VAR:FQLFORMULA=FMA_DPS&amp;VAR:CURRENCY=USD&amp;VAR:P=1050.474819&amp;VAR:THRESH=||||&amp;VAR:null=.html"}</definedName>
    <definedName name="_5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521"}</definedName>
    <definedName name="_5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520"}</definedName>
    <definedName name="_5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519"}</definedName>
    <definedName name="_56__FDSAUDITLINK__" localSheetId="9"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localSheetId="8"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localSheetId="6"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localSheetId="5"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localSheetId="1"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localSheetId="3"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__FDSAUDITLINK__" hidden="1">{"fdsup://directions/FAT Viewer?action=UPDATE&amp;creator=factset&amp;DYN_ARGS=TRUE&amp;DOC_NAME=FAT:FQL_AUDITING_CLIENT_TEMPLATE.FAT&amp;display_string=Audit&amp;VAR:KEY=OJYPENOJQF&amp;VAR:QUERY=RkZfRU5UUlBSX1ZBTF9EQUlMWSgwLCwsLCdVU0QnLCdESUwnKQ==&amp;WINDOW=FIRST_POPUP&amp;HEIGHT=450&amp;WI","DTH=450&amp;START_MAXIMIZED=FALSE&amp;VAR:CALENDAR=US&amp;VAR:SYMBOL=664256&amp;VAR:INDEX=0"}</definedName>
    <definedName name="_5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518"}</definedName>
    <definedName name="_5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517"}</definedName>
    <definedName name="_5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516"}</definedName>
    <definedName name="_5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515"}</definedName>
    <definedName name="_5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514"}</definedName>
    <definedName name="_5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513"}</definedName>
    <definedName name="_5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512"}</definedName>
    <definedName name="_5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511"}</definedName>
    <definedName name="_5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510"}</definedName>
    <definedName name="_5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509"}</definedName>
    <definedName name="_57__FDSAUDITLINK__" localSheetId="9"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localSheetId="8"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localSheetId="6"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localSheetId="5"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localSheetId="1"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localSheetId="3"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__FDSAUDITLINK__" hidden="1">{"fdsup://directions/FAT Viewer?action=UPDATE&amp;creator=factset&amp;DYN_ARGS=TRUE&amp;DOC_NAME=FAT:FQL_AUDITING_CLIENT_TEMPLATE.FAT&amp;display_string=Audit&amp;VAR:KEY=GLIRGBOLID&amp;VAR:QUERY=RkZfRU5UUlBSX1ZBTF9FQklUREEoJ0FOTicsMCwsLCwnVVNEJyk=&amp;WINDOW=FIRST_POPUP&amp;HEIGHT=450&amp;WI","DTH=450&amp;START_MAXIMIZED=FALSE&amp;VAR:CALENDAR=US&amp;VAR:SYMBOL=644662&amp;VAR:INDEX=0"}</definedName>
    <definedName name="_5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508"}</definedName>
    <definedName name="_5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507"}</definedName>
    <definedName name="_5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506"}</definedName>
    <definedName name="_5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505"}</definedName>
    <definedName name="_5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504"}</definedName>
    <definedName name="_5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503"}</definedName>
    <definedName name="_5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502"}</definedName>
    <definedName name="_5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501"}</definedName>
    <definedName name="_5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500"}</definedName>
    <definedName name="_57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7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499"}</definedName>
    <definedName name="_58__FDSAUDITLINK__" localSheetId="9"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localSheetId="8"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localSheetId="6"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localSheetId="5"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localSheetId="1"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localSheetId="3"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__FDSAUDITLINK__" hidden="1">{"fdsup://directions/FAT Viewer?action=UPDATE&amp;creator=factset&amp;DYN_ARGS=TRUE&amp;DOC_NAME=FAT:FQL_AUDITING_CLIENT_TEMPLATE.FAT&amp;display_string=Audit&amp;VAR:KEY=GTOHOFSBWX&amp;VAR:QUERY=RkZfREVCVF9FQklUREEoJ0FOTicsMCwsLCwnVVNEJyk=&amp;WINDOW=FIRST_POPUP&amp;HEIGHT=450&amp;WIDTH=450&amp;","START_MAXIMIZED=FALSE&amp;VAR:CALENDAR=US&amp;VAR:SYMBOL=644662&amp;VAR:INDEX=0"}</definedName>
    <definedName name="_58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498"}</definedName>
    <definedName name="_58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497"}</definedName>
    <definedName name="_58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496"}</definedName>
    <definedName name="_58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495"}</definedName>
    <definedName name="_58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494"}</definedName>
    <definedName name="_58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493"}</definedName>
    <definedName name="_58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492"}</definedName>
    <definedName name="_58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491"}</definedName>
    <definedName name="_58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490"}</definedName>
    <definedName name="_58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8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489"}</definedName>
    <definedName name="_59__FDSAUDITLINK__" localSheetId="9"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localSheetId="8"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localSheetId="6"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localSheetId="5"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localSheetId="1"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localSheetId="3"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__FDSAUDITLINK__" hidden="1">{"fdsup://directions/FAT Viewer?action=UPDATE&amp;creator=factset&amp;DYN_ARGS=TRUE&amp;DOC_NAME=FAT:FQL_AUDITING_CLIENT_TEMPLATE.FAT&amp;display_string=Audit&amp;VAR:KEY=CBQBKVQPOL&amp;VAR:QUERY=RkZfTFREX1RDQVAoJ0FOTicsMCk=&amp;WINDOW=FIRST_POPUP&amp;HEIGHT=450&amp;WIDTH=450&amp;START_MAXIMIZED=","FALSE&amp;VAR:CALENDAR=US&amp;VAR:SYMBOL=644662&amp;VAR:INDEX=0"}</definedName>
    <definedName name="_59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488"}</definedName>
    <definedName name="_59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487"}</definedName>
    <definedName name="_59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486"}</definedName>
    <definedName name="_59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485"}</definedName>
    <definedName name="_59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484"}</definedName>
    <definedName name="_59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483"}</definedName>
    <definedName name="_59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482"}</definedName>
    <definedName name="_59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481"}</definedName>
    <definedName name="_59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480"}</definedName>
    <definedName name="_59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59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479"}</definedName>
    <definedName name="_6__FDSAUDITLINK__" localSheetId="9" hidden="1">{"fdsup://directions/FAT%20Viewer?VAR:PED=LTM&amp;VAR:PERIOD=FIXED&amp;VAR:V=21.732289&amp;VAR:PCT=N&amp;VAR:AUDIT_ID=00000117&amp;VAR:DATE=20100621&amp;action=UPDATE&amp;creator=factset&amp;DOC_NAME=FAT:FMA_audit_SUMMARY.fat&amp;DISPLAY_STRING=Display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Aggregates&amp;VAR:MEASURE=DPS&amp;VAR:CALC_MODE=AGGREGATE&amp;VAR:CHGPERIOD=NA&amp;VAR:FQLFORMULA=FMA_DPS&amp;VAR:CURRENCY=USD&amp;VAR:P=1120.290000&amp;VAR:THRESH=||||&amp;VAR:null=.html"}</definedName>
    <definedName name="_6__FDSAUDITLINK__" localSheetId="8" hidden="1">{"fdsup://directions/FAT%20Viewer?VAR:PED=LTM&amp;VAR:PERIOD=FIXED&amp;VAR:V=21.732289&amp;VAR:PCT=N&amp;VAR:AUDIT_ID=00000117&amp;VAR:DATE=20100621&amp;action=UPDATE&amp;creator=factset&amp;DOC_NAME=FAT:FMA_audit_SUMMARY.fat&amp;DISPLAY_STRING=Display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Aggregates&amp;VAR:MEASURE=DPS&amp;VAR:CALC_MODE=AGGREGATE&amp;VAR:CHGPERIOD=NA&amp;VAR:FQLFORMULA=FMA_DPS&amp;VAR:CURRENCY=USD&amp;VAR:P=1120.290000&amp;VAR:THRESH=||||&amp;VAR:null=.html"}</definedName>
    <definedName name="_6__FDSAUDITLINK__" localSheetId="6" hidden="1">{"fdsup://directions/FAT Viewer?action=UPDATE&amp;creator=factset&amp;DYN_ARGS=TRUE&amp;DOC_NAME=FAT:FQL_AUDITING_CLIENT_TEMPLATE.FAT&amp;display_string=Audit&amp;VAR:KEY=LWDKDKBANA&amp;VAR:QUERY=RkZfRU5UUlBSX1ZBTCgp&amp;WINDOW=FIRST_POPUP&amp;HEIGHT=450&amp;WIDTH=450&amp;START_MAXIMIZED=FALSE&amp;VA","R:CALENDAR=US&amp;VAR:SYMBOL=RBA&amp;VAR:INDEX=0"}</definedName>
    <definedName name="_6__FDSAUDITLINK__" localSheetId="5" hidden="1">{"fdsup://directions/FAT%20Viewer?VAR:PED=LTM&amp;VAR:PERIOD=FIXED&amp;VAR:V=21.732289&amp;VAR:PCT=N&amp;VAR:AUDIT_ID=00000117&amp;VAR:DATE=20100621&amp;action=UPDATE&amp;creator=factset&amp;DOC_NAME=FAT:FMA_audit_SUMMARY.fat&amp;DISPLAY_STRING=Display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Aggregates&amp;VAR:MEASURE=DPS&amp;VAR:CALC_MODE=AGGREGATE&amp;VAR:CHGPERIOD=NA&amp;VAR:FQLFORMULA=FMA_DPS&amp;VAR:CURRENCY=USD&amp;VAR:P=1120.290000&amp;VAR:THRESH=||||&amp;VAR:null=.html"}</definedName>
    <definedName name="_6__FDSAUDITLINK__" localSheetId="1" hidden="1">{"fdsup://directions/FAT%20Viewer?VAR:PED=LTM&amp;VAR:PERIOD=FIXED&amp;VAR:V=21.732289&amp;VAR:PCT=N&amp;VAR:AUDIT_ID=00000117&amp;VAR:DATE=20100621&amp;action=UPDATE&amp;creator=factset&amp;DOC_NAME=FAT:FMA_audit_SUMMARY.fat&amp;DISPLAY_STRING=Display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Aggregates&amp;VAR:MEASURE=DPS&amp;VAR:CALC_MODE=AGGREGATE&amp;VAR:CHGPERIOD=NA&amp;VAR:FQLFORMULA=FMA_DPS&amp;VAR:CURRENCY=USD&amp;VAR:P=1120.290000&amp;VAR:THRESH=||||&amp;VAR:null=.html"}</definedName>
    <definedName name="_6__FDSAUDITLINK__" localSheetId="3" hidden="1">{"fdsup://directions/FAT%20Viewer?VAR:PED=LTM&amp;VAR:PERIOD=FIXED&amp;VAR:V=21.732289&amp;VAR:PCT=N&amp;VAR:AUDIT_ID=00000117&amp;VAR:DATE=20100621&amp;action=UPDATE&amp;creator=factset&amp;DOC_NAME=FAT:FMA_audit_SUMMARY.fat&amp;DISPLAY_STRING=Display Audit for Dividends Per Share&amp;DYN_ARGS=T","RUE&amp;WINDOW=first_popup&amp;START_MAXIMIZED=FALSE&amp;WIDTH=500&amp;HEIGHT=525&amp;TITLEBAR=FactSet Market Aggregates&amp;VAR:MEASURE=DPS&amp;VAR:CALC_MODE=AGGREGATE&amp;VAR:CHGPERIOD=NA&amp;VAR:FQLFORMULA=FMA_DPS&amp;VAR:CURRENCY=USD&amp;VAR:P=1120.290000&amp;VAR:THRESH=||||&amp;VAR:null=.html"}</definedName>
    <definedName name="_6__FDSAUDITLINK__" hidden="1">{"fdsup://directions/FAT Viewer?action=UPDATE&amp;creator=factset&amp;DYN_ARGS=TRUE&amp;DOC_NAME=FAT:FQL_AUDITING_CLIENT_TEMPLATE.FAT&amp;display_string=Audit&amp;VAR:KEY=LWDKDKBANA&amp;VAR:QUERY=RkZfRU5UUlBSX1ZBTCgp&amp;WINDOW=FIRST_POPUP&amp;HEIGHT=450&amp;WIDTH=450&amp;START_MAXIMIZED=FALSE&amp;VA","R:CALENDAR=US&amp;VAR:SYMBOL=RBA&amp;VAR:INDEX=0"}</definedName>
    <definedName name="_60__FDSAUDITLINK__" localSheetId="9" hidden="1">{"fdsup://directions/FAT Viewer?action=UPDATE&amp;creator=factset&amp;DYN_ARGS=TRUE&amp;DOC_NAME=FAT:FQL_AUDITING_CLIENT_TEMPLATE.FAT&amp;display_string=Audit&amp;VAR:KEY=ITSNYJSVCL&amp;VAR:QUERY=RkZfRElWX1lMRChBTk4sTk9XKQ==&amp;WINDOW=FIRST_POPUP&amp;HEIGHT=450&amp;WIDTH=450&amp;START_MAXIMIZED=","FALSE&amp;VAR:CALENDAR=US&amp;VAR:SYMBOL=S&amp;VAR:INDEX=0"}</definedName>
    <definedName name="_60__FDSAUDITLINK__" localSheetId="8" hidden="1">{"fdsup://directions/FAT Viewer?action=UPDATE&amp;creator=factset&amp;DYN_ARGS=TRUE&amp;DOC_NAME=FAT:FQL_AUDITING_CLIENT_TEMPLATE.FAT&amp;display_string=Audit&amp;VAR:KEY=ITSNYJSVCL&amp;VAR:QUERY=RkZfRElWX1lMRChBTk4sTk9XKQ==&amp;WINDOW=FIRST_POPUP&amp;HEIGHT=450&amp;WIDTH=450&amp;START_MAXIMIZED=","FALSE&amp;VAR:CALENDAR=US&amp;VAR:SYMBOL=S&amp;VAR:INDEX=0"}</definedName>
    <definedName name="_60__FDSAUDITLINK__" localSheetId="6" hidden="1">{"fdsup://directions/FAT Viewer?action=UPDATE&amp;creator=factset&amp;DYN_ARGS=TRUE&amp;DOC_NAME=FAT:FQL_AUDITING_CLIENT_TEMPLATE.FAT&amp;display_string=Audit&amp;VAR:KEY=UDYRYHOZUZ&amp;VAR:QUERY=RkZfRU5UUlBSX1ZBTF9EQUlMWSgwLCwsLCdVU0QnLCdESUwnKQ==&amp;WINDOW=FIRST_POPUP&amp;HEIGHT=450&amp;WI","DTH=450&amp;START_MAXIMIZED=FALSE&amp;VAR:CALENDAR=US&amp;VAR:SYMBOL=644662&amp;VAR:INDEX=0"}</definedName>
    <definedName name="_60__FDSAUDITLINK__" localSheetId="5" hidden="1">{"fdsup://directions/FAT Viewer?action=UPDATE&amp;creator=factset&amp;DYN_ARGS=TRUE&amp;DOC_NAME=FAT:FQL_AUDITING_CLIENT_TEMPLATE.FAT&amp;display_string=Audit&amp;VAR:KEY=ITSNYJSVCL&amp;VAR:QUERY=RkZfRElWX1lMRChBTk4sTk9XKQ==&amp;WINDOW=FIRST_POPUP&amp;HEIGHT=450&amp;WIDTH=450&amp;START_MAXIMIZED=","FALSE&amp;VAR:CALENDAR=US&amp;VAR:SYMBOL=S&amp;VAR:INDEX=0"}</definedName>
    <definedName name="_60__FDSAUDITLINK__" localSheetId="1" hidden="1">{"fdsup://directions/FAT Viewer?action=UPDATE&amp;creator=factset&amp;DYN_ARGS=TRUE&amp;DOC_NAME=FAT:FQL_AUDITING_CLIENT_TEMPLATE.FAT&amp;display_string=Audit&amp;VAR:KEY=ITSNYJSVCL&amp;VAR:QUERY=RkZfRElWX1lMRChBTk4sTk9XKQ==&amp;WINDOW=FIRST_POPUP&amp;HEIGHT=450&amp;WIDTH=450&amp;START_MAXIMIZED=","FALSE&amp;VAR:CALENDAR=US&amp;VAR:SYMBOL=S&amp;VAR:INDEX=0"}</definedName>
    <definedName name="_60__FDSAUDITLINK__" localSheetId="3" hidden="1">{"fdsup://directions/FAT Viewer?action=UPDATE&amp;creator=factset&amp;DYN_ARGS=TRUE&amp;DOC_NAME=FAT:FQL_AUDITING_CLIENT_TEMPLATE.FAT&amp;display_string=Audit&amp;VAR:KEY=ITSNYJSVCL&amp;VAR:QUERY=RkZfRElWX1lMRChBTk4sTk9XKQ==&amp;WINDOW=FIRST_POPUP&amp;HEIGHT=450&amp;WIDTH=450&amp;START_MAXIMIZED=","FALSE&amp;VAR:CALENDAR=US&amp;VAR:SYMBOL=S&amp;VAR:INDEX=0"}</definedName>
    <definedName name="_60__FDSAUDITLINK__" hidden="1">{"fdsup://directions/FAT Viewer?action=UPDATE&amp;creator=factset&amp;DYN_ARGS=TRUE&amp;DOC_NAME=FAT:FQL_AUDITING_CLIENT_TEMPLATE.FAT&amp;display_string=Audit&amp;VAR:KEY=UDYRYHOZUZ&amp;VAR:QUERY=RkZfRU5UUlBSX1ZBTF9EQUlMWSgwLCwsLCdVU0QnLCdESUwnKQ==&amp;WINDOW=FIRST_POPUP&amp;HEIGHT=450&amp;WI","DTH=450&amp;START_MAXIMIZED=FALSE&amp;VAR:CALENDAR=US&amp;VAR:SYMBOL=644662&amp;VAR:INDEX=0"}</definedName>
    <definedName name="_60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478"}</definedName>
    <definedName name="_60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477"}</definedName>
    <definedName name="_60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476"}</definedName>
    <definedName name="_60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475"}</definedName>
    <definedName name="_60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474"}</definedName>
    <definedName name="_60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473"}</definedName>
    <definedName name="_60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472"}</definedName>
    <definedName name="_60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471"}</definedName>
    <definedName name="_60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470"}</definedName>
    <definedName name="_60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0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469"}</definedName>
    <definedName name="_61__FDSAUDITLINK__" localSheetId="9" hidden="1">{"fdsup://directions/FAT Viewer?action=UPDATE&amp;creator=factset&amp;DYN_ARGS=TRUE&amp;DOC_NAME=FAT:FQL_AUDITING_CLIENT_TEMPLATE.FAT&amp;display_string=Audit&amp;VAR:KEY=APQNOVUPEV&amp;VAR:QUERY=RkZfRElWX1lMRChBTk4sTk9XKQ==&amp;WINDOW=FIRST_POPUP&amp;HEIGHT=450&amp;WIDTH=450&amp;START_MAXIMIZED=","FALSE&amp;VAR:CALENDAR=US&amp;VAR:SYMBOL=PCS&amp;VAR:INDEX=0"}</definedName>
    <definedName name="_61__FDSAUDITLINK__" localSheetId="8" hidden="1">{"fdsup://directions/FAT Viewer?action=UPDATE&amp;creator=factset&amp;DYN_ARGS=TRUE&amp;DOC_NAME=FAT:FQL_AUDITING_CLIENT_TEMPLATE.FAT&amp;display_string=Audit&amp;VAR:KEY=APQNOVUPEV&amp;VAR:QUERY=RkZfRElWX1lMRChBTk4sTk9XKQ==&amp;WINDOW=FIRST_POPUP&amp;HEIGHT=450&amp;WIDTH=450&amp;START_MAXIMIZED=","FALSE&amp;VAR:CALENDAR=US&amp;VAR:SYMBOL=PCS&amp;VAR:INDEX=0"}</definedName>
    <definedName name="_61__FDSAUDITLINK__" localSheetId="6" hidden="1">{"fdsup://directions/FAT Viewer?action=UPDATE&amp;creator=factset&amp;DYN_ARGS=TRUE&amp;DOC_NAME=FAT:FQL_AUDITING_CLIENT_TEMPLATE.FAT&amp;display_string=Audit&amp;VAR:KEY=YNGNUDOVMP&amp;VAR:QUERY=RkZfRU5UUlBSX1ZBTF9FQklUREEoJ0FOTicsMCwsLCwnVVNEJyk=&amp;WINDOW=FIRST_POPUP&amp;HEIGHT=450&amp;WI","DTH=450&amp;START_MAXIMIZED=FALSE&amp;VAR:CALENDAR=US&amp;VAR:SYMBOL=634412&amp;VAR:INDEX=0"}</definedName>
    <definedName name="_61__FDSAUDITLINK__" localSheetId="5" hidden="1">{"fdsup://directions/FAT Viewer?action=UPDATE&amp;creator=factset&amp;DYN_ARGS=TRUE&amp;DOC_NAME=FAT:FQL_AUDITING_CLIENT_TEMPLATE.FAT&amp;display_string=Audit&amp;VAR:KEY=APQNOVUPEV&amp;VAR:QUERY=RkZfRElWX1lMRChBTk4sTk9XKQ==&amp;WINDOW=FIRST_POPUP&amp;HEIGHT=450&amp;WIDTH=450&amp;START_MAXIMIZED=","FALSE&amp;VAR:CALENDAR=US&amp;VAR:SYMBOL=PCS&amp;VAR:INDEX=0"}</definedName>
    <definedName name="_61__FDSAUDITLINK__" localSheetId="1" hidden="1">{"fdsup://directions/FAT Viewer?action=UPDATE&amp;creator=factset&amp;DYN_ARGS=TRUE&amp;DOC_NAME=FAT:FQL_AUDITING_CLIENT_TEMPLATE.FAT&amp;display_string=Audit&amp;VAR:KEY=APQNOVUPEV&amp;VAR:QUERY=RkZfRElWX1lMRChBTk4sTk9XKQ==&amp;WINDOW=FIRST_POPUP&amp;HEIGHT=450&amp;WIDTH=450&amp;START_MAXIMIZED=","FALSE&amp;VAR:CALENDAR=US&amp;VAR:SYMBOL=PCS&amp;VAR:INDEX=0"}</definedName>
    <definedName name="_61__FDSAUDITLINK__" localSheetId="3" hidden="1">{"fdsup://directions/FAT Viewer?action=UPDATE&amp;creator=factset&amp;DYN_ARGS=TRUE&amp;DOC_NAME=FAT:FQL_AUDITING_CLIENT_TEMPLATE.FAT&amp;display_string=Audit&amp;VAR:KEY=APQNOVUPEV&amp;VAR:QUERY=RkZfRElWX1lMRChBTk4sTk9XKQ==&amp;WINDOW=FIRST_POPUP&amp;HEIGHT=450&amp;WIDTH=450&amp;START_MAXIMIZED=","FALSE&amp;VAR:CALENDAR=US&amp;VAR:SYMBOL=PCS&amp;VAR:INDEX=0"}</definedName>
    <definedName name="_61__FDSAUDITLINK__" hidden="1">{"fdsup://directions/FAT Viewer?action=UPDATE&amp;creator=factset&amp;DYN_ARGS=TRUE&amp;DOC_NAME=FAT:FQL_AUDITING_CLIENT_TEMPLATE.FAT&amp;display_string=Audit&amp;VAR:KEY=YNGNUDOVMP&amp;VAR:QUERY=RkZfRU5UUlBSX1ZBTF9FQklUREEoJ0FOTicsMCwsLCwnVVNEJyk=&amp;WINDOW=FIRST_POPUP&amp;HEIGHT=450&amp;WI","DTH=450&amp;START_MAXIMIZED=FALSE&amp;VAR:CALENDAR=US&amp;VAR:SYMBOL=634412&amp;VAR:INDEX=0"}</definedName>
    <definedName name="_61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468"}</definedName>
    <definedName name="_61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467"}</definedName>
    <definedName name="_61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466"}</definedName>
    <definedName name="_61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465"}</definedName>
    <definedName name="_61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464"}</definedName>
    <definedName name="_61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463"}</definedName>
    <definedName name="_61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462"}</definedName>
    <definedName name="_61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461"}</definedName>
    <definedName name="_61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460"}</definedName>
    <definedName name="_61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1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459"}</definedName>
    <definedName name="_62__FDSAUDITLINK__" localSheetId="9"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localSheetId="8"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localSheetId="6"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localSheetId="5"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localSheetId="1"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localSheetId="3"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__FDSAUDITLINK__" hidden="1">{"fdsup://directions/FAT Viewer?action=UPDATE&amp;creator=factset&amp;DYN_ARGS=TRUE&amp;DOC_NAME=FAT:FQL_AUDITING_CLIENT_TEMPLATE.FAT&amp;display_string=Audit&amp;VAR:KEY=APWZAJERMV&amp;VAR:QUERY=RkZfREVCVF9FQklUREEoJ0FOTicsMCwsLCwnVVNEJyk=&amp;WINDOW=FIRST_POPUP&amp;HEIGHT=450&amp;WIDTH=450&amp;","START_MAXIMIZED=FALSE&amp;VAR:CALENDAR=US&amp;VAR:SYMBOL=634412&amp;VAR:INDEX=0"}</definedName>
    <definedName name="_62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458"}</definedName>
    <definedName name="_62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457"}</definedName>
    <definedName name="_62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456"}</definedName>
    <definedName name="_62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455"}</definedName>
    <definedName name="_62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454"}</definedName>
    <definedName name="_62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453"}</definedName>
    <definedName name="_62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452"}</definedName>
    <definedName name="_62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451"}</definedName>
    <definedName name="_62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450"}</definedName>
    <definedName name="_62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2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449"}</definedName>
    <definedName name="_63__FDSAUDITLINK__" localSheetId="9" hidden="1">{"fdsup://directions/FAT Viewer?action=UPDATE&amp;creator=factset&amp;DYN_ARGS=TRUE&amp;DOC_NAME=FAT:FQL_AUDITING_CLIENT_TEMPLATE.FAT&amp;display_string=Audit&amp;VAR:KEY=HILMBKLEXM&amp;VAR:QUERY=RkZfRElWX1lMRChBTk4sTk9XKQ==&amp;WINDOW=FIRST_POPUP&amp;HEIGHT=450&amp;WIDTH=450&amp;START_MAXIMIZED=","FALSE&amp;VAR:CALENDAR=US&amp;VAR:SYMBOL=RRST&amp;VAR:INDEX=0"}</definedName>
    <definedName name="_63__FDSAUDITLINK__" localSheetId="8" hidden="1">{"fdsup://directions/FAT Viewer?action=UPDATE&amp;creator=factset&amp;DYN_ARGS=TRUE&amp;DOC_NAME=FAT:FQL_AUDITING_CLIENT_TEMPLATE.FAT&amp;display_string=Audit&amp;VAR:KEY=HILMBKLEXM&amp;VAR:QUERY=RkZfRElWX1lMRChBTk4sTk9XKQ==&amp;WINDOW=FIRST_POPUP&amp;HEIGHT=450&amp;WIDTH=450&amp;START_MAXIMIZED=","FALSE&amp;VAR:CALENDAR=US&amp;VAR:SYMBOL=RRST&amp;VAR:INDEX=0"}</definedName>
    <definedName name="_63__FDSAUDITLINK__" localSheetId="6" hidden="1">{"fdsup://directions/FAT Viewer?action=UPDATE&amp;creator=factset&amp;DYN_ARGS=TRUE&amp;DOC_NAME=FAT:FQL_AUDITING_CLIENT_TEMPLATE.FAT&amp;display_string=Audit&amp;VAR:KEY=CPOLGXYBIP&amp;VAR:QUERY=RkZfTFREX1RDQVAoJ0FOTicsMCk=&amp;WINDOW=FIRST_POPUP&amp;HEIGHT=450&amp;WIDTH=450&amp;START_MAXIMIZED=","FALSE&amp;VAR:CALENDAR=US&amp;VAR:SYMBOL=634412&amp;VAR:INDEX=0"}</definedName>
    <definedName name="_63__FDSAUDITLINK__" localSheetId="5" hidden="1">{"fdsup://directions/FAT Viewer?action=UPDATE&amp;creator=factset&amp;DYN_ARGS=TRUE&amp;DOC_NAME=FAT:FQL_AUDITING_CLIENT_TEMPLATE.FAT&amp;display_string=Audit&amp;VAR:KEY=HILMBKLEXM&amp;VAR:QUERY=RkZfRElWX1lMRChBTk4sTk9XKQ==&amp;WINDOW=FIRST_POPUP&amp;HEIGHT=450&amp;WIDTH=450&amp;START_MAXIMIZED=","FALSE&amp;VAR:CALENDAR=US&amp;VAR:SYMBOL=RRST&amp;VAR:INDEX=0"}</definedName>
    <definedName name="_63__FDSAUDITLINK__" localSheetId="1" hidden="1">{"fdsup://directions/FAT Viewer?action=UPDATE&amp;creator=factset&amp;DYN_ARGS=TRUE&amp;DOC_NAME=FAT:FQL_AUDITING_CLIENT_TEMPLATE.FAT&amp;display_string=Audit&amp;VAR:KEY=HILMBKLEXM&amp;VAR:QUERY=RkZfRElWX1lMRChBTk4sTk9XKQ==&amp;WINDOW=FIRST_POPUP&amp;HEIGHT=450&amp;WIDTH=450&amp;START_MAXIMIZED=","FALSE&amp;VAR:CALENDAR=US&amp;VAR:SYMBOL=RRST&amp;VAR:INDEX=0"}</definedName>
    <definedName name="_63__FDSAUDITLINK__" localSheetId="3" hidden="1">{"fdsup://directions/FAT Viewer?action=UPDATE&amp;creator=factset&amp;DYN_ARGS=TRUE&amp;DOC_NAME=FAT:FQL_AUDITING_CLIENT_TEMPLATE.FAT&amp;display_string=Audit&amp;VAR:KEY=HILMBKLEXM&amp;VAR:QUERY=RkZfRElWX1lMRChBTk4sTk9XKQ==&amp;WINDOW=FIRST_POPUP&amp;HEIGHT=450&amp;WIDTH=450&amp;START_MAXIMIZED=","FALSE&amp;VAR:CALENDAR=US&amp;VAR:SYMBOL=RRST&amp;VAR:INDEX=0"}</definedName>
    <definedName name="_63__FDSAUDITLINK__" hidden="1">{"fdsup://directions/FAT Viewer?action=UPDATE&amp;creator=factset&amp;DYN_ARGS=TRUE&amp;DOC_NAME=FAT:FQL_AUDITING_CLIENT_TEMPLATE.FAT&amp;display_string=Audit&amp;VAR:KEY=CPOLGXYBIP&amp;VAR:QUERY=RkZfTFREX1RDQVAoJ0FOTicsMCk=&amp;WINDOW=FIRST_POPUP&amp;HEIGHT=450&amp;WIDTH=450&amp;START_MAXIMIZED=","FALSE&amp;VAR:CALENDAR=US&amp;VAR:SYMBOL=634412&amp;VAR:INDEX=0"}</definedName>
    <definedName name="_63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448"}</definedName>
    <definedName name="_63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447"}</definedName>
    <definedName name="_63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446"}</definedName>
    <definedName name="_63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445"}</definedName>
    <definedName name="_63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444"}</definedName>
    <definedName name="_63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443"}</definedName>
    <definedName name="_63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442"}</definedName>
    <definedName name="_63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441"}</definedName>
    <definedName name="_63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440"}</definedName>
    <definedName name="_63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3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439"}</definedName>
    <definedName name="_64__FDSAUDITLINK__" localSheetId="9" hidden="1">{"fdsup://directions/FAT Viewer?action=UPDATE&amp;creator=factset&amp;DYN_ARGS=TRUE&amp;DOC_NAME=FAT:FQL_AUDITING_CLIENT_TEMPLATE.FAT&amp;display_string=Audit&amp;VAR:KEY=IVIBEVKVSR&amp;VAR:QUERY=RkZfRElWX1lMRChBTk4sTk9XKQ==&amp;WINDOW=FIRST_POPUP&amp;HEIGHT=450&amp;WIDTH=450&amp;START_MAXIMIZED=","FALSE&amp;VAR:CALENDAR=US&amp;VAR:SYMBOL=CLWR&amp;VAR:INDEX=0"}</definedName>
    <definedName name="_64__FDSAUDITLINK__" localSheetId="8" hidden="1">{"fdsup://directions/FAT Viewer?action=UPDATE&amp;creator=factset&amp;DYN_ARGS=TRUE&amp;DOC_NAME=FAT:FQL_AUDITING_CLIENT_TEMPLATE.FAT&amp;display_string=Audit&amp;VAR:KEY=IVIBEVKVSR&amp;VAR:QUERY=RkZfRElWX1lMRChBTk4sTk9XKQ==&amp;WINDOW=FIRST_POPUP&amp;HEIGHT=450&amp;WIDTH=450&amp;START_MAXIMIZED=","FALSE&amp;VAR:CALENDAR=US&amp;VAR:SYMBOL=CLWR&amp;VAR:INDEX=0"}</definedName>
    <definedName name="_64__FDSAUDITLINK__" localSheetId="6" hidden="1">{"fdsup://directions/FAT Viewer?action=UPDATE&amp;creator=factset&amp;DYN_ARGS=TRUE&amp;DOC_NAME=FAT:FQL_AUDITING_CLIENT_TEMPLATE.FAT&amp;display_string=Audit&amp;VAR:KEY=WVYHGJSXAF&amp;VAR:QUERY=RkZfRU5UUlBSX1ZBTF9EQUlMWSgwLCwsLCdVU0QnLCdESUwnKQ==&amp;WINDOW=FIRST_POPUP&amp;HEIGHT=450&amp;WI","DTH=450&amp;START_MAXIMIZED=FALSE&amp;VAR:CALENDAR=US&amp;VAR:SYMBOL=634412&amp;VAR:INDEX=0"}</definedName>
    <definedName name="_64__FDSAUDITLINK__" localSheetId="5" hidden="1">{"fdsup://directions/FAT Viewer?action=UPDATE&amp;creator=factset&amp;DYN_ARGS=TRUE&amp;DOC_NAME=FAT:FQL_AUDITING_CLIENT_TEMPLATE.FAT&amp;display_string=Audit&amp;VAR:KEY=IVIBEVKVSR&amp;VAR:QUERY=RkZfRElWX1lMRChBTk4sTk9XKQ==&amp;WINDOW=FIRST_POPUP&amp;HEIGHT=450&amp;WIDTH=450&amp;START_MAXIMIZED=","FALSE&amp;VAR:CALENDAR=US&amp;VAR:SYMBOL=CLWR&amp;VAR:INDEX=0"}</definedName>
    <definedName name="_64__FDSAUDITLINK__" localSheetId="1" hidden="1">{"fdsup://directions/FAT Viewer?action=UPDATE&amp;creator=factset&amp;DYN_ARGS=TRUE&amp;DOC_NAME=FAT:FQL_AUDITING_CLIENT_TEMPLATE.FAT&amp;display_string=Audit&amp;VAR:KEY=IVIBEVKVSR&amp;VAR:QUERY=RkZfRElWX1lMRChBTk4sTk9XKQ==&amp;WINDOW=FIRST_POPUP&amp;HEIGHT=450&amp;WIDTH=450&amp;START_MAXIMIZED=","FALSE&amp;VAR:CALENDAR=US&amp;VAR:SYMBOL=CLWR&amp;VAR:INDEX=0"}</definedName>
    <definedName name="_64__FDSAUDITLINK__" localSheetId="3" hidden="1">{"fdsup://directions/FAT Viewer?action=UPDATE&amp;creator=factset&amp;DYN_ARGS=TRUE&amp;DOC_NAME=FAT:FQL_AUDITING_CLIENT_TEMPLATE.FAT&amp;display_string=Audit&amp;VAR:KEY=IVIBEVKVSR&amp;VAR:QUERY=RkZfRElWX1lMRChBTk4sTk9XKQ==&amp;WINDOW=FIRST_POPUP&amp;HEIGHT=450&amp;WIDTH=450&amp;START_MAXIMIZED=","FALSE&amp;VAR:CALENDAR=US&amp;VAR:SYMBOL=CLWR&amp;VAR:INDEX=0"}</definedName>
    <definedName name="_64__FDSAUDITLINK__" hidden="1">{"fdsup://directions/FAT Viewer?action=UPDATE&amp;creator=factset&amp;DYN_ARGS=TRUE&amp;DOC_NAME=FAT:FQL_AUDITING_CLIENT_TEMPLATE.FAT&amp;display_string=Audit&amp;VAR:KEY=WVYHGJSXAF&amp;VAR:QUERY=RkZfRU5UUlBSX1ZBTF9EQUlMWSgwLCwsLCdVU0QnLCdESUwnKQ==&amp;WINDOW=FIRST_POPUP&amp;HEIGHT=450&amp;WI","DTH=450&amp;START_MAXIMIZED=FALSE&amp;VAR:CALENDAR=US&amp;VAR:SYMBOL=634412&amp;VAR:INDEX=0"}</definedName>
    <definedName name="_64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438"}</definedName>
    <definedName name="_64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437"}</definedName>
    <definedName name="_64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436"}</definedName>
    <definedName name="_64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435"}</definedName>
    <definedName name="_64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434"}</definedName>
    <definedName name="_64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433"}</definedName>
    <definedName name="_64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432"}</definedName>
    <definedName name="_64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431"}</definedName>
    <definedName name="_64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430"}</definedName>
    <definedName name="_64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4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429"}</definedName>
    <definedName name="_65__FDSAUDITLINK__" localSheetId="9"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localSheetId="8"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localSheetId="6"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localSheetId="5"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localSheetId="1"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localSheetId="3"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__FDSAUDITLINK__" hidden="1">{"fdsup://directions/FAT Viewer?action=UPDATE&amp;creator=factset&amp;DYN_ARGS=TRUE&amp;DOC_NAME=FAT:FQL_AUDITING_CLIENT_TEMPLATE.FAT&amp;display_string=Audit&amp;VAR:KEY=MHMTGVGHOL&amp;VAR:QUERY=RkZfRU5UUlBSX1ZBTF9FQklUREEoJ0FOTicsMCwsLCwnVVNEJyk=&amp;WINDOW=FIRST_POPUP&amp;HEIGHT=450&amp;WI","DTH=450&amp;START_MAXIMIZED=FALSE&amp;VAR:CALENDAR=US&amp;VAR:SYMBOL=B1VLVW&amp;VAR:INDEX=0"}</definedName>
    <definedName name="_65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428"}</definedName>
    <definedName name="_65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427"}</definedName>
    <definedName name="_65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426"}</definedName>
    <definedName name="_65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425"}</definedName>
    <definedName name="_65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424"}</definedName>
    <definedName name="_65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423"}</definedName>
    <definedName name="_65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422"}</definedName>
    <definedName name="_6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421"}</definedName>
    <definedName name="_6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420"}</definedName>
    <definedName name="_6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419"}</definedName>
    <definedName name="_66__FDSAUDITLINK__" localSheetId="9" hidden="1">{"fdsup://directions/FAT Viewer?action=UPDATE&amp;creator=factset&amp;DYN_ARGS=TRUE&amp;DOC_NAME=FAT:FQL_AUDITING_CLIENT_TEMPLATE.FAT&amp;display_string=Audit&amp;VAR:KEY=XGNOLGJKRE&amp;VAR:QUERY=RkZfREVCVChRVFIsMCk=&amp;WINDOW=FIRST_POPUP&amp;HEIGHT=450&amp;WIDTH=450&amp;START_MAXIMIZED=FALSE&amp;VA","R:CALENDAR=US&amp;VAR:SYMBOL=02364W10&amp;VAR:INDEX=0"}</definedName>
    <definedName name="_66__FDSAUDITLINK__" localSheetId="8" hidden="1">{"fdsup://directions/FAT Viewer?action=UPDATE&amp;creator=factset&amp;DYN_ARGS=TRUE&amp;DOC_NAME=FAT:FQL_AUDITING_CLIENT_TEMPLATE.FAT&amp;display_string=Audit&amp;VAR:KEY=XGNOLGJKRE&amp;VAR:QUERY=RkZfREVCVChRVFIsMCk=&amp;WINDOW=FIRST_POPUP&amp;HEIGHT=450&amp;WIDTH=450&amp;START_MAXIMIZED=FALSE&amp;VA","R:CALENDAR=US&amp;VAR:SYMBOL=02364W10&amp;VAR:INDEX=0"}</definedName>
    <definedName name="_66__FDSAUDITLINK__" localSheetId="6" hidden="1">{"fdsup://directions/FAT Viewer?action=UPDATE&amp;creator=factset&amp;DYN_ARGS=TRUE&amp;DOC_NAME=FAT:FQL_AUDITING_CLIENT_TEMPLATE.FAT&amp;display_string=Audit&amp;VAR:KEY=MJILWPWVQN&amp;VAR:QUERY=RkZfREVCVF9FQklUREEoJ0FOTicsMCwsLCwnVVNEJyk=&amp;WINDOW=FIRST_POPUP&amp;HEIGHT=450&amp;WIDTH=450&amp;","START_MAXIMIZED=FALSE&amp;VAR:CALENDAR=US&amp;VAR:SYMBOL=B1VLVW&amp;VAR:INDEX=0"}</definedName>
    <definedName name="_66__FDSAUDITLINK__" localSheetId="5" hidden="1">{"fdsup://directions/FAT Viewer?action=UPDATE&amp;creator=factset&amp;DYN_ARGS=TRUE&amp;DOC_NAME=FAT:FQL_AUDITING_CLIENT_TEMPLATE.FAT&amp;display_string=Audit&amp;VAR:KEY=XGNOLGJKRE&amp;VAR:QUERY=RkZfREVCVChRVFIsMCk=&amp;WINDOW=FIRST_POPUP&amp;HEIGHT=450&amp;WIDTH=450&amp;START_MAXIMIZED=FALSE&amp;VA","R:CALENDAR=US&amp;VAR:SYMBOL=02364W10&amp;VAR:INDEX=0"}</definedName>
    <definedName name="_66__FDSAUDITLINK__" localSheetId="1" hidden="1">{"fdsup://directions/FAT Viewer?action=UPDATE&amp;creator=factset&amp;DYN_ARGS=TRUE&amp;DOC_NAME=FAT:FQL_AUDITING_CLIENT_TEMPLATE.FAT&amp;display_string=Audit&amp;VAR:KEY=XGNOLGJKRE&amp;VAR:QUERY=RkZfREVCVChRVFIsMCk=&amp;WINDOW=FIRST_POPUP&amp;HEIGHT=450&amp;WIDTH=450&amp;START_MAXIMIZED=FALSE&amp;VA","R:CALENDAR=US&amp;VAR:SYMBOL=02364W10&amp;VAR:INDEX=0"}</definedName>
    <definedName name="_66__FDSAUDITLINK__" localSheetId="3" hidden="1">{"fdsup://directions/FAT Viewer?action=UPDATE&amp;creator=factset&amp;DYN_ARGS=TRUE&amp;DOC_NAME=FAT:FQL_AUDITING_CLIENT_TEMPLATE.FAT&amp;display_string=Audit&amp;VAR:KEY=XGNOLGJKRE&amp;VAR:QUERY=RkZfREVCVChRVFIsMCk=&amp;WINDOW=FIRST_POPUP&amp;HEIGHT=450&amp;WIDTH=450&amp;START_MAXIMIZED=FALSE&amp;VA","R:CALENDAR=US&amp;VAR:SYMBOL=02364W10&amp;VAR:INDEX=0"}</definedName>
    <definedName name="_66__FDSAUDITLINK__" hidden="1">{"fdsup://directions/FAT Viewer?action=UPDATE&amp;creator=factset&amp;DYN_ARGS=TRUE&amp;DOC_NAME=FAT:FQL_AUDITING_CLIENT_TEMPLATE.FAT&amp;display_string=Audit&amp;VAR:KEY=MJILWPWVQN&amp;VAR:QUERY=RkZfREVCVF9FQklUREEoJ0FOTicsMCwsLCwnVVNEJyk=&amp;WINDOW=FIRST_POPUP&amp;HEIGHT=450&amp;WIDTH=450&amp;","START_MAXIMIZED=FALSE&amp;VAR:CALENDAR=US&amp;VAR:SYMBOL=B1VLVW&amp;VAR:INDEX=0"}</definedName>
    <definedName name="_6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418"}</definedName>
    <definedName name="_6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417"}</definedName>
    <definedName name="_6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416"}</definedName>
    <definedName name="_6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415"}</definedName>
    <definedName name="_6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414"}</definedName>
    <definedName name="_6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413"}</definedName>
    <definedName name="_6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412"}</definedName>
    <definedName name="_6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411"}</definedName>
    <definedName name="_6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410"}</definedName>
    <definedName name="_6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409"}</definedName>
    <definedName name="_67__FDSAUDITLINK__" localSheetId="9"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localSheetId="8"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localSheetId="6"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localSheetId="5"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localSheetId="1"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localSheetId="3"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__FDSAUDITLINK__" hidden="1">{"fdsup://directions/FAT Viewer?action=UPDATE&amp;creator=factset&amp;DYN_ARGS=TRUE&amp;DOC_NAME=FAT:FQL_AUDITING_CLIENT_TEMPLATE.FAT&amp;display_string=Audit&amp;VAR:KEY=ABYPEPYVSB&amp;VAR:QUERY=RkZfTFREX1RDQVAoJ0FOTicsMCk=&amp;WINDOW=FIRST_POPUP&amp;HEIGHT=450&amp;WIDTH=450&amp;START_MAXIMIZED=","FALSE&amp;VAR:CALENDAR=US&amp;VAR:SYMBOL=B1VLVW&amp;VAR:INDEX=0"}</definedName>
    <definedName name="_6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408"}</definedName>
    <definedName name="_6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407"}</definedName>
    <definedName name="_6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406"}</definedName>
    <definedName name="_6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405"}</definedName>
    <definedName name="_6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404"}</definedName>
    <definedName name="_6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403"}</definedName>
    <definedName name="_6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402"}</definedName>
    <definedName name="_6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401"}</definedName>
    <definedName name="_6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400"}</definedName>
    <definedName name="_67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7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399"}</definedName>
    <definedName name="_68__FDSAUDITLINK__" localSheetId="9"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localSheetId="8"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localSheetId="6"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localSheetId="5"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localSheetId="1"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localSheetId="3" hidden="1">{"fdsup://Directions/FactSet Auditing Viewer?action=AUDIT_VALUE&amp;DB=129&amp;ID1=B1VLVW&amp;VALUEID=02001&amp;SDATE=2009&amp;PERIODTYPE=ANN_STD&amp;window=popup_no_bar&amp;width=385&amp;height=120&amp;START_MAXIMIZED=FALSE&amp;creator=factset&amp;display_string=Audit"}</definedName>
    <definedName name="_68__FDSAUDITLINK__" hidden="1">{"fdsup://Directions/FactSet Auditing Viewer?action=AUDIT_VALUE&amp;DB=129&amp;ID1=B1VLVW&amp;VALUEID=02001&amp;SDATE=2009&amp;PERIODTYPE=ANN_STD&amp;window=popup_no_bar&amp;width=385&amp;height=120&amp;START_MAXIMIZED=FALSE&amp;creator=factset&amp;display_string=Audit"}</definedName>
    <definedName name="_68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398"}</definedName>
    <definedName name="_68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397"}</definedName>
    <definedName name="_68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396"}</definedName>
    <definedName name="_68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395"}</definedName>
    <definedName name="_68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394"}</definedName>
    <definedName name="_68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393"}</definedName>
    <definedName name="_68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392"}</definedName>
    <definedName name="_68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391"}</definedName>
    <definedName name="_68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390"}</definedName>
    <definedName name="_68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8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389"}</definedName>
    <definedName name="_69__FDSAUDITLINK__" localSheetId="9" hidden="1">{"fdsup://directions/FAT Viewer?action=UPDATE&amp;creator=factset&amp;DYN_ARGS=TRUE&amp;DOC_NAME=FAT:FQL_AUDITING_CLIENT_TEMPLATE.FAT&amp;display_string=Audit&amp;VAR:KEY=JMVCBWDCTK&amp;VAR:QUERY=RkZfRElWX1lMRChBTk4sTk9XKQ==&amp;WINDOW=FIRST_POPUP&amp;HEIGHT=450&amp;WIDTH=450&amp;START_MAXIMIZED=","FALSE&amp;VAR:CALENDAR=US&amp;VAR:SYMBOL=BCE&amp;VAR:INDEX=0"}</definedName>
    <definedName name="_69__FDSAUDITLINK__" localSheetId="8" hidden="1">{"fdsup://directions/FAT Viewer?action=UPDATE&amp;creator=factset&amp;DYN_ARGS=TRUE&amp;DOC_NAME=FAT:FQL_AUDITING_CLIENT_TEMPLATE.FAT&amp;display_string=Audit&amp;VAR:KEY=JMVCBWDCTK&amp;VAR:QUERY=RkZfRElWX1lMRChBTk4sTk9XKQ==&amp;WINDOW=FIRST_POPUP&amp;HEIGHT=450&amp;WIDTH=450&amp;START_MAXIMIZED=","FALSE&amp;VAR:CALENDAR=US&amp;VAR:SYMBOL=BCE&amp;VAR:INDEX=0"}</definedName>
    <definedName name="_69__FDSAUDITLINK__" localSheetId="6" hidden="1">{"fdsup://directions/FAT Viewer?action=UPDATE&amp;creator=factset&amp;DYN_ARGS=TRUE&amp;DOC_NAME=FAT:FQL_AUDITING_CLIENT_TEMPLATE.FAT&amp;display_string=Audit&amp;VAR:KEY=UBWNMTAXKJ&amp;VAR:QUERY=RkZfRU5UUlBSX1ZBTF9EQUlMWSgwLCwsLCdVU0QnLCdESUwnKQ==&amp;WINDOW=FIRST_POPUP&amp;HEIGHT=450&amp;WI","DTH=450&amp;START_MAXIMIZED=FALSE&amp;VAR:CALENDAR=US&amp;VAR:SYMBOL=B1VLVW&amp;VAR:INDEX=0"}</definedName>
    <definedName name="_69__FDSAUDITLINK__" localSheetId="5" hidden="1">{"fdsup://directions/FAT Viewer?action=UPDATE&amp;creator=factset&amp;DYN_ARGS=TRUE&amp;DOC_NAME=FAT:FQL_AUDITING_CLIENT_TEMPLATE.FAT&amp;display_string=Audit&amp;VAR:KEY=JMVCBWDCTK&amp;VAR:QUERY=RkZfRElWX1lMRChBTk4sTk9XKQ==&amp;WINDOW=FIRST_POPUP&amp;HEIGHT=450&amp;WIDTH=450&amp;START_MAXIMIZED=","FALSE&amp;VAR:CALENDAR=US&amp;VAR:SYMBOL=BCE&amp;VAR:INDEX=0"}</definedName>
    <definedName name="_69__FDSAUDITLINK__" localSheetId="1" hidden="1">{"fdsup://directions/FAT Viewer?action=UPDATE&amp;creator=factset&amp;DYN_ARGS=TRUE&amp;DOC_NAME=FAT:FQL_AUDITING_CLIENT_TEMPLATE.FAT&amp;display_string=Audit&amp;VAR:KEY=JMVCBWDCTK&amp;VAR:QUERY=RkZfRElWX1lMRChBTk4sTk9XKQ==&amp;WINDOW=FIRST_POPUP&amp;HEIGHT=450&amp;WIDTH=450&amp;START_MAXIMIZED=","FALSE&amp;VAR:CALENDAR=US&amp;VAR:SYMBOL=BCE&amp;VAR:INDEX=0"}</definedName>
    <definedName name="_69__FDSAUDITLINK__" localSheetId="3" hidden="1">{"fdsup://directions/FAT Viewer?action=UPDATE&amp;creator=factset&amp;DYN_ARGS=TRUE&amp;DOC_NAME=FAT:FQL_AUDITING_CLIENT_TEMPLATE.FAT&amp;display_string=Audit&amp;VAR:KEY=JMVCBWDCTK&amp;VAR:QUERY=RkZfRElWX1lMRChBTk4sTk9XKQ==&amp;WINDOW=FIRST_POPUP&amp;HEIGHT=450&amp;WIDTH=450&amp;START_MAXIMIZED=","FALSE&amp;VAR:CALENDAR=US&amp;VAR:SYMBOL=BCE&amp;VAR:INDEX=0"}</definedName>
    <definedName name="_69__FDSAUDITLINK__" hidden="1">{"fdsup://directions/FAT Viewer?action=UPDATE&amp;creator=factset&amp;DYN_ARGS=TRUE&amp;DOC_NAME=FAT:FQL_AUDITING_CLIENT_TEMPLATE.FAT&amp;display_string=Audit&amp;VAR:KEY=UBWNMTAXKJ&amp;VAR:QUERY=RkZfRU5UUlBSX1ZBTF9EQUlMWSgwLCwsLCdVU0QnLCdESUwnKQ==&amp;WINDOW=FIRST_POPUP&amp;HEIGHT=450&amp;WI","DTH=450&amp;START_MAXIMIZED=FALSE&amp;VAR:CALENDAR=US&amp;VAR:SYMBOL=B1VLVW&amp;VAR:INDEX=0"}</definedName>
    <definedName name="_69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388"}</definedName>
    <definedName name="_69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387"}</definedName>
    <definedName name="_69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386"}</definedName>
    <definedName name="_69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385"}</definedName>
    <definedName name="_69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384"}</definedName>
    <definedName name="_69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383"}</definedName>
    <definedName name="_69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382"}</definedName>
    <definedName name="_69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381"}</definedName>
    <definedName name="_69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380"}</definedName>
    <definedName name="_69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69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379"}</definedName>
    <definedName name="_7__FDSAUDITLINK__" localSheetId="9" hidden="1">{"fdsup://Directions/FactSet Auditing Viewer?action=AUDIT_VALUE&amp;DB=129&amp;ID1=B66QLT&amp;VALUEID=05194&amp;SDATE=201202&amp;PERIODTYPE=QTR_STD&amp;SCFT=3&amp;window=popup_no_bar&amp;width=385&amp;height=120&amp;START_MAXIMIZED=FALSE&amp;creator=factset&amp;display_string=Audit"}</definedName>
    <definedName name="_7__FDSAUDITLINK__" localSheetId="8" hidden="1">{"fdsup://Directions/FactSet Auditing Viewer?action=AUDIT_VALUE&amp;DB=129&amp;ID1=B66QLT&amp;VALUEID=05194&amp;SDATE=201202&amp;PERIODTYPE=QTR_STD&amp;SCFT=3&amp;window=popup_no_bar&amp;width=385&amp;height=120&amp;START_MAXIMIZED=FALSE&amp;creator=factset&amp;display_string=Audit"}</definedName>
    <definedName name="_7__FDSAUDITLINK__" localSheetId="6" hidden="1">{"fdsup://directions/FAT Viewer?action=UPDATE&amp;creator=factset&amp;DYN_ARGS=TRUE&amp;DOC_NAME=FAT:FQL_AUDITING_CLIENT_TEMPLATE.FAT&amp;display_string=Audit&amp;VAR:KEY=LWDKDKBANA&amp;VAR:QUERY=RkZfRU5UUlBSX1ZBTCgp&amp;WINDOW=FIRST_POPUP&amp;HEIGHT=450&amp;WIDTH=450&amp;START_MAXIMIZED=FALSE&amp;VA","R:CALENDAR=US&amp;VAR:SYMBOL=RBA&amp;VAR:INDEX=0"}</definedName>
    <definedName name="_7__FDSAUDITLINK__" localSheetId="5" hidden="1">{"fdsup://Directions/FactSet Auditing Viewer?action=AUDIT_VALUE&amp;DB=129&amp;ID1=B66QLT&amp;VALUEID=05194&amp;SDATE=201202&amp;PERIODTYPE=QTR_STD&amp;SCFT=3&amp;window=popup_no_bar&amp;width=385&amp;height=120&amp;START_MAXIMIZED=FALSE&amp;creator=factset&amp;display_string=Audit"}</definedName>
    <definedName name="_7__FDSAUDITLINK__" localSheetId="1" hidden="1">{"fdsup://Directions/FactSet Auditing Viewer?action=AUDIT_VALUE&amp;DB=129&amp;ID1=B66QLT&amp;VALUEID=05194&amp;SDATE=201202&amp;PERIODTYPE=QTR_STD&amp;SCFT=3&amp;window=popup_no_bar&amp;width=385&amp;height=120&amp;START_MAXIMIZED=FALSE&amp;creator=factset&amp;display_string=Audit"}</definedName>
    <definedName name="_7__FDSAUDITLINK__" localSheetId="3" hidden="1">{"fdsup://Directions/FactSet Auditing Viewer?action=AUDIT_VALUE&amp;DB=129&amp;ID1=B66QLT&amp;VALUEID=05194&amp;SDATE=201202&amp;PERIODTYPE=QTR_STD&amp;SCFT=3&amp;window=popup_no_bar&amp;width=385&amp;height=120&amp;START_MAXIMIZED=FALSE&amp;creator=factset&amp;display_string=Audit"}</definedName>
    <definedName name="_7__FDSAUDITLINK__" hidden="1">{"fdsup://directions/FAT Viewer?action=UPDATE&amp;creator=factset&amp;DYN_ARGS=TRUE&amp;DOC_NAME=FAT:FQL_AUDITING_CLIENT_TEMPLATE.FAT&amp;display_string=Audit&amp;VAR:KEY=LWDKDKBANA&amp;VAR:QUERY=RkZfRU5UUlBSX1ZBTCgp&amp;WINDOW=FIRST_POPUP&amp;HEIGHT=450&amp;WIDTH=450&amp;START_MAXIMIZED=FALSE&amp;VA","R:CALENDAR=US&amp;VAR:SYMBOL=RBA&amp;VAR:INDEX=0"}</definedName>
    <definedName name="_70__FDSAUDITLINK__" localSheetId="9"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localSheetId="8"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localSheetId="6"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localSheetId="5"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localSheetId="1"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localSheetId="3"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__FDSAUDITLINK__" hidden="1">{"fdsup://directions/FAT Viewer?action=UPDATE&amp;creator=factset&amp;DYN_ARGS=TRUE&amp;DOC_NAME=FAT:FQL_AUDITING_CLIENT_TEMPLATE.FAT&amp;display_string=Audit&amp;VAR:KEY=CVIRYNEDSH&amp;VAR:QUERY=RkZfRU5UUlBSX1ZBTF9EQUlMWSgp&amp;WINDOW=FIRST_POPUP&amp;HEIGHT=450&amp;WIDTH=450&amp;START_MAXIMIZED=","FALSE&amp;VAR:CALENDAR=US&amp;VAR:SYMBOL=DVR&amp;VAR:INDEX=0"}</definedName>
    <definedName name="_70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378"}</definedName>
    <definedName name="_70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377"}</definedName>
    <definedName name="_70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376"}</definedName>
    <definedName name="_70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375"}</definedName>
    <definedName name="_70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374"}</definedName>
    <definedName name="_70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373"}</definedName>
    <definedName name="_70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372"}</definedName>
    <definedName name="_70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371"}</definedName>
    <definedName name="_70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370"}</definedName>
    <definedName name="_70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0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369"}</definedName>
    <definedName name="_71__FDSAUDITLINK__" localSheetId="9"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localSheetId="8"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localSheetId="6"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localSheetId="5"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localSheetId="1"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localSheetId="3"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__FDSAUDITLINK__" hidden="1">{"fdsup://directions/FAT Viewer?action=UPDATE&amp;creator=factset&amp;DYN_ARGS=TRUE&amp;DOC_NAME=FAT:FQL_AUDITING_CLIENT_TEMPLATE.FAT&amp;display_string=Audit&amp;VAR:KEY=EHALYDIBWJ&amp;VAR:QUERY=RkZfRU5UUlBSX1ZBTF9FQklUREEoJ0FOTicsMCwsLCwnVVNEJyk=&amp;WINDOW=FIRST_POPUP&amp;HEIGHT=450&amp;WI","DTH=450&amp;START_MAXIMIZED=FALSE&amp;VAR:CALENDAR=US&amp;VAR:SYMBOL=DVR&amp;VAR:INDEX=0"}</definedName>
    <definedName name="_71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368"}</definedName>
    <definedName name="_71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367"}</definedName>
    <definedName name="_71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366"}</definedName>
    <definedName name="_71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365"}</definedName>
    <definedName name="_71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364"}</definedName>
    <definedName name="_71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363"}</definedName>
    <definedName name="_71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362"}</definedName>
    <definedName name="_71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361"}</definedName>
    <definedName name="_71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360"}</definedName>
    <definedName name="_71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1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359"}</definedName>
    <definedName name="_72__FDSAUDITLINK__" localSheetId="9" hidden="1">{"fdsup://directions/FAT Viewer?action=UPDATE&amp;creator=factset&amp;DYN_ARGS=TRUE&amp;DOC_NAME=FAT:FQL_AUDITING_CLIENT_TEMPLATE.FAT&amp;display_string=Audit&amp;VAR:KEY=DUFIFEPSHG&amp;VAR:QUERY=RkZfRElWX1lMRChBTk4sTk9XKQ==&amp;WINDOW=FIRST_POPUP&amp;HEIGHT=450&amp;WIDTH=450&amp;START_MAXIMIZED=","FALSE&amp;VAR:CALENDAR=US&amp;VAR:SYMBOL=TWTC&amp;VAR:INDEX=0"}</definedName>
    <definedName name="_72__FDSAUDITLINK__" localSheetId="8" hidden="1">{"fdsup://directions/FAT Viewer?action=UPDATE&amp;creator=factset&amp;DYN_ARGS=TRUE&amp;DOC_NAME=FAT:FQL_AUDITING_CLIENT_TEMPLATE.FAT&amp;display_string=Audit&amp;VAR:KEY=DUFIFEPSHG&amp;VAR:QUERY=RkZfRElWX1lMRChBTk4sTk9XKQ==&amp;WINDOW=FIRST_POPUP&amp;HEIGHT=450&amp;WIDTH=450&amp;START_MAXIMIZED=","FALSE&amp;VAR:CALENDAR=US&amp;VAR:SYMBOL=TWTC&amp;VAR:INDEX=0"}</definedName>
    <definedName name="_72__FDSAUDITLINK__" localSheetId="6" hidden="1">{"fdsup://directions/FAT Viewer?action=UPDATE&amp;creator=factset&amp;DYN_ARGS=TRUE&amp;DOC_NAME=FAT:FQL_AUDITING_CLIENT_TEMPLATE.FAT&amp;display_string=Audit&amp;VAR:KEY=KLSFUTOLQT&amp;VAR:QUERY=RkZfREVCVF9FQklUREEoJ0FOTicsMCwsLCwnVVNEJyk=&amp;WINDOW=FIRST_POPUP&amp;HEIGHT=450&amp;WIDTH=450&amp;","START_MAXIMIZED=FALSE&amp;VAR:CALENDAR=US&amp;VAR:SYMBOL=DVR&amp;VAR:INDEX=0"}</definedName>
    <definedName name="_72__FDSAUDITLINK__" localSheetId="5" hidden="1">{"fdsup://directions/FAT Viewer?action=UPDATE&amp;creator=factset&amp;DYN_ARGS=TRUE&amp;DOC_NAME=FAT:FQL_AUDITING_CLIENT_TEMPLATE.FAT&amp;display_string=Audit&amp;VAR:KEY=DUFIFEPSHG&amp;VAR:QUERY=RkZfRElWX1lMRChBTk4sTk9XKQ==&amp;WINDOW=FIRST_POPUP&amp;HEIGHT=450&amp;WIDTH=450&amp;START_MAXIMIZED=","FALSE&amp;VAR:CALENDAR=US&amp;VAR:SYMBOL=TWTC&amp;VAR:INDEX=0"}</definedName>
    <definedName name="_72__FDSAUDITLINK__" localSheetId="1" hidden="1">{"fdsup://directions/FAT Viewer?action=UPDATE&amp;creator=factset&amp;DYN_ARGS=TRUE&amp;DOC_NAME=FAT:FQL_AUDITING_CLIENT_TEMPLATE.FAT&amp;display_string=Audit&amp;VAR:KEY=DUFIFEPSHG&amp;VAR:QUERY=RkZfRElWX1lMRChBTk4sTk9XKQ==&amp;WINDOW=FIRST_POPUP&amp;HEIGHT=450&amp;WIDTH=450&amp;START_MAXIMIZED=","FALSE&amp;VAR:CALENDAR=US&amp;VAR:SYMBOL=TWTC&amp;VAR:INDEX=0"}</definedName>
    <definedName name="_72__FDSAUDITLINK__" localSheetId="3" hidden="1">{"fdsup://directions/FAT Viewer?action=UPDATE&amp;creator=factset&amp;DYN_ARGS=TRUE&amp;DOC_NAME=FAT:FQL_AUDITING_CLIENT_TEMPLATE.FAT&amp;display_string=Audit&amp;VAR:KEY=DUFIFEPSHG&amp;VAR:QUERY=RkZfRElWX1lMRChBTk4sTk9XKQ==&amp;WINDOW=FIRST_POPUP&amp;HEIGHT=450&amp;WIDTH=450&amp;START_MAXIMIZED=","FALSE&amp;VAR:CALENDAR=US&amp;VAR:SYMBOL=TWTC&amp;VAR:INDEX=0"}</definedName>
    <definedName name="_72__FDSAUDITLINK__" hidden="1">{"fdsup://directions/FAT Viewer?action=UPDATE&amp;creator=factset&amp;DYN_ARGS=TRUE&amp;DOC_NAME=FAT:FQL_AUDITING_CLIENT_TEMPLATE.FAT&amp;display_string=Audit&amp;VAR:KEY=KLSFUTOLQT&amp;VAR:QUERY=RkZfREVCVF9FQklUREEoJ0FOTicsMCwsLCwnVVNEJyk=&amp;WINDOW=FIRST_POPUP&amp;HEIGHT=450&amp;WIDTH=450&amp;","START_MAXIMIZED=FALSE&amp;VAR:CALENDAR=US&amp;VAR:SYMBOL=DVR&amp;VAR:INDEX=0"}</definedName>
    <definedName name="_72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358"}</definedName>
    <definedName name="_72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357"}</definedName>
    <definedName name="_72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356"}</definedName>
    <definedName name="_72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355"}</definedName>
    <definedName name="_72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354"}</definedName>
    <definedName name="_72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353"}</definedName>
    <definedName name="_72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352"}</definedName>
    <definedName name="_72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351"}</definedName>
    <definedName name="_72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350"}</definedName>
    <definedName name="_72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2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349"}</definedName>
    <definedName name="_73__FDSAUDITLINK__" localSheetId="9" hidden="1">{"fdsup://directions/FAT Viewer?action=UPDATE&amp;creator=factset&amp;DYN_ARGS=TRUE&amp;DOC_NAME=FAT:FQL_AUDITING_CLIENT_TEMPLATE.FAT&amp;display_string=Audit&amp;VAR:KEY=HONAHGLGVC&amp;VAR:QUERY=RkZfRElWX1lMRChBTk4sTk9XKQ==&amp;WINDOW=FIRST_POPUP&amp;HEIGHT=450&amp;WIDTH=450&amp;START_MAXIMIZED=","FALSE&amp;VAR:CALENDAR=US&amp;VAR:SYMBOL=VZ&amp;VAR:INDEX=0"}</definedName>
    <definedName name="_73__FDSAUDITLINK__" localSheetId="8" hidden="1">{"fdsup://directions/FAT Viewer?action=UPDATE&amp;creator=factset&amp;DYN_ARGS=TRUE&amp;DOC_NAME=FAT:FQL_AUDITING_CLIENT_TEMPLATE.FAT&amp;display_string=Audit&amp;VAR:KEY=HONAHGLGVC&amp;VAR:QUERY=RkZfRElWX1lMRChBTk4sTk9XKQ==&amp;WINDOW=FIRST_POPUP&amp;HEIGHT=450&amp;WIDTH=450&amp;START_MAXIMIZED=","FALSE&amp;VAR:CALENDAR=US&amp;VAR:SYMBOL=VZ&amp;VAR:INDEX=0"}</definedName>
    <definedName name="_73__FDSAUDITLINK__" localSheetId="6" hidden="1">{"fdsup://directions/FAT Viewer?action=UPDATE&amp;creator=factset&amp;DYN_ARGS=TRUE&amp;DOC_NAME=FAT:FQL_AUDITING_CLIENT_TEMPLATE.FAT&amp;display_string=Audit&amp;VAR:KEY=QXQFEFKXMN&amp;VAR:QUERY=RkZfTFREX1RDQVAoJ0FOTicsMCk=&amp;WINDOW=FIRST_POPUP&amp;HEIGHT=450&amp;WIDTH=450&amp;START_MAXIMIZED=","FALSE&amp;VAR:CALENDAR=US&amp;VAR:SYMBOL=DVR&amp;VAR:INDEX=0"}</definedName>
    <definedName name="_73__FDSAUDITLINK__" localSheetId="5" hidden="1">{"fdsup://directions/FAT Viewer?action=UPDATE&amp;creator=factset&amp;DYN_ARGS=TRUE&amp;DOC_NAME=FAT:FQL_AUDITING_CLIENT_TEMPLATE.FAT&amp;display_string=Audit&amp;VAR:KEY=HONAHGLGVC&amp;VAR:QUERY=RkZfRElWX1lMRChBTk4sTk9XKQ==&amp;WINDOW=FIRST_POPUP&amp;HEIGHT=450&amp;WIDTH=450&amp;START_MAXIMIZED=","FALSE&amp;VAR:CALENDAR=US&amp;VAR:SYMBOL=VZ&amp;VAR:INDEX=0"}</definedName>
    <definedName name="_73__FDSAUDITLINK__" localSheetId="1" hidden="1">{"fdsup://directions/FAT Viewer?action=UPDATE&amp;creator=factset&amp;DYN_ARGS=TRUE&amp;DOC_NAME=FAT:FQL_AUDITING_CLIENT_TEMPLATE.FAT&amp;display_string=Audit&amp;VAR:KEY=HONAHGLGVC&amp;VAR:QUERY=RkZfRElWX1lMRChBTk4sTk9XKQ==&amp;WINDOW=FIRST_POPUP&amp;HEIGHT=450&amp;WIDTH=450&amp;START_MAXIMIZED=","FALSE&amp;VAR:CALENDAR=US&amp;VAR:SYMBOL=VZ&amp;VAR:INDEX=0"}</definedName>
    <definedName name="_73__FDSAUDITLINK__" localSheetId="3" hidden="1">{"fdsup://directions/FAT Viewer?action=UPDATE&amp;creator=factset&amp;DYN_ARGS=TRUE&amp;DOC_NAME=FAT:FQL_AUDITING_CLIENT_TEMPLATE.FAT&amp;display_string=Audit&amp;VAR:KEY=HONAHGLGVC&amp;VAR:QUERY=RkZfRElWX1lMRChBTk4sTk9XKQ==&amp;WINDOW=FIRST_POPUP&amp;HEIGHT=450&amp;WIDTH=450&amp;START_MAXIMIZED=","FALSE&amp;VAR:CALENDAR=US&amp;VAR:SYMBOL=VZ&amp;VAR:INDEX=0"}</definedName>
    <definedName name="_73__FDSAUDITLINK__" hidden="1">{"fdsup://directions/FAT Viewer?action=UPDATE&amp;creator=factset&amp;DYN_ARGS=TRUE&amp;DOC_NAME=FAT:FQL_AUDITING_CLIENT_TEMPLATE.FAT&amp;display_string=Audit&amp;VAR:KEY=QXQFEFKXMN&amp;VAR:QUERY=RkZfTFREX1RDQVAoJ0FOTicsMCk=&amp;WINDOW=FIRST_POPUP&amp;HEIGHT=450&amp;WIDTH=450&amp;START_MAXIMIZED=","FALSE&amp;VAR:CALENDAR=US&amp;VAR:SYMBOL=DVR&amp;VAR:INDEX=0"}</definedName>
    <definedName name="_73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348"}</definedName>
    <definedName name="_73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347"}</definedName>
    <definedName name="_73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346"}</definedName>
    <definedName name="_73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345"}</definedName>
    <definedName name="_73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344"}</definedName>
    <definedName name="_73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343"}</definedName>
    <definedName name="_73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342"}</definedName>
    <definedName name="_73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341"}</definedName>
    <definedName name="_73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340"}</definedName>
    <definedName name="_73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3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339"}</definedName>
    <definedName name="_74__FDSAUDITLINK__" localSheetId="9"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localSheetId="8"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localSheetId="6"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localSheetId="5"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localSheetId="1"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localSheetId="3"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__FDSAUDITLINK__" hidden="1">{"fdsup://directions/FAT Viewer?action=UPDATE&amp;creator=factset&amp;DYN_ARGS=TRUE&amp;DOC_NAME=FAT:FQL_AUDITING_CLIENT_TEMPLATE.FAT&amp;display_string=Audit&amp;VAR:KEY=KZWTGXQHUB&amp;VAR:QUERY=RkZfRU5UUlBSX1ZBTF9EQUlMWSgwLCwsLCwnRElMJyk=&amp;WINDOW=FIRST_POPUP&amp;HEIGHT=450&amp;WIDTH=450&amp;","START_MAXIMIZED=FALSE&amp;VAR:CALENDAR=US&amp;VAR:SYMBOL=DVR&amp;VAR:INDEX=0"}</definedName>
    <definedName name="_74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338"}</definedName>
    <definedName name="_74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337"}</definedName>
    <definedName name="_74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336"}</definedName>
    <definedName name="_74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335"}</definedName>
    <definedName name="_74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334"}</definedName>
    <definedName name="_74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333"}</definedName>
    <definedName name="_74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332"}</definedName>
    <definedName name="_74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331"}</definedName>
    <definedName name="_74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330"}</definedName>
    <definedName name="_74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4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329"}</definedName>
    <definedName name="_75__FDSAUDITLINK__" localSheetId="9" hidden="1">{"fdsup://directions/FAT Viewer?action=UPDATE&amp;creator=factset&amp;DYN_ARGS=TRUE&amp;DOC_NAME=FAT:FQL_AUDITING_CLIENT_TEMPLATE.FAT&amp;display_string=Audit&amp;VAR:KEY=DCPKLMTIZO&amp;VAR:QUERY=RkZfRElWX1lMRChBTk4sTk9XKQ==&amp;WINDOW=FIRST_POPUP&amp;HEIGHT=450&amp;WIDTH=450&amp;START_MAXIMIZED=","FALSE&amp;VAR:CALENDAR=US&amp;VAR:SYMBOL=INXN&amp;VAR:INDEX=0"}</definedName>
    <definedName name="_75__FDSAUDITLINK__" localSheetId="8" hidden="1">{"fdsup://directions/FAT Viewer?action=UPDATE&amp;creator=factset&amp;DYN_ARGS=TRUE&amp;DOC_NAME=FAT:FQL_AUDITING_CLIENT_TEMPLATE.FAT&amp;display_string=Audit&amp;VAR:KEY=DCPKLMTIZO&amp;VAR:QUERY=RkZfRElWX1lMRChBTk4sTk9XKQ==&amp;WINDOW=FIRST_POPUP&amp;HEIGHT=450&amp;WIDTH=450&amp;START_MAXIMIZED=","FALSE&amp;VAR:CALENDAR=US&amp;VAR:SYMBOL=INXN&amp;VAR:INDEX=0"}</definedName>
    <definedName name="_75__FDSAUDITLINK__" localSheetId="6" hidden="1">{"fdsup://directions/FAT Viewer?action=UPDATE&amp;creator=factset&amp;DYN_ARGS=TRUE&amp;DOC_NAME=FAT:FQL_AUDITING_CLIENT_TEMPLATE.FAT&amp;display_string=Audit&amp;VAR:KEY=KJEFILYJQD&amp;VAR:QUERY=RkZfRU5UUlBSX1ZBTF9EQUlMWSgp&amp;WINDOW=FIRST_POPUP&amp;HEIGHT=450&amp;WIDTH=450&amp;START_MAXIMIZED=","FALSE&amp;VAR:CALENDAR=US&amp;VAR:SYMBOL=GIFI&amp;VAR:INDEX=0"}</definedName>
    <definedName name="_75__FDSAUDITLINK__" localSheetId="5" hidden="1">{"fdsup://directions/FAT Viewer?action=UPDATE&amp;creator=factset&amp;DYN_ARGS=TRUE&amp;DOC_NAME=FAT:FQL_AUDITING_CLIENT_TEMPLATE.FAT&amp;display_string=Audit&amp;VAR:KEY=DCPKLMTIZO&amp;VAR:QUERY=RkZfRElWX1lMRChBTk4sTk9XKQ==&amp;WINDOW=FIRST_POPUP&amp;HEIGHT=450&amp;WIDTH=450&amp;START_MAXIMIZED=","FALSE&amp;VAR:CALENDAR=US&amp;VAR:SYMBOL=INXN&amp;VAR:INDEX=0"}</definedName>
    <definedName name="_75__FDSAUDITLINK__" localSheetId="1" hidden="1">{"fdsup://directions/FAT Viewer?action=UPDATE&amp;creator=factset&amp;DYN_ARGS=TRUE&amp;DOC_NAME=FAT:FQL_AUDITING_CLIENT_TEMPLATE.FAT&amp;display_string=Audit&amp;VAR:KEY=DCPKLMTIZO&amp;VAR:QUERY=RkZfRElWX1lMRChBTk4sTk9XKQ==&amp;WINDOW=FIRST_POPUP&amp;HEIGHT=450&amp;WIDTH=450&amp;START_MAXIMIZED=","FALSE&amp;VAR:CALENDAR=US&amp;VAR:SYMBOL=INXN&amp;VAR:INDEX=0"}</definedName>
    <definedName name="_75__FDSAUDITLINK__" localSheetId="3" hidden="1">{"fdsup://directions/FAT Viewer?action=UPDATE&amp;creator=factset&amp;DYN_ARGS=TRUE&amp;DOC_NAME=FAT:FQL_AUDITING_CLIENT_TEMPLATE.FAT&amp;display_string=Audit&amp;VAR:KEY=DCPKLMTIZO&amp;VAR:QUERY=RkZfRElWX1lMRChBTk4sTk9XKQ==&amp;WINDOW=FIRST_POPUP&amp;HEIGHT=450&amp;WIDTH=450&amp;START_MAXIMIZED=","FALSE&amp;VAR:CALENDAR=US&amp;VAR:SYMBOL=INXN&amp;VAR:INDEX=0"}</definedName>
    <definedName name="_75__FDSAUDITLINK__" hidden="1">{"fdsup://directions/FAT Viewer?action=UPDATE&amp;creator=factset&amp;DYN_ARGS=TRUE&amp;DOC_NAME=FAT:FQL_AUDITING_CLIENT_TEMPLATE.FAT&amp;display_string=Audit&amp;VAR:KEY=KJEFILYJQD&amp;VAR:QUERY=RkZfRU5UUlBSX1ZBTF9EQUlMWSgp&amp;WINDOW=FIRST_POPUP&amp;HEIGHT=450&amp;WIDTH=450&amp;START_MAXIMIZED=","FALSE&amp;VAR:CALENDAR=US&amp;VAR:SYMBOL=GIFI&amp;VAR:INDEX=0"}</definedName>
    <definedName name="_75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328"}</definedName>
    <definedName name="_75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327"}</definedName>
    <definedName name="_75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326"}</definedName>
    <definedName name="_75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325"}</definedName>
    <definedName name="_75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324"}</definedName>
    <definedName name="_75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323"}</definedName>
    <definedName name="_75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322"}</definedName>
    <definedName name="_7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321"}</definedName>
    <definedName name="_7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320"}</definedName>
    <definedName name="_7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319"}</definedName>
    <definedName name="_76__FDSAUDITLINK__" localSheetId="9"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localSheetId="8"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localSheetId="6"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localSheetId="5"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localSheetId="1"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localSheetId="3"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__FDSAUDITLINK__" hidden="1">{"fdsup://directions/FAT Viewer?action=UPDATE&amp;creator=factset&amp;DYN_ARGS=TRUE&amp;DOC_NAME=FAT:FQL_AUDITING_CLIENT_TEMPLATE.FAT&amp;display_string=Audit&amp;VAR:KEY=SDQXIHQHKP&amp;VAR:QUERY=RkZfRU5UUlBSX1ZBTF9FQklUREEoJ0FOTicsMCwsLCwnVVNEJyk=&amp;WINDOW=FIRST_POPUP&amp;HEIGHT=450&amp;WI","DTH=450&amp;START_MAXIMIZED=FALSE&amp;VAR:CALENDAR=US&amp;VAR:SYMBOL=GIFI&amp;VAR:INDEX=0"}</definedName>
    <definedName name="_7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318"}</definedName>
    <definedName name="_7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317"}</definedName>
    <definedName name="_7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316"}</definedName>
    <definedName name="_7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315"}</definedName>
    <definedName name="_7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314"}</definedName>
    <definedName name="_7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313"}</definedName>
    <definedName name="_7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312"}</definedName>
    <definedName name="_7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311"}</definedName>
    <definedName name="_7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310"}</definedName>
    <definedName name="_7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309"}</definedName>
    <definedName name="_77__FDSAUDITLINK__" localSheetId="9"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localSheetId="8"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localSheetId="6"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localSheetId="5"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localSheetId="1"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localSheetId="3"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__FDSAUDITLINK__" hidden="1">{"fdsup://directions/FAT Viewer?action=UPDATE&amp;creator=factset&amp;DYN_ARGS=TRUE&amp;DOC_NAME=FAT:FQL_AUDITING_CLIENT_TEMPLATE.FAT&amp;display_string=Audit&amp;VAR:KEY=CPABKZGNQP&amp;VAR:QUERY=RkZfREVCVF9FQklUREEoJ0FOTicsMCwsLCwnVVNEJyk=&amp;WINDOW=FIRST_POPUP&amp;HEIGHT=450&amp;WIDTH=450&amp;","START_MAXIMIZED=FALSE&amp;VAR:CALENDAR=US&amp;VAR:SYMBOL=GIFI&amp;VAR:INDEX=0"}</definedName>
    <definedName name="_7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308"}</definedName>
    <definedName name="_7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307"}</definedName>
    <definedName name="_7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306"}</definedName>
    <definedName name="_7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305"}</definedName>
    <definedName name="_7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304"}</definedName>
    <definedName name="_7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303"}</definedName>
    <definedName name="_7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302"}</definedName>
    <definedName name="_7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301"}</definedName>
    <definedName name="_7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300"}</definedName>
    <definedName name="_77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7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299"}</definedName>
    <definedName name="_78__FDSAUDITLINK__" localSheetId="9" hidden="1">{"fdsup://Directions/FactSet Auditing Viewer?action=AUDIT_VALUE&amp;DB=129&amp;ID1=92343V10&amp;VALUEID=05194&amp;SDATE=201104&amp;PERIODTYPE=QTR_STD&amp;SCFT=3&amp;window=popup_no_bar&amp;width=385&amp;height=120&amp;START_MAXIMIZED=FALSE&amp;creator=factset&amp;display_string=Audit"}</definedName>
    <definedName name="_78__FDSAUDITLINK__" localSheetId="8" hidden="1">{"fdsup://Directions/FactSet Auditing Viewer?action=AUDIT_VALUE&amp;DB=129&amp;ID1=92343V10&amp;VALUEID=05194&amp;SDATE=201104&amp;PERIODTYPE=QTR_STD&amp;SCFT=3&amp;window=popup_no_bar&amp;width=385&amp;height=120&amp;START_MAXIMIZED=FALSE&amp;creator=factset&amp;display_string=Audit"}</definedName>
    <definedName name="_78__FDSAUDITLINK__" localSheetId="6" hidden="1">{"fdsup://directions/FAT Viewer?action=UPDATE&amp;creator=factset&amp;DYN_ARGS=TRUE&amp;DOC_NAME=FAT:FQL_AUDITING_CLIENT_TEMPLATE.FAT&amp;display_string=Audit&amp;VAR:KEY=AJIDIFYROJ&amp;VAR:QUERY=RkZfTFREX1RDQVAoJ0FOTicsMCk=&amp;WINDOW=FIRST_POPUP&amp;HEIGHT=450&amp;WIDTH=450&amp;START_MAXIMIZED=","FALSE&amp;VAR:CALENDAR=US&amp;VAR:SYMBOL=GIFI&amp;VAR:INDEX=0"}</definedName>
    <definedName name="_78__FDSAUDITLINK__" localSheetId="5" hidden="1">{"fdsup://Directions/FactSet Auditing Viewer?action=AUDIT_VALUE&amp;DB=129&amp;ID1=92343V10&amp;VALUEID=05194&amp;SDATE=201104&amp;PERIODTYPE=QTR_STD&amp;SCFT=3&amp;window=popup_no_bar&amp;width=385&amp;height=120&amp;START_MAXIMIZED=FALSE&amp;creator=factset&amp;display_string=Audit"}</definedName>
    <definedName name="_78__FDSAUDITLINK__" localSheetId="1" hidden="1">{"fdsup://Directions/FactSet Auditing Viewer?action=AUDIT_VALUE&amp;DB=129&amp;ID1=92343V10&amp;VALUEID=05194&amp;SDATE=201104&amp;PERIODTYPE=QTR_STD&amp;SCFT=3&amp;window=popup_no_bar&amp;width=385&amp;height=120&amp;START_MAXIMIZED=FALSE&amp;creator=factset&amp;display_string=Audit"}</definedName>
    <definedName name="_78__FDSAUDITLINK__" localSheetId="3" hidden="1">{"fdsup://Directions/FactSet Auditing Viewer?action=AUDIT_VALUE&amp;DB=129&amp;ID1=92343V10&amp;VALUEID=05194&amp;SDATE=201104&amp;PERIODTYPE=QTR_STD&amp;SCFT=3&amp;window=popup_no_bar&amp;width=385&amp;height=120&amp;START_MAXIMIZED=FALSE&amp;creator=factset&amp;display_string=Audit"}</definedName>
    <definedName name="_78__FDSAUDITLINK__" hidden="1">{"fdsup://directions/FAT Viewer?action=UPDATE&amp;creator=factset&amp;DYN_ARGS=TRUE&amp;DOC_NAME=FAT:FQL_AUDITING_CLIENT_TEMPLATE.FAT&amp;display_string=Audit&amp;VAR:KEY=AJIDIFYROJ&amp;VAR:QUERY=RkZfTFREX1RDQVAoJ0FOTicsMCk=&amp;WINDOW=FIRST_POPUP&amp;HEIGHT=450&amp;WIDTH=450&amp;START_MAXIMIZED=","FALSE&amp;VAR:CALENDAR=US&amp;VAR:SYMBOL=GIFI&amp;VAR:INDEX=0"}</definedName>
    <definedName name="_78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298"}</definedName>
    <definedName name="_78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297"}</definedName>
    <definedName name="_78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296"}</definedName>
    <definedName name="_78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295"}</definedName>
    <definedName name="_78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294"}</definedName>
    <definedName name="_78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293"}</definedName>
    <definedName name="_78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292"}</definedName>
    <definedName name="_78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291"}</definedName>
    <definedName name="_78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290"}</definedName>
    <definedName name="_78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8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289"}</definedName>
    <definedName name="_79__FDSAUDITLINK__" localSheetId="9" hidden="1">{"fdsup://Directions/FactSet Auditing Viewer?action=AUDIT_VALUE&amp;DB=129&amp;ID1=87311L10&amp;VALUEID=05194&amp;SDATE=201104&amp;PERIODTYPE=QTR_STD&amp;SCFT=3&amp;window=popup_no_bar&amp;width=385&amp;height=120&amp;START_MAXIMIZED=FALSE&amp;creator=factset&amp;display_string=Audit"}</definedName>
    <definedName name="_79__FDSAUDITLINK__" localSheetId="8" hidden="1">{"fdsup://Directions/FactSet Auditing Viewer?action=AUDIT_VALUE&amp;DB=129&amp;ID1=87311L10&amp;VALUEID=05194&amp;SDATE=201104&amp;PERIODTYPE=QTR_STD&amp;SCFT=3&amp;window=popup_no_bar&amp;width=385&amp;height=120&amp;START_MAXIMIZED=FALSE&amp;creator=factset&amp;display_string=Audit"}</definedName>
    <definedName name="_79__FDSAUDITLINK__" localSheetId="6" hidden="1">{"fdsup://directions/FAT Viewer?action=UPDATE&amp;creator=factset&amp;DYN_ARGS=TRUE&amp;DOC_NAME=FAT:FQL_AUDITING_CLIENT_TEMPLATE.FAT&amp;display_string=Audit&amp;VAR:KEY=KXEZCDSJWP&amp;VAR:QUERY=RkZfRU5UUlBSX1ZBTF9EQUlMWSgwLCwsLCwnRElMJyk=&amp;WINDOW=FIRST_POPUP&amp;HEIGHT=450&amp;WIDTH=450&amp;","START_MAXIMIZED=FALSE&amp;VAR:CALENDAR=US&amp;VAR:SYMBOL=GIFI&amp;VAR:INDEX=0"}</definedName>
    <definedName name="_79__FDSAUDITLINK__" localSheetId="5" hidden="1">{"fdsup://Directions/FactSet Auditing Viewer?action=AUDIT_VALUE&amp;DB=129&amp;ID1=87311L10&amp;VALUEID=05194&amp;SDATE=201104&amp;PERIODTYPE=QTR_STD&amp;SCFT=3&amp;window=popup_no_bar&amp;width=385&amp;height=120&amp;START_MAXIMIZED=FALSE&amp;creator=factset&amp;display_string=Audit"}</definedName>
    <definedName name="_79__FDSAUDITLINK__" localSheetId="1" hidden="1">{"fdsup://Directions/FactSet Auditing Viewer?action=AUDIT_VALUE&amp;DB=129&amp;ID1=87311L10&amp;VALUEID=05194&amp;SDATE=201104&amp;PERIODTYPE=QTR_STD&amp;SCFT=3&amp;window=popup_no_bar&amp;width=385&amp;height=120&amp;START_MAXIMIZED=FALSE&amp;creator=factset&amp;display_string=Audit"}</definedName>
    <definedName name="_79__FDSAUDITLINK__" localSheetId="3" hidden="1">{"fdsup://Directions/FactSet Auditing Viewer?action=AUDIT_VALUE&amp;DB=129&amp;ID1=87311L10&amp;VALUEID=05194&amp;SDATE=201104&amp;PERIODTYPE=QTR_STD&amp;SCFT=3&amp;window=popup_no_bar&amp;width=385&amp;height=120&amp;START_MAXIMIZED=FALSE&amp;creator=factset&amp;display_string=Audit"}</definedName>
    <definedName name="_79__FDSAUDITLINK__" hidden="1">{"fdsup://directions/FAT Viewer?action=UPDATE&amp;creator=factset&amp;DYN_ARGS=TRUE&amp;DOC_NAME=FAT:FQL_AUDITING_CLIENT_TEMPLATE.FAT&amp;display_string=Audit&amp;VAR:KEY=KXEZCDSJWP&amp;VAR:QUERY=RkZfRU5UUlBSX1ZBTF9EQUlMWSgwLCwsLCwnRElMJyk=&amp;WINDOW=FIRST_POPUP&amp;HEIGHT=450&amp;WIDTH=450&amp;","START_MAXIMIZED=FALSE&amp;VAR:CALENDAR=US&amp;VAR:SYMBOL=GIFI&amp;VAR:INDEX=0"}</definedName>
    <definedName name="_79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288"}</definedName>
    <definedName name="_79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287"}</definedName>
    <definedName name="_79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286"}</definedName>
    <definedName name="_79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285"}</definedName>
    <definedName name="_79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284"}</definedName>
    <definedName name="_79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283"}</definedName>
    <definedName name="_79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282"}</definedName>
    <definedName name="_79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281"}</definedName>
    <definedName name="_79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280"}</definedName>
    <definedName name="_79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79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279"}</definedName>
    <definedName name="_8__FDSAUDITLINK__" localSheetId="9"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Aggregates&amp;ACTION=UPDATE&amp;CREATOR=FACTSET&amp;HEIGHT=525&amp;WIDTH=500&amp;DOC_NAME=FAT:FMA_AUDIT_SUMMARY.FAT&amp;VAR:CURRENCY=USD&amp;VAR:AUDIT_ID=00000117&amp;VAR:CALC","_MODE=AGGREGATE&amp;VAR:CHGPERIOD=NA&amp;DISPLAY_STRING=Earnings Per Share&amp;VAR:FQLFORMULA=FMA_EPS&amp;VAR:MEASURE=EPS_MEAN&amp;VAR:NULL=.HTML&amp;VAR:PED=2010&amp;VAR:PERIOD=CY&amp;VAR:THRESH=-|-|-|-|-|-&amp;VAR:PCT=N&amp;VAR:V=84.457832&amp;VAR:P=1242.870113&amp;VAR:DATE=20101216"}</definedName>
    <definedName name="_8__FDSAUDITLINK__" localSheetId="8"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Aggregates&amp;ACTION=UPDATE&amp;CREATOR=FACTSET&amp;HEIGHT=525&amp;WIDTH=500&amp;DOC_NAME=FAT:FMA_AUDIT_SUMMARY.FAT&amp;VAR:CURRENCY=USD&amp;VAR:AUDIT_ID=00000117&amp;VAR:CALC","_MODE=AGGREGATE&amp;VAR:CHGPERIOD=NA&amp;DISPLAY_STRING=Earnings Per Share&amp;VAR:FQLFORMULA=FMA_EPS&amp;VAR:MEASURE=EPS_MEAN&amp;VAR:NULL=.HTML&amp;VAR:PED=2010&amp;VAR:PERIOD=CY&amp;VAR:THRESH=-|-|-|-|-|-&amp;VAR:PCT=N&amp;VAR:V=84.457832&amp;VAR:P=1242.870113&amp;VAR:DATE=20101216"}</definedName>
    <definedName name="_8__FDSAUDITLINK__" localSheetId="6">{"fdsup://directions/FAT Viewer?action=UPDATE&amp;creator=factset&amp;DYN_ARGS=TRUE&amp;DOC_NAME=FAT:FQL_AUDITING_CLIENT_TEMPLATE.FAT&amp;display_string=Audit&amp;VAR:KEY=QVUZUDGBMT&amp;VAR:QUERY=RkZfTFREX1RDQVAoJ0FOTicsMCk=&amp;WINDOW=FIRST_POPUP&amp;HEIGHT=450&amp;WIDTH=450&amp;START_MAXIMIZED=","FALSE&amp;VAR:CALENDAR=US&amp;VAR:SYMBOL=659706&amp;VAR:INDEX=0"}</definedName>
    <definedName name="_8__FDSAUDITLINK__" localSheetId="5"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Aggregates&amp;ACTION=UPDATE&amp;CREATOR=FACTSET&amp;HEIGHT=525&amp;WIDTH=500&amp;DOC_NAME=FAT:FMA_AUDIT_SUMMARY.FAT&amp;VAR:CURRENCY=USD&amp;VAR:AUDIT_ID=00000117&amp;VAR:CALC","_MODE=AGGREGATE&amp;VAR:CHGPERIOD=NA&amp;DISPLAY_STRING=Earnings Per Share&amp;VAR:FQLFORMULA=FMA_EPS&amp;VAR:MEASURE=EPS_MEAN&amp;VAR:NULL=.HTML&amp;VAR:PED=2010&amp;VAR:PERIOD=CY&amp;VAR:THRESH=-|-|-|-|-|-&amp;VAR:PCT=N&amp;VAR:V=84.457832&amp;VAR:P=1242.870113&amp;VAR:DATE=20101216"}</definedName>
    <definedName name="_8__FDSAUDITLINK__" localSheetId="1"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Aggregates&amp;ACTION=UPDATE&amp;CREATOR=FACTSET&amp;HEIGHT=525&amp;WIDTH=500&amp;DOC_NAME=FAT:FMA_AUDIT_SUMMARY.FAT&amp;VAR:CURRENCY=USD&amp;VAR:AUDIT_ID=00000117&amp;VAR:CALC","_MODE=AGGREGATE&amp;VAR:CHGPERIOD=NA&amp;DISPLAY_STRING=Earnings Per Share&amp;VAR:FQLFORMULA=FMA_EPS&amp;VAR:MEASURE=EPS_MEAN&amp;VAR:NULL=.HTML&amp;VAR:PED=2010&amp;VAR:PERIOD=CY&amp;VAR:THRESH=-|-|-|-|-|-&amp;VAR:PCT=N&amp;VAR:V=84.457832&amp;VAR:P=1242.870113&amp;VAR:DATE=20101216"}</definedName>
    <definedName name="_8__FDSAUDITLINK__" localSheetId="3"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Aggregates&amp;ACTION=UPDATE&amp;CREATOR=FACTSET&amp;HEIGHT=525&amp;WIDTH=500&amp;DOC_NAME=FAT:FMA_AUDIT_SUMMARY.FAT&amp;VAR:CURRENCY=USD&amp;VAR:AUDIT_ID=00000117&amp;VAR:CALC","_MODE=AGGREGATE&amp;VAR:CHGPERIOD=NA&amp;DISPLAY_STRING=Earnings Per Share&amp;VAR:FQLFORMULA=FMA_EPS&amp;VAR:MEASURE=EPS_MEAN&amp;VAR:NULL=.HTML&amp;VAR:PED=2010&amp;VAR:PERIOD=CY&amp;VAR:THRESH=-|-|-|-|-|-&amp;VAR:PCT=N&amp;VAR:V=84.457832&amp;VAR:P=1242.870113&amp;VAR:DATE=20101216"}</definedName>
    <definedName name="_8__FDSAUDITLINK__">{"fdsup://directions/FAT Viewer?action=UPDATE&amp;creator=factset&amp;DYN_ARGS=TRUE&amp;DOC_NAME=FAT:FQL_AUDITING_CLIENT_TEMPLATE.FAT&amp;display_string=Audit&amp;VAR:KEY=QVUZUDGBMT&amp;VAR:QUERY=RkZfTFREX1RDQVAoJ0FOTicsMCk=&amp;WINDOW=FIRST_POPUP&amp;HEIGHT=450&amp;WIDTH=450&amp;START_MAXIMIZED=","FALSE&amp;VAR:CALENDAR=US&amp;VAR:SYMBOL=659706&amp;VAR:INDEX=0"}</definedName>
    <definedName name="_80__FDSAUDITLINK__" localSheetId="9" hidden="1">{"fdsup://Directions/FactSet Auditing Viewer?action=AUDIT_VALUE&amp;DB=129&amp;ID1=48123V10&amp;VALUEID=05194&amp;SDATE=201103&amp;PERIODTYPE=QTR_STD&amp;SCFT=3&amp;window=popup_no_bar&amp;width=385&amp;height=120&amp;START_MAXIMIZED=FALSE&amp;creator=factset&amp;display_string=Audit"}</definedName>
    <definedName name="_80__FDSAUDITLINK__" localSheetId="8" hidden="1">{"fdsup://Directions/FactSet Auditing Viewer?action=AUDIT_VALUE&amp;DB=129&amp;ID1=48123V10&amp;VALUEID=05194&amp;SDATE=201103&amp;PERIODTYPE=QTR_STD&amp;SCFT=3&amp;window=popup_no_bar&amp;width=385&amp;height=120&amp;START_MAXIMIZED=FALSE&amp;creator=factset&amp;display_string=Audit"}</definedName>
    <definedName name="_80__FDSAUDITLINK__" localSheetId="6" hidden="1">{"fdsup://directions/FAT Viewer?action=UPDATE&amp;creator=factset&amp;DYN_ARGS=TRUE&amp;DOC_NAME=FAT:FQL_AUDITING_CLIENT_TEMPLATE.FAT&amp;display_string=Audit&amp;VAR:KEY=AFSNOJQTKZ&amp;VAR:QUERY=RkZfRU5UUlBSX1ZBTF9FQklUREEoJ0FOTicsMCwsLCwnVVNEJyk=&amp;WINDOW=FIRST_POPUP&amp;HEIGHT=450&amp;WI","DTH=450&amp;START_MAXIMIZED=FALSE&amp;VAR:CALENDAR=US&amp;VAR:SYMBOL=KBR&amp;VAR:INDEX=0"}</definedName>
    <definedName name="_80__FDSAUDITLINK__" localSheetId="5" hidden="1">{"fdsup://Directions/FactSet Auditing Viewer?action=AUDIT_VALUE&amp;DB=129&amp;ID1=48123V10&amp;VALUEID=05194&amp;SDATE=201103&amp;PERIODTYPE=QTR_STD&amp;SCFT=3&amp;window=popup_no_bar&amp;width=385&amp;height=120&amp;START_MAXIMIZED=FALSE&amp;creator=factset&amp;display_string=Audit"}</definedName>
    <definedName name="_80__FDSAUDITLINK__" localSheetId="1" hidden="1">{"fdsup://Directions/FactSet Auditing Viewer?action=AUDIT_VALUE&amp;DB=129&amp;ID1=48123V10&amp;VALUEID=05194&amp;SDATE=201103&amp;PERIODTYPE=QTR_STD&amp;SCFT=3&amp;window=popup_no_bar&amp;width=385&amp;height=120&amp;START_MAXIMIZED=FALSE&amp;creator=factset&amp;display_string=Audit"}</definedName>
    <definedName name="_80__FDSAUDITLINK__" localSheetId="3" hidden="1">{"fdsup://Directions/FactSet Auditing Viewer?action=AUDIT_VALUE&amp;DB=129&amp;ID1=48123V10&amp;VALUEID=05194&amp;SDATE=201103&amp;PERIODTYPE=QTR_STD&amp;SCFT=3&amp;window=popup_no_bar&amp;width=385&amp;height=120&amp;START_MAXIMIZED=FALSE&amp;creator=factset&amp;display_string=Audit"}</definedName>
    <definedName name="_80__FDSAUDITLINK__" hidden="1">{"fdsup://directions/FAT Viewer?action=UPDATE&amp;creator=factset&amp;DYN_ARGS=TRUE&amp;DOC_NAME=FAT:FQL_AUDITING_CLIENT_TEMPLATE.FAT&amp;display_string=Audit&amp;VAR:KEY=AFSNOJQTKZ&amp;VAR:QUERY=RkZfRU5UUlBSX1ZBTF9FQklUREEoJ0FOTicsMCwsLCwnVVNEJyk=&amp;WINDOW=FIRST_POPUP&amp;HEIGHT=450&amp;WI","DTH=450&amp;START_MAXIMIZED=FALSE&amp;VAR:CALENDAR=US&amp;VAR:SYMBOL=KBR&amp;VAR:INDEX=0"}</definedName>
    <definedName name="_80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278"}</definedName>
    <definedName name="_80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277"}</definedName>
    <definedName name="_80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276"}</definedName>
    <definedName name="_80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275"}</definedName>
    <definedName name="_80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274"}</definedName>
    <definedName name="_80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273"}</definedName>
    <definedName name="_80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272"}</definedName>
    <definedName name="_80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271"}</definedName>
    <definedName name="_80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270"}</definedName>
    <definedName name="_80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0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269"}</definedName>
    <definedName name="_81__FDSAUDITLINK__" localSheetId="9" hidden="1">{"fdsup://Directions/FactSet Auditing Viewer?action=AUDIT_VALUE&amp;DB=129&amp;ID1=15670010&amp;VALUEID=05194&amp;SDATE=201103&amp;PERIODTYPE=QTR_STD&amp;SCFT=3&amp;window=popup_no_bar&amp;width=385&amp;height=120&amp;START_MAXIMIZED=FALSE&amp;creator=factset&amp;display_string=Audit"}</definedName>
    <definedName name="_81__FDSAUDITLINK__" localSheetId="8" hidden="1">{"fdsup://Directions/FactSet Auditing Viewer?action=AUDIT_VALUE&amp;DB=129&amp;ID1=15670010&amp;VALUEID=05194&amp;SDATE=201103&amp;PERIODTYPE=QTR_STD&amp;SCFT=3&amp;window=popup_no_bar&amp;width=385&amp;height=120&amp;START_MAXIMIZED=FALSE&amp;creator=factset&amp;display_string=Audit"}</definedName>
    <definedName name="_81__FDSAUDITLINK__" localSheetId="6" hidden="1">{"fdsup://directions/FAT Viewer?action=UPDATE&amp;creator=factset&amp;DYN_ARGS=TRUE&amp;DOC_NAME=FAT:FQL_AUDITING_CLIENT_TEMPLATE.FAT&amp;display_string=Audit&amp;VAR:KEY=OJSHABKBGN&amp;VAR:QUERY=RkZfREVCVF9FQklUREEoJ0FOTicsMCwsLCwnVVNEJyk=&amp;WINDOW=FIRST_POPUP&amp;HEIGHT=450&amp;WIDTH=450&amp;","START_MAXIMIZED=FALSE&amp;VAR:CALENDAR=US&amp;VAR:SYMBOL=KBR&amp;VAR:INDEX=0"}</definedName>
    <definedName name="_81__FDSAUDITLINK__" localSheetId="5" hidden="1">{"fdsup://Directions/FactSet Auditing Viewer?action=AUDIT_VALUE&amp;DB=129&amp;ID1=15670010&amp;VALUEID=05194&amp;SDATE=201103&amp;PERIODTYPE=QTR_STD&amp;SCFT=3&amp;window=popup_no_bar&amp;width=385&amp;height=120&amp;START_MAXIMIZED=FALSE&amp;creator=factset&amp;display_string=Audit"}</definedName>
    <definedName name="_81__FDSAUDITLINK__" localSheetId="1" hidden="1">{"fdsup://Directions/FactSet Auditing Viewer?action=AUDIT_VALUE&amp;DB=129&amp;ID1=15670010&amp;VALUEID=05194&amp;SDATE=201103&amp;PERIODTYPE=QTR_STD&amp;SCFT=3&amp;window=popup_no_bar&amp;width=385&amp;height=120&amp;START_MAXIMIZED=FALSE&amp;creator=factset&amp;display_string=Audit"}</definedName>
    <definedName name="_81__FDSAUDITLINK__" localSheetId="3" hidden="1">{"fdsup://Directions/FactSet Auditing Viewer?action=AUDIT_VALUE&amp;DB=129&amp;ID1=15670010&amp;VALUEID=05194&amp;SDATE=201103&amp;PERIODTYPE=QTR_STD&amp;SCFT=3&amp;window=popup_no_bar&amp;width=385&amp;height=120&amp;START_MAXIMIZED=FALSE&amp;creator=factset&amp;display_string=Audit"}</definedName>
    <definedName name="_81__FDSAUDITLINK__" hidden="1">{"fdsup://directions/FAT Viewer?action=UPDATE&amp;creator=factset&amp;DYN_ARGS=TRUE&amp;DOC_NAME=FAT:FQL_AUDITING_CLIENT_TEMPLATE.FAT&amp;display_string=Audit&amp;VAR:KEY=OJSHABKBGN&amp;VAR:QUERY=RkZfREVCVF9FQklUREEoJ0FOTicsMCwsLCwnVVNEJyk=&amp;WINDOW=FIRST_POPUP&amp;HEIGHT=450&amp;WIDTH=450&amp;","START_MAXIMIZED=FALSE&amp;VAR:CALENDAR=US&amp;VAR:SYMBOL=KBR&amp;VAR:INDEX=0"}</definedName>
    <definedName name="_81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268"}</definedName>
    <definedName name="_81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267"}</definedName>
    <definedName name="_81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266"}</definedName>
    <definedName name="_81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265"}</definedName>
    <definedName name="_81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264"}</definedName>
    <definedName name="_81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263"}</definedName>
    <definedName name="_81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262"}</definedName>
    <definedName name="_81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261"}</definedName>
    <definedName name="_81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260"}</definedName>
    <definedName name="_81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1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259"}</definedName>
    <definedName name="_82__FDSAUDITLINK__" localSheetId="9" hidden="1">{"fdsup://Directions/FactSet Auditing Viewer?action=AUDIT_VALUE&amp;DB=129&amp;ID1=14984710&amp;VALUEID=05194&amp;SDATE=201103&amp;PERIODTYPE=QTR_STD&amp;SCFT=3&amp;window=popup_no_bar&amp;width=385&amp;height=120&amp;START_MAXIMIZED=FALSE&amp;creator=factset&amp;display_string=Audit"}</definedName>
    <definedName name="_82__FDSAUDITLINK__" localSheetId="8" hidden="1">{"fdsup://Directions/FactSet Auditing Viewer?action=AUDIT_VALUE&amp;DB=129&amp;ID1=14984710&amp;VALUEID=05194&amp;SDATE=201103&amp;PERIODTYPE=QTR_STD&amp;SCFT=3&amp;window=popup_no_bar&amp;width=385&amp;height=120&amp;START_MAXIMIZED=FALSE&amp;creator=factset&amp;display_string=Audit"}</definedName>
    <definedName name="_82__FDSAUDITLINK__" localSheetId="6" hidden="1">{"fdsup://directions/FAT Viewer?action=UPDATE&amp;creator=factset&amp;DYN_ARGS=TRUE&amp;DOC_NAME=FAT:FQL_AUDITING_CLIENT_TEMPLATE.FAT&amp;display_string=Audit&amp;VAR:KEY=ELARODYZAV&amp;VAR:QUERY=RkZfTFREX1RDQVAoJ0FOTicsMCk=&amp;WINDOW=FIRST_POPUP&amp;HEIGHT=450&amp;WIDTH=450&amp;START_MAXIMIZED=","FALSE&amp;VAR:CALENDAR=US&amp;VAR:SYMBOL=KBR&amp;VAR:INDEX=0"}</definedName>
    <definedName name="_82__FDSAUDITLINK__" localSheetId="5" hidden="1">{"fdsup://Directions/FactSet Auditing Viewer?action=AUDIT_VALUE&amp;DB=129&amp;ID1=14984710&amp;VALUEID=05194&amp;SDATE=201103&amp;PERIODTYPE=QTR_STD&amp;SCFT=3&amp;window=popup_no_bar&amp;width=385&amp;height=120&amp;START_MAXIMIZED=FALSE&amp;creator=factset&amp;display_string=Audit"}</definedName>
    <definedName name="_82__FDSAUDITLINK__" localSheetId="1" hidden="1">{"fdsup://Directions/FactSet Auditing Viewer?action=AUDIT_VALUE&amp;DB=129&amp;ID1=14984710&amp;VALUEID=05194&amp;SDATE=201103&amp;PERIODTYPE=QTR_STD&amp;SCFT=3&amp;window=popup_no_bar&amp;width=385&amp;height=120&amp;START_MAXIMIZED=FALSE&amp;creator=factset&amp;display_string=Audit"}</definedName>
    <definedName name="_82__FDSAUDITLINK__" localSheetId="3" hidden="1">{"fdsup://Directions/FactSet Auditing Viewer?action=AUDIT_VALUE&amp;DB=129&amp;ID1=14984710&amp;VALUEID=05194&amp;SDATE=201103&amp;PERIODTYPE=QTR_STD&amp;SCFT=3&amp;window=popup_no_bar&amp;width=385&amp;height=120&amp;START_MAXIMIZED=FALSE&amp;creator=factset&amp;display_string=Audit"}</definedName>
    <definedName name="_82__FDSAUDITLINK__" hidden="1">{"fdsup://directions/FAT Viewer?action=UPDATE&amp;creator=factset&amp;DYN_ARGS=TRUE&amp;DOC_NAME=FAT:FQL_AUDITING_CLIENT_TEMPLATE.FAT&amp;display_string=Audit&amp;VAR:KEY=ELARODYZAV&amp;VAR:QUERY=RkZfTFREX1RDQVAoJ0FOTicsMCk=&amp;WINDOW=FIRST_POPUP&amp;HEIGHT=450&amp;WIDTH=450&amp;START_MAXIMIZED=","FALSE&amp;VAR:CALENDAR=US&amp;VAR:SYMBOL=KBR&amp;VAR:INDEX=0"}</definedName>
    <definedName name="_82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258"}</definedName>
    <definedName name="_82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257"}</definedName>
    <definedName name="_82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256"}</definedName>
    <definedName name="_82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255"}</definedName>
    <definedName name="_82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254"}</definedName>
    <definedName name="_82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253"}</definedName>
    <definedName name="_82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252"}</definedName>
    <definedName name="_82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251"}</definedName>
    <definedName name="_82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250"}</definedName>
    <definedName name="_82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2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249"}</definedName>
    <definedName name="_83__FDSAUDITLINK__" localSheetId="9" hidden="1">{"fdsup://Directions/FactSet Auditing Viewer?action=AUDIT_VALUE&amp;DB=129&amp;ID1=00206R10&amp;VALUEID=05194&amp;SDATE=201104&amp;PERIODTYPE=QTR_STD&amp;SCFT=3&amp;window=popup_no_bar&amp;width=385&amp;height=120&amp;START_MAXIMIZED=FALSE&amp;creator=factset&amp;display_string=Audit"}</definedName>
    <definedName name="_83__FDSAUDITLINK__" localSheetId="8" hidden="1">{"fdsup://Directions/FactSet Auditing Viewer?action=AUDIT_VALUE&amp;DB=129&amp;ID1=00206R10&amp;VALUEID=05194&amp;SDATE=201104&amp;PERIODTYPE=QTR_STD&amp;SCFT=3&amp;window=popup_no_bar&amp;width=385&amp;height=120&amp;START_MAXIMIZED=FALSE&amp;creator=factset&amp;display_string=Audit"}</definedName>
    <definedName name="_83__FDSAUDITLINK__" localSheetId="6" hidden="1">{"fdsup://Directions/FactSet Auditing Viewer?action=AUDIT_VALUE&amp;DB=129&amp;ID1=48242W10&amp;VALUEID=02001&amp;SDATE=2009&amp;PERIODTYPE=ANN_STD&amp;window=popup_no_bar&amp;width=385&amp;height=120&amp;START_MAXIMIZED=FALSE&amp;creator=factset&amp;display_string=Audit"}</definedName>
    <definedName name="_83__FDSAUDITLINK__" localSheetId="5" hidden="1">{"fdsup://Directions/FactSet Auditing Viewer?action=AUDIT_VALUE&amp;DB=129&amp;ID1=00206R10&amp;VALUEID=05194&amp;SDATE=201104&amp;PERIODTYPE=QTR_STD&amp;SCFT=3&amp;window=popup_no_bar&amp;width=385&amp;height=120&amp;START_MAXIMIZED=FALSE&amp;creator=factset&amp;display_string=Audit"}</definedName>
    <definedName name="_83__FDSAUDITLINK__" localSheetId="1" hidden="1">{"fdsup://Directions/FactSet Auditing Viewer?action=AUDIT_VALUE&amp;DB=129&amp;ID1=00206R10&amp;VALUEID=05194&amp;SDATE=201104&amp;PERIODTYPE=QTR_STD&amp;SCFT=3&amp;window=popup_no_bar&amp;width=385&amp;height=120&amp;START_MAXIMIZED=FALSE&amp;creator=factset&amp;display_string=Audit"}</definedName>
    <definedName name="_83__FDSAUDITLINK__" localSheetId="3" hidden="1">{"fdsup://Directions/FactSet Auditing Viewer?action=AUDIT_VALUE&amp;DB=129&amp;ID1=00206R10&amp;VALUEID=05194&amp;SDATE=201104&amp;PERIODTYPE=QTR_STD&amp;SCFT=3&amp;window=popup_no_bar&amp;width=385&amp;height=120&amp;START_MAXIMIZED=FALSE&amp;creator=factset&amp;display_string=Audit"}</definedName>
    <definedName name="_83__FDSAUDITLINK__" hidden="1">{"fdsup://Directions/FactSet Auditing Viewer?action=AUDIT_VALUE&amp;DB=129&amp;ID1=48242W10&amp;VALUEID=02001&amp;SDATE=2009&amp;PERIODTYPE=ANN_STD&amp;window=popup_no_bar&amp;width=385&amp;height=120&amp;START_MAXIMIZED=FALSE&amp;creator=factset&amp;display_string=Audit"}</definedName>
    <definedName name="_83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248"}</definedName>
    <definedName name="_83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247"}</definedName>
    <definedName name="_83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246"}</definedName>
    <definedName name="_83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245"}</definedName>
    <definedName name="_83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244"}</definedName>
    <definedName name="_83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243"}</definedName>
    <definedName name="_83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242"}</definedName>
    <definedName name="_83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241"}</definedName>
    <definedName name="_83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240"}</definedName>
    <definedName name="_83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3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239"}</definedName>
    <definedName name="_84__FDSAUDITLINK__" localSheetId="9" hidden="1">{"fdsup://Directions/FactSet Auditing Viewer?action=AUDIT_VALUE&amp;DB=129&amp;ID1=62913F20&amp;VALUEID=05194&amp;SDATE=201103&amp;PERIODTYPE=QTR_STD&amp;SCFT=3&amp;window=popup_no_bar&amp;width=385&amp;height=120&amp;START_MAXIMIZED=FALSE&amp;creator=factset&amp;display_string=Audit"}</definedName>
    <definedName name="_84__FDSAUDITLINK__" localSheetId="8" hidden="1">{"fdsup://Directions/FactSet Auditing Viewer?action=AUDIT_VALUE&amp;DB=129&amp;ID1=62913F20&amp;VALUEID=05194&amp;SDATE=201103&amp;PERIODTYPE=QTR_STD&amp;SCFT=3&amp;window=popup_no_bar&amp;width=385&amp;height=120&amp;START_MAXIMIZED=FALSE&amp;creator=factset&amp;display_string=Audit"}</definedName>
    <definedName name="_84__FDSAUDITLINK__" localSheetId="6" hidden="1">{"fdsup://directions/FAT Viewer?action=UPDATE&amp;creator=factset&amp;DYN_ARGS=TRUE&amp;DOC_NAME=FAT:FQL_AUDITING_CLIENT_TEMPLATE.FAT&amp;display_string=Audit&amp;VAR:KEY=CZMRMDAXYP&amp;VAR:QUERY=RkZfRU5UUlBSX1ZBTF9EQUlMWSgwLCwsLCwnRElMJyk=&amp;WINDOW=FIRST_POPUP&amp;HEIGHT=450&amp;WIDTH=450&amp;","START_MAXIMIZED=FALSE&amp;VAR:CALENDAR=US&amp;VAR:SYMBOL=KBR&amp;VAR:INDEX=0"}</definedName>
    <definedName name="_84__FDSAUDITLINK__" localSheetId="5" hidden="1">{"fdsup://Directions/FactSet Auditing Viewer?action=AUDIT_VALUE&amp;DB=129&amp;ID1=62913F20&amp;VALUEID=05194&amp;SDATE=201103&amp;PERIODTYPE=QTR_STD&amp;SCFT=3&amp;window=popup_no_bar&amp;width=385&amp;height=120&amp;START_MAXIMIZED=FALSE&amp;creator=factset&amp;display_string=Audit"}</definedName>
    <definedName name="_84__FDSAUDITLINK__" localSheetId="1" hidden="1">{"fdsup://Directions/FactSet Auditing Viewer?action=AUDIT_VALUE&amp;DB=129&amp;ID1=62913F20&amp;VALUEID=05194&amp;SDATE=201103&amp;PERIODTYPE=QTR_STD&amp;SCFT=3&amp;window=popup_no_bar&amp;width=385&amp;height=120&amp;START_MAXIMIZED=FALSE&amp;creator=factset&amp;display_string=Audit"}</definedName>
    <definedName name="_84__FDSAUDITLINK__" localSheetId="3" hidden="1">{"fdsup://Directions/FactSet Auditing Viewer?action=AUDIT_VALUE&amp;DB=129&amp;ID1=62913F20&amp;VALUEID=05194&amp;SDATE=201103&amp;PERIODTYPE=QTR_STD&amp;SCFT=3&amp;window=popup_no_bar&amp;width=385&amp;height=120&amp;START_MAXIMIZED=FALSE&amp;creator=factset&amp;display_string=Audit"}</definedName>
    <definedName name="_84__FDSAUDITLINK__" hidden="1">{"fdsup://directions/FAT Viewer?action=UPDATE&amp;creator=factset&amp;DYN_ARGS=TRUE&amp;DOC_NAME=FAT:FQL_AUDITING_CLIENT_TEMPLATE.FAT&amp;display_string=Audit&amp;VAR:KEY=CZMRMDAXYP&amp;VAR:QUERY=RkZfRU5UUlBSX1ZBTF9EQUlMWSgwLCwsLCwnRElMJyk=&amp;WINDOW=FIRST_POPUP&amp;HEIGHT=450&amp;WIDTH=450&amp;","START_MAXIMIZED=FALSE&amp;VAR:CALENDAR=US&amp;VAR:SYMBOL=KBR&amp;VAR:INDEX=0"}</definedName>
    <definedName name="_84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238"}</definedName>
    <definedName name="_84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237"}</definedName>
    <definedName name="_84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236"}</definedName>
    <definedName name="_84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235"}</definedName>
    <definedName name="_84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234"}</definedName>
    <definedName name="_84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233"}</definedName>
    <definedName name="_84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232"}</definedName>
    <definedName name="_84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231"}</definedName>
    <definedName name="_84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230"}</definedName>
    <definedName name="_84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4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229"}</definedName>
    <definedName name="_85__FDSAUDITLINK__" localSheetId="9" hidden="1">{"fdsup://Directions/FactSet Auditing Viewer?action=AUDIT_VALUE&amp;DB=129&amp;ID1=L6388F11&amp;VALUEID=05194&amp;SDATE=201103&amp;PERIODTYPE=QTR_STD&amp;SCFT=3&amp;window=popup_no_bar&amp;width=385&amp;height=120&amp;START_MAXIMIZED=FALSE&amp;creator=factset&amp;display_string=Audit"}</definedName>
    <definedName name="_85__FDSAUDITLINK__" localSheetId="8" hidden="1">{"fdsup://Directions/FactSet Auditing Viewer?action=AUDIT_VALUE&amp;DB=129&amp;ID1=L6388F11&amp;VALUEID=05194&amp;SDATE=201103&amp;PERIODTYPE=QTR_STD&amp;SCFT=3&amp;window=popup_no_bar&amp;width=385&amp;height=120&amp;START_MAXIMIZED=FALSE&amp;creator=factset&amp;display_string=Audit"}</definedName>
    <definedName name="_85__FDSAUDITLINK__" localSheetId="6"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5__FDSAUDITLINK__" localSheetId="5" hidden="1">{"fdsup://Directions/FactSet Auditing Viewer?action=AUDIT_VALUE&amp;DB=129&amp;ID1=L6388F11&amp;VALUEID=05194&amp;SDATE=201103&amp;PERIODTYPE=QTR_STD&amp;SCFT=3&amp;window=popup_no_bar&amp;width=385&amp;height=120&amp;START_MAXIMIZED=FALSE&amp;creator=factset&amp;display_string=Audit"}</definedName>
    <definedName name="_85__FDSAUDITLINK__" localSheetId="1" hidden="1">{"fdsup://Directions/FactSet Auditing Viewer?action=AUDIT_VALUE&amp;DB=129&amp;ID1=L6388F11&amp;VALUEID=05194&amp;SDATE=201103&amp;PERIODTYPE=QTR_STD&amp;SCFT=3&amp;window=popup_no_bar&amp;width=385&amp;height=120&amp;START_MAXIMIZED=FALSE&amp;creator=factset&amp;display_string=Audit"}</definedName>
    <definedName name="_85__FDSAUDITLINK__" localSheetId="3" hidden="1">{"fdsup://Directions/FactSet Auditing Viewer?action=AUDIT_VALUE&amp;DB=129&amp;ID1=L6388F11&amp;VALUEID=05194&amp;SDATE=201103&amp;PERIODTYPE=QTR_STD&amp;SCFT=3&amp;window=popup_no_bar&amp;width=385&amp;height=120&amp;START_MAXIMIZED=FALSE&amp;creator=factset&amp;display_string=Audit"}</definedName>
    <definedName name="_85__FDSAUDITLINK__"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5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228"}</definedName>
    <definedName name="_85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227"}</definedName>
    <definedName name="_85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226"}</definedName>
    <definedName name="_85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225"}</definedName>
    <definedName name="_85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224"}</definedName>
    <definedName name="_85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223"}</definedName>
    <definedName name="_85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222"}</definedName>
    <definedName name="_8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221"}</definedName>
    <definedName name="_8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220"}</definedName>
    <definedName name="_8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219"}</definedName>
    <definedName name="_86__FDSAUDITLINK__" localSheetId="9" hidden="1">{"fdsup://directions/FAT Viewer?action=UPDATE&amp;creator=factset&amp;DYN_ARGS=TRUE&amp;DOC_NAME=FAT:FQL_AUDITING_CLIENT_TEMPLATE.FAT&amp;display_string=Audit&amp;VAR:KEY=BUHAFONCPE&amp;VAR:QUERY=RkZfRElWX1lMRChBTk4sTk9XKQ==&amp;WINDOW=FIRST_POPUP&amp;HEIGHT=450&amp;WIDTH=450&amp;START_MAXIMIZED=","FALSE&amp;VAR:CALENDAR=US&amp;VAR:SYMBOL=CBEY&amp;VAR:INDEX=0"}</definedName>
    <definedName name="_86__FDSAUDITLINK__" localSheetId="8" hidden="1">{"fdsup://directions/FAT Viewer?action=UPDATE&amp;creator=factset&amp;DYN_ARGS=TRUE&amp;DOC_NAME=FAT:FQL_AUDITING_CLIENT_TEMPLATE.FAT&amp;display_string=Audit&amp;VAR:KEY=BUHAFONCPE&amp;VAR:QUERY=RkZfRElWX1lMRChBTk4sTk9XKQ==&amp;WINDOW=FIRST_POPUP&amp;HEIGHT=450&amp;WIDTH=450&amp;START_MAXIMIZED=","FALSE&amp;VAR:CALENDAR=US&amp;VAR:SYMBOL=CBEY&amp;VAR:INDEX=0"}</definedName>
    <definedName name="_86__FDSAUDITLINK__" localSheetId="6"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6__FDSAUDITLINK__" localSheetId="5" hidden="1">{"fdsup://directions/FAT Viewer?action=UPDATE&amp;creator=factset&amp;DYN_ARGS=TRUE&amp;DOC_NAME=FAT:FQL_AUDITING_CLIENT_TEMPLATE.FAT&amp;display_string=Audit&amp;VAR:KEY=BUHAFONCPE&amp;VAR:QUERY=RkZfRElWX1lMRChBTk4sTk9XKQ==&amp;WINDOW=FIRST_POPUP&amp;HEIGHT=450&amp;WIDTH=450&amp;START_MAXIMIZED=","FALSE&amp;VAR:CALENDAR=US&amp;VAR:SYMBOL=CBEY&amp;VAR:INDEX=0"}</definedName>
    <definedName name="_86__FDSAUDITLINK__" localSheetId="1" hidden="1">{"fdsup://directions/FAT Viewer?action=UPDATE&amp;creator=factset&amp;DYN_ARGS=TRUE&amp;DOC_NAME=FAT:FQL_AUDITING_CLIENT_TEMPLATE.FAT&amp;display_string=Audit&amp;VAR:KEY=BUHAFONCPE&amp;VAR:QUERY=RkZfRElWX1lMRChBTk4sTk9XKQ==&amp;WINDOW=FIRST_POPUP&amp;HEIGHT=450&amp;WIDTH=450&amp;START_MAXIMIZED=","FALSE&amp;VAR:CALENDAR=US&amp;VAR:SYMBOL=CBEY&amp;VAR:INDEX=0"}</definedName>
    <definedName name="_86__FDSAUDITLINK__" localSheetId="3" hidden="1">{"fdsup://directions/FAT Viewer?action=UPDATE&amp;creator=factset&amp;DYN_ARGS=TRUE&amp;DOC_NAME=FAT:FQL_AUDITING_CLIENT_TEMPLATE.FAT&amp;display_string=Audit&amp;VAR:KEY=BUHAFONCPE&amp;VAR:QUERY=RkZfRElWX1lMRChBTk4sTk9XKQ==&amp;WINDOW=FIRST_POPUP&amp;HEIGHT=450&amp;WIDTH=450&amp;START_MAXIMIZED=","FALSE&amp;VAR:CALENDAR=US&amp;VAR:SYMBOL=CBEY&amp;VAR:INDEX=0"}</definedName>
    <definedName name="_86__FDSAUDITLINK__"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218"}</definedName>
    <definedName name="_8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217"}</definedName>
    <definedName name="_8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216"}</definedName>
    <definedName name="_8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215"}</definedName>
    <definedName name="_8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214"}</definedName>
    <definedName name="_8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213"}</definedName>
    <definedName name="_8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212"}</definedName>
    <definedName name="_8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211"}</definedName>
    <definedName name="_8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210"}</definedName>
    <definedName name="_8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209"}</definedName>
    <definedName name="_87__FDSAUDITLINK__" localSheetId="9"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localSheetId="8"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localSheetId="6"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localSheetId="5"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localSheetId="1"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localSheetId="3"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__FDSAUDITLINK__" hidden="1">{"fdsup://directions/FAT Viewer?action=UPDATE&amp;creator=factset&amp;DYN_ARGS=TRUE&amp;DOC_NAME=FAT:FQL_AUDITING_CLIENT_TEMPLATE.FAT&amp;display_string=Audit&amp;VAR:KEY=EJGJKXINWT&amp;VAR:QUERY=RkZfRU5UUlBSX1ZBTF9EQUlMWSgp&amp;WINDOW=FIRST_POPUP&amp;HEIGHT=450&amp;WIDTH=450&amp;START_MAXIMIZED=","FALSE&amp;VAR:CALENDAR=US&amp;VAR:SYMBOL=GLBL&amp;VAR:INDEX=0"}</definedName>
    <definedName name="_8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208"}</definedName>
    <definedName name="_8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207"}</definedName>
    <definedName name="_8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206"}</definedName>
    <definedName name="_8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205"}</definedName>
    <definedName name="_8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204"}</definedName>
    <definedName name="_8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203"}</definedName>
    <definedName name="_8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202"}</definedName>
    <definedName name="_8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201"}</definedName>
    <definedName name="_8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_87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7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_88__FDSAUDITLINK__" localSheetId="9"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localSheetId="8"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localSheetId="6"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localSheetId="5"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localSheetId="1"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localSheetId="3"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__FDSAUDITLINK__" hidden="1">{"fdsup://directions/FAT Viewer?action=UPDATE&amp;creator=factset&amp;DYN_ARGS=TRUE&amp;DOC_NAME=FAT:FQL_AUDITING_CLIENT_TEMPLATE.FAT&amp;display_string=Audit&amp;VAR:KEY=UXCPCJOPEB&amp;VAR:QUERY=RkZfRUJJVERBX0lCKCdBTk4nLDAsLCwsJ1VTRCcp&amp;WINDOW=FIRST_POPUP&amp;HEIGHT=450&amp;WIDTH=450&amp;STAR","T_MAXIMIZED=FALSE&amp;VAR:CALENDAR=US&amp;VAR:SYMBOL=GLBL&amp;VAR:INDEX=0"}</definedName>
    <definedName name="_88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198"}</definedName>
    <definedName name="_88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197"}</definedName>
    <definedName name="_88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196"}</definedName>
    <definedName name="_88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195"}</definedName>
    <definedName name="_88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194"}</definedName>
    <definedName name="_88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193"}</definedName>
    <definedName name="_88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192"}</definedName>
    <definedName name="_88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191"}</definedName>
    <definedName name="_88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190"}</definedName>
    <definedName name="_88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8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189"}</definedName>
    <definedName name="_89__FDSAUDITLINK__" localSheetId="9" hidden="1">{"fdsup://directions/FAT Viewer?action=UPDATE&amp;creator=factset&amp;DYN_ARGS=TRUE&amp;DOC_NAME=FAT:FQL_AUDITING_CLIENT_TEMPLATE.FAT&amp;display_string=Audit&amp;VAR:KEY=HSBQXMBSNE&amp;VAR:QUERY=RkZfRElWX1lMRChBTk4sTk9XKQ==&amp;WINDOW=FIRST_POPUP&amp;HEIGHT=450&amp;WIDTH=450&amp;START_MAXIMIZED=","FALSE&amp;VAR:CALENDAR=US&amp;VAR:SYMBOL=RCI&amp;VAR:INDEX=0"}</definedName>
    <definedName name="_89__FDSAUDITLINK__" localSheetId="8" hidden="1">{"fdsup://directions/FAT Viewer?action=UPDATE&amp;creator=factset&amp;DYN_ARGS=TRUE&amp;DOC_NAME=FAT:FQL_AUDITING_CLIENT_TEMPLATE.FAT&amp;display_string=Audit&amp;VAR:KEY=HSBQXMBSNE&amp;VAR:QUERY=RkZfRElWX1lMRChBTk4sTk9XKQ==&amp;WINDOW=FIRST_POPUP&amp;HEIGHT=450&amp;WIDTH=450&amp;START_MAXIMIZED=","FALSE&amp;VAR:CALENDAR=US&amp;VAR:SYMBOL=RCI&amp;VAR:INDEX=0"}</definedName>
    <definedName name="_89__FDSAUDITLINK__" localSheetId="6" hidden="1">{"fdsup://directions/FAT Viewer?action=UPDATE&amp;creator=factset&amp;DYN_ARGS=TRUE&amp;DOC_NAME=FAT:FQL_AUDITING_CLIENT_TEMPLATE.FAT&amp;display_string=Audit&amp;VAR:KEY=UDCTWTQTSB&amp;VAR:QUERY=RkZfTFREX1RDQVAoJ0FOTicsMCk=&amp;WINDOW=FIRST_POPUP&amp;HEIGHT=450&amp;WIDTH=450&amp;START_MAXIMIZED=","FALSE&amp;VAR:CALENDAR=US&amp;VAR:SYMBOL=GLBL&amp;VAR:INDEX=0"}</definedName>
    <definedName name="_89__FDSAUDITLINK__" localSheetId="5" hidden="1">{"fdsup://directions/FAT Viewer?action=UPDATE&amp;creator=factset&amp;DYN_ARGS=TRUE&amp;DOC_NAME=FAT:FQL_AUDITING_CLIENT_TEMPLATE.FAT&amp;display_string=Audit&amp;VAR:KEY=HSBQXMBSNE&amp;VAR:QUERY=RkZfRElWX1lMRChBTk4sTk9XKQ==&amp;WINDOW=FIRST_POPUP&amp;HEIGHT=450&amp;WIDTH=450&amp;START_MAXIMIZED=","FALSE&amp;VAR:CALENDAR=US&amp;VAR:SYMBOL=RCI&amp;VAR:INDEX=0"}</definedName>
    <definedName name="_89__FDSAUDITLINK__" localSheetId="1" hidden="1">{"fdsup://directions/FAT Viewer?action=UPDATE&amp;creator=factset&amp;DYN_ARGS=TRUE&amp;DOC_NAME=FAT:FQL_AUDITING_CLIENT_TEMPLATE.FAT&amp;display_string=Audit&amp;VAR:KEY=HSBQXMBSNE&amp;VAR:QUERY=RkZfRElWX1lMRChBTk4sTk9XKQ==&amp;WINDOW=FIRST_POPUP&amp;HEIGHT=450&amp;WIDTH=450&amp;START_MAXIMIZED=","FALSE&amp;VAR:CALENDAR=US&amp;VAR:SYMBOL=RCI&amp;VAR:INDEX=0"}</definedName>
    <definedName name="_89__FDSAUDITLINK__" localSheetId="3" hidden="1">{"fdsup://directions/FAT Viewer?action=UPDATE&amp;creator=factset&amp;DYN_ARGS=TRUE&amp;DOC_NAME=FAT:FQL_AUDITING_CLIENT_TEMPLATE.FAT&amp;display_string=Audit&amp;VAR:KEY=HSBQXMBSNE&amp;VAR:QUERY=RkZfRElWX1lMRChBTk4sTk9XKQ==&amp;WINDOW=FIRST_POPUP&amp;HEIGHT=450&amp;WIDTH=450&amp;START_MAXIMIZED=","FALSE&amp;VAR:CALENDAR=US&amp;VAR:SYMBOL=RCI&amp;VAR:INDEX=0"}</definedName>
    <definedName name="_89__FDSAUDITLINK__" hidden="1">{"fdsup://directions/FAT Viewer?action=UPDATE&amp;creator=factset&amp;DYN_ARGS=TRUE&amp;DOC_NAME=FAT:FQL_AUDITING_CLIENT_TEMPLATE.FAT&amp;display_string=Audit&amp;VAR:KEY=UDCTWTQTSB&amp;VAR:QUERY=RkZfTFREX1RDQVAoJ0FOTicsMCk=&amp;WINDOW=FIRST_POPUP&amp;HEIGHT=450&amp;WIDTH=450&amp;START_MAXIMIZED=","FALSE&amp;VAR:CALENDAR=US&amp;VAR:SYMBOL=GLBL&amp;VAR:INDEX=0"}</definedName>
    <definedName name="_89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188"}</definedName>
    <definedName name="_89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187"}</definedName>
    <definedName name="_89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186"}</definedName>
    <definedName name="_89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185"}</definedName>
    <definedName name="_89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184"}</definedName>
    <definedName name="_89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183"}</definedName>
    <definedName name="_89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182"}</definedName>
    <definedName name="_89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181"}</definedName>
    <definedName name="_89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180"}</definedName>
    <definedName name="_89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89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179"}</definedName>
    <definedName name="_9__FDSAUDITLINK__" localSheetId="9"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Aggregates&amp;ACTION=UPDATE&amp;CREATOR=FACTSET&amp;HEIGHT=525&amp;WIDTH=500&amp;DOC_NAME=FAT:FMA_AUDIT_SUMMARY.FAT&amp;VAR:CURRENCY=USD&amp;VAR:AUDIT_ID=00000117&amp;VAR:CALC","_MODE=AGGREGATE&amp;VAR:CHGPERIOD=NA&amp;DISPLAY_STRING=Dividends Per Share&amp;VAR:FQLFORMULA=FMA_DPS&amp;VAR:MEASURE=DPS&amp;VAR:NULL=.HTML&amp;VAR:PED=LTM&amp;VAR:PERIOD=FIXED&amp;VAR:THRESH=-|-|-|-|-|-&amp;VAR:PCT=N&amp;VAR:V=22.809337&amp;VAR:P=1241.610000&amp;VAR:DATE=20101217"}</definedName>
    <definedName name="_9__FDSAUDITLINK__" localSheetId="8"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Aggregates&amp;ACTION=UPDATE&amp;CREATOR=FACTSET&amp;HEIGHT=525&amp;WIDTH=500&amp;DOC_NAME=FAT:FMA_AUDIT_SUMMARY.FAT&amp;VAR:CURRENCY=USD&amp;VAR:AUDIT_ID=00000117&amp;VAR:CALC","_MODE=AGGREGATE&amp;VAR:CHGPERIOD=NA&amp;DISPLAY_STRING=Dividends Per Share&amp;VAR:FQLFORMULA=FMA_DPS&amp;VAR:MEASURE=DPS&amp;VAR:NULL=.HTML&amp;VAR:PED=LTM&amp;VAR:PERIOD=FIXED&amp;VAR:THRESH=-|-|-|-|-|-&amp;VAR:PCT=N&amp;VAR:V=22.809337&amp;VAR:P=1241.610000&amp;VAR:DATE=20101217"}</definedName>
    <definedName name="_9__FDSAUDITLINK__" localSheetId="6">{"fdsup://directions/FAT Viewer?action=UPDATE&amp;creator=factset&amp;DYN_ARGS=TRUE&amp;DOC_NAME=FAT:FQL_AUDITING_CLIENT_TEMPLATE.FAT&amp;display_string=Audit&amp;VAR:KEY=SVOLIDUBGN&amp;VAR:QUERY=RkZfRU5UUlBSX1ZBTF9EQUlMWSgwLCwsLCdVU0QnLCdESUwnKQ==&amp;WINDOW=FIRST_POPUP&amp;HEIGHT=450&amp;WI","DTH=450&amp;START_MAXIMIZED=FALSE&amp;VAR:CALENDAR=US&amp;VAR:SYMBOL=659706&amp;VAR:INDEX=0"}</definedName>
    <definedName name="_9__FDSAUDITLINK__" localSheetId="5"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Aggregates&amp;ACTION=UPDATE&amp;CREATOR=FACTSET&amp;HEIGHT=525&amp;WIDTH=500&amp;DOC_NAME=FAT:FMA_AUDIT_SUMMARY.FAT&amp;VAR:CURRENCY=USD&amp;VAR:AUDIT_ID=00000117&amp;VAR:CALC","_MODE=AGGREGATE&amp;VAR:CHGPERIOD=NA&amp;DISPLAY_STRING=Dividends Per Share&amp;VAR:FQLFORMULA=FMA_DPS&amp;VAR:MEASURE=DPS&amp;VAR:NULL=.HTML&amp;VAR:PED=LTM&amp;VAR:PERIOD=FIXED&amp;VAR:THRESH=-|-|-|-|-|-&amp;VAR:PCT=N&amp;VAR:V=22.809337&amp;VAR:P=1241.610000&amp;VAR:DATE=20101217"}</definedName>
    <definedName name="_9__FDSAUDITLINK__" localSheetId="1"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Aggregates&amp;ACTION=UPDATE&amp;CREATOR=FACTSET&amp;HEIGHT=525&amp;WIDTH=500&amp;DOC_NAME=FAT:FMA_AUDIT_SUMMARY.FAT&amp;VAR:CURRENCY=USD&amp;VAR:AUDIT_ID=00000117&amp;VAR:CALC","_MODE=AGGREGATE&amp;VAR:CHGPERIOD=NA&amp;DISPLAY_STRING=Dividends Per Share&amp;VAR:FQLFORMULA=FMA_DPS&amp;VAR:MEASURE=DPS&amp;VAR:NULL=.HTML&amp;VAR:PED=LTM&amp;VAR:PERIOD=FIXED&amp;VAR:THRESH=-|-|-|-|-|-&amp;VAR:PCT=N&amp;VAR:V=22.809337&amp;VAR:P=1241.610000&amp;VAR:DATE=20101217"}</definedName>
    <definedName name="_9__FDSAUDITLINK__" localSheetId="3" hidden="1">{"fdsup://directions/FAT%20Viewer?WINDOW=first_popup&amp;DYN_ARGS=TRUE&amp;START_MAXIMIZED=FALSE&amp;TITLEBAR=FactSet Market Aggregates&amp;ACTION=UPDATE&amp;CREATOR=FACTSET&amp;HEIGHT=525&amp;WIDTH=500&amp;DOC_NAME=FAT:FMA_AUDIT_SUMMARY.FAT&amp;VAR:CURRENCY=USD&amp;VAR:AUDIT_ID=00000117&amp;VAR:CALC","_MODE=AGGREGATE&amp;VAR:CHGPERIOD=NA&amp;DISPLAY_STRING=Dividends Per Share&amp;VAR:FQLFORMULA=FMA_DPS&amp;VAR:MEASURE=DPS&amp;VAR:NULL=.HTML&amp;VAR:PED=LTM&amp;VAR:PERIOD=FIXED&amp;VAR:THRESH=-|-|-|-|-|-&amp;VAR:PCT=N&amp;VAR:V=22.809337&amp;VAR:P=1241.610000&amp;VAR:DATE=20101217"}</definedName>
    <definedName name="_9__FDSAUDITLINK__">{"fdsup://directions/FAT Viewer?action=UPDATE&amp;creator=factset&amp;DYN_ARGS=TRUE&amp;DOC_NAME=FAT:FQL_AUDITING_CLIENT_TEMPLATE.FAT&amp;display_string=Audit&amp;VAR:KEY=SVOLIDUBGN&amp;VAR:QUERY=RkZfRU5UUlBSX1ZBTF9EQUlMWSgwLCwsLCdVU0QnLCdESUwnKQ==&amp;WINDOW=FIRST_POPUP&amp;HEIGHT=450&amp;WI","DTH=450&amp;START_MAXIMIZED=FALSE&amp;VAR:CALENDAR=US&amp;VAR:SYMBOL=659706&amp;VAR:INDEX=0"}</definedName>
    <definedName name="_90__FDSAUDITLINK__" localSheetId="9" hidden="1">{"fdsup://directions/FAT Viewer?action=UPDATE&amp;creator=factset&amp;DYN_ARGS=TRUE&amp;DOC_NAME=FAT:FQL_AUDITING_CLIENT_TEMPLATE.FAT&amp;display_string=Audit&amp;VAR:KEY=JCRIHQDEFI&amp;VAR:QUERY=RkZfRElWX1lMRChBTk4sTk9XKQ==&amp;WINDOW=FIRST_POPUP&amp;HEIGHT=450&amp;WIDTH=450&amp;START_MAXIMIZED=","FALSE&amp;VAR:CALENDAR=US&amp;VAR:SYMBOL=COR&amp;VAR:INDEX=0"}</definedName>
    <definedName name="_90__FDSAUDITLINK__" localSheetId="8" hidden="1">{"fdsup://directions/FAT Viewer?action=UPDATE&amp;creator=factset&amp;DYN_ARGS=TRUE&amp;DOC_NAME=FAT:FQL_AUDITING_CLIENT_TEMPLATE.FAT&amp;display_string=Audit&amp;VAR:KEY=JCRIHQDEFI&amp;VAR:QUERY=RkZfRElWX1lMRChBTk4sTk9XKQ==&amp;WINDOW=FIRST_POPUP&amp;HEIGHT=450&amp;WIDTH=450&amp;START_MAXIMIZED=","FALSE&amp;VAR:CALENDAR=US&amp;VAR:SYMBOL=COR&amp;VAR:INDEX=0"}</definedName>
    <definedName name="_90__FDSAUDITLINK__" localSheetId="6" hidden="1">{"fdsup://Directions/FactSet Auditing Viewer?action=AUDIT_VALUE&amp;DB=129&amp;ID1=37933610&amp;VALUEID=02001&amp;SDATE=2009&amp;PERIODTYPE=ANN_STD&amp;window=popup_no_bar&amp;width=385&amp;height=120&amp;START_MAXIMIZED=FALSE&amp;creator=factset&amp;display_string=Audit"}</definedName>
    <definedName name="_90__FDSAUDITLINK__" localSheetId="5" hidden="1">{"fdsup://directions/FAT Viewer?action=UPDATE&amp;creator=factset&amp;DYN_ARGS=TRUE&amp;DOC_NAME=FAT:FQL_AUDITING_CLIENT_TEMPLATE.FAT&amp;display_string=Audit&amp;VAR:KEY=JCRIHQDEFI&amp;VAR:QUERY=RkZfRElWX1lMRChBTk4sTk9XKQ==&amp;WINDOW=FIRST_POPUP&amp;HEIGHT=450&amp;WIDTH=450&amp;START_MAXIMIZED=","FALSE&amp;VAR:CALENDAR=US&amp;VAR:SYMBOL=COR&amp;VAR:INDEX=0"}</definedName>
    <definedName name="_90__FDSAUDITLINK__" localSheetId="1" hidden="1">{"fdsup://directions/FAT Viewer?action=UPDATE&amp;creator=factset&amp;DYN_ARGS=TRUE&amp;DOC_NAME=FAT:FQL_AUDITING_CLIENT_TEMPLATE.FAT&amp;display_string=Audit&amp;VAR:KEY=JCRIHQDEFI&amp;VAR:QUERY=RkZfRElWX1lMRChBTk4sTk9XKQ==&amp;WINDOW=FIRST_POPUP&amp;HEIGHT=450&amp;WIDTH=450&amp;START_MAXIMIZED=","FALSE&amp;VAR:CALENDAR=US&amp;VAR:SYMBOL=COR&amp;VAR:INDEX=0"}</definedName>
    <definedName name="_90__FDSAUDITLINK__" localSheetId="3" hidden="1">{"fdsup://directions/FAT Viewer?action=UPDATE&amp;creator=factset&amp;DYN_ARGS=TRUE&amp;DOC_NAME=FAT:FQL_AUDITING_CLIENT_TEMPLATE.FAT&amp;display_string=Audit&amp;VAR:KEY=JCRIHQDEFI&amp;VAR:QUERY=RkZfRElWX1lMRChBTk4sTk9XKQ==&amp;WINDOW=FIRST_POPUP&amp;HEIGHT=450&amp;WIDTH=450&amp;START_MAXIMIZED=","FALSE&amp;VAR:CALENDAR=US&amp;VAR:SYMBOL=COR&amp;VAR:INDEX=0"}</definedName>
    <definedName name="_90__FDSAUDITLINK__" hidden="1">{"fdsup://Directions/FactSet Auditing Viewer?action=AUDIT_VALUE&amp;DB=129&amp;ID1=37933610&amp;VALUEID=02001&amp;SDATE=2009&amp;PERIODTYPE=ANN_STD&amp;window=popup_no_bar&amp;width=385&amp;height=120&amp;START_MAXIMIZED=FALSE&amp;creator=factset&amp;display_string=Audit"}</definedName>
    <definedName name="_90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178"}</definedName>
    <definedName name="_90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177"}</definedName>
    <definedName name="_90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176"}</definedName>
    <definedName name="_90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175"}</definedName>
    <definedName name="_90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174"}</definedName>
    <definedName name="_90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173"}</definedName>
    <definedName name="_90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172"}</definedName>
    <definedName name="_90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171"}</definedName>
    <definedName name="_90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170"}</definedName>
    <definedName name="_90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0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169"}</definedName>
    <definedName name="_91__FDSAUDITLINK__" localSheetId="9"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localSheetId="8"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localSheetId="6"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localSheetId="5"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localSheetId="1"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localSheetId="3"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__FDSAUDITLINK__" hidden="1">{"fdsup://directions/FAT Viewer?action=UPDATE&amp;creator=factset&amp;DYN_ARGS=TRUE&amp;DOC_NAME=FAT:FQL_AUDITING_CLIENT_TEMPLATE.FAT&amp;display_string=Audit&amp;VAR:KEY=SLMDUVIPSB&amp;VAR:QUERY=RkZfRU5UUlBSX1ZBTF9EQUlMWSgwLCwsLCwnRElMJyk=&amp;WINDOW=FIRST_POPUP&amp;HEIGHT=450&amp;WIDTH=450&amp;","START_MAXIMIZED=FALSE&amp;VAR:CALENDAR=US&amp;VAR:SYMBOL=GLBL&amp;VAR:INDEX=0"}</definedName>
    <definedName name="_91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168"}</definedName>
    <definedName name="_91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167"}</definedName>
    <definedName name="_91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166"}</definedName>
    <definedName name="_91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165"}</definedName>
    <definedName name="_91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164"}</definedName>
    <definedName name="_91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163"}</definedName>
    <definedName name="_91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162"}</definedName>
    <definedName name="_91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161"}</definedName>
    <definedName name="_91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160"}</definedName>
    <definedName name="_91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1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159"}</definedName>
    <definedName name="_92__FDSAUDITLINK__" localSheetId="9" hidden="1">{"fdsup://directions/FAT Viewer?action=UPDATE&amp;creator=factset&amp;DYN_ARGS=TRUE&amp;DOC_NAME=FAT:FQL_AUDITING_CLIENT_TEMPLATE.FAT&amp;display_string=Audit&amp;VAR:KEY=GRUZCPYNIL&amp;VAR:QUERY=RkZfRElWX1lMRChBTk4sTk9XKQ==&amp;WINDOW=FIRST_POPUP&amp;HEIGHT=450&amp;WIDTH=450&amp;START_MAXIMIZED=","FALSE&amp;VAR:CALENDAR=US&amp;VAR:SYMBOL=ABVT&amp;VAR:INDEX=0"}</definedName>
    <definedName name="_92__FDSAUDITLINK__" localSheetId="8" hidden="1">{"fdsup://directions/FAT Viewer?action=UPDATE&amp;creator=factset&amp;DYN_ARGS=TRUE&amp;DOC_NAME=FAT:FQL_AUDITING_CLIENT_TEMPLATE.FAT&amp;display_string=Audit&amp;VAR:KEY=GRUZCPYNIL&amp;VAR:QUERY=RkZfRElWX1lMRChBTk4sTk9XKQ==&amp;WINDOW=FIRST_POPUP&amp;HEIGHT=450&amp;WIDTH=450&amp;START_MAXIMIZED=","FALSE&amp;VAR:CALENDAR=US&amp;VAR:SYMBOL=ABVT&amp;VAR:INDEX=0"}</definedName>
    <definedName name="_92__FDSAUDITLINK__" localSheetId="6" hidden="1">{"fdsup://directions/FAT Viewer?action=UPDATE&amp;creator=factset&amp;DYN_ARGS=TRUE&amp;DOC_NAME=FAT:FQL_AUDITING_CLIENT_TEMPLATE.FAT&amp;display_string=Audit&amp;VAR:KEY=OZYTCHERUV&amp;VAR:QUERY=RkZfRU5UUlBSX1ZBTF9FQklUREEoJ0FOTicsMCwsLCwnVVNEJyk=&amp;WINDOW=FIRST_POPUP&amp;HEIGHT=450&amp;WI","DTH=450&amp;START_MAXIMIZED=FALSE&amp;VAR:CALENDAR=US&amp;VAR:SYMBOL=525824&amp;VAR:INDEX=0"}</definedName>
    <definedName name="_92__FDSAUDITLINK__" localSheetId="5" hidden="1">{"fdsup://directions/FAT Viewer?action=UPDATE&amp;creator=factset&amp;DYN_ARGS=TRUE&amp;DOC_NAME=FAT:FQL_AUDITING_CLIENT_TEMPLATE.FAT&amp;display_string=Audit&amp;VAR:KEY=GRUZCPYNIL&amp;VAR:QUERY=RkZfRElWX1lMRChBTk4sTk9XKQ==&amp;WINDOW=FIRST_POPUP&amp;HEIGHT=450&amp;WIDTH=450&amp;START_MAXIMIZED=","FALSE&amp;VAR:CALENDAR=US&amp;VAR:SYMBOL=ABVT&amp;VAR:INDEX=0"}</definedName>
    <definedName name="_92__FDSAUDITLINK__" localSheetId="1" hidden="1">{"fdsup://directions/FAT Viewer?action=UPDATE&amp;creator=factset&amp;DYN_ARGS=TRUE&amp;DOC_NAME=FAT:FQL_AUDITING_CLIENT_TEMPLATE.FAT&amp;display_string=Audit&amp;VAR:KEY=GRUZCPYNIL&amp;VAR:QUERY=RkZfRElWX1lMRChBTk4sTk9XKQ==&amp;WINDOW=FIRST_POPUP&amp;HEIGHT=450&amp;WIDTH=450&amp;START_MAXIMIZED=","FALSE&amp;VAR:CALENDAR=US&amp;VAR:SYMBOL=ABVT&amp;VAR:INDEX=0"}</definedName>
    <definedName name="_92__FDSAUDITLINK__" localSheetId="3" hidden="1">{"fdsup://directions/FAT Viewer?action=UPDATE&amp;creator=factset&amp;DYN_ARGS=TRUE&amp;DOC_NAME=FAT:FQL_AUDITING_CLIENT_TEMPLATE.FAT&amp;display_string=Audit&amp;VAR:KEY=GRUZCPYNIL&amp;VAR:QUERY=RkZfRElWX1lMRChBTk4sTk9XKQ==&amp;WINDOW=FIRST_POPUP&amp;HEIGHT=450&amp;WIDTH=450&amp;START_MAXIMIZED=","FALSE&amp;VAR:CALENDAR=US&amp;VAR:SYMBOL=ABVT&amp;VAR:INDEX=0"}</definedName>
    <definedName name="_92__FDSAUDITLINK__" hidden="1">{"fdsup://directions/FAT Viewer?action=UPDATE&amp;creator=factset&amp;DYN_ARGS=TRUE&amp;DOC_NAME=FAT:FQL_AUDITING_CLIENT_TEMPLATE.FAT&amp;display_string=Audit&amp;VAR:KEY=OZYTCHERUV&amp;VAR:QUERY=RkZfRU5UUlBSX1ZBTF9FQklUREEoJ0FOTicsMCwsLCwnVVNEJyk=&amp;WINDOW=FIRST_POPUP&amp;HEIGHT=450&amp;WI","DTH=450&amp;START_MAXIMIZED=FALSE&amp;VAR:CALENDAR=US&amp;VAR:SYMBOL=525824&amp;VAR:INDEX=0"}</definedName>
    <definedName name="_92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158"}</definedName>
    <definedName name="_92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157"}</definedName>
    <definedName name="_92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156"}</definedName>
    <definedName name="_92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155"}</definedName>
    <definedName name="_92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154"}</definedName>
    <definedName name="_92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153"}</definedName>
    <definedName name="_92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152"}</definedName>
    <definedName name="_92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151"}</definedName>
    <definedName name="_92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150"}</definedName>
    <definedName name="_92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2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149"}</definedName>
    <definedName name="_93__FDSAUDITLINK__" localSheetId="9" hidden="1">{"fdsup://Directions/FactSet Auditing Viewer?action=AUDIT_VALUE&amp;DB=129&amp;ID1=09702310&amp;VALUEID=02001&amp;SDATE=201103&amp;PERIODTYPE=QTR_STD&amp;SCFT=3&amp;window=popup_no_bar&amp;width=385&amp;height=120&amp;START_MAXIMIZED=FALSE&amp;creator=factset&amp;display_string=Audit"}</definedName>
    <definedName name="_93__FDSAUDITLINK__" localSheetId="8" hidden="1">{"fdsup://Directions/FactSet Auditing Viewer?action=AUDIT_VALUE&amp;DB=129&amp;ID1=09702310&amp;VALUEID=02001&amp;SDATE=201103&amp;PERIODTYPE=QTR_STD&amp;SCFT=3&amp;window=popup_no_bar&amp;width=385&amp;height=120&amp;START_MAXIMIZED=FALSE&amp;creator=factset&amp;display_string=Audit"}</definedName>
    <definedName name="_93__FDSAUDITLINK__" localSheetId="6" hidden="1">{"fdsup://directions/FAT Viewer?action=UPDATE&amp;creator=factset&amp;DYN_ARGS=TRUE&amp;DOC_NAME=FAT:FQL_AUDITING_CLIENT_TEMPLATE.FAT&amp;display_string=Audit&amp;VAR:KEY=OXYVSFERAT&amp;VAR:QUERY=RkZfREVCVF9FQklUREEoJ0FOTicsMCwsLCwnVVNEJyk=&amp;WINDOW=FIRST_POPUP&amp;HEIGHT=450&amp;WIDTH=450&amp;","START_MAXIMIZED=FALSE&amp;VAR:CALENDAR=US&amp;VAR:SYMBOL=525824&amp;VAR:INDEX=0"}</definedName>
    <definedName name="_93__FDSAUDITLINK__" localSheetId="5" hidden="1">{"fdsup://Directions/FactSet Auditing Viewer?action=AUDIT_VALUE&amp;DB=129&amp;ID1=09702310&amp;VALUEID=02001&amp;SDATE=201103&amp;PERIODTYPE=QTR_STD&amp;SCFT=3&amp;window=popup_no_bar&amp;width=385&amp;height=120&amp;START_MAXIMIZED=FALSE&amp;creator=factset&amp;display_string=Audit"}</definedName>
    <definedName name="_93__FDSAUDITLINK__" localSheetId="1" hidden="1">{"fdsup://Directions/FactSet Auditing Viewer?action=AUDIT_VALUE&amp;DB=129&amp;ID1=09702310&amp;VALUEID=02001&amp;SDATE=201103&amp;PERIODTYPE=QTR_STD&amp;SCFT=3&amp;window=popup_no_bar&amp;width=385&amp;height=120&amp;START_MAXIMIZED=FALSE&amp;creator=factset&amp;display_string=Audit"}</definedName>
    <definedName name="_93__FDSAUDITLINK__" localSheetId="3" hidden="1">{"fdsup://Directions/FactSet Auditing Viewer?action=AUDIT_VALUE&amp;DB=129&amp;ID1=09702310&amp;VALUEID=02001&amp;SDATE=201103&amp;PERIODTYPE=QTR_STD&amp;SCFT=3&amp;window=popup_no_bar&amp;width=385&amp;height=120&amp;START_MAXIMIZED=FALSE&amp;creator=factset&amp;display_string=Audit"}</definedName>
    <definedName name="_93__FDSAUDITLINK__" hidden="1">{"fdsup://directions/FAT Viewer?action=UPDATE&amp;creator=factset&amp;DYN_ARGS=TRUE&amp;DOC_NAME=FAT:FQL_AUDITING_CLIENT_TEMPLATE.FAT&amp;display_string=Audit&amp;VAR:KEY=OXYVSFERAT&amp;VAR:QUERY=RkZfREVCVF9FQklUREEoJ0FOTicsMCwsLCwnVVNEJyk=&amp;WINDOW=FIRST_POPUP&amp;HEIGHT=450&amp;WIDTH=450&amp;","START_MAXIMIZED=FALSE&amp;VAR:CALENDAR=US&amp;VAR:SYMBOL=525824&amp;VAR:INDEX=0"}</definedName>
    <definedName name="_93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148"}</definedName>
    <definedName name="_93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147"}</definedName>
    <definedName name="_93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146"}</definedName>
    <definedName name="_93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145"}</definedName>
    <definedName name="_93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144"}</definedName>
    <definedName name="_93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143"}</definedName>
    <definedName name="_93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142"}</definedName>
    <definedName name="_93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141"}</definedName>
    <definedName name="_93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140"}</definedName>
    <definedName name="_93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3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139"}</definedName>
    <definedName name="_94__FDSAUDITLINK__" localSheetId="9" hidden="1">{"fdsup://Directions/FactSet Auditing Viewer?action=AUDIT_VALUE&amp;DB=129&amp;ID1=19239V30&amp;VALUEID=03245&amp;SDATE=201104&amp;PERIODTYPE=QTR_STD&amp;SCFT=3&amp;window=popup_no_bar&amp;width=385&amp;height=120&amp;START_MAXIMIZED=FALSE&amp;creator=factset&amp;display_string=Audit"}</definedName>
    <definedName name="_94__FDSAUDITLINK__" localSheetId="8" hidden="1">{"fdsup://Directions/FactSet Auditing Viewer?action=AUDIT_VALUE&amp;DB=129&amp;ID1=19239V30&amp;VALUEID=03245&amp;SDATE=201104&amp;PERIODTYPE=QTR_STD&amp;SCFT=3&amp;window=popup_no_bar&amp;width=385&amp;height=120&amp;START_MAXIMIZED=FALSE&amp;creator=factset&amp;display_string=Audit"}</definedName>
    <definedName name="_94__FDSAUDITLINK__" localSheetId="6" hidden="1">{"fdsup://directions/FAT Viewer?action=UPDATE&amp;creator=factset&amp;DYN_ARGS=TRUE&amp;DOC_NAME=FAT:FQL_AUDITING_CLIENT_TEMPLATE.FAT&amp;display_string=Audit&amp;VAR:KEY=CLGXMTUFWB&amp;VAR:QUERY=RkZfTFREX1RDQVAoJ0FOTicsMCk=&amp;WINDOW=FIRST_POPUP&amp;HEIGHT=450&amp;WIDTH=450&amp;START_MAXIMIZED=","FALSE&amp;VAR:CALENDAR=US&amp;VAR:SYMBOL=525824&amp;VAR:INDEX=0"}</definedName>
    <definedName name="_94__FDSAUDITLINK__" localSheetId="5" hidden="1">{"fdsup://Directions/FactSet Auditing Viewer?action=AUDIT_VALUE&amp;DB=129&amp;ID1=19239V30&amp;VALUEID=03245&amp;SDATE=201104&amp;PERIODTYPE=QTR_STD&amp;SCFT=3&amp;window=popup_no_bar&amp;width=385&amp;height=120&amp;START_MAXIMIZED=FALSE&amp;creator=factset&amp;display_string=Audit"}</definedName>
    <definedName name="_94__FDSAUDITLINK__" localSheetId="1" hidden="1">{"fdsup://Directions/FactSet Auditing Viewer?action=AUDIT_VALUE&amp;DB=129&amp;ID1=19239V30&amp;VALUEID=03245&amp;SDATE=201104&amp;PERIODTYPE=QTR_STD&amp;SCFT=3&amp;window=popup_no_bar&amp;width=385&amp;height=120&amp;START_MAXIMIZED=FALSE&amp;creator=factset&amp;display_string=Audit"}</definedName>
    <definedName name="_94__FDSAUDITLINK__" localSheetId="3" hidden="1">{"fdsup://Directions/FactSet Auditing Viewer?action=AUDIT_VALUE&amp;DB=129&amp;ID1=19239V30&amp;VALUEID=03245&amp;SDATE=201104&amp;PERIODTYPE=QTR_STD&amp;SCFT=3&amp;window=popup_no_bar&amp;width=385&amp;height=120&amp;START_MAXIMIZED=FALSE&amp;creator=factset&amp;display_string=Audit"}</definedName>
    <definedName name="_94__FDSAUDITLINK__" hidden="1">{"fdsup://directions/FAT Viewer?action=UPDATE&amp;creator=factset&amp;DYN_ARGS=TRUE&amp;DOC_NAME=FAT:FQL_AUDITING_CLIENT_TEMPLATE.FAT&amp;display_string=Audit&amp;VAR:KEY=CLGXMTUFWB&amp;VAR:QUERY=RkZfTFREX1RDQVAoJ0FOTicsMCk=&amp;WINDOW=FIRST_POPUP&amp;HEIGHT=450&amp;WIDTH=450&amp;START_MAXIMIZED=","FALSE&amp;VAR:CALENDAR=US&amp;VAR:SYMBOL=525824&amp;VAR:INDEX=0"}</definedName>
    <definedName name="_94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138"}</definedName>
    <definedName name="_94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137"}</definedName>
    <definedName name="_94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136"}</definedName>
    <definedName name="_94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135"}</definedName>
    <definedName name="_94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134"}</definedName>
    <definedName name="_94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133"}</definedName>
    <definedName name="_94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132"}</definedName>
    <definedName name="_94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131"}</definedName>
    <definedName name="_94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130"}</definedName>
    <definedName name="_94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4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129"}</definedName>
    <definedName name="_95__FDSAUDITLINK__" localSheetId="9"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localSheetId="8"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localSheetId="6"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localSheetId="5"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localSheetId="1"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localSheetId="3"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__FDSAUDITLINK__" hidden="1">{"fdsup://directions/FAT Viewer?action=UPDATE&amp;creator=factset&amp;DYN_ARGS=TRUE&amp;DOC_NAME=FAT:FQL_AUDITING_CLIENT_TEMPLATE.FAT&amp;display_string=Audit&amp;VAR:KEY=IHUXSNABWL&amp;VAR:QUERY=RkZfRU5UUlBSX1ZBTF9EQUlMWSgwLCwsLCdVU0QnLCdESUwnKQ==&amp;WINDOW=FIRST_POPUP&amp;HEIGHT=450&amp;WI","DTH=450&amp;START_MAXIMIZED=FALSE&amp;VAR:CALENDAR=US&amp;VAR:SYMBOL=525824&amp;VAR:INDEX=0"}</definedName>
    <definedName name="_95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128"}</definedName>
    <definedName name="_95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127"}</definedName>
    <definedName name="_95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126"}</definedName>
    <definedName name="_95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125"}</definedName>
    <definedName name="_95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124"}</definedName>
    <definedName name="_95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123"}</definedName>
    <definedName name="_95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122"}</definedName>
    <definedName name="_95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121"}</definedName>
    <definedName name="_95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120"}</definedName>
    <definedName name="_95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5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119"}</definedName>
    <definedName name="_96__FDSAUDITLINK__" localSheetId="9"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localSheetId="8"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localSheetId="6"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localSheetId="5"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localSheetId="1"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localSheetId="3"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__FDSAUDITLINK__" hidden="1">{"fdsup://directions/FAT Viewer?action=UPDATE&amp;creator=factset&amp;DYN_ARGS=TRUE&amp;DOC_NAME=FAT:FQL_AUDITING_CLIENT_TEMPLATE.FAT&amp;display_string=Audit&amp;VAR:KEY=OBGJGDAVEH&amp;VAR:QUERY=RkZfRU5UUlBSX1ZBTF9FQklUREEoJ0FOTicsMCwsLCwnVVNEJyk=&amp;WINDOW=FIRST_POPUP&amp;HEIGHT=450&amp;WI","DTH=450&amp;START_MAXIMIZED=FALSE&amp;VAR:CALENDAR=US&amp;VAR:SYMBOL=487416&amp;VAR:INDEX=0"}</definedName>
    <definedName name="_96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118"}</definedName>
    <definedName name="_96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117"}</definedName>
    <definedName name="_96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116"}</definedName>
    <definedName name="_96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115"}</definedName>
    <definedName name="_96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114"}</definedName>
    <definedName name="_96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113"}</definedName>
    <definedName name="_96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112"}</definedName>
    <definedName name="_96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111"}</definedName>
    <definedName name="_96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110"}</definedName>
    <definedName name="_96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6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109"}</definedName>
    <definedName name="_97__FDSAUDITLINK__" localSheetId="9"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localSheetId="8"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localSheetId="6"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localSheetId="5"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localSheetId="1"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localSheetId="3"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__FDSAUDITLINK__" hidden="1">{"fdsup://directions/FAT Viewer?action=UPDATE&amp;creator=factset&amp;DYN_ARGS=TRUE&amp;DOC_NAME=FAT:FQL_AUDITING_CLIENT_TEMPLATE.FAT&amp;display_string=Audit&amp;VAR:KEY=AHEJYREFUL&amp;VAR:QUERY=RkZfREVCVF9FQklUREEoJ0FOTicsMCwsLCwnVVNEJyk=&amp;WINDOW=FIRST_POPUP&amp;HEIGHT=450&amp;WIDTH=450&amp;","START_MAXIMIZED=FALSE&amp;VAR:CALENDAR=US&amp;VAR:SYMBOL=487416&amp;VAR:INDEX=0"}</definedName>
    <definedName name="_97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108"}</definedName>
    <definedName name="_97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107"}</definedName>
    <definedName name="_97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106"}</definedName>
    <definedName name="_97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105"}</definedName>
    <definedName name="_97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104"}</definedName>
    <definedName name="_97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103"}</definedName>
    <definedName name="_97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102"}</definedName>
    <definedName name="_97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101"}</definedName>
    <definedName name="_97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100"}</definedName>
    <definedName name="_97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7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99"}</definedName>
    <definedName name="_98__FDSAUDITLINK__" localSheetId="9" hidden="1">{"fdsup://directions/FAT Viewer?action=UPDATE&amp;creator=factset&amp;DYN_ARGS=TRUE&amp;DOC_NAME=FAT:FQL_AUDITING_CLIENT_TEMPLATE.FAT&amp;display_string=Audit&amp;VAR:KEY=NWZAFGNYHO&amp;VAR:QUERY=RkZfRElWX1lMRChBTk4sTk9XKQ==&amp;WINDOW=FIRST_POPUP&amp;HEIGHT=450&amp;WIDTH=450&amp;START_MAXIMIZED=","FALSE&amp;VAR:CALENDAR=US&amp;VAR:SYMBOL=INAP&amp;VAR:INDEX=0"}</definedName>
    <definedName name="_98__FDSAUDITLINK__" localSheetId="8" hidden="1">{"fdsup://directions/FAT Viewer?action=UPDATE&amp;creator=factset&amp;DYN_ARGS=TRUE&amp;DOC_NAME=FAT:FQL_AUDITING_CLIENT_TEMPLATE.FAT&amp;display_string=Audit&amp;VAR:KEY=NWZAFGNYHO&amp;VAR:QUERY=RkZfRElWX1lMRChBTk4sTk9XKQ==&amp;WINDOW=FIRST_POPUP&amp;HEIGHT=450&amp;WIDTH=450&amp;START_MAXIMIZED=","FALSE&amp;VAR:CALENDAR=US&amp;VAR:SYMBOL=INAP&amp;VAR:INDEX=0"}</definedName>
    <definedName name="_98__FDSAUDITLINK__" localSheetId="6" hidden="1">{"fdsup://directions/FAT Viewer?action=UPDATE&amp;creator=factset&amp;DYN_ARGS=TRUE&amp;DOC_NAME=FAT:FQL_AUDITING_CLIENT_TEMPLATE.FAT&amp;display_string=Audit&amp;VAR:KEY=KJUDSVIZCP&amp;VAR:QUERY=RkZfTFREX1RDQVAoJ0FOTicsMCk=&amp;WINDOW=FIRST_POPUP&amp;HEIGHT=450&amp;WIDTH=450&amp;START_MAXIMIZED=","FALSE&amp;VAR:CALENDAR=US&amp;VAR:SYMBOL=487416&amp;VAR:INDEX=0"}</definedName>
    <definedName name="_98__FDSAUDITLINK__" localSheetId="5" hidden="1">{"fdsup://directions/FAT Viewer?action=UPDATE&amp;creator=factset&amp;DYN_ARGS=TRUE&amp;DOC_NAME=FAT:FQL_AUDITING_CLIENT_TEMPLATE.FAT&amp;display_string=Audit&amp;VAR:KEY=NWZAFGNYHO&amp;VAR:QUERY=RkZfRElWX1lMRChBTk4sTk9XKQ==&amp;WINDOW=FIRST_POPUP&amp;HEIGHT=450&amp;WIDTH=450&amp;START_MAXIMIZED=","FALSE&amp;VAR:CALENDAR=US&amp;VAR:SYMBOL=INAP&amp;VAR:INDEX=0"}</definedName>
    <definedName name="_98__FDSAUDITLINK__" localSheetId="1" hidden="1">{"fdsup://directions/FAT Viewer?action=UPDATE&amp;creator=factset&amp;DYN_ARGS=TRUE&amp;DOC_NAME=FAT:FQL_AUDITING_CLIENT_TEMPLATE.FAT&amp;display_string=Audit&amp;VAR:KEY=NWZAFGNYHO&amp;VAR:QUERY=RkZfRElWX1lMRChBTk4sTk9XKQ==&amp;WINDOW=FIRST_POPUP&amp;HEIGHT=450&amp;WIDTH=450&amp;START_MAXIMIZED=","FALSE&amp;VAR:CALENDAR=US&amp;VAR:SYMBOL=INAP&amp;VAR:INDEX=0"}</definedName>
    <definedName name="_98__FDSAUDITLINK__" localSheetId="3" hidden="1">{"fdsup://directions/FAT Viewer?action=UPDATE&amp;creator=factset&amp;DYN_ARGS=TRUE&amp;DOC_NAME=FAT:FQL_AUDITING_CLIENT_TEMPLATE.FAT&amp;display_string=Audit&amp;VAR:KEY=NWZAFGNYHO&amp;VAR:QUERY=RkZfRElWX1lMRChBTk4sTk9XKQ==&amp;WINDOW=FIRST_POPUP&amp;HEIGHT=450&amp;WIDTH=450&amp;START_MAXIMIZED=","FALSE&amp;VAR:CALENDAR=US&amp;VAR:SYMBOL=INAP&amp;VAR:INDEX=0"}</definedName>
    <definedName name="_98__FDSAUDITLINK__" hidden="1">{"fdsup://directions/FAT Viewer?action=UPDATE&amp;creator=factset&amp;DYN_ARGS=TRUE&amp;DOC_NAME=FAT:FQL_AUDITING_CLIENT_TEMPLATE.FAT&amp;display_string=Audit&amp;VAR:KEY=KJUDSVIZCP&amp;VAR:QUERY=RkZfTFREX1RDQVAoJ0FOTicsMCk=&amp;WINDOW=FIRST_POPUP&amp;HEIGHT=450&amp;WIDTH=450&amp;START_MAXIMIZED=","FALSE&amp;VAR:CALENDAR=US&amp;VAR:SYMBOL=487416&amp;VAR:INDEX=0"}</definedName>
    <definedName name="_98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98"}</definedName>
    <definedName name="_98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97"}</definedName>
    <definedName name="_98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96"}</definedName>
    <definedName name="_98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95"}</definedName>
    <definedName name="_98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94"}</definedName>
    <definedName name="_98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93"}</definedName>
    <definedName name="_98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92"}</definedName>
    <definedName name="_98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91"}</definedName>
    <definedName name="_98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90"}</definedName>
    <definedName name="_98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89"}</definedName>
    <definedName name="_98QTR" localSheetId="9">#REF!</definedName>
    <definedName name="_98QTR" localSheetId="8">#REF!</definedName>
    <definedName name="_98QTR" localSheetId="5">#REF!</definedName>
    <definedName name="_98QTR" localSheetId="3">#REF!</definedName>
    <definedName name="_98QTR">#REF!</definedName>
    <definedName name="_99__FDSAUDITLINK__" localSheetId="9"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localSheetId="8"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localSheetId="6"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localSheetId="5"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localSheetId="1"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localSheetId="3"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__FDSAUDITLINK__" hidden="1">{"fdsup://directions/FAT Viewer?action=UPDATE&amp;creator=factset&amp;DYN_ARGS=TRUE&amp;DOC_NAME=FAT:FQL_AUDITING_CLIENT_TEMPLATE.FAT&amp;display_string=Audit&amp;VAR:KEY=KNKBYPMHAH&amp;VAR:QUERY=RkZfRU5UUlBSX1ZBTF9EQUlMWSgwLCwsLCdVU0QnLCdESUwnKQ==&amp;WINDOW=FIRST_POPUP&amp;HEIGHT=450&amp;WI","DTH=450&amp;START_MAXIMIZED=FALSE&amp;VAR:CALENDAR=US&amp;VAR:SYMBOL=487416&amp;VAR:INDEX=0"}</definedName>
    <definedName name="_990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0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88"}</definedName>
    <definedName name="_991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1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87"}</definedName>
    <definedName name="_992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2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86"}</definedName>
    <definedName name="_993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3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85"}</definedName>
    <definedName name="_994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4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84"}</definedName>
    <definedName name="_995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5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83"}</definedName>
    <definedName name="_996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6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82"}</definedName>
    <definedName name="_997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7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81"}</definedName>
    <definedName name="_998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8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80"}</definedName>
    <definedName name="_999__FDSAUDITLINK__"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9__FDSAUDITLINK__"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79"}</definedName>
    <definedName name="_99PROD" localSheetId="9">#REF!</definedName>
    <definedName name="_99PROD" localSheetId="8">#REF!</definedName>
    <definedName name="_99PROD" localSheetId="5">#REF!</definedName>
    <definedName name="_99PROD" localSheetId="3">#REF!</definedName>
    <definedName name="_99PROD">#REF!</definedName>
    <definedName name="_99QTR" localSheetId="5">#REF!</definedName>
    <definedName name="_99QTR">#REF!</definedName>
    <definedName name="_bdm.006068810A684703AD878C3603F5270A.edm" localSheetId="5" hidden="1">#REF!</definedName>
    <definedName name="_bdm.006068810A684703AD878C3603F5270A.edm" hidden="1">#REF!</definedName>
    <definedName name="_bdm.0166e7d26353427fb287607c38e790bf.edm" localSheetId="5" hidden="1">#REF!</definedName>
    <definedName name="_bdm.0166e7d26353427fb287607c38e790bf.edm" hidden="1">#REF!</definedName>
    <definedName name="_bdm.017601b347ca43bda4d12deaeafc84fb.edm" hidden="1">#REF!</definedName>
    <definedName name="_bdm.030d20a6371f44cca7eaa51bc3c3a1db.edm" localSheetId="9" hidden="1">#REF!</definedName>
    <definedName name="_bdm.030d20a6371f44cca7eaa51bc3c3a1db.edm" localSheetId="8" hidden="1">#REF!</definedName>
    <definedName name="_bdm.030d20a6371f44cca7eaa51bc3c3a1db.edm" localSheetId="5" hidden="1">#REF!</definedName>
    <definedName name="_bdm.030d20a6371f44cca7eaa51bc3c3a1db.edm" localSheetId="3" hidden="1">#REF!</definedName>
    <definedName name="_bdm.030d20a6371f44cca7eaa51bc3c3a1db.edm" hidden="1">#REF!</definedName>
    <definedName name="_bdm.04E29D3B0FDA489F9E4B6E8069B77416.edm" localSheetId="5" hidden="1">Comps!$A$1:$AM$39</definedName>
    <definedName name="_bdm.087fd407cf294fbdb8f543c43190c868.edm" hidden="1">#REF!</definedName>
    <definedName name="_bdm.088fa5f807934eb6af19f06f75b0ecce.edm" hidden="1">#REF!</definedName>
    <definedName name="_bdm.08f25f2486d54acbba973200262f794e.edm" localSheetId="9" hidden="1">#REF!</definedName>
    <definedName name="_bdm.08f25f2486d54acbba973200262f794e.edm" localSheetId="8" hidden="1">#REF!</definedName>
    <definedName name="_bdm.08f25f2486d54acbba973200262f794e.edm" localSheetId="5" hidden="1">#REF!</definedName>
    <definedName name="_bdm.08f25f2486d54acbba973200262f794e.edm" localSheetId="1" hidden="1">#REF!</definedName>
    <definedName name="_bdm.08f25f2486d54acbba973200262f794e.edm" localSheetId="3" hidden="1">#REF!</definedName>
    <definedName name="_bdm.08f25f2486d54acbba973200262f794e.edm" hidden="1">#REF!</definedName>
    <definedName name="_bdm.0a6acbbe184945148f7023788676fd8c.edm" localSheetId="5" hidden="1">#REF!</definedName>
    <definedName name="_bdm.0a6acbbe184945148f7023788676fd8c.edm" hidden="1">#REF!</definedName>
    <definedName name="_bdm.0a83e4c0e9cd448b97fe3b6ab419ae99.edm" localSheetId="5" hidden="1">#REF!</definedName>
    <definedName name="_bdm.0a83e4c0e9cd448b97fe3b6ab419ae99.edm" hidden="1">#REF!</definedName>
    <definedName name="_bdm.0BB1FDE14EF54E40809BB22CE883EFFE.edm" localSheetId="5" hidden="1">#REF!</definedName>
    <definedName name="_bdm.0BB1FDE14EF54E40809BB22CE883EFFE.edm" hidden="1">#REF!</definedName>
    <definedName name="_bdm.0CD22C43468443FEBBAFFC5B70D77CB8.edm" localSheetId="5" hidden="1">#REF!</definedName>
    <definedName name="_bdm.0CD22C43468443FEBBAFFC5B70D77CB8.edm" hidden="1">#REF!</definedName>
    <definedName name="_bdm.12b750d3bacc43ed84157db1b601b5ed.edm" localSheetId="5" hidden="1">#REF!</definedName>
    <definedName name="_bdm.12b750d3bacc43ed84157db1b601b5ed.edm" hidden="1">#REF!</definedName>
    <definedName name="_bdm.1322285677F640D4AA7E93B43B31D79E.edm" localSheetId="5" hidden="1">Comps!$A$1:$AM$37</definedName>
    <definedName name="_bdm.144eeb63ed774ced8ea101e0a5f9c69a.edm" hidden="1">#REF!</definedName>
    <definedName name="_bdm.15fefc532476482381572578d8b6e88e.edm" localSheetId="5" hidden="1">Comps!$A$1:$AN$39</definedName>
    <definedName name="_bdm.17d050a8e9884eaaa0b7b1ef11d3bdcb.edm" localSheetId="5" hidden="1">Comps!$A$1:$AN$40</definedName>
    <definedName name="_bdm.1B70B8ED1C05417EAEC3A9BC7CF5E00A.edm" localSheetId="9" hidden="1">#REF!</definedName>
    <definedName name="_bdm.1B70B8ED1C05417EAEC3A9BC7CF5E00A.edm" localSheetId="8" hidden="1">#REF!</definedName>
    <definedName name="_bdm.1B70B8ED1C05417EAEC3A9BC7CF5E00A.edm" localSheetId="5" hidden="1">#REF!</definedName>
    <definedName name="_bdm.1B70B8ED1C05417EAEC3A9BC7CF5E00A.edm" localSheetId="3" hidden="1">#REF!</definedName>
    <definedName name="_bdm.1B70B8ED1C05417EAEC3A9BC7CF5E00A.edm" hidden="1">#REF!</definedName>
    <definedName name="_bdm.1b80431ba21f43968b0ebc2e550e248b.edm" hidden="1">#REF!</definedName>
    <definedName name="_bdm.1e54940143794b6ebd8da19deed680ca.edm" localSheetId="5" hidden="1">#REF!</definedName>
    <definedName name="_bdm.1e54940143794b6ebd8da19deed680ca.edm" hidden="1">#REF!</definedName>
    <definedName name="_bdm.1ff2751c6ec548899676aaffcc43d1d1.edm" hidden="1">#REF!</definedName>
    <definedName name="_bdm.212bf379f48440c4a65d7d4734b379ba.edm" localSheetId="5" hidden="1">#REF!</definedName>
    <definedName name="_bdm.212bf379f48440c4a65d7d4734b379ba.edm" hidden="1">#REF!</definedName>
    <definedName name="_bdm.224dc30a8e5e44cfad11e8eded38d651.edm" localSheetId="5" hidden="1">#REF!</definedName>
    <definedName name="_bdm.224dc30a8e5e44cfad11e8eded38d651.edm" hidden="1">#REF!</definedName>
    <definedName name="_bdm.2256d958294e43739d30de7ab48b894a.edm" localSheetId="5" hidden="1">#REF!</definedName>
    <definedName name="_bdm.2256d958294e43739d30de7ab48b894a.edm" hidden="1">#REF!</definedName>
    <definedName name="_bdm.230b7d785ff04fa481e5ea9972f13e8b.edm" hidden="1">#REF!</definedName>
    <definedName name="_bdm.23d0d8abeafe4b4e85b95e0e8af4c277.edm" localSheetId="5" hidden="1">#REF!</definedName>
    <definedName name="_bdm.23d0d8abeafe4b4e85b95e0e8af4c277.edm" hidden="1">#REF!</definedName>
    <definedName name="_bdm.295b369fa91045f89ba94ec341800c7c.edm" localSheetId="5" hidden="1">#REF!</definedName>
    <definedName name="_bdm.295b369fa91045f89ba94ec341800c7c.edm" hidden="1">#REF!</definedName>
    <definedName name="_bdm.295d6770aa474e09a1f0f56d01abca44.edm" hidden="1">#REF!</definedName>
    <definedName name="_bdm.2c546e7557d147118e3915b21c8d31b3.edm" localSheetId="5" hidden="1">#REF!</definedName>
    <definedName name="_bdm.2c546e7557d147118e3915b21c8d31b3.edm" hidden="1">#REF!</definedName>
    <definedName name="_bdm.2d3c491de5ed4c5f9ce2f13048bbe917.edm" localSheetId="5" hidden="1">#REF!</definedName>
    <definedName name="_bdm.2d3c491de5ed4c5f9ce2f13048bbe917.edm" hidden="1">#REF!</definedName>
    <definedName name="_bdm.30e91eb3e9ef43abb8aa40785a6055e7.edm" localSheetId="5" hidden="1">#REF!</definedName>
    <definedName name="_bdm.30e91eb3e9ef43abb8aa40785a6055e7.edm" hidden="1">#REF!</definedName>
    <definedName name="_bdm.335641bd9b84459c9bab9c469fb0442c.edm" localSheetId="5" hidden="1">#REF!</definedName>
    <definedName name="_bdm.335641bd9b84459c9bab9c469fb0442c.edm" hidden="1">#REF!</definedName>
    <definedName name="_bdm.345E89F248A7434291435C47FA3C962D.edm" localSheetId="5" hidden="1">#REF!</definedName>
    <definedName name="_bdm.345E89F248A7434291435C47FA3C962D.edm" hidden="1">#REF!</definedName>
    <definedName name="_bdm.35f33672dae74e47ad543d48133d1b93.edm" localSheetId="5" hidden="1">#REF!</definedName>
    <definedName name="_bdm.35f33672dae74e47ad543d48133d1b93.edm" hidden="1">#REF!</definedName>
    <definedName name="_bdm.362ee4161fde40be9a69daef7fb97737.edm" localSheetId="5" hidden="1">#REF!</definedName>
    <definedName name="_bdm.362ee4161fde40be9a69daef7fb97737.edm" hidden="1">#REF!</definedName>
    <definedName name="_bdm.37533595769044598d436fbf1d00eae3.edm" localSheetId="5" hidden="1">#REF!</definedName>
    <definedName name="_bdm.37533595769044598d436fbf1d00eae3.edm" hidden="1">#REF!</definedName>
    <definedName name="_bdm.3bb0c9bbd04a42048f1a1e4870fddae9.edm" localSheetId="5" hidden="1">Comps!$A$5:$AD$39</definedName>
    <definedName name="_bdm.3EEE7ADF017E4995B8DDDFAA4CDDE688.edm" localSheetId="9" hidden="1">#REF!</definedName>
    <definedName name="_bdm.3EEE7ADF017E4995B8DDDFAA4CDDE688.edm" localSheetId="8" hidden="1">#REF!</definedName>
    <definedName name="_bdm.3EEE7ADF017E4995B8DDDFAA4CDDE688.edm" localSheetId="5" hidden="1">#REF!</definedName>
    <definedName name="_bdm.3EEE7ADF017E4995B8DDDFAA4CDDE688.edm" localSheetId="3" hidden="1">#REF!</definedName>
    <definedName name="_bdm.3EEE7ADF017E4995B8DDDFAA4CDDE688.edm" hidden="1">#REF!</definedName>
    <definedName name="_bdm.3F5873F92D20428FA5A8B938795A584C.edm" localSheetId="5" hidden="1">#REF!</definedName>
    <definedName name="_bdm.3F5873F92D20428FA5A8B938795A584C.edm" hidden="1">#REF!</definedName>
    <definedName name="_bdm.4054092c193a4e55889851b110221141.edm" hidden="1">#REF!</definedName>
    <definedName name="_bdm.4294f4caf76247e388b24c4ff54ea358.edm" localSheetId="5" hidden="1">#REF!</definedName>
    <definedName name="_bdm.4294f4caf76247e388b24c4ff54ea358.edm" hidden="1">#REF!</definedName>
    <definedName name="_bdm.433890de05424728925ab81358c74e8d.edm" localSheetId="5" hidden="1">#REF!</definedName>
    <definedName name="_bdm.433890de05424728925ab81358c74e8d.edm" hidden="1">#REF!</definedName>
    <definedName name="_bdm.440956d23be1452f8cb30567e071ece7.edm" localSheetId="5" hidden="1">#REF!</definedName>
    <definedName name="_bdm.440956d23be1452f8cb30567e071ece7.edm" hidden="1">#REF!</definedName>
    <definedName name="_bdm.47498a842c694693a3ad362bafb3f79d.edm" localSheetId="5" hidden="1">#REF!</definedName>
    <definedName name="_bdm.47498a842c694693a3ad362bafb3f79d.edm" hidden="1">#REF!</definedName>
    <definedName name="_bdm.48d1c17efb054056a4c71c6b311243aa.edm" localSheetId="5" hidden="1">#REF!</definedName>
    <definedName name="_bdm.48d1c17efb054056a4c71c6b311243aa.edm" hidden="1">#REF!</definedName>
    <definedName name="_bdm.4b40c5cc9f84471d9560729df7753367.edm" localSheetId="5" hidden="1">#REF!</definedName>
    <definedName name="_bdm.4b40c5cc9f84471d9560729df7753367.edm" hidden="1">#REF!</definedName>
    <definedName name="_bdm.4b773da8bb7a4ad5b2e17c0df3917ca6.edm" localSheetId="5" hidden="1">#REF!</definedName>
    <definedName name="_bdm.4b773da8bb7a4ad5b2e17c0df3917ca6.edm" hidden="1">#REF!</definedName>
    <definedName name="_bdm.4bdd0ccc3f2645f7afc070061fe76c32.edm" localSheetId="5" hidden="1">#REF!</definedName>
    <definedName name="_bdm.4bdd0ccc3f2645f7afc070061fe76c32.edm" hidden="1">#REF!</definedName>
    <definedName name="_bdm.4FCC5619A3A34FCA9CD37DB3FACFDA00.edm" localSheetId="5" hidden="1">#REF!</definedName>
    <definedName name="_bdm.4FCC5619A3A34FCA9CD37DB3FACFDA00.edm" hidden="1">#REF!</definedName>
    <definedName name="_bdm.4fdb0b4e2cbc4358be3475ea6f3c0c12.edm" hidden="1">#REF!</definedName>
    <definedName name="_bdm.510C21F98804451E9AC7922B00F43A13.edm" localSheetId="5" hidden="1">#REF!</definedName>
    <definedName name="_bdm.510C21F98804451E9AC7922B00F43A13.edm" hidden="1">#REF!</definedName>
    <definedName name="_bdm.51f8ae84cce84487a8a4b1379ffe3b52.edm" localSheetId="5" hidden="1">#REF!</definedName>
    <definedName name="_bdm.51f8ae84cce84487a8a4b1379ffe3b52.edm" hidden="1">#REF!</definedName>
    <definedName name="_bdm.547f833110f04b268bb10691004c6838.edm" hidden="1">#REF!</definedName>
    <definedName name="_bdm.5B3E0703793D489ABF95AE50FAF70CFE.edm" localSheetId="5" hidden="1">#REF!</definedName>
    <definedName name="_bdm.5B3E0703793D489ABF95AE50FAF70CFE.edm" hidden="1">#REF!</definedName>
    <definedName name="_bdm.5b499d4ed96f46b8a95727a4058b089f.edm" localSheetId="5" hidden="1">#REF!</definedName>
    <definedName name="_bdm.5b499d4ed96f46b8a95727a4058b089f.edm" hidden="1">#REF!</definedName>
    <definedName name="_bdm.5b9aa183b8934b418660388b22bab23c.edm" localSheetId="5" hidden="1">#REF!</definedName>
    <definedName name="_bdm.5b9aa183b8934b418660388b22bab23c.edm" hidden="1">#REF!</definedName>
    <definedName name="_bdm.5DD5670A197E4233B012A4FA1D31EEE7.edm" localSheetId="5" hidden="1">#REF!</definedName>
    <definedName name="_bdm.5DD5670A197E4233B012A4FA1D31EEE7.edm" hidden="1">#REF!</definedName>
    <definedName name="_bdm.61b3282bc9b04b648099bf230edbcc0c.edm" localSheetId="5" hidden="1">#REF!</definedName>
    <definedName name="_bdm.61b3282bc9b04b648099bf230edbcc0c.edm" hidden="1">#REF!</definedName>
    <definedName name="_bdm.642fcfade25e4feb8ea7f890e96f5024.edm" localSheetId="5" hidden="1">#REF!</definedName>
    <definedName name="_bdm.642fcfade25e4feb8ea7f890e96f5024.edm" hidden="1">#REF!</definedName>
    <definedName name="_bdm.6479a4ad182e4c9baf5749b8395ff067.edm" localSheetId="5" hidden="1">#REF!</definedName>
    <definedName name="_bdm.6479a4ad182e4c9baf5749b8395ff067.edm" hidden="1">#REF!</definedName>
    <definedName name="_bdm.6976cac5924243c89b91d26942c988b4.edm" localSheetId="5" hidden="1">#REF!</definedName>
    <definedName name="_bdm.6976cac5924243c89b91d26942c988b4.edm" hidden="1">#REF!</definedName>
    <definedName name="_bdm.6b761be58c8940e2a11ac495fefce1b0.edm" hidden="1">#REF!</definedName>
    <definedName name="_bdm.6c83e4d1d6744879b393cd1a9c082dab.edm" localSheetId="5" hidden="1">Comps!$1:$1048576</definedName>
    <definedName name="_bdm.6c83e4d1d6744879b393cd1a9c082dab.edm" hidden="1">#REF!</definedName>
    <definedName name="_bdm.6e1e7f0ce82e42c8af6efedc0aef26c9.edm" localSheetId="5" hidden="1">#REF!</definedName>
    <definedName name="_bdm.6e1e7f0ce82e42c8af6efedc0aef26c9.edm" localSheetId="3" hidden="1">#REF!</definedName>
    <definedName name="_bdm.6e1e7f0ce82e42c8af6efedc0aef26c9.edm" hidden="1">#REF!</definedName>
    <definedName name="_bdm.6e1faaced36b471aa71b9699a08d312a.edm" localSheetId="5" hidden="1">#REF!</definedName>
    <definedName name="_bdm.6e1faaced36b471aa71b9699a08d312a.edm" hidden="1">#REF!</definedName>
    <definedName name="_bdm.6ec1c3c9f5b143fdbb8859e7cecef92b.edm" hidden="1">#REF!</definedName>
    <definedName name="_bdm.6F109A44D0224B63BCF6B55E0256FC05.edm" localSheetId="5" hidden="1">#REF!</definedName>
    <definedName name="_bdm.6F109A44D0224B63BCF6B55E0256FC05.edm" hidden="1">#REF!</definedName>
    <definedName name="_bdm.70ac61e9150540838dc530d99dbd1d3a.edm" hidden="1">#REF!</definedName>
    <definedName name="_bdm.7375B8B3C0E741D5A000AF79D1017E58.edm" localSheetId="5" hidden="1">Comps!$A$1:$AM$37</definedName>
    <definedName name="_bdm.74BCC53CA4AC43D59A9B8403F67B1188.edm" localSheetId="9" hidden="1">#REF!</definedName>
    <definedName name="_bdm.74BCC53CA4AC43D59A9B8403F67B1188.edm" localSheetId="8" hidden="1">#REF!</definedName>
    <definedName name="_bdm.74BCC53CA4AC43D59A9B8403F67B1188.edm" localSheetId="5" hidden="1">#REF!</definedName>
    <definedName name="_bdm.74BCC53CA4AC43D59A9B8403F67B1188.edm" localSheetId="3" hidden="1">#REF!</definedName>
    <definedName name="_bdm.74BCC53CA4AC43D59A9B8403F67B1188.edm" hidden="1">#REF!</definedName>
    <definedName name="_bdm.74c69e0f047f4100aef630c82e26b600.edm" hidden="1">#REF!</definedName>
    <definedName name="_bdm.765b9530615d4077bad510fd1a718f67.edm" localSheetId="5" hidden="1">#REF!</definedName>
    <definedName name="_bdm.765b9530615d4077bad510fd1a718f67.edm" hidden="1">#REF!</definedName>
    <definedName name="_bdm.775dcbec8ca04b0ca539e6becb8f19e5.edm" hidden="1">#REF!</definedName>
    <definedName name="_bdm.79ecaf1ba1664d1ab7879c8124a744a0.edm" localSheetId="5" hidden="1">#REF!</definedName>
    <definedName name="_bdm.79ecaf1ba1664d1ab7879c8124a744a0.edm" hidden="1">#REF!</definedName>
    <definedName name="_bdm.7a5746683dc4467888c4e181f1392ff8.edm" localSheetId="5" hidden="1">#REF!</definedName>
    <definedName name="_bdm.7a5746683dc4467888c4e181f1392ff8.edm" hidden="1">#REF!</definedName>
    <definedName name="_bdm.7b4b025e39534b8ba22d286066d8c606.edm" localSheetId="5" hidden="1">#REF!</definedName>
    <definedName name="_bdm.7b4b025e39534b8ba22d286066d8c606.edm" hidden="1">#REF!</definedName>
    <definedName name="_bdm.7BEFDF46697B447AA35EA76C7A145436.edm" localSheetId="5" hidden="1">#REF!</definedName>
    <definedName name="_bdm.7BEFDF46697B447AA35EA76C7A145436.edm" hidden="1">#REF!</definedName>
    <definedName name="_bdm.7d957b5de9494edfbd96ffdf29c90131.edm" localSheetId="5" hidden="1">#REF!</definedName>
    <definedName name="_bdm.7d957b5de9494edfbd96ffdf29c90131.edm" hidden="1">#REF!</definedName>
    <definedName name="_bdm.7E8158BDC8CB4C7B8B1BE6AFA3C6D072.edm" localSheetId="5" hidden="1">#REF!</definedName>
    <definedName name="_bdm.7E8158BDC8CB4C7B8B1BE6AFA3C6D072.edm" hidden="1">#REF!</definedName>
    <definedName name="_bdm.7efd7a10bcf74dc8a1ed9e807f5c12d6.edm" localSheetId="5" hidden="1">#REF!</definedName>
    <definedName name="_bdm.7efd7a10bcf74dc8a1ed9e807f5c12d6.edm" hidden="1">#REF!</definedName>
    <definedName name="_bdm.8003a92e10ef4fe389a59f3b25a1899a.edm" localSheetId="5" hidden="1">#REF!</definedName>
    <definedName name="_bdm.8003a92e10ef4fe389a59f3b25a1899a.edm" hidden="1">#REF!</definedName>
    <definedName name="_bdm.82fe535754e446a1872bb9a2e17573e5.edm" localSheetId="5" hidden="1">#REF!</definedName>
    <definedName name="_bdm.82fe535754e446a1872bb9a2e17573e5.edm" hidden="1">#REF!</definedName>
    <definedName name="_bdm.83e6bea0b02e4e6aa068c6816fff555a.edm" hidden="1">#REF!</definedName>
    <definedName name="_bdm.8671a18fd81a491cbc7a0100cb883a5c.edm" localSheetId="5" hidden="1">#REF!</definedName>
    <definedName name="_bdm.8671a18fd81a491cbc7a0100cb883a5c.edm" hidden="1">#REF!</definedName>
    <definedName name="_bdm.86ebf85cbb824e978731139b76d940d9.edm" hidden="1">#REF!</definedName>
    <definedName name="_bdm.881a00a335ad48fa8f901c38333ea544.edm" localSheetId="5" hidden="1">#REF!</definedName>
    <definedName name="_bdm.881a00a335ad48fa8f901c38333ea544.edm" hidden="1">#REF!</definedName>
    <definedName name="_bdm.897a4ca807514a79b6581aab0ab60f1f.edm" localSheetId="5" hidden="1">#REF!</definedName>
    <definedName name="_bdm.897a4ca807514a79b6581aab0ab60f1f.edm" hidden="1">#REF!</definedName>
    <definedName name="_bdm.8a44b21f8cc647a8aa9b1634e1ab5942.edm" hidden="1">#REF!</definedName>
    <definedName name="_bdm.8ab534bc9909441582978ef4995830ed.edm" localSheetId="5" hidden="1">#REF!</definedName>
    <definedName name="_bdm.8ab534bc9909441582978ef4995830ed.edm" hidden="1">#REF!</definedName>
    <definedName name="_bdm.8d65a6236f7743e19312fe0e3ea74fdd.edm" hidden="1">#REF!</definedName>
    <definedName name="_bdm.9424B86CB679436181525DC98740C3A8.edm" localSheetId="5" hidden="1">#REF!</definedName>
    <definedName name="_bdm.9424B86CB679436181525DC98740C3A8.edm" hidden="1">#REF!</definedName>
    <definedName name="_bdm.95c00f8b0b024cee864ce14eee10b020.edm" localSheetId="5" hidden="1">#REF!</definedName>
    <definedName name="_bdm.95c00f8b0b024cee864ce14eee10b020.edm" hidden="1">#REF!</definedName>
    <definedName name="_bdm.96715489f1a04c329a4ea9cf662f0910.edm" localSheetId="5" hidden="1">#REF!</definedName>
    <definedName name="_bdm.96715489f1a04c329a4ea9cf662f0910.edm" hidden="1">#REF!</definedName>
    <definedName name="_bdm.9788CF449AD44D34907F3C490656ADD4.edm" localSheetId="5" hidden="1">Comps!$A$7:$AM$37</definedName>
    <definedName name="_bdm.980e6fee34bb4af5a7e7c04c8fde8ec2.edm" hidden="1">#REF!</definedName>
    <definedName name="_bdm.982e9aedd7e64d448411570f392770a3.edm" localSheetId="9" hidden="1">#REF!</definedName>
    <definedName name="_bdm.982e9aedd7e64d448411570f392770a3.edm" localSheetId="8" hidden="1">#REF!</definedName>
    <definedName name="_bdm.982e9aedd7e64d448411570f392770a3.edm" localSheetId="5" hidden="1">#REF!</definedName>
    <definedName name="_bdm.982e9aedd7e64d448411570f392770a3.edm" localSheetId="3" hidden="1">#REF!</definedName>
    <definedName name="_bdm.982e9aedd7e64d448411570f392770a3.edm" hidden="1">#REF!</definedName>
    <definedName name="_bdm.9a9348e49e1d4257af466574d76635d1.edm" hidden="1">#REF!</definedName>
    <definedName name="_bdm.9c348cacc29f4ddaa05a9b0ea13eaf30.edm" localSheetId="5" hidden="1">#REF!</definedName>
    <definedName name="_bdm.9c348cacc29f4ddaa05a9b0ea13eaf30.edm" hidden="1">#REF!</definedName>
    <definedName name="_bdm.9ec11d58220d4436b41d8febc589c110.edm" localSheetId="5" hidden="1">#REF!</definedName>
    <definedName name="_bdm.9ec11d58220d4436b41d8febc589c110.edm" hidden="1">#REF!</definedName>
    <definedName name="_bdm.9ec3e16695e34e77988b7e152775cc5d.edm" hidden="1">#REF!</definedName>
    <definedName name="_bdm.a0e5c468208041bdbd1ae5508dc7f17f.edm" localSheetId="5" hidden="1">#REF!</definedName>
    <definedName name="_bdm.a0e5c468208041bdbd1ae5508dc7f17f.edm" hidden="1">#REF!</definedName>
    <definedName name="_bdm.a14a162dadd447e6b133e96685923f10.edm" localSheetId="5" hidden="1">#REF!</definedName>
    <definedName name="_bdm.a14a162dadd447e6b133e96685923f10.edm" hidden="1">#REF!</definedName>
    <definedName name="_bdm.a1bfcb54f934415e98a8d16a05a8fd22.edm" localSheetId="5" hidden="1">#REF!</definedName>
    <definedName name="_bdm.a1bfcb54f934415e98a8d16a05a8fd22.edm" hidden="1">#REF!</definedName>
    <definedName name="_bdm.a3f8565fa045408dbb603126e64d300f.edm" localSheetId="5" hidden="1">#REF!</definedName>
    <definedName name="_bdm.a3f8565fa045408dbb603126e64d300f.edm" hidden="1">#REF!</definedName>
    <definedName name="_bdm.a6844e7cbe0641e6834c3fa16f164809.edm" localSheetId="5" hidden="1">#REF!</definedName>
    <definedName name="_bdm.a6844e7cbe0641e6834c3fa16f164809.edm" hidden="1">#REF!</definedName>
    <definedName name="_bdm.a7eadc8d43a347b2991a35f62c5761bc.edm" localSheetId="5" hidden="1">#REF!</definedName>
    <definedName name="_bdm.a7eadc8d43a347b2991a35f62c5761bc.edm" hidden="1">#REF!</definedName>
    <definedName name="_bdm.AA201E642E594BE49D14EB4FF0A02672.edm" localSheetId="5" hidden="1">#REF!</definedName>
    <definedName name="_bdm.AA201E642E594BE49D14EB4FF0A02672.edm" hidden="1">#REF!</definedName>
    <definedName name="_bdm.AAA9EAD5D705472BB0DBAC23DEAFF39C.edm" localSheetId="5" hidden="1">#REF!</definedName>
    <definedName name="_bdm.AAA9EAD5D705472BB0DBAC23DEAFF39C.edm" hidden="1">#REF!</definedName>
    <definedName name="_bdm.ab3d467b976641799197fd5965931e75.edm" localSheetId="5" hidden="1">#REF!</definedName>
    <definedName name="_bdm.ab3d467b976641799197fd5965931e75.edm" hidden="1">#REF!</definedName>
    <definedName name="_bdm.abefd2b9caba46dfbc9b909ffa5652c8.edm" localSheetId="5" hidden="1">#REF!</definedName>
    <definedName name="_bdm.abefd2b9caba46dfbc9b909ffa5652c8.edm" localSheetId="1" hidden="1">#REF!</definedName>
    <definedName name="_bdm.abefd2b9caba46dfbc9b909ffa5652c8.edm" hidden="1">#REF!</definedName>
    <definedName name="_bdm.ac50421424014fea81bb6b27e610f746.edm" hidden="1">#REF!</definedName>
    <definedName name="_bdm.afdcc38f3d2a4fda9da95358f6875941.edm" hidden="1">#REF!</definedName>
    <definedName name="_bdm.b219e91c5e9f4bbd95ba856965c5602d.edm" localSheetId="5" hidden="1">#REF!</definedName>
    <definedName name="_bdm.b219e91c5e9f4bbd95ba856965c5602d.edm" hidden="1">#REF!</definedName>
    <definedName name="_bdm.B2728A7A10514A59A88EE3F87D79F000.edm" localSheetId="5" hidden="1">#REF!</definedName>
    <definedName name="_bdm.B2728A7A10514A59A88EE3F87D79F000.edm" hidden="1">#REF!</definedName>
    <definedName name="_bdm.b292f82c406346acbdd03fd559682a3b.edm" localSheetId="5" hidden="1">#REF!</definedName>
    <definedName name="_bdm.b292f82c406346acbdd03fd559682a3b.edm" hidden="1">#REF!</definedName>
    <definedName name="_bdm.b50712bb3a104370820835bd6c7b2102.edm" hidden="1">#REF!</definedName>
    <definedName name="_bdm.B9C74987BD834A48AA2E417A8822DABE.edm" localSheetId="5" hidden="1">#REF!</definedName>
    <definedName name="_bdm.B9C74987BD834A48AA2E417A8822DABE.edm" hidden="1">#REF!</definedName>
    <definedName name="_bdm.bba7508e50014e53bbfc3d235f13ca8a.edm" localSheetId="5" hidden="1">#REF!</definedName>
    <definedName name="_bdm.bba7508e50014e53bbfc3d235f13ca8a.edm" hidden="1">#REF!</definedName>
    <definedName name="_bdm.bec33175f8c54a28ab8f1937f70c7f9d.edm" localSheetId="5" hidden="1">#REF!</definedName>
    <definedName name="_bdm.bec33175f8c54a28ab8f1937f70c7f9d.edm" hidden="1">#REF!</definedName>
    <definedName name="_bdm.bf73f27c7e4e4d8e9b6f7dbc68e22d42.edm" localSheetId="5" hidden="1">#REF!</definedName>
    <definedName name="_bdm.bf73f27c7e4e4d8e9b6f7dbc68e22d42.edm" hidden="1">#REF!</definedName>
    <definedName name="_bdm.bfd11af6ea424b069698b3a62e9950ba.edm" localSheetId="5" hidden="1">#REF!</definedName>
    <definedName name="_bdm.bfd11af6ea424b069698b3a62e9950ba.edm" hidden="1">#REF!</definedName>
    <definedName name="_bdm.c554c7403ff04bfd8f6d7f639ccac188.edm" localSheetId="5" hidden="1">#REF!</definedName>
    <definedName name="_bdm.c554c7403ff04bfd8f6d7f639ccac188.edm" hidden="1">#REF!</definedName>
    <definedName name="_bdm.c81a617b5d1a4464a6aaaa4f41850422.edm" hidden="1">#REF!</definedName>
    <definedName name="_bdm.C8F4A380923542F195E701D0BF1C8C21.edm" localSheetId="5" hidden="1">#REF!</definedName>
    <definedName name="_bdm.C8F4A380923542F195E701D0BF1C8C21.edm" hidden="1">#REF!</definedName>
    <definedName name="_bdm.c906f340f1fc40efbe3cbeaf57955ca3.edm" localSheetId="5" hidden="1">#REF!</definedName>
    <definedName name="_bdm.c906f340f1fc40efbe3cbeaf57955ca3.edm" hidden="1">#REF!</definedName>
    <definedName name="_bdm.c91818cf5c0b4c158ebae63c004c3ec6.edm" localSheetId="5" hidden="1">#REF!</definedName>
    <definedName name="_bdm.c91818cf5c0b4c158ebae63c004c3ec6.edm" hidden="1">#REF!</definedName>
    <definedName name="_bdm.cc80a2ae7ab747eb817ccfdfd51796b0.edm" localSheetId="9" hidden="1">#REF!</definedName>
    <definedName name="_bdm.cc80a2ae7ab747eb817ccfdfd51796b0.edm" localSheetId="8" hidden="1">#REF!</definedName>
    <definedName name="_bdm.cc80a2ae7ab747eb817ccfdfd51796b0.edm" localSheetId="5" hidden="1">#REF!</definedName>
    <definedName name="_bdm.cc80a2ae7ab747eb817ccfdfd51796b0.edm" hidden="1">#REF!</definedName>
    <definedName name="_bdm.cceee83031d140229ca150ada17b7a2b.edm" localSheetId="5" hidden="1">#REF!</definedName>
    <definedName name="_bdm.cceee83031d140229ca150ada17b7a2b.edm" hidden="1">#REF!</definedName>
    <definedName name="_bdm.d13dce0aea334df9a9390300c619dd97.edm" localSheetId="5" hidden="1">#REF!</definedName>
    <definedName name="_bdm.d13dce0aea334df9a9390300c619dd97.edm" hidden="1">#REF!</definedName>
    <definedName name="_bdm.d24d5106e19b41eaa90bdd3f3116cf5c.edm" localSheetId="5" hidden="1">#REF!</definedName>
    <definedName name="_bdm.d24d5106e19b41eaa90bdd3f3116cf5c.edm" hidden="1">#REF!</definedName>
    <definedName name="_bdm.D4FABF83B55E4C3E8A8FB2C734760CDF.edm" localSheetId="5" hidden="1">#REF!</definedName>
    <definedName name="_bdm.D4FABF83B55E4C3E8A8FB2C734760CDF.edm" hidden="1">#REF!</definedName>
    <definedName name="_bdm.DA244DA3A025470B87AE0754F7ED192D.edm" localSheetId="5" hidden="1">#REF!</definedName>
    <definedName name="_bdm.DA244DA3A025470B87AE0754F7ED192D.edm" hidden="1">#REF!</definedName>
    <definedName name="_bdm.db5d8d45fa0d43899d697745418bcffe.edm" localSheetId="5" hidden="1">#REF!</definedName>
    <definedName name="_bdm.db5d8d45fa0d43899d697745418bcffe.edm" hidden="1">#REF!</definedName>
    <definedName name="_bdm.de7bedba7e2649f7974cc4142b491c36.edm" localSheetId="5" hidden="1">#REF!</definedName>
    <definedName name="_bdm.de7bedba7e2649f7974cc4142b491c36.edm" hidden="1">#REF!</definedName>
    <definedName name="_bdm.df95a51086674095b90374b402351dc3.edm" localSheetId="5" hidden="1">#REF!</definedName>
    <definedName name="_bdm.df95a51086674095b90374b402351dc3.edm" hidden="1">#REF!</definedName>
    <definedName name="_bdm.E09C622E9D294224B6D980BFA1096493.edm" localSheetId="5" hidden="1">#REF!</definedName>
    <definedName name="_bdm.E09C622E9D294224B6D980BFA1096493.edm" hidden="1">#REF!</definedName>
    <definedName name="_bdm.e0afb11d973945c9847c08b8ba06cab9.edm" localSheetId="5" hidden="1">#REF!</definedName>
    <definedName name="_bdm.e0afb11d973945c9847c08b8ba06cab9.edm" hidden="1">#REF!</definedName>
    <definedName name="_bdm.e376b89499f84bb3a386e13633029eba.edm" localSheetId="5" hidden="1">#REF!</definedName>
    <definedName name="_bdm.e376b89499f84bb3a386e13633029eba.edm" hidden="1">#REF!</definedName>
    <definedName name="_bdm.e581792f05e44731844601eef2d2e066.edm" localSheetId="5" hidden="1">#REF!</definedName>
    <definedName name="_bdm.e581792f05e44731844601eef2d2e066.edm" hidden="1">#REF!</definedName>
    <definedName name="_bdm.e618922a7da2489fa6c7e6c41d9b6413.edm" localSheetId="5" hidden="1">#REF!</definedName>
    <definedName name="_bdm.e618922a7da2489fa6c7e6c41d9b6413.edm" hidden="1">#REF!</definedName>
    <definedName name="_bdm.e7616f5f57cf412aacdc77e1714a6124.edm" localSheetId="5" hidden="1">#REF!</definedName>
    <definedName name="_bdm.e7616f5f57cf412aacdc77e1714a6124.edm" hidden="1">#REF!</definedName>
    <definedName name="_bdm.e8ea5cda0dde4d1daef57d55ee89b50b.edm" hidden="1" xml:space="preserve">              [2]IS!$1:$1048576</definedName>
    <definedName name="_bdm.E96CA8704E924268937A7718A4F26D08.edm" localSheetId="9" hidden="1">#REF!</definedName>
    <definedName name="_bdm.E96CA8704E924268937A7718A4F26D08.edm" localSheetId="8" hidden="1">#REF!</definedName>
    <definedName name="_bdm.E96CA8704E924268937A7718A4F26D08.edm" localSheetId="5" hidden="1">#REF!</definedName>
    <definedName name="_bdm.E96CA8704E924268937A7718A4F26D08.edm" localSheetId="3" hidden="1">#REF!</definedName>
    <definedName name="_bdm.E96CA8704E924268937A7718A4F26D08.edm" hidden="1">#REF!</definedName>
    <definedName name="_bdm.e9a2235510c44965b24740e86f14fad5.edm" localSheetId="5" hidden="1">#REF!</definedName>
    <definedName name="_bdm.e9a2235510c44965b24740e86f14fad5.edm" hidden="1">#REF!</definedName>
    <definedName name="_bdm.ead4fdf81acb47b7beb97d102a6dee99.edm" localSheetId="5" hidden="1">#REF!</definedName>
    <definedName name="_bdm.ead4fdf81acb47b7beb97d102a6dee99.edm" hidden="1">#REF!</definedName>
    <definedName name="_bdm.eb065ae9af224a6591776c3caad5a596.edm" localSheetId="5" hidden="1">#REF!</definedName>
    <definedName name="_bdm.eb065ae9af224a6591776c3caad5a596.edm" hidden="1">#REF!</definedName>
    <definedName name="_bdm.ED985B6296AD4A5A82D0CC6D4FD1620A.edm" localSheetId="5" hidden="1">#REF!</definedName>
    <definedName name="_bdm.ED985B6296AD4A5A82D0CC6D4FD1620A.edm" hidden="1">#REF!</definedName>
    <definedName name="_bdm.EF27A32DB98C4A3E994A419493E2DBF1.edm" localSheetId="5" hidden="1">#REF!</definedName>
    <definedName name="_bdm.EF27A32DB98C4A3E994A419493E2DBF1.edm" hidden="1">#REF!</definedName>
    <definedName name="_bdm.ef42e49b505a49dab15f5b39a4f35563.edm" hidden="1">#REF!</definedName>
    <definedName name="_bdm.f1d3322653f647658e8e5fe81348bb70.edm" localSheetId="5" hidden="1">#REF!</definedName>
    <definedName name="_bdm.f1d3322653f647658e8e5fe81348bb70.edm" hidden="1">#REF!</definedName>
    <definedName name="_bdm.f26bd044ddbb43bc886a670cfd935c8a.edm" localSheetId="5" hidden="1">#REF!</definedName>
    <definedName name="_bdm.f26bd044ddbb43bc886a670cfd935c8a.edm" hidden="1">#REF!</definedName>
    <definedName name="_bdm.f4ecf345d8334b26afb03cd9f2229a97.edm" localSheetId="5" hidden="1">#REF!</definedName>
    <definedName name="_bdm.f4ecf345d8334b26afb03cd9f2229a97.edm" hidden="1">#REF!</definedName>
    <definedName name="_bdm.f55fadb7fb674c819027105d5df5c21e.edm" localSheetId="5" hidden="1">#REF!</definedName>
    <definedName name="_bdm.f55fadb7fb674c819027105d5df5c21e.edm" hidden="1">#REF!</definedName>
    <definedName name="_bdm.f5d78691a7e1458fa921f982ebcde56e.edm" hidden="1">#REF!</definedName>
    <definedName name="_bdm.f5df98d038b44f4e8d526695c87f01df.edm" hidden="1">#REF!</definedName>
    <definedName name="_bdm.f84291ff9bf348d2a6bd636d384388b6.edm" localSheetId="5" hidden="1">#REF!</definedName>
    <definedName name="_bdm.f84291ff9bf348d2a6bd636d384388b6.edm" hidden="1">#REF!</definedName>
    <definedName name="_bdm.fa9134f718e7424ca2849c259e0addc4.edm" localSheetId="5" hidden="1">#REF!</definedName>
    <definedName name="_bdm.fa9134f718e7424ca2849c259e0addc4.edm" hidden="1">#REF!</definedName>
    <definedName name="_bdm.fdbc2786191c427192930cd8a57ff0c1.edm" localSheetId="5" hidden="1">#REF!</definedName>
    <definedName name="_bdm.fdbc2786191c427192930cd8a57ff0c1.edm" hidden="1">#REF!</definedName>
    <definedName name="_bdm.fdca7be78a4040d7b3a0c5032f0456f3.edm" localSheetId="5" hidden="1">#REF!</definedName>
    <definedName name="_bdm.fdca7be78a4040d7b3a0c5032f0456f3.edm" hidden="1">#REF!</definedName>
    <definedName name="_bdm.fe1b9a2f3b1e4553a110ec4d8c0d5091.edm" hidden="1">#REF!</definedName>
    <definedName name="_bdm.ff5aff4d19ef4ffbb148dd708ff21abc.edm" localSheetId="5" hidden="1">#REF!</definedName>
    <definedName name="_bdm.ff5aff4d19ef4ffbb148dd708ff21abc.edm" hidden="1">#REF!</definedName>
    <definedName name="_c00">[3]FLEX!$GG$7:$GG$65536</definedName>
    <definedName name="_c01">[3]FLEX!$GH$7:$GH$65536</definedName>
    <definedName name="_c02">[3]FLEX!$GI$7:$GI$65536</definedName>
    <definedName name="_c03">[3]FLEX!$GJ$7:$GJ$65536</definedName>
    <definedName name="_c2q04">'[4]Qtrly-Annual Metrics'!$AJ$3:$AJ$65536</definedName>
    <definedName name="_c3q04">'[4]Qtrly-Annual Metrics'!$AK$3:$AK$65536</definedName>
    <definedName name="_c4q04">'[4]Qtrly-Annual Metrics'!$AL$3:$AL$65536</definedName>
    <definedName name="_c98">[3]FLEX!$GE$7:$GE$65536</definedName>
    <definedName name="_c99">[3]FLEX!$GF$7:$GF$65536</definedName>
    <definedName name="_dep1">#REF!</definedName>
    <definedName name="_dep10">#REF!</definedName>
    <definedName name="_dep11">#REF!</definedName>
    <definedName name="_dep12">#REF!</definedName>
    <definedName name="_dep13">#REF!</definedName>
    <definedName name="_dep14">#REF!</definedName>
    <definedName name="_dep15">#REF!</definedName>
    <definedName name="_dep16">#REF!</definedName>
    <definedName name="_dep17">#REF!</definedName>
    <definedName name="_dep18">#REF!</definedName>
    <definedName name="_dep19">#REF!</definedName>
    <definedName name="_dep2">#REF!</definedName>
    <definedName name="_dep20">#REF!</definedName>
    <definedName name="_dep21">#REF!</definedName>
    <definedName name="_dep22">#REF!</definedName>
    <definedName name="_dep23">#REF!</definedName>
    <definedName name="_dep3">#REF!</definedName>
    <definedName name="_dep4">#REF!</definedName>
    <definedName name="_dep5">#REF!</definedName>
    <definedName name="_dep6">#REF!</definedName>
    <definedName name="_dep7">#REF!</definedName>
    <definedName name="_dep8">#REF!</definedName>
    <definedName name="_dep9">#REF!</definedName>
    <definedName name="_EPS94">#REF!</definedName>
    <definedName name="_EPS95">#REF!</definedName>
    <definedName name="_EPS96">#REF!</definedName>
    <definedName name="_f1Q00">[3]FLEX!$DD$7:$DD$65536</definedName>
    <definedName name="_f1Q01">[3]FLEX!$DI$7:$DI$65536</definedName>
    <definedName name="_f1Q02">[3]FLEX!$DN$7:$DN$65536</definedName>
    <definedName name="_f1Q03">[3]FLEX!$DS$7:$DS$65536</definedName>
    <definedName name="_f1Q04">[3]FLEX!$DX$7:$DX$65536</definedName>
    <definedName name="_f1q96">[4]CLS!$D$14:$D$65536</definedName>
    <definedName name="_f1q97">[4]CLS!$I$14:$I$65536</definedName>
    <definedName name="_f1Q98">[3]FLEX!$CT$7:$CT$65536</definedName>
    <definedName name="_f1Q99">[3]FLEX!$CY$7:$CY$65536</definedName>
    <definedName name="_f2Q00">[3]FLEX!$DE$7:$DE$65536</definedName>
    <definedName name="_f2Q01">[3]FLEX!$DJ$7:$DJ$65536</definedName>
    <definedName name="_f2Q02">[3]FLEX!$DO$7:$DO$65536</definedName>
    <definedName name="_f2Q03">[3]FLEX!$DT$7:$DT$65536</definedName>
    <definedName name="_f2Q04">[3]FLEX!$DY$7:$DY$65536</definedName>
    <definedName name="_f2q96">[4]CLS!$E$14:$E$65536</definedName>
    <definedName name="_f2q97">[4]CLS!$J$14:$J$65536</definedName>
    <definedName name="_f2Q98">[3]FLEX!$CU$7:$CU$65536</definedName>
    <definedName name="_f2Q99">[3]FLEX!$CZ$7:$CZ$65536</definedName>
    <definedName name="_f3Q00">[3]FLEX!$DF$7:$DF$65536</definedName>
    <definedName name="_f3Q01">[3]FLEX!$DK$7:$DK$65536</definedName>
    <definedName name="_f3Q02">[3]FLEX!$DP$7:$DP$65536</definedName>
    <definedName name="_f3Q03">[3]FLEX!$DU$7:$DU$65536</definedName>
    <definedName name="_f3Q04">[3]FLEX!$DZ$7:$DZ$65536</definedName>
    <definedName name="_f3q96">[4]CLS!$F$14:$F$65536</definedName>
    <definedName name="_f3q97">[4]CLS!$K$14:$K$65536</definedName>
    <definedName name="_f3Q98">[3]FLEX!$CV$7:$CV$65536</definedName>
    <definedName name="_f3Q99">[3]FLEX!$DA$7:$DA$65536</definedName>
    <definedName name="_f4Q00">[3]FLEX!$DG$7:$DG$65536</definedName>
    <definedName name="_f4Q01">[3]FLEX!$DL$7:$DL$65536</definedName>
    <definedName name="_f4Q02">[3]FLEX!$DQ$7:$DQ$65536</definedName>
    <definedName name="_f4Q03">[3]FLEX!$DV$7:$DV$65536</definedName>
    <definedName name="_f4Q04">[3]FLEX!$EA$7:$EA$65536</definedName>
    <definedName name="_f4q96">[4]CLS!$G$14:$G$65536</definedName>
    <definedName name="_f4q97">[4]CLS!$L$14:$L$65536</definedName>
    <definedName name="_f4Q98">[3]FLEX!$CW$7:$CW$65536</definedName>
    <definedName name="_f4Q99">[3]FLEX!$DB$7:$DB$65536</definedName>
    <definedName name="_Fill" hidden="1">#REF!</definedName>
    <definedName name="_fin2000">[5]Sheet1!$P$245</definedName>
    <definedName name="_fin2001">[5]Sheet1!$Q$245</definedName>
    <definedName name="_fin2002">[5]Sheet1!$R$245</definedName>
    <definedName name="_fy00">[3]FLEX!$FW$7:$FW$65536</definedName>
    <definedName name="_fy01">[3]FLEX!$FX$7:$FX$65536</definedName>
    <definedName name="_fy02">[3]FLEX!$FY$7:$FY$65536</definedName>
    <definedName name="_fy03">[3]FLEX!$FZ$7:$FZ$65536</definedName>
    <definedName name="_fy04">[3]FLEX!$GA$7:$GA$65536</definedName>
    <definedName name="_fy96">[4]CLS!$BB$14:$BB$65536</definedName>
    <definedName name="_fy97">[4]CLS!$BC$14:$BC$65536</definedName>
    <definedName name="_fy98">[4]CLS!$BD$14:$BD$65536</definedName>
    <definedName name="_fy99">[3]FLEX!$FV$7:$FV$65536</definedName>
    <definedName name="_inv1999">[5]Sheet1!$K$234</definedName>
    <definedName name="_inv2000">[5]Sheet1!$P$234</definedName>
    <definedName name="_inv2001">[5]Sheet1!$Q$234</definedName>
    <definedName name="_inv2002">[5]Sheet1!$R$234</definedName>
    <definedName name="_Key1" localSheetId="6" hidden="1">#REF!</definedName>
    <definedName name="_Key1" localSheetId="5" hidden="1">#REF!</definedName>
    <definedName name="_Key1" localSheetId="3" hidden="1">#REF!</definedName>
    <definedName name="_Key1" hidden="1">#REF!</definedName>
    <definedName name="_nc3" localSheetId="5">#REF!</definedName>
    <definedName name="_nc3">#REF!</definedName>
    <definedName name="_ops1999">[5]Sheet1!$K$227</definedName>
    <definedName name="_ops2000">[5]Sheet1!$P$227</definedName>
    <definedName name="_ops2001">[5]Sheet1!$Q$227</definedName>
    <definedName name="_ops2002">[5]Sheet1!$R$227</definedName>
    <definedName name="_Order1" hidden="1">255</definedName>
    <definedName name="_Order2" hidden="1">255</definedName>
    <definedName name="_P" localSheetId="9">#REF!</definedName>
    <definedName name="_P" localSheetId="8">#REF!</definedName>
    <definedName name="_P" localSheetId="5">#REF!</definedName>
    <definedName name="_P" localSheetId="3">#REF!</definedName>
    <definedName name="_P">#REF!</definedName>
    <definedName name="_PE1" localSheetId="5">#REF!</definedName>
    <definedName name="_PE1">#REF!</definedName>
    <definedName name="_PE2" localSheetId="5">#REF!</definedName>
    <definedName name="_PE2">#REF!</definedName>
    <definedName name="_PE3" localSheetId="5">#REF!</definedName>
    <definedName name="_PE3">#REF!</definedName>
    <definedName name="_PE4" localSheetId="5">#REF!</definedName>
    <definedName name="_PE4">#REF!</definedName>
    <definedName name="_PE5" localSheetId="5">#REF!</definedName>
    <definedName name="_PE5">#REF!</definedName>
    <definedName name="_PE6" localSheetId="5">#REF!</definedName>
    <definedName name="_PE6">#REF!</definedName>
    <definedName name="_PE7" localSheetId="5">#REF!</definedName>
    <definedName name="_PE7">#REF!</definedName>
    <definedName name="_PE8" localSheetId="5">#REF!</definedName>
    <definedName name="_PE8">#REF!</definedName>
    <definedName name="_PE9" localSheetId="5">#REF!</definedName>
    <definedName name="_PE9">#REF!</definedName>
    <definedName name="_QED2" localSheetId="9" hidden="1">{"QtrModel",#N/A,FALSE,"IS"}</definedName>
    <definedName name="_QED2" localSheetId="8" hidden="1">{"QtrModel",#N/A,FALSE,"IS"}</definedName>
    <definedName name="_QED2" localSheetId="5" hidden="1">{"QtrModel",#N/A,FALSE,"IS"}</definedName>
    <definedName name="_QED2" localSheetId="3" hidden="1">{"QtrModel",#N/A,FALSE,"IS"}</definedName>
    <definedName name="_QED2" hidden="1">{"QtrModel",#N/A,FALSE,"IS"}</definedName>
    <definedName name="_QTR195" localSheetId="6">#REF!</definedName>
    <definedName name="_QTR195">#REF!</definedName>
    <definedName name="_QTR295" localSheetId="6">#REF!</definedName>
    <definedName name="_QTR295">#REF!</definedName>
    <definedName name="_QTR394" localSheetId="6">#REF!</definedName>
    <definedName name="_QTR394">#REF!</definedName>
    <definedName name="_QTR395">#REF!</definedName>
    <definedName name="_QTR494">#REF!</definedName>
    <definedName name="_QTR495">#REF!</definedName>
    <definedName name="_rev1997">[5]Sheet1!#REF!</definedName>
    <definedName name="_rev1998">[5]Sheet1!$F$150</definedName>
    <definedName name="_rev1999">[5]Sheet1!$K$150</definedName>
    <definedName name="_rev2000">[5]Sheet1!$P$150</definedName>
    <definedName name="_rev2001">[5]Sheet1!$Q$150</definedName>
    <definedName name="_rev2002">[5]Sheet1!$R$150</definedName>
    <definedName name="_rev2003">[5]Sheet1!$M$15</definedName>
    <definedName name="_rev2004">[5]Sheet1!$N$15</definedName>
    <definedName name="_rev2005">[5]Sheet1!$O$15</definedName>
    <definedName name="_rev2006">[5]Sheet1!$P$15</definedName>
    <definedName name="_rev2007">[5]Sheet1!$Q$15</definedName>
    <definedName name="_rev2008">[5]Sheet1!$R$15</definedName>
    <definedName name="_RI1">[3]FLEX!$GL$7:$GL$65536</definedName>
    <definedName name="_RI10">[3]FLEX!$GU$7:$GU$65536</definedName>
    <definedName name="_RI11">[3]FLEX!$GV$7:$GV$65536</definedName>
    <definedName name="_RI12">[3]FLEX!$GW$7:$GW$65536</definedName>
    <definedName name="_RI13">[3]FLEX!$GX$7:$GX$65536</definedName>
    <definedName name="_RI14">[3]FLEX!$GY$7:$GY$65536</definedName>
    <definedName name="_RI15">[3]FLEX!$GZ$7:$GZ$65536</definedName>
    <definedName name="_RI16">[4]CLS!$CA$14:$CA$65536</definedName>
    <definedName name="_RI2">[3]FLEX!$GM$7:$GM$65536</definedName>
    <definedName name="_RI3">[3]FLEX!$GN$7:$GN$65536</definedName>
    <definedName name="_RI4">[3]FLEX!$GO$7:$GO$65536</definedName>
    <definedName name="_RI5">[3]FLEX!$GP$7:$GP$65536</definedName>
    <definedName name="_RI6">[3]FLEX!$GQ$7:$GQ$65536</definedName>
    <definedName name="_RI7">[3]FLEX!$GR$7:$GR$65536</definedName>
    <definedName name="_RI8">[3]FLEX!$GS$7:$GS$65536</definedName>
    <definedName name="_RI9">[3]FLEX!$GT$7:$GT$65536</definedName>
    <definedName name="_Sort" localSheetId="6" hidden="1">#REF!</definedName>
    <definedName name="_Sort" localSheetId="5" hidden="1">#REF!</definedName>
    <definedName name="_Sort" localSheetId="3" hidden="1">#REF!</definedName>
    <definedName name="_Sort" hidden="1">#REF!</definedName>
    <definedName name="_SP50">'[6]Stock Perf.'!$K$22:$K$124</definedName>
    <definedName name="_Table1_In1" localSheetId="6" hidden="1">#REF!</definedName>
    <definedName name="_Table1_In1" hidden="1">#REF!</definedName>
    <definedName name="_Table2_In1" localSheetId="6" hidden="1">#REF!</definedName>
    <definedName name="_Table2_In1" hidden="1">#REF!</definedName>
    <definedName name="_Table2_In2" hidden="1">#REF!</definedName>
    <definedName name="_Table2_Out" hidden="1">#REF!</definedName>
    <definedName name="_uk2" localSheetId="8" hidden="1">{"UK1",#N/A,FALSE,"OldBudExpUK";"UK2",#N/A,FALSE,"OldBudExpUK";"UK3",#N/A,FALSE,"OldBudExpUK";"UK4",#N/A,FALSE,"OldBudExpUK";#N/A,#N/A,FALSE,"OldBudExpTV"}</definedName>
    <definedName name="_uk2" localSheetId="6" hidden="1">{"UK1",#N/A,FALSE,"OldBudExpUK";"UK2",#N/A,FALSE,"OldBudExpUK";"UK3",#N/A,FALSE,"OldBudExpUK";"UK4",#N/A,FALSE,"OldBudExpUK";#N/A,#N/A,FALSE,"OldBudExpTV"}</definedName>
    <definedName name="_uk2" hidden="1">{"UK1",#N/A,FALSE,"OldBudExpUK";"UK2",#N/A,FALSE,"OldBudExpUK";"UK3",#N/A,FALSE,"OldBudExpUK";"UK4",#N/A,FALSE,"OldBudExpUK";#N/A,#N/A,FALSE,"OldBudExpTV"}</definedName>
    <definedName name="_x10" localSheetId="8" hidden="1">{"'Sheet1'!$A$1"}</definedName>
    <definedName name="_x10" localSheetId="6" hidden="1">{"'Sheet1'!$A$1"}</definedName>
    <definedName name="_x10" hidden="1">{"'Sheet1'!$A$1"}</definedName>
    <definedName name="_x9" localSheetId="8" hidden="1">{"'Sheet1'!$A$1"}</definedName>
    <definedName name="_x9" localSheetId="6" hidden="1">{"'Sheet1'!$A$1"}</definedName>
    <definedName name="_x9" hidden="1">{"'Sheet1'!$A$1"}</definedName>
    <definedName name="_YR1989" localSheetId="6">#REF!</definedName>
    <definedName name="_YR1989">#REF!</definedName>
    <definedName name="_YR1990" localSheetId="6">#REF!</definedName>
    <definedName name="_YR1990">#REF!</definedName>
    <definedName name="_YR1991" localSheetId="6">#REF!</definedName>
    <definedName name="_YR1991">#REF!</definedName>
    <definedName name="_YR1992">#REF!</definedName>
    <definedName name="_YR1993">#REF!</definedName>
    <definedName name="_YR1994">#REF!</definedName>
    <definedName name="_YR1995">#REF!</definedName>
    <definedName name="_YR1996">#REF!</definedName>
    <definedName name="_YR1997">#REF!</definedName>
    <definedName name="_YR1998">#REF!</definedName>
    <definedName name="_yr1999">#REF!</definedName>
    <definedName name="_YR2000">#REF!</definedName>
    <definedName name="_yr2001">#REF!</definedName>
    <definedName name="_Yr2002">#REF!</definedName>
    <definedName name="_Yr2003">#REF!</definedName>
    <definedName name="_Yr2004">#REF!</definedName>
    <definedName name="_Yr2005">#REF!</definedName>
    <definedName name="_Yr2006">#REF!</definedName>
    <definedName name="_Yr2007">#REF!</definedName>
    <definedName name="_Yr2008">#REF!</definedName>
    <definedName name="_Yr2009">#REF!</definedName>
    <definedName name="_Yr2010">#REF!</definedName>
    <definedName name="_Yr2011">#REF!</definedName>
    <definedName name="_Yr2012">#REF!</definedName>
    <definedName name="_Yr2013">#REF!</definedName>
    <definedName name="_Yr2014">#REF!</definedName>
    <definedName name="_Yr2015">#REF!</definedName>
    <definedName name="a"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a"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a" localSheetId="6">cashqtr</definedName>
    <definedName name="a"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a"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a"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39"}</definedName>
    <definedName name="a">cashqtr</definedName>
    <definedName name="a_1" hidden="1">39583.5125810184</definedName>
    <definedName name="a_2" hidden="1">39583.5125810184</definedName>
    <definedName name="a_3" hidden="1">39583.5125810184</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cc_payable" localSheetId="6">#REF!</definedName>
    <definedName name="Acc_payable" localSheetId="2">#REF!</definedName>
    <definedName name="Acc_payable">#REF!</definedName>
    <definedName name="Acc_payable_growth_fore" localSheetId="2">#REF!</definedName>
    <definedName name="Acc_payable_growth_fore">#REF!</definedName>
    <definedName name="Acc_Rec" localSheetId="2">#REF!</definedName>
    <definedName name="Acc_Rec">#REF!</definedName>
    <definedName name="Acc_Rec_growth_fore" localSheetId="2">#REF!</definedName>
    <definedName name="Acc_Rec_growth_fore">#REF!</definedName>
    <definedName name="Acc_Rec_turns" localSheetId="2">#REF!</definedName>
    <definedName name="Acc_Rec_turns">#REF!</definedName>
    <definedName name="Accel_Ratio" localSheetId="2">#REF!</definedName>
    <definedName name="Accel_Ratio">#REF!</definedName>
    <definedName name="Accrued_compensation" localSheetId="2">#REF!</definedName>
    <definedName name="Accrued_compensation">#REF!</definedName>
    <definedName name="Accrued_compensation_growth_fore" localSheetId="2">#REF!</definedName>
    <definedName name="Accrued_compensation_growth_fore">#REF!</definedName>
    <definedName name="Accrued_expenses" localSheetId="2">#REF!</definedName>
    <definedName name="Accrued_expenses">#REF!</definedName>
    <definedName name="Accrued_expenses_growth_fore" localSheetId="2">#REF!</definedName>
    <definedName name="Accrued_expenses_growth_fore">#REF!</definedName>
    <definedName name="Accum_Cap_Expenses" localSheetId="2">#REF!</definedName>
    <definedName name="Accum_Cap_Expenses">#REF!</definedName>
    <definedName name="Accum_Cap_Expenses_growth_fore" localSheetId="2">#REF!</definedName>
    <definedName name="Accum_Cap_Expenses_growth_fore">#REF!</definedName>
    <definedName name="Accum_Goodwill_Amort" localSheetId="2">#REF!</definedName>
    <definedName name="Accum_Goodwill_Amort">#REF!</definedName>
    <definedName name="Accum_Goodwill_Amort_growth_fore" localSheetId="2">#REF!</definedName>
    <definedName name="Accum_Goodwill_Amort_growth_fore">#REF!</definedName>
    <definedName name="Accum_Other_Amort." localSheetId="2">#REF!</definedName>
    <definedName name="Accum_Other_Amort.">#REF!</definedName>
    <definedName name="ACompChg">'[7]Param (Old)'!$C$48</definedName>
    <definedName name="acq">[3]FLEX!$C$571:$IV$571</definedName>
    <definedName name="acquisition_waterfall">[4]CLS!$A$258:$BH$296</definedName>
    <definedName name="ACTIVE_SCENARIO" localSheetId="9">#REF!</definedName>
    <definedName name="ACTIVE_SCENARIO" localSheetId="8">#REF!</definedName>
    <definedName name="ACTIVE_SCENARIO" localSheetId="5">#REF!</definedName>
    <definedName name="ACTIVE_SCENARIO" localSheetId="3">#REF!</definedName>
    <definedName name="ACTIVE_SCENARIO">#REF!</definedName>
    <definedName name="Actual">#REF!</definedName>
    <definedName name="ActualForecastFlag" localSheetId="5">#REF!</definedName>
    <definedName name="ActualForecastFlag">#REF!</definedName>
    <definedName name="ActualForecastLabel" localSheetId="5">#REF!</definedName>
    <definedName name="ActualForecastLabel">#REF!</definedName>
    <definedName name="ad">[8]sanm!$C$297:$IV$297</definedName>
    <definedName name="addrbiz00">[5]Sheet1!$P$6</definedName>
    <definedName name="addrbiz99">[5]Sheet1!$K$6</definedName>
    <definedName name="Adj_net_oper_fore" localSheetId="6">#REF!</definedName>
    <definedName name="Adj_net_oper_fore" localSheetId="2">#REF!</definedName>
    <definedName name="Adj_net_oper_fore">#REF!</definedName>
    <definedName name="Adjusted_Common_Equity" localSheetId="2">#REF!</definedName>
    <definedName name="Adjusted_Common_Equity">#REF!</definedName>
    <definedName name="Adjusted_Income_Available_to_Common" localSheetId="2">#REF!</definedName>
    <definedName name="Adjusted_Income_Available_to_Common">#REF!</definedName>
    <definedName name="Adjusted_Net_Operating_Profit" localSheetId="2">#REF!</definedName>
    <definedName name="Adjusted_Net_Operating_Profit">#REF!</definedName>
    <definedName name="AEChg">'[7]Param (Old)'!$C$49</definedName>
    <definedName name="AEIncr">'[7]Param (Old)'!$C$49</definedName>
    <definedName name="afds" localSheetId="9" hidden="1">#REF!</definedName>
    <definedName name="afds" localSheetId="8" hidden="1">#REF!</definedName>
    <definedName name="afds" localSheetId="5" hidden="1">#REF!</definedName>
    <definedName name="afds" localSheetId="3" hidden="1">#REF!</definedName>
    <definedName name="afds" hidden="1">#REF!</definedName>
    <definedName name="After_tax_charge" localSheetId="2">#REF!</definedName>
    <definedName name="After_tax_charge">#REF!</definedName>
    <definedName name="After_Tax_charges_gains" localSheetId="2">#REF!</definedName>
    <definedName name="After_Tax_charges_gains">#REF!</definedName>
    <definedName name="al">[8]sanm!$C$308:$IV$308</definedName>
    <definedName name="ALL">[8]sanm!$A$4:$ED$490</definedName>
    <definedName name="All_00_Rev" localSheetId="9">#REF!</definedName>
    <definedName name="All_00_Rev" localSheetId="8">#REF!</definedName>
    <definedName name="All_00_Rev" localSheetId="5">#REF!</definedName>
    <definedName name="All_00_Rev" localSheetId="3">#REF!</definedName>
    <definedName name="All_00_Rev">#REF!</definedName>
    <definedName name="All_97_PS" localSheetId="5">#REF!</definedName>
    <definedName name="All_97_PS">#REF!</definedName>
    <definedName name="All_97_Rev" localSheetId="5">#REF!</definedName>
    <definedName name="All_97_Rev">#REF!</definedName>
    <definedName name="All_98_PS" localSheetId="5">#REF!</definedName>
    <definedName name="All_98_PS">#REF!</definedName>
    <definedName name="All_98_Rev" localSheetId="5">#REF!</definedName>
    <definedName name="All_98_Rev">#REF!</definedName>
    <definedName name="All_99_PS" localSheetId="5">#REF!</definedName>
    <definedName name="All_99_PS">#REF!</definedName>
    <definedName name="All_99_Rev" localSheetId="5">#REF!</definedName>
    <definedName name="All_99_Rev">#REF!</definedName>
    <definedName name="All_EPS_00" localSheetId="5">#REF!</definedName>
    <definedName name="All_EPS_00">#REF!</definedName>
    <definedName name="All_EPS_98" localSheetId="5">#REF!</definedName>
    <definedName name="All_EPS_98">#REF!</definedName>
    <definedName name="All_EPS_99" localSheetId="5">#REF!</definedName>
    <definedName name="All_EPS_99">#REF!</definedName>
    <definedName name="all_incl_RI">[4]CLS!$A$1:$CA$547</definedName>
    <definedName name="All_Mkt_Cap" localSheetId="9">#REF!</definedName>
    <definedName name="All_Mkt_Cap" localSheetId="8">#REF!</definedName>
    <definedName name="All_Mkt_Cap" localSheetId="5">#REF!</definedName>
    <definedName name="All_Mkt_Cap" localSheetId="3">#REF!</definedName>
    <definedName name="All_Mkt_Cap">#REF!</definedName>
    <definedName name="All_Off_High" localSheetId="5">#REF!</definedName>
    <definedName name="All_Off_High">#REF!</definedName>
    <definedName name="All_Stocks" localSheetId="5">#REF!</definedName>
    <definedName name="All_Stocks">#REF!</definedName>
    <definedName name="ALTR">'[6]Stock Perf.'!$C$22:$C$123</definedName>
    <definedName name="AMD">'[6]Stock Perf.'!$D$22:$D$123</definedName>
    <definedName name="amort">[3]FLEX!$C$49:$IV$49</definedName>
    <definedName name="Amort1" localSheetId="9">#REF!</definedName>
    <definedName name="Amort1" localSheetId="8">#REF!</definedName>
    <definedName name="Amort1" localSheetId="5">#REF!</definedName>
    <definedName name="Amort1" localSheetId="3">#REF!</definedName>
    <definedName name="Amort1">#REF!</definedName>
    <definedName name="Amort2">'[7]Param (Old)'!$C$44</definedName>
    <definedName name="AmortDiana">'[7]Param (Old)'!$C$34</definedName>
    <definedName name="Analyst" localSheetId="6">#REF!</definedName>
    <definedName name="Analyst" localSheetId="2">#REF!</definedName>
    <definedName name="Analyst">#REF!</definedName>
    <definedName name="Analyst_Email" localSheetId="2">#REF!</definedName>
    <definedName name="Analyst_Email">#REF!</definedName>
    <definedName name="Analyst_Phone" localSheetId="2">#REF!</definedName>
    <definedName name="Analyst_Phone">#REF!</definedName>
    <definedName name="AnexoVCompl">#REF!</definedName>
    <definedName name="AnnDays">'[7]Param (Old)'!$C$10</definedName>
    <definedName name="AnnIS" localSheetId="9">#REF!</definedName>
    <definedName name="AnnIS" localSheetId="8">#REF!</definedName>
    <definedName name="AnnIS" localSheetId="5">#REF!</definedName>
    <definedName name="AnnIS" localSheetId="3">#REF!</definedName>
    <definedName name="AnnIS">#REF!</definedName>
    <definedName name="AnnualCalcFlag" localSheetId="5">#REF!</definedName>
    <definedName name="AnnualCalcFlag">#REF!</definedName>
    <definedName name="AnnualDays">'[7]Param (Old)'!$C$10</definedName>
    <definedName name="AnnualSumFlag" localSheetId="9">#REF!</definedName>
    <definedName name="AnnualSumFlag" localSheetId="8">#REF!</definedName>
    <definedName name="AnnualSumFlag" localSheetId="5">#REF!</definedName>
    <definedName name="AnnualSumFlag" localSheetId="3">#REF!</definedName>
    <definedName name="AnnualSumFlag">#REF!</definedName>
    <definedName name="anscount" hidden="1">1</definedName>
    <definedName name="ap">[3]FLEX!$C$483:$IV$483</definedName>
    <definedName name="APICChg">'[7]Param (Old)'!$C$51</definedName>
    <definedName name="APICIncr">'[7]Param (Old)'!$C$51</definedName>
    <definedName name="APWREFVMETALS" hidden="1">"'FI1205US"</definedName>
    <definedName name="ar">[3]FLEX!$C$458:$IV$458</definedName>
    <definedName name="As_of" localSheetId="6">#REF!</definedName>
    <definedName name="As_of" localSheetId="2">#REF!</definedName>
    <definedName name="As_of">#REF!</definedName>
    <definedName name="asas" localSheetId="9" hidden="1">{"AnnModel",#N/A,FALSE,"IS"}</definedName>
    <definedName name="asas" localSheetId="8" hidden="1">{"AnnModel",#N/A,FALSE,"IS"}</definedName>
    <definedName name="asas" localSheetId="5" hidden="1">{"AnnModel",#N/A,FALSE,"IS"}</definedName>
    <definedName name="asas" localSheetId="3" hidden="1">{"AnnModel",#N/A,FALSE,"IS"}</definedName>
    <definedName name="asas" hidden="1">{"AnnModel",#N/A,FALSE,"IS"}</definedName>
    <definedName name="asd"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200"}</definedName>
    <definedName name="asdfasdf" localSheetId="9" hidden="1">{"BSAnnualModel",#N/A,FALSE,"BS"}</definedName>
    <definedName name="asdfasdf" localSheetId="8" hidden="1">{"BSAnnualModel",#N/A,FALSE,"BS"}</definedName>
    <definedName name="asdfasdf" localSheetId="5" hidden="1">{"BSAnnualModel",#N/A,FALSE,"BS"}</definedName>
    <definedName name="asdfasdf" localSheetId="3" hidden="1">{"BSAnnualModel",#N/A,FALSE,"BS"}</definedName>
    <definedName name="asdfasdf" hidden="1">{"BSAnnualModel",#N/A,FALSE,"BS"}</definedName>
    <definedName name="asdffda" localSheetId="9" hidden="1">{"CFSModel",#N/A,FALSE,"CFS"}</definedName>
    <definedName name="asdffda" localSheetId="8" hidden="1">{"CFSModel",#N/A,FALSE,"CFS"}</definedName>
    <definedName name="asdffda" localSheetId="5" hidden="1">{"CFSModel",#N/A,FALSE,"CFS"}</definedName>
    <definedName name="asdffda" localSheetId="3" hidden="1">{"CFSModel",#N/A,FALSE,"CFS"}</definedName>
    <definedName name="asdffda" hidden="1">{"CFSModel",#N/A,FALSE,"CFS"}</definedName>
    <definedName name="ATML">'[6]Stock Perf.'!$E$22:$E$123</definedName>
    <definedName name="AveEquity">'[7]Param (Old)'!$A$199:$IV$199</definedName>
    <definedName name="Average_invested_capital" localSheetId="6">#REF!</definedName>
    <definedName name="Average_invested_capital" localSheetId="2">#REF!</definedName>
    <definedName name="Average_invested_capital">#REF!</definedName>
    <definedName name="Average_invested_capital_DCF" localSheetId="9">[5]Sheet1!$C$78:$AZ$78</definedName>
    <definedName name="Average_invested_capital_DCF" localSheetId="8">[5]Sheet1!$C$78:$AZ$78</definedName>
    <definedName name="Average_invested_capital_DCF" localSheetId="5">[5]Sheet1!$C$78:$AZ$78</definedName>
    <definedName name="Average_invested_capital_DCF" localSheetId="1">[5]Sheet1!$C$78:$AZ$78</definedName>
    <definedName name="Average_invested_capital_DCF" localSheetId="3">[5]Sheet1!$C$78:$AZ$78</definedName>
    <definedName name="Average_invested_capital_DCF" localSheetId="2">#REF!</definedName>
    <definedName name="Average_invested_capital_DCF">#REF!</definedName>
    <definedName name="Average_thereafter" localSheetId="2">#REF!</definedName>
    <definedName name="Average_thereafter">#REF!</definedName>
    <definedName name="b"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localSheetId="6"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38"}</definedName>
    <definedName name="Balance_Sheet">#REF!</definedName>
    <definedName name="balanceannual" localSheetId="2">[9]BS!#REF!</definedName>
    <definedName name="balanceannual">[9]BS!#REF!</definedName>
    <definedName name="BalanceSheet1" localSheetId="9">#REF!</definedName>
    <definedName name="BalanceSheet1" localSheetId="8">#REF!</definedName>
    <definedName name="BalanceSheet1" localSheetId="5">#REF!</definedName>
    <definedName name="BalanceSheet1" localSheetId="3">#REF!</definedName>
    <definedName name="BalanceSheet1">#REF!</definedName>
    <definedName name="BalanceSheet10" localSheetId="9">#REF!</definedName>
    <definedName name="BalanceSheet10" localSheetId="8">#REF!</definedName>
    <definedName name="BalanceSheet10" localSheetId="5">#REF!</definedName>
    <definedName name="BalanceSheet10" localSheetId="3">#REF!</definedName>
    <definedName name="BalanceSheet10">#REF!</definedName>
    <definedName name="BalanceSheet11" localSheetId="5">#REF!</definedName>
    <definedName name="BalanceSheet11">#REF!</definedName>
    <definedName name="BalanceSheet12" localSheetId="5">#REF!</definedName>
    <definedName name="BalanceSheet12">#REF!</definedName>
    <definedName name="BalanceSheet13" localSheetId="5">#REF!</definedName>
    <definedName name="BalanceSheet13">#REF!</definedName>
    <definedName name="BalanceSheet14" localSheetId="5">#REF!</definedName>
    <definedName name="BalanceSheet14">#REF!</definedName>
    <definedName name="BalanceSheet2" localSheetId="5">#REF!</definedName>
    <definedName name="BalanceSheet2">#REF!</definedName>
    <definedName name="BalanceSheet3" localSheetId="5">#REF!</definedName>
    <definedName name="BalanceSheet3">#REF!</definedName>
    <definedName name="BalanceSheet4" localSheetId="5">#REF!</definedName>
    <definedName name="BalanceSheet4">#REF!</definedName>
    <definedName name="BalanceSheet5" localSheetId="5">#REF!</definedName>
    <definedName name="BalanceSheet5">#REF!</definedName>
    <definedName name="BalanceSheet6" localSheetId="5">#REF!</definedName>
    <definedName name="BalanceSheet6">#REF!</definedName>
    <definedName name="BalanceSheet7" localSheetId="5">#REF!</definedName>
    <definedName name="BalanceSheet7">#REF!</definedName>
    <definedName name="BalanceSheet8" localSheetId="5">#REF!</definedName>
    <definedName name="BalanceSheet8">#REF!</definedName>
    <definedName name="BalanceSheet9" localSheetId="5">#REF!</definedName>
    <definedName name="BalanceSheet9">#REF!</definedName>
    <definedName name="bank">[3]FLEX!$C$481:$IV$481</definedName>
    <definedName name="BASE_1" localSheetId="6">#REF!</definedName>
    <definedName name="BASE_1">#REF!</definedName>
    <definedName name="BASE_2">[10]ASIENTOS!$C$7:$H$504</definedName>
    <definedName name="BASE_4" localSheetId="6">[11]Llave!#REF!</definedName>
    <definedName name="BASE_4">[11]Llave!#REF!</definedName>
    <definedName name="BaseYear" localSheetId="9">#REF!</definedName>
    <definedName name="BaseYear" localSheetId="8">#REF!</definedName>
    <definedName name="BaseYear" localSheetId="5">#REF!</definedName>
    <definedName name="BaseYear" localSheetId="3">#REF!</definedName>
    <definedName name="BaseYear">#REF!</definedName>
    <definedName name="BASIC" localSheetId="5">#REF!</definedName>
    <definedName name="BASIC">#REF!</definedName>
    <definedName name="Beta" localSheetId="6">#REF!</definedName>
    <definedName name="Beta" localSheetId="5">#REF!</definedName>
    <definedName name="Beta" localSheetId="2">#REF!</definedName>
    <definedName name="Beta">#REF!</definedName>
    <definedName name="BIGT">7</definedName>
    <definedName name="Bond_Rates" localSheetId="6">#REF!</definedName>
    <definedName name="Bond_Rates">#REF!</definedName>
    <definedName name="Bond_rating" localSheetId="6">#REF!</definedName>
    <definedName name="Bond_rating" localSheetId="2">#REF!</definedName>
    <definedName name="Bond_rating">#REF!</definedName>
    <definedName name="Book_value_per_share" localSheetId="2">#REF!</definedName>
    <definedName name="Book_value_per_share">#REF!</definedName>
    <definedName name="BookVal1" localSheetId="5">#REF!</definedName>
    <definedName name="BookVal1">#REF!</definedName>
    <definedName name="BookVal2" localSheetId="5">#REF!</definedName>
    <definedName name="BookVal2">#REF!</definedName>
    <definedName name="BookVal3" localSheetId="5">#REF!</definedName>
    <definedName name="BookVal3">#REF!</definedName>
    <definedName name="BookVal3A" localSheetId="5">#REF!</definedName>
    <definedName name="BookVal3A">#REF!</definedName>
    <definedName name="BookVal4" localSheetId="5">#REF!</definedName>
    <definedName name="BookVal4">#REF!</definedName>
    <definedName name="BookVal5" localSheetId="5">#REF!</definedName>
    <definedName name="BookVal5">#REF!</definedName>
    <definedName name="BookVal6" localSheetId="5">#REF!</definedName>
    <definedName name="BookVal6">#REF!</definedName>
    <definedName name="BOTTOM" localSheetId="5">#REF!</definedName>
    <definedName name="BOTTOM">#REF!</definedName>
    <definedName name="BUS" localSheetId="5">#REF!</definedName>
    <definedName name="BUS">#REF!</definedName>
    <definedName name="bvps">[3]FLEX!$C$504:$IV$504</definedName>
    <definedName name="ca">[3]FLEX!$C$456:$IV$456</definedName>
    <definedName name="CACA">[12]SALDOS!$A$5:$E$1000</definedName>
    <definedName name="CACA2">[12]ASIENTOS!$C$7:$H$504</definedName>
    <definedName name="Cap._RnD_Asset_net_of_RnD_amort." localSheetId="6">#REF!</definedName>
    <definedName name="Cap._RnD_Asset_net_of_RnD_amort." localSheetId="2">#REF!</definedName>
    <definedName name="Cap._RnD_Asset_net_of_RnD_amort.">#REF!</definedName>
    <definedName name="capex" localSheetId="9">[5]Sheet1!$A$106</definedName>
    <definedName name="capex" localSheetId="8">[5]Sheet1!$A$106</definedName>
    <definedName name="capex" localSheetId="5">[5]Sheet1!$A$106</definedName>
    <definedName name="capex" localSheetId="1">[5]Sheet1!$A$106</definedName>
    <definedName name="capex" localSheetId="3">[5]Sheet1!$A$106</definedName>
    <definedName name="capex">[3]FLEX!$C$569:$IV$569</definedName>
    <definedName name="capex_dep">[3]FLEX!$C$597:$IV$597</definedName>
    <definedName name="CapExCAGR" localSheetId="9">#REF!</definedName>
    <definedName name="CapExCAGR" localSheetId="8">#REF!</definedName>
    <definedName name="CapExCAGR" localSheetId="5">#REF!</definedName>
    <definedName name="CapExCAGR" localSheetId="3">#REF!</definedName>
    <definedName name="CapExCAGR">#REF!</definedName>
    <definedName name="capexpct">[3]FLEX!$C$600:$IV$600</definedName>
    <definedName name="caplease">[3]FLEX!$C$491:$IV$491</definedName>
    <definedName name="case">'[13]Forecast - Assumptions'!$F$5</definedName>
    <definedName name="cash">[3]FLEX!$C$457:$IV$457</definedName>
    <definedName name="Cash_DCF" localSheetId="6">#REF!</definedName>
    <definedName name="Cash_DCF" localSheetId="2">#REF!</definedName>
    <definedName name="Cash_DCF">#REF!</definedName>
    <definedName name="Cash_Debt" localSheetId="5">#REF!</definedName>
    <definedName name="Cash_Debt">#REF!</definedName>
    <definedName name="Cash_Flow" localSheetId="5">#REF!</definedName>
    <definedName name="Cash_Flow">#REF!</definedName>
    <definedName name="Cash_fore" localSheetId="2">#REF!</definedName>
    <definedName name="Cash_fore">#REF!</definedName>
    <definedName name="Cash_growth" localSheetId="2">#REF!</definedName>
    <definedName name="Cash_growth">#REF!</definedName>
    <definedName name="Cash_growth_fore" localSheetId="2">#REF!</definedName>
    <definedName name="Cash_growth_fore">#REF!</definedName>
    <definedName name="Cash_Operating_Taxes" localSheetId="2">#REF!</definedName>
    <definedName name="Cash_Operating_Taxes">#REF!</definedName>
    <definedName name="Cash_operating_taxes_fore" localSheetId="2">#REF!</definedName>
    <definedName name="Cash_operating_taxes_fore">#REF!</definedName>
    <definedName name="cash1998">[5]Sheet1!$F$126</definedName>
    <definedName name="cash1999">[5]Sheet1!$K$126</definedName>
    <definedName name="cash1Q99">[5]Sheet1!$Z$23</definedName>
    <definedName name="cash2000">[5]Sheet1!$P$206</definedName>
    <definedName name="cash2001">[5]Sheet1!$Q$206</definedName>
    <definedName name="cash2002">[5]Sheet1!$R$206</definedName>
    <definedName name="cash2q98">[5]Sheet1!$C$206</definedName>
    <definedName name="cash2Q99">[5]Sheet1!$AA$23</definedName>
    <definedName name="cash3q98">[5]Sheet1!$D$206</definedName>
    <definedName name="cash3Q99">[5]Sheet1!$AB$23</definedName>
    <definedName name="cash4q98">[5]Sheet1!$E$206</definedName>
    <definedName name="CashFlow1" localSheetId="9">#REF!</definedName>
    <definedName name="CashFlow1" localSheetId="8">#REF!</definedName>
    <definedName name="CashFlow1" localSheetId="5">#REF!</definedName>
    <definedName name="CashFlow1" localSheetId="3">#REF!</definedName>
    <definedName name="CashFlow1">#REF!</definedName>
    <definedName name="CashFlow2" localSheetId="5">#REF!</definedName>
    <definedName name="CashFlow2">#REF!</definedName>
    <definedName name="CashFlow3" localSheetId="5">#REF!</definedName>
    <definedName name="CashFlow3">#REF!</definedName>
    <definedName name="CashFlow3A" localSheetId="5">#REF!</definedName>
    <definedName name="CashFlow3A">#REF!</definedName>
    <definedName name="CashFlow4" localSheetId="5">#REF!</definedName>
    <definedName name="CashFlow4">#REF!</definedName>
    <definedName name="CashFlow5" localSheetId="5">#REF!</definedName>
    <definedName name="CashFlow5">#REF!</definedName>
    <definedName name="CashFlow6" localSheetId="5">#REF!</definedName>
    <definedName name="CashFlow6">#REF!</definedName>
    <definedName name="CashTaxSwitch">TRUE</definedName>
    <definedName name="ccaplease">[3]FLEX!$C$482:$IV$482</definedName>
    <definedName name="ccycle">[3]FLEX!$C$515:$IV$515</definedName>
    <definedName name="cdbt">[4]CLS!$C$325:$IV$325</definedName>
    <definedName name="cfo">[3]FLEX!$C$550:$IV$550</definedName>
    <definedName name="CFPS_Curr_Yr" localSheetId="6">#REF!</definedName>
    <definedName name="CFPS_Curr_Yr" localSheetId="2">#REF!</definedName>
    <definedName name="CFPS_Curr_Yr">#REF!</definedName>
    <definedName name="CFPS_Lst_Yr" localSheetId="2">#REF!</definedName>
    <definedName name="CFPS_Lst_Yr">#REF!</definedName>
    <definedName name="CFPS_Next_Yr" localSheetId="2">#REF!</definedName>
    <definedName name="CFPS_Next_Yr">#REF!</definedName>
    <definedName name="CFS" localSheetId="5">#REF!</definedName>
    <definedName name="CFS">#REF!</definedName>
    <definedName name="channel" localSheetId="5">#REF!</definedName>
    <definedName name="channel">#REF!</definedName>
    <definedName name="Chg_in_fixed_assets" localSheetId="2">#REF!</definedName>
    <definedName name="Chg_in_fixed_assets">#REF!</definedName>
    <definedName name="Chg_in_other_assets" localSheetId="2">#REF!</definedName>
    <definedName name="Chg_in_other_assets">#REF!</definedName>
    <definedName name="Chg_in_working_capital" localSheetId="2">#REF!</definedName>
    <definedName name="Chg_in_working_capital">#REF!</definedName>
    <definedName name="Choice">#N/A</definedName>
    <definedName name="Choices_Wrapper">#N/A</definedName>
    <definedName name="cl">[3]FLEX!$C$480:$IV$480</definedName>
    <definedName name="ClassOne">"Common Shares"</definedName>
    <definedName name="ClassThree">"Class C"</definedName>
    <definedName name="ClassTwo">"Partnership Units"</definedName>
    <definedName name="Closing_price" localSheetId="9">[5]Sheet1!$C$54:$G$54</definedName>
    <definedName name="Closing_price" localSheetId="8">[5]Sheet1!$C$54:$G$54</definedName>
    <definedName name="Closing_price" localSheetId="6">#REF!</definedName>
    <definedName name="Closing_price" localSheetId="5">[5]Sheet1!$C$54:$G$54</definedName>
    <definedName name="Closing_price" localSheetId="1">[5]Sheet1!$C$54:$G$54</definedName>
    <definedName name="Closing_price" localSheetId="3">[5]Sheet1!$C$54:$G$54</definedName>
    <definedName name="Closing_price" localSheetId="2">#REF!</definedName>
    <definedName name="Closing_price">#REF!</definedName>
    <definedName name="coa">[3]FLEX!$C$463:$IV$463</definedName>
    <definedName name="cogs">[3]FLEX!$C$44:$IV$44</definedName>
    <definedName name="col">[3]FLEX!$C$484:$IV$484</definedName>
    <definedName name="collocates1999">[5]Sheet1!$K$7</definedName>
    <definedName name="collocates2000">[5]Sheet1!$P$7</definedName>
    <definedName name="Commercial_paper" localSheetId="6">#REF!</definedName>
    <definedName name="Commercial_paper" localSheetId="2">#REF!</definedName>
    <definedName name="Commercial_paper">#REF!</definedName>
    <definedName name="common" localSheetId="5">#REF!</definedName>
    <definedName name="common">#REF!</definedName>
    <definedName name="COMP">'[6]Stock Perf.'!$L$22:$L$124</definedName>
    <definedName name="Company" localSheetId="9">'[14]Inputs &amp; Lookup'!$C$2</definedName>
    <definedName name="Company" localSheetId="8">'[14]Inputs &amp; Lookup'!$C$2</definedName>
    <definedName name="Company" localSheetId="5">'[14]Inputs &amp; Lookup'!$C$2</definedName>
    <definedName name="Company" localSheetId="3">'[14]Inputs &amp; Lookup'!$C$2</definedName>
    <definedName name="Company" localSheetId="2">#REF!</definedName>
    <definedName name="Company">#REF!</definedName>
    <definedName name="COMPANY_NAME">[15]RevBuild!$A$1</definedName>
    <definedName name="CONAME">#REF!</definedName>
    <definedName name="Content">'[16]Content Pipeline'!#REF!</definedName>
    <definedName name="Content_2006">'[16]Content Pipeline'!#REF!</definedName>
    <definedName name="Content_2006_Forecast">'[17]Content Pipeline'!#REF!</definedName>
    <definedName name="convert">[8]sanm!$C$314:$IV$314</definedName>
    <definedName name="copy" localSheetId="9"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localSheetId="8"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localSheetId="6"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localSheetId="5"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localSheetId="1"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localSheetId="3"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py"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Corporate_Value" localSheetId="6">#REF!</definedName>
    <definedName name="Corporate_Value" localSheetId="2">#REF!</definedName>
    <definedName name="Corporate_Value">#REF!</definedName>
    <definedName name="Cost_of_sales_net_of_D_A" localSheetId="2">#REF!</definedName>
    <definedName name="Cost_of_sales_net_of_D_A">#REF!</definedName>
    <definedName name="count">'[6]Stock Perf.'!$A$22:$A$124</definedName>
    <definedName name="Cov_00_Rev" localSheetId="9">#REF!</definedName>
    <definedName name="Cov_00_Rev" localSheetId="8">#REF!</definedName>
    <definedName name="Cov_00_Rev" localSheetId="5">#REF!</definedName>
    <definedName name="Cov_00_Rev" localSheetId="3">#REF!</definedName>
    <definedName name="Cov_00_Rev">#REF!</definedName>
    <definedName name="Cov_97_PS" localSheetId="5">#REF!</definedName>
    <definedName name="Cov_97_PS">#REF!</definedName>
    <definedName name="Cov_97_Rev" localSheetId="5">#REF!</definedName>
    <definedName name="Cov_97_Rev">#REF!</definedName>
    <definedName name="Cov_98_PS" localSheetId="5">#REF!</definedName>
    <definedName name="Cov_98_PS">#REF!</definedName>
    <definedName name="Cov_98_Rev" localSheetId="5">#REF!</definedName>
    <definedName name="Cov_98_Rev">#REF!</definedName>
    <definedName name="Cov_99_PS" localSheetId="5">#REF!</definedName>
    <definedName name="Cov_99_PS">#REF!</definedName>
    <definedName name="Cov_99_Rev" localSheetId="5">#REF!</definedName>
    <definedName name="Cov_99_Rev">#REF!</definedName>
    <definedName name="Cov_EPS_00" localSheetId="5">#REF!</definedName>
    <definedName name="Cov_EPS_00">#REF!</definedName>
    <definedName name="Cov_EPS_98" localSheetId="5">#REF!</definedName>
    <definedName name="Cov_EPS_98">#REF!</definedName>
    <definedName name="Cov_EPS_99" localSheetId="5">#REF!</definedName>
    <definedName name="Cov_EPS_99">#REF!</definedName>
    <definedName name="Cov_Mkt_Cap" localSheetId="5">#REF!</definedName>
    <definedName name="Cov_Mkt_Cap">#REF!</definedName>
    <definedName name="Cov_Off_High" localSheetId="5">#REF!</definedName>
    <definedName name="Cov_Off_High">#REF!</definedName>
    <definedName name="Cov_Perf_97" localSheetId="5">#REF!</definedName>
    <definedName name="Cov_Perf_97">#REF!</definedName>
    <definedName name="Cov_Perf_98" localSheetId="5">#REF!</definedName>
    <definedName name="Cov_Perf_98">#REF!</definedName>
    <definedName name="Cov_Perf_99" localSheetId="5">#REF!</definedName>
    <definedName name="Cov_Perf_99">#REF!</definedName>
    <definedName name="cov_perf_99b">[5]Sheet1!$Q$162</definedName>
    <definedName name="Cov_Univ_Avg" localSheetId="9">#REF!</definedName>
    <definedName name="Cov_Univ_Avg" localSheetId="8">#REF!</definedName>
    <definedName name="Cov_Univ_Avg" localSheetId="5">#REF!</definedName>
    <definedName name="Cov_Univ_Avg" localSheetId="3">#REF!</definedName>
    <definedName name="Cov_Univ_Avg">#REF!</definedName>
    <definedName name="Cov_Univ_Total" localSheetId="5">#REF!</definedName>
    <definedName name="Cov_Univ_Total">#REF!</definedName>
    <definedName name="CPI" localSheetId="5">#REF!</definedName>
    <definedName name="CPI">#REF!</definedName>
    <definedName name="Credit1" localSheetId="5">#REF!</definedName>
    <definedName name="Credit1">#REF!</definedName>
    <definedName name="Credit10" localSheetId="5">#REF!</definedName>
    <definedName name="Credit10">#REF!</definedName>
    <definedName name="Credit11" localSheetId="5">#REF!</definedName>
    <definedName name="Credit11">#REF!</definedName>
    <definedName name="Credit12" localSheetId="5">#REF!</definedName>
    <definedName name="Credit12">#REF!</definedName>
    <definedName name="Credit13" localSheetId="5">#REF!</definedName>
    <definedName name="Credit13">#REF!</definedName>
    <definedName name="Credit14" localSheetId="5">#REF!</definedName>
    <definedName name="Credit14">#REF!</definedName>
    <definedName name="Credit2" localSheetId="5">#REF!</definedName>
    <definedName name="Credit2">#REF!</definedName>
    <definedName name="Credit3" localSheetId="5">#REF!</definedName>
    <definedName name="Credit3">#REF!</definedName>
    <definedName name="Credit4" localSheetId="5">#REF!</definedName>
    <definedName name="Credit4">#REF!</definedName>
    <definedName name="Credit5" localSheetId="5">#REF!</definedName>
    <definedName name="Credit5">#REF!</definedName>
    <definedName name="Credit6" localSheetId="5">#REF!</definedName>
    <definedName name="Credit6">#REF!</definedName>
    <definedName name="Credit7" localSheetId="5">#REF!</definedName>
    <definedName name="Credit7">#REF!</definedName>
    <definedName name="Credit8" localSheetId="5">#REF!</definedName>
    <definedName name="Credit8">#REF!</definedName>
    <definedName name="Credit9" localSheetId="5">#REF!</definedName>
    <definedName name="Credit9">#REF!</definedName>
    <definedName name="CSChg">'[7]Param (Old)'!$C$50</definedName>
    <definedName name="CSIncr">'[7]Param (Old)'!$C$50</definedName>
    <definedName name="csize" localSheetId="9">#REF!</definedName>
    <definedName name="csize" localSheetId="8">#REF!</definedName>
    <definedName name="csize" localSheetId="5">#REF!</definedName>
    <definedName name="csize" localSheetId="3">#REF!</definedName>
    <definedName name="csize">#REF!</definedName>
    <definedName name="Cumulative_PV_of_EVA" localSheetId="2">#REF!</definedName>
    <definedName name="Cumulative_PV_of_EVA">#REF!</definedName>
    <definedName name="Cumulative_PV_of_FCF" localSheetId="2">#REF!</definedName>
    <definedName name="Cumulative_PV_of_FCF">#REF!</definedName>
    <definedName name="Current_assets" localSheetId="2">#REF!</definedName>
    <definedName name="Current_assets">#REF!</definedName>
    <definedName name="Current_Price" localSheetId="5">#REF!</definedName>
    <definedName name="Current_Price">#REF!</definedName>
    <definedName name="Customer_deposits" localSheetId="2">#REF!</definedName>
    <definedName name="Customer_deposits">#REF!</definedName>
    <definedName name="Customer_deposits_growth_fore" localSheetId="2">#REF!</definedName>
    <definedName name="Customer_deposits_growth_fore">#REF!</definedName>
    <definedName name="CY1998ROE1" localSheetId="5">#REF!</definedName>
    <definedName name="CY1998ROE1">#REF!</definedName>
    <definedName name="CY1998ROE2" localSheetId="5">#REF!</definedName>
    <definedName name="CY1998ROE2">#REF!</definedName>
    <definedName name="CY1998ROE3" localSheetId="5">#REF!</definedName>
    <definedName name="CY1998ROE3">#REF!</definedName>
    <definedName name="CY1998ROE4" localSheetId="5">#REF!</definedName>
    <definedName name="CY1998ROE4">#REF!</definedName>
    <definedName name="CY1998ROE5" localSheetId="5">#REF!</definedName>
    <definedName name="CY1998ROE5">#REF!</definedName>
    <definedName name="CY1998ROE6" localSheetId="5">#REF!</definedName>
    <definedName name="CY1998ROE6">#REF!</definedName>
    <definedName name="CY1998ROE7" localSheetId="5">#REF!</definedName>
    <definedName name="CY1998ROE7">#REF!</definedName>
    <definedName name="CY1998ROE8" localSheetId="5">#REF!</definedName>
    <definedName name="CY1998ROE8">#REF!</definedName>
    <definedName name="CY1999ROE1" localSheetId="5">#REF!</definedName>
    <definedName name="CY1999ROE1">#REF!</definedName>
    <definedName name="CY1999ROE2" localSheetId="5">#REF!</definedName>
    <definedName name="CY1999ROE2">#REF!</definedName>
    <definedName name="CY1999ROE3" localSheetId="5">#REF!</definedName>
    <definedName name="CY1999ROE3">#REF!</definedName>
    <definedName name="CY1999ROE4" localSheetId="5">#REF!</definedName>
    <definedName name="CY1999ROE4">#REF!</definedName>
    <definedName name="CY1999ROE5" localSheetId="5">#REF!</definedName>
    <definedName name="CY1999ROE5">#REF!</definedName>
    <definedName name="CY1999ROE6" localSheetId="5">#REF!</definedName>
    <definedName name="CY1999ROE6">#REF!</definedName>
    <definedName name="CY1999ROE7" localSheetId="5">#REF!</definedName>
    <definedName name="CY1999ROE7">#REF!</definedName>
    <definedName name="CY1999ROE8" localSheetId="5">#REF!</definedName>
    <definedName name="CY1999ROE8">#REF!</definedName>
    <definedName name="CY2000ROE1" localSheetId="5">#REF!</definedName>
    <definedName name="CY2000ROE1">#REF!</definedName>
    <definedName name="CY2000ROE2" localSheetId="5">#REF!</definedName>
    <definedName name="CY2000ROE2">#REF!</definedName>
    <definedName name="CY2000ROE3" localSheetId="5">#REF!</definedName>
    <definedName name="CY2000ROE3">#REF!</definedName>
    <definedName name="CY2000ROE4" localSheetId="5">#REF!</definedName>
    <definedName name="CY2000ROE4">#REF!</definedName>
    <definedName name="CY2000ROE5" localSheetId="5">#REF!</definedName>
    <definedName name="CY2000ROE5">#REF!</definedName>
    <definedName name="CY2000ROE6" localSheetId="5">#REF!</definedName>
    <definedName name="CY2000ROE6">#REF!</definedName>
    <definedName name="CY2000ROE7" localSheetId="5">#REF!</definedName>
    <definedName name="CY2000ROE7">#REF!</definedName>
    <definedName name="CY2000ROE8" localSheetId="5">#REF!</definedName>
    <definedName name="CY2000ROE8">#REF!</definedName>
    <definedName name="cycle">[8]sanm!$C$331:$IV$331</definedName>
    <definedName name="d" localSheetId="9"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localSheetId="8"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localSheetId="6"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localSheetId="5"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localSheetId="1"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localSheetId="3"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 hidden="1">{"fdsup://directions/FAT Viewer?action=UPDATE&amp;creator=factset&amp;DYN_ARGS=TRUE&amp;DOC_NAME=FAT:FQL_AUDITING_CLIENT_TEMPLATE.FAT&amp;display_string=Audit&amp;VAR:KEY=QBEZWNYTCX&amp;VAR:QUERY=RkZfRU5UUlBSX1ZBTF9EQUlMWShOT1csLTEwQVksVywsLCdESUwnKQ==&amp;WINDOW=FIRST_POPUP&amp;HEIGHT=45","0&amp;WIDTH=450&amp;START_MAXIMIZED=FALSE&amp;VAR:CALENDAR=US&amp;VAR:SYMBOL=RBC&amp;VAR:INDEX=37"}</definedName>
    <definedName name="d_cap">[3]FLEX!$C$508:$IV$508</definedName>
    <definedName name="d_e">[3]FLEX!$C$507:$IV$507</definedName>
    <definedName name="daf" localSheetId="6">#REF!</definedName>
    <definedName name="daf" localSheetId="2">#REF!</definedName>
    <definedName name="daf">#REF!</definedName>
    <definedName name="date_look" localSheetId="9">#REF!</definedName>
    <definedName name="date_look" localSheetId="8">#REF!</definedName>
    <definedName name="date_look" localSheetId="3">#REF!</definedName>
    <definedName name="date_look">#REF!</definedName>
    <definedName name="date_look2" localSheetId="9">#REF!</definedName>
    <definedName name="date_look2" localSheetId="8">#REF!</definedName>
    <definedName name="date_look2" localSheetId="5">#REF!</definedName>
    <definedName name="date_look2" localSheetId="3">#REF!</definedName>
    <definedName name="date_look2">#REF!</definedName>
    <definedName name="datecount">'[6]Stock Perf.'!$B$22:$B$124</definedName>
    <definedName name="datelookup">[18]Income!$A$11:$IV$11</definedName>
    <definedName name="Days">360</definedName>
    <definedName name="DaysInPeriod" localSheetId="9">#REF!</definedName>
    <definedName name="DaysInPeriod" localSheetId="8">#REF!</definedName>
    <definedName name="DaysInPeriod" localSheetId="5">#REF!</definedName>
    <definedName name="DaysInPeriod" localSheetId="3">#REF!</definedName>
    <definedName name="DaysInPeriod">#REF!</definedName>
    <definedName name="dbdb" localSheetId="8" hidden="1">{"'MonthlyReport1'!$E$10:$U$120"}</definedName>
    <definedName name="dbdb" localSheetId="6" hidden="1">{"'MonthlyReport1'!$E$10:$U$120"}</definedName>
    <definedName name="dbdb" hidden="1">{"'MonthlyReport1'!$E$10:$U$120"}</definedName>
    <definedName name="DCF_1995" localSheetId="2">#REF!</definedName>
    <definedName name="DCF_1995">#REF!</definedName>
    <definedName name="DCF_1996" localSheetId="2">#REF!</definedName>
    <definedName name="DCF_1996">#REF!</definedName>
    <definedName name="DCF_1997" localSheetId="2">#REF!</definedName>
    <definedName name="DCF_1997">#REF!</definedName>
    <definedName name="DCF_1998" localSheetId="2">#REF!</definedName>
    <definedName name="DCF_1998">#REF!</definedName>
    <definedName name="DCF_1999" localSheetId="2">#REF!</definedName>
    <definedName name="DCF_1999">#REF!</definedName>
    <definedName name="DCF_2000" localSheetId="9">[5]Sheet1!$H$3:$H$110</definedName>
    <definedName name="DCF_2000" localSheetId="8">[5]Sheet1!$H$3:$H$110</definedName>
    <definedName name="DCF_2000" localSheetId="5">[5]Sheet1!$H$3:$H$110</definedName>
    <definedName name="DCF_2000" localSheetId="1">[5]Sheet1!$H$3:$H$110</definedName>
    <definedName name="DCF_2000" localSheetId="3">[5]Sheet1!$H$3:$H$110</definedName>
    <definedName name="DCF_2000" localSheetId="2">#REF!</definedName>
    <definedName name="DCF_2000">#REF!</definedName>
    <definedName name="DCF_2001" localSheetId="2">#REF!</definedName>
    <definedName name="DCF_2001">#REF!</definedName>
    <definedName name="DCF_2002" localSheetId="2">#REF!</definedName>
    <definedName name="DCF_2002">#REF!</definedName>
    <definedName name="DCF_2003" localSheetId="2">#REF!</definedName>
    <definedName name="DCF_2003">#REF!</definedName>
    <definedName name="DCF_2004" localSheetId="2">#REF!</definedName>
    <definedName name="DCF_2004">#REF!</definedName>
    <definedName name="DCF_2005" localSheetId="2">#REF!</definedName>
    <definedName name="DCF_2005">#REF!</definedName>
    <definedName name="DCF_2006" localSheetId="2">#REF!</definedName>
    <definedName name="DCF_2006">#REF!</definedName>
    <definedName name="DCF_2007" localSheetId="2">#REF!</definedName>
    <definedName name="DCF_2007">#REF!</definedName>
    <definedName name="DCF_2008" localSheetId="2">#REF!</definedName>
    <definedName name="DCF_2008">#REF!</definedName>
    <definedName name="DCF_2009" localSheetId="2">#REF!</definedName>
    <definedName name="DCF_2009">#REF!</definedName>
    <definedName name="DCF_2010" localSheetId="2">#REF!</definedName>
    <definedName name="DCF_2010">#REF!</definedName>
    <definedName name="DCF_2011" localSheetId="2">#REF!</definedName>
    <definedName name="DCF_2011">#REF!</definedName>
    <definedName name="DCF_2012" localSheetId="2">#REF!</definedName>
    <definedName name="DCF_2012">#REF!</definedName>
    <definedName name="DCF_2013" localSheetId="2">#REF!</definedName>
    <definedName name="DCF_2013">#REF!</definedName>
    <definedName name="DCF_2014" localSheetId="2">#REF!</definedName>
    <definedName name="DCF_2014">#REF!</definedName>
    <definedName name="DCF_2015" localSheetId="2">#REF!</definedName>
    <definedName name="DCF_2015">#REF!</definedName>
    <definedName name="DCF_2016" localSheetId="2">#REF!</definedName>
    <definedName name="DCF_2016">#REF!</definedName>
    <definedName name="DCF_2017" localSheetId="2">#REF!</definedName>
    <definedName name="DCF_2017">#REF!</definedName>
    <definedName name="DCF_2018" localSheetId="2">#REF!</definedName>
    <definedName name="DCF_2018">#REF!</definedName>
    <definedName name="DCF_2019" localSheetId="2">#REF!</definedName>
    <definedName name="DCF_2019">#REF!</definedName>
    <definedName name="DCF_2020" localSheetId="2">#REF!</definedName>
    <definedName name="DCF_2020">#REF!</definedName>
    <definedName name="DCF_EY1" localSheetId="9">[5]Sheet1!$D:$D</definedName>
    <definedName name="DCF_EY1" localSheetId="8">[5]Sheet1!$D:$D</definedName>
    <definedName name="DCF_EY1" localSheetId="5">[5]Sheet1!$D$1:$D$65536</definedName>
    <definedName name="DCF_EY1" localSheetId="1">[5]Sheet1!$D:$D</definedName>
    <definedName name="DCF_EY1" localSheetId="3">[5]Sheet1!$D:$D</definedName>
    <definedName name="DCF_EY1" localSheetId="2">#REF!</definedName>
    <definedName name="DCF_EY1">#REF!</definedName>
    <definedName name="DCF_EY10" localSheetId="2">#REF!</definedName>
    <definedName name="DCF_EY10">#REF!</definedName>
    <definedName name="DCF_EY11" localSheetId="2">#REF!</definedName>
    <definedName name="DCF_EY11">#REF!</definedName>
    <definedName name="DCF_EY12" localSheetId="2">#REF!</definedName>
    <definedName name="DCF_EY12">#REF!</definedName>
    <definedName name="DCF_EY13" localSheetId="2">#REF!</definedName>
    <definedName name="DCF_EY13">#REF!</definedName>
    <definedName name="DCF_EY14" localSheetId="2">#REF!</definedName>
    <definedName name="DCF_EY14">#REF!</definedName>
    <definedName name="DCF_EY15" localSheetId="2">#REF!</definedName>
    <definedName name="DCF_EY15">#REF!</definedName>
    <definedName name="DCF_EY16" localSheetId="2">#REF!</definedName>
    <definedName name="DCF_EY16">#REF!</definedName>
    <definedName name="DCF_EY17" localSheetId="2">#REF!</definedName>
    <definedName name="DCF_EY17">#REF!</definedName>
    <definedName name="DCF_EY18" localSheetId="2">#REF!</definedName>
    <definedName name="DCF_EY18">#REF!</definedName>
    <definedName name="DCF_EY19" localSheetId="2">#REF!</definedName>
    <definedName name="DCF_EY19">#REF!</definedName>
    <definedName name="DCF_EY2" localSheetId="9">[5]Sheet1!$E:$E</definedName>
    <definedName name="DCF_EY2" localSheetId="8">[5]Sheet1!$E:$E</definedName>
    <definedName name="DCF_EY2" localSheetId="5">[5]Sheet1!$E$1:$E$65536</definedName>
    <definedName name="DCF_EY2" localSheetId="1">[5]Sheet1!$E:$E</definedName>
    <definedName name="DCF_EY2" localSheetId="3">[5]Sheet1!$E:$E</definedName>
    <definedName name="DCF_EY2" localSheetId="2">#REF!</definedName>
    <definedName name="DCF_EY2">#REF!</definedName>
    <definedName name="DCF_EY20" localSheetId="2">#REF!</definedName>
    <definedName name="DCF_EY20">#REF!</definedName>
    <definedName name="DCF_EY21" localSheetId="2">#REF!</definedName>
    <definedName name="DCF_EY21">#REF!</definedName>
    <definedName name="DCF_EY22" localSheetId="2">#REF!</definedName>
    <definedName name="DCF_EY22">#REF!</definedName>
    <definedName name="DCF_EY23" localSheetId="2">#REF!</definedName>
    <definedName name="DCF_EY23">#REF!</definedName>
    <definedName name="DCF_EY24" localSheetId="2">#REF!</definedName>
    <definedName name="DCF_EY24">#REF!</definedName>
    <definedName name="DCF_EY25" localSheetId="2">#REF!</definedName>
    <definedName name="DCF_EY25">#REF!</definedName>
    <definedName name="DCF_EY26" localSheetId="2">#REF!</definedName>
    <definedName name="DCF_EY26">#REF!</definedName>
    <definedName name="DCF_EY3" localSheetId="2">#REF!</definedName>
    <definedName name="DCF_EY3">#REF!</definedName>
    <definedName name="DCF_EY4" localSheetId="2">#REF!</definedName>
    <definedName name="DCF_EY4">#REF!</definedName>
    <definedName name="DCF_EY5" localSheetId="2">#REF!</definedName>
    <definedName name="DCF_EY5">#REF!</definedName>
    <definedName name="DCF_EY6" localSheetId="2">#REF!</definedName>
    <definedName name="DCF_EY6">#REF!</definedName>
    <definedName name="DCF_EY7" localSheetId="2">#REF!</definedName>
    <definedName name="DCF_EY7">#REF!</definedName>
    <definedName name="DCF_EY8" localSheetId="2">#REF!</definedName>
    <definedName name="DCF_EY8">#REF!</definedName>
    <definedName name="DCF_EY9" localSheetId="2">#REF!</definedName>
    <definedName name="DCF_EY9">#REF!</definedName>
    <definedName name="DCF_P" localSheetId="9">[5]Sheet1!$C:$C</definedName>
    <definedName name="DCF_P" localSheetId="8">[5]Sheet1!$C:$C</definedName>
    <definedName name="DCF_P" localSheetId="5">[5]Sheet1!$C$1:$C$65536</definedName>
    <definedName name="DCF_P" localSheetId="1">[5]Sheet1!$C:$C</definedName>
    <definedName name="DCF_P" localSheetId="3">[5]Sheet1!$C:$C</definedName>
    <definedName name="DCF_P" localSheetId="2">#REF!</definedName>
    <definedName name="DCF_P">#REF!</definedName>
    <definedName name="DCF_SCENARIO" localSheetId="5">#REF!</definedName>
    <definedName name="DCF_SCENARIO">#REF!</definedName>
    <definedName name="DCF_TV_METHOD" localSheetId="5">#REF!</definedName>
    <definedName name="DCF_TV_METHOD">#REF!</definedName>
    <definedName name="Debt_growth" localSheetId="2">#REF!</definedName>
    <definedName name="Debt_growth">#REF!</definedName>
    <definedName name="Debt_Market_Cap_Ratio" localSheetId="2">#REF!</definedName>
    <definedName name="Debt_Market_Cap_Ratio">#REF!</definedName>
    <definedName name="debt1997" localSheetId="9">[5]Sheet1!#REF!</definedName>
    <definedName name="debt1997" localSheetId="8">[5]Sheet1!#REF!</definedName>
    <definedName name="debt1997" localSheetId="5">[5]Sheet1!#REF!</definedName>
    <definedName name="debt1997" localSheetId="1">[5]Sheet1!#REF!</definedName>
    <definedName name="debt1997" localSheetId="3">[5]Sheet1!#REF!</definedName>
    <definedName name="debt1997">[5]Sheet1!#REF!</definedName>
    <definedName name="debt1Q99">[5]Sheet1!$Z$19</definedName>
    <definedName name="debt2000">[5]Sheet1!$P$131</definedName>
    <definedName name="debt2001">[5]Sheet1!$Q$131</definedName>
    <definedName name="debt2Q99">[5]Sheet1!$AA$19</definedName>
    <definedName name="debt3Q98">[5]Sheet1!$X$19</definedName>
    <definedName name="debt3Q99">[5]Sheet1!$AB$19</definedName>
    <definedName name="debt4Q98">[5]Sheet1!$Y$19</definedName>
    <definedName name="debt99">[5]Sheet1!$K$131</definedName>
    <definedName name="Deferred_tax_asset" localSheetId="2">#REF!</definedName>
    <definedName name="Deferred_tax_asset">#REF!</definedName>
    <definedName name="Deferred_tax_asset_growth_fore" localSheetId="2">#REF!</definedName>
    <definedName name="Deferred_tax_asset_growth_fore">#REF!</definedName>
    <definedName name="Deferred_tax_liability" localSheetId="2">#REF!</definedName>
    <definedName name="Deferred_tax_liability">#REF!</definedName>
    <definedName name="Deferred_tax_liability_growth_fore" localSheetId="2">#REF!</definedName>
    <definedName name="Deferred_tax_liability_growth_fore">#REF!</definedName>
    <definedName name="Deferred_taxes" localSheetId="2">#REF!</definedName>
    <definedName name="Deferred_taxes">#REF!</definedName>
    <definedName name="definc">[4]CLS!$C$327:$IV$327</definedName>
    <definedName name="definctx">[8]sanm!$C$292:$IV$292</definedName>
    <definedName name="dep" localSheetId="6">#REF!</definedName>
    <definedName name="dep" localSheetId="2">#REF!</definedName>
    <definedName name="dep">#REF!</definedName>
    <definedName name="Dep_and_Amort" localSheetId="2">#REF!</definedName>
    <definedName name="Dep_and_Amort">#REF!</definedName>
    <definedName name="Dep_margin_fore" localSheetId="2">#REF!</definedName>
    <definedName name="Dep_margin_fore">#REF!</definedName>
    <definedName name="Depreciation" localSheetId="2">#REF!</definedName>
    <definedName name="Depreciation">#REF!</definedName>
    <definedName name="Depreciation_fore" localSheetId="2">#REF!</definedName>
    <definedName name="Depreciation_fore">#REF!</definedName>
    <definedName name="Depreciation_margin" localSheetId="2">#REF!</definedName>
    <definedName name="Depreciation_margin">#REF!</definedName>
    <definedName name="DepreciationSwitch">TRUE</definedName>
    <definedName name="Description">#REF!</definedName>
    <definedName name="dfdf" localSheetId="9" hidden="1">{"QtrModel",#N/A,FALSE,"IS"}</definedName>
    <definedName name="dfdf" localSheetId="8" hidden="1">{"QtrModel",#N/A,FALSE,"IS"}</definedName>
    <definedName name="dfdf" localSheetId="5" hidden="1">{"QtrModel",#N/A,FALSE,"IS"}</definedName>
    <definedName name="dfdf" localSheetId="3" hidden="1">{"QtrModel",#N/A,FALSE,"IS"}</definedName>
    <definedName name="dfdf" hidden="1">{"QtrModel",#N/A,FALSE,"IS"}</definedName>
    <definedName name="dfdfd" localSheetId="8" hidden="1">{"'MonthlyReport1'!$E$10:$U$120"}</definedName>
    <definedName name="dfdfd" localSheetId="6" hidden="1">{"'MonthlyReport1'!$E$10:$U$120"}</definedName>
    <definedName name="dfdfd" hidden="1">{"'MonthlyReport1'!$E$10:$U$120"}</definedName>
    <definedName name="DFDFG" localSheetId="8" hidden="1">{"'MonthlyReport1'!$E$10:$U$120"}</definedName>
    <definedName name="DFDFG" localSheetId="6" hidden="1">{"'MonthlyReport1'!$E$10:$U$120"}</definedName>
    <definedName name="DFDFG" hidden="1">{"'MonthlyReport1'!$E$10:$U$120"}</definedName>
    <definedName name="dfdgfff" localSheetId="8" hidden="1">{"'MonthlyReport1'!$E$10:$U$120"}</definedName>
    <definedName name="dfdgfff" localSheetId="6" hidden="1">{"'MonthlyReport1'!$E$10:$U$120"}</definedName>
    <definedName name="dfdgfff" hidden="1">{"'MonthlyReport1'!$E$10:$U$120"}</definedName>
    <definedName name="DFWFW" localSheetId="8" hidden="1">{"'MonthlyReport1'!$E$10:$U$120"}</definedName>
    <definedName name="DFWFW" localSheetId="6" hidden="1">{"'MonthlyReport1'!$E$10:$U$120"}</definedName>
    <definedName name="DFWFW" hidden="1">{"'MonthlyReport1'!$E$10:$U$120"}</definedName>
    <definedName name="dih">[3]FLEX!$C$512:$IV$512</definedName>
    <definedName name="DIHChg">'[7]Param (Old)'!$C$27</definedName>
    <definedName name="dilu1997">[5]Sheet1!$G$41</definedName>
    <definedName name="dilu1998">[5]Sheet1!$H$41</definedName>
    <definedName name="dilu1999">[5]Sheet1!$I$41</definedName>
    <definedName name="dilu1Q98">[5]Sheet1!$BS$41</definedName>
    <definedName name="dilu1Q99">[5]Sheet1!$BZ$41</definedName>
    <definedName name="dilu2000">[5]Sheet1!$J$41</definedName>
    <definedName name="dilu2001">[5]Sheet1!$K$41</definedName>
    <definedName name="dilu2002">[5]Sheet1!$L$41</definedName>
    <definedName name="dilu2003">[5]Sheet1!$M$41</definedName>
    <definedName name="dilu2004">[5]Sheet1!$N$41</definedName>
    <definedName name="dilu2005">[5]Sheet1!$O$41</definedName>
    <definedName name="dilu2006">[5]Sheet1!$P$41</definedName>
    <definedName name="dilu2007">[5]Sheet1!$Q$41</definedName>
    <definedName name="dilu2Q98">[5]Sheet1!$BT$41</definedName>
    <definedName name="dilu2Q99">[5]Sheet1!$CA$41</definedName>
    <definedName name="dilu3Q98">[5]Sheet1!$BU$41</definedName>
    <definedName name="dilu3Q99">[5]Sheet1!$CB$41</definedName>
    <definedName name="dilu4Q98">[5]Sheet1!$BV$41</definedName>
    <definedName name="dilu4Q99">[5]Sheet1!$CC$41</definedName>
    <definedName name="Dilution_factor" localSheetId="9">[5]Sheet1!$S$62</definedName>
    <definedName name="Dilution_factor" localSheetId="8">[5]Sheet1!$S$62</definedName>
    <definedName name="Dilution_factor" localSheetId="6">#REF!</definedName>
    <definedName name="Dilution_factor" localSheetId="5">[5]Sheet1!$S$62</definedName>
    <definedName name="Dilution_factor" localSheetId="1">[5]Sheet1!$S$62</definedName>
    <definedName name="Dilution_factor" localSheetId="3">[5]Sheet1!$S$62</definedName>
    <definedName name="Dilution_factor" localSheetId="2">#REF!</definedName>
    <definedName name="Dilution_factor">#REF!</definedName>
    <definedName name="Discount">1.15</definedName>
    <definedName name="discountrate">[5]Sheet1!$D$16</definedName>
    <definedName name="DnA_fore" localSheetId="2">#REF!</definedName>
    <definedName name="DnA_fore">#REF!</definedName>
    <definedName name="DnA_growth_fore" localSheetId="2">#REF!</definedName>
    <definedName name="DnA_growth_fore">#REF!</definedName>
    <definedName name="domlook" localSheetId="5">#REF!</definedName>
    <definedName name="domlook">#REF!</definedName>
    <definedName name="dp">[4]CLS!$D$347:$IV$347</definedName>
    <definedName name="dpo">[3]FLEX!$C$514:$IV$514</definedName>
    <definedName name="DPOChg">'[7]Param (Old)'!$C$28</definedName>
    <definedName name="DPS_Curr_Yr" localSheetId="6">#REF!</definedName>
    <definedName name="DPS_Curr_Yr" localSheetId="2">#REF!</definedName>
    <definedName name="DPS_Curr_Yr">#REF!</definedName>
    <definedName name="DPS_Lst_Yr" localSheetId="2">#REF!</definedName>
    <definedName name="DPS_Lst_Yr">#REF!</definedName>
    <definedName name="DPS_Next_Yr" localSheetId="2">#REF!</definedName>
    <definedName name="DPS_Next_Yr">#REF!</definedName>
    <definedName name="DRAFT_RCnum" localSheetId="2">#REF!</definedName>
    <definedName name="DRAFT_RCnum">#REF!</definedName>
    <definedName name="dso">[3]FLEX!$C$513:$IV$513</definedName>
    <definedName name="DSOChg">'[7]Param (Old)'!$C$26</definedName>
    <definedName name="EARNINGSPREVIEW" localSheetId="9">'[19]Earnings Prevue'!$B$1</definedName>
    <definedName name="EARNINGSPREVIEW" localSheetId="8">'[19]Earnings Prevue'!$B$1</definedName>
    <definedName name="EARNINGSPREVIEW" localSheetId="5">'[20]Earnings Prevue'!$B$1</definedName>
    <definedName name="EARNINGSPREVIEW" localSheetId="1">'[19]Earnings Prevue'!$B$1</definedName>
    <definedName name="EARNINGSPREVIEW" localSheetId="3">'[19]Earnings Prevue'!$B$1</definedName>
    <definedName name="EARNINGSPREVIEW">'[20]Earnings Prevue'!$B$1</definedName>
    <definedName name="ebg">[3]FLEX!$C$78:$IV$78</definedName>
    <definedName name="ebgint">[4]CLS!$C$74:$IV$74</definedName>
    <definedName name="EBIT" localSheetId="6">#REF!</definedName>
    <definedName name="EBIT" localSheetId="2">#REF!</definedName>
    <definedName name="EBIT">#REF!</definedName>
    <definedName name="EBIT_fore" localSheetId="2">#REF!</definedName>
    <definedName name="EBIT_fore">#REF!</definedName>
    <definedName name="EBIT_growth" localSheetId="2">#REF!</definedName>
    <definedName name="EBIT_growth">#REF!</definedName>
    <definedName name="EBIT_margin" localSheetId="2">#REF!</definedName>
    <definedName name="EBIT_margin">#REF!</definedName>
    <definedName name="EBIT_margin_fore" localSheetId="2">#REF!</definedName>
    <definedName name="EBIT_margin_fore">#REF!</definedName>
    <definedName name="EBITA" localSheetId="2">#REF!</definedName>
    <definedName name="EBITA">#REF!</definedName>
    <definedName name="EBITA_fore" localSheetId="2">#REF!</definedName>
    <definedName name="EBITA_fore">#REF!</definedName>
    <definedName name="ebitapct">[3]FLEX!$C$101:$IV$101</definedName>
    <definedName name="EBITCAGR" localSheetId="9">#REF!</definedName>
    <definedName name="EBITCAGR" localSheetId="8">#REF!</definedName>
    <definedName name="EBITCAGR" localSheetId="5">#REF!</definedName>
    <definedName name="EBITCAGR" localSheetId="3">#REF!</definedName>
    <definedName name="EBITCAGR">#REF!</definedName>
    <definedName name="EBITDA" localSheetId="9">#REF!</definedName>
    <definedName name="EBITDA" localSheetId="8">#REF!</definedName>
    <definedName name="EBITDA" localSheetId="5">#REF!</definedName>
    <definedName name="EBITDA" localSheetId="1">#REF!</definedName>
    <definedName name="EBITDA" localSheetId="3">#REF!</definedName>
    <definedName name="ebitda">[3]FLEX!$C$144:$IV$144</definedName>
    <definedName name="EBITDA_DCF" localSheetId="9">[5]Sheet1!$C$15:$AZ$15</definedName>
    <definedName name="EBITDA_DCF" localSheetId="8">[5]Sheet1!$C$15:$AZ$15</definedName>
    <definedName name="EBITDA_DCF" localSheetId="6">#REF!</definedName>
    <definedName name="EBITDA_DCF" localSheetId="5">[5]Sheet1!$C$15:$AZ$15</definedName>
    <definedName name="EBITDA_DCF" localSheetId="1">[5]Sheet1!$C$15:$AZ$15</definedName>
    <definedName name="EBITDA_DCF" localSheetId="3">[5]Sheet1!$C$15:$AZ$15</definedName>
    <definedName name="EBITDA_DCF" localSheetId="2">#REF!</definedName>
    <definedName name="EBITDA_DCF">#REF!</definedName>
    <definedName name="EBITDA_fore" localSheetId="9">[5]Sheet1!$E$17:$AW$17</definedName>
    <definedName name="EBITDA_fore" localSheetId="8">[5]Sheet1!$E$17:$AW$17</definedName>
    <definedName name="EBITDA_fore" localSheetId="5">[5]Sheet1!$E$17:$AW$17</definedName>
    <definedName name="EBITDA_fore" localSheetId="1">[5]Sheet1!$E$17:$AW$17</definedName>
    <definedName name="EBITDA_fore" localSheetId="3">[5]Sheet1!$E$17:$AW$17</definedName>
    <definedName name="EBITDA_fore" localSheetId="2">#REF!</definedName>
    <definedName name="EBITDA_fore">#REF!</definedName>
    <definedName name="EBITDA_growth" localSheetId="2">#REF!</definedName>
    <definedName name="EBITDA_growth">#REF!</definedName>
    <definedName name="EBITDA_growth_avg" localSheetId="9">[5]Sheet1!#REF!</definedName>
    <definedName name="EBITDA_growth_avg" localSheetId="8">[5]Sheet1!#REF!</definedName>
    <definedName name="EBITDA_growth_avg" localSheetId="5">[5]Sheet1!#REF!</definedName>
    <definedName name="EBITDA_growth_avg" localSheetId="1">[5]Sheet1!#REF!</definedName>
    <definedName name="EBITDA_growth_avg" localSheetId="3">[5]Sheet1!#REF!</definedName>
    <definedName name="EBITDA_growth_avg" localSheetId="2">#REF!</definedName>
    <definedName name="EBITDA_growth_avg">#REF!</definedName>
    <definedName name="EBITDA_margin" localSheetId="2">#REF!</definedName>
    <definedName name="EBITDA_margin">#REF!</definedName>
    <definedName name="EBITDA_margin_fore" localSheetId="2">#REF!</definedName>
    <definedName name="EBITDA_margin_fore">#REF!</definedName>
    <definedName name="EBITDA_Share" localSheetId="9">[5]Sheet1!#REF!</definedName>
    <definedName name="EBITDA_Share" localSheetId="8">[5]Sheet1!#REF!</definedName>
    <definedName name="EBITDA_Share" localSheetId="5">[5]Sheet1!#REF!</definedName>
    <definedName name="EBITDA_Share" localSheetId="1">[5]Sheet1!#REF!</definedName>
    <definedName name="EBITDA_Share" localSheetId="3">[5]Sheet1!#REF!</definedName>
    <definedName name="EBITDA_Share" localSheetId="2">#REF!</definedName>
    <definedName name="EBITDA_Share">#REF!</definedName>
    <definedName name="ebitda1998">[5]Sheet1!$F$161</definedName>
    <definedName name="ebitda1999">[5]Sheet1!$K$161</definedName>
    <definedName name="ebitda1q97" localSheetId="9">[5]Sheet1!#REF!</definedName>
    <definedName name="ebitda1q97" localSheetId="8">[5]Sheet1!#REF!</definedName>
    <definedName name="ebitda1q97" localSheetId="5">[5]Sheet1!#REF!</definedName>
    <definedName name="ebitda1q97" localSheetId="1">[5]Sheet1!#REF!</definedName>
    <definedName name="ebitda1q97" localSheetId="3">[5]Sheet1!#REF!</definedName>
    <definedName name="ebitda1q97">[5]Sheet1!#REF!</definedName>
    <definedName name="ebitda1q98">[5]Sheet1!$B$161</definedName>
    <definedName name="ebitda1Q99">[5]Sheet1!$BZ$24</definedName>
    <definedName name="ebitda2000">[5]Sheet1!$P$161</definedName>
    <definedName name="ebitda2001">[5]Sheet1!$Q$161</definedName>
    <definedName name="ebitda2002">[5]Sheet1!$R$161</definedName>
    <definedName name="ebitda2q97" localSheetId="9">[5]Sheet1!#REF!</definedName>
    <definedName name="ebitda2q97" localSheetId="8">[5]Sheet1!#REF!</definedName>
    <definedName name="ebitda2q97" localSheetId="5">[5]Sheet1!#REF!</definedName>
    <definedName name="ebitda2q97" localSheetId="1">[5]Sheet1!#REF!</definedName>
    <definedName name="ebitda2q97" localSheetId="3">[5]Sheet1!#REF!</definedName>
    <definedName name="ebitda2q97">[5]Sheet1!#REF!</definedName>
    <definedName name="ebitda2q98">[5]Sheet1!$C$161</definedName>
    <definedName name="ebitda2Q99">[5]Sheet1!$CA$24</definedName>
    <definedName name="ebitda3q97" localSheetId="9">[5]Sheet1!#REF!</definedName>
    <definedName name="ebitda3q97" localSheetId="8">[5]Sheet1!#REF!</definedName>
    <definedName name="ebitda3q97" localSheetId="5">[5]Sheet1!#REF!</definedName>
    <definedName name="ebitda3q97" localSheetId="1">[5]Sheet1!#REF!</definedName>
    <definedName name="ebitda3q97" localSheetId="3">[5]Sheet1!#REF!</definedName>
    <definedName name="ebitda3q97">[5]Sheet1!#REF!</definedName>
    <definedName name="ebitda3q98">[5]Sheet1!$D$161</definedName>
    <definedName name="ebitda3Q99">[5]Sheet1!$CB$24</definedName>
    <definedName name="ebitda4q97" localSheetId="9">[5]Sheet1!#REF!</definedName>
    <definedName name="ebitda4q97" localSheetId="8">[5]Sheet1!#REF!</definedName>
    <definedName name="ebitda4q97" localSheetId="5">[5]Sheet1!#REF!</definedName>
    <definedName name="ebitda4q97" localSheetId="1">[5]Sheet1!#REF!</definedName>
    <definedName name="ebitda4q97" localSheetId="3">[5]Sheet1!#REF!</definedName>
    <definedName name="ebitda4q97">[5]Sheet1!#REF!</definedName>
    <definedName name="ebitda4q98">[5]Sheet1!$E$161</definedName>
    <definedName name="ebitda4Q99">[5]Sheet1!$CC$24</definedName>
    <definedName name="EBITDACAGR" localSheetId="9">#REF!</definedName>
    <definedName name="EBITDACAGR" localSheetId="8">#REF!</definedName>
    <definedName name="EBITDACAGR" localSheetId="5">#REF!</definedName>
    <definedName name="EBITDACAGR" localSheetId="3">#REF!</definedName>
    <definedName name="EBITDACAGR">#REF!</definedName>
    <definedName name="ebitdacgr2000">[5]Sheet1!$P$183</definedName>
    <definedName name="ebitdacgr2001">[5]Sheet1!$Q$183</definedName>
    <definedName name="ebitdacgr2002">[5]Sheet1!$R$183</definedName>
    <definedName name="ebitdapct">[3]FLEX!$C$146:$IV$146</definedName>
    <definedName name="ebitdapctint">[4]CLS!$C$136:$IV$136</definedName>
    <definedName name="Economic_book_value" localSheetId="6">#REF!</definedName>
    <definedName name="Economic_book_value" localSheetId="2">#REF!</definedName>
    <definedName name="Economic_book_value">#REF!</definedName>
    <definedName name="Economic_profit" localSheetId="2">#REF!</definedName>
    <definedName name="Economic_profit">#REF!</definedName>
    <definedName name="Economic_profit_dcf" localSheetId="2">#REF!</definedName>
    <definedName name="Economic_profit_dcf">#REF!</definedName>
    <definedName name="economic_profit2" localSheetId="2">#REF!</definedName>
    <definedName name="economic_profit2">#REF!</definedName>
    <definedName name="Effective_tax_rate" localSheetId="2">#REF!</definedName>
    <definedName name="Effective_tax_rate">#REF!</definedName>
    <definedName name="Enterprise_value" localSheetId="2">#REF!</definedName>
    <definedName name="Enterprise_value">#REF!</definedName>
    <definedName name="EPMWorkbookOptions_1" hidden="1">"9iQAAB|LCAAAAAAABADtvQdgHEmWJSYvbcp7f0r1StfgdKEIgGATJNiQQBDswYjN5pLsHWlHIymrKoHKZVZlXWYWQMztnbz33nvvvffee||997o7nU4n99//P1xmZAFs9s5K2smeIYCqyB8/fnwfPyIe/x7vFmV6mddNUS0/|2h3vPNRmi|n1axYXnz20bo939799KPf4|g3Th5/t6rfTqrq7Zerlpo2Kb23bB69a4rPPpq37erR3btXV1fjq3v"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"jqr64u7ezs3v39/7i|evpPF9k28WyabPlNP/IvjW7|a2PqNc0fXxSLZf5FH2|qU7WdZ0v258s8iv|Mvj6adZm|il9/iJb5NKb7anNF6t1XXBXXzV5/bLOz3OCN83HhNBHR7//s5df/P5PXp588Xp35/f/nr40zerJapqtVuOsLcfTq3FZTbPybpOt7tLnd7//|3/vZV3Nfv8H9|m3Z8USo6TfzrOyyb//|C6wcDgdr1ZlMc08|t0aNwMjhOJ9rE"</definedName>
    <definedName name="EPMWorkbookOptions_3" hidden="1">"M|Uhw6XQupHPXSu4NffbuYzfLl02KRL8ETTdAwbGob/WTRFJOiLNrrTmtqbxt9tSx|0TpntI6n02q9bB/fjX3ZgyAYHbX1moalf3SQuvseWAWNN47WH6ubkB5FXs8r1|lJVVa14hr5YtOrPPrImxGq8IvE|m3|rn2WXVZ10RJezHXycu|7W7z/rKib1kMg/n0HkMVymEC3bfVNMIsPQyhOCuz|zu69g10PQGwu|N0v61leH|08viu/RKE3qzK7J"</definedName>
    <definedName name="EPMWorkbookOptions_4" hidden="1">"qFf5TVx1u79T||f55Pz7fufzva39/fOH24f3M/z7Z0s39ufTR7sP5jcQ8/hWxHAz7OmfZ2XpMvy2Rf5YkIqOdIsZMpoA2oi73tk|t7xycmXX7148/3x9769S/8cP3/|7bPTV8evTr79||ySnuq9MAD420VeZ/V0fu2apmQCHi2L8rOPwDkfdTSL925k|m73biCwMdLdvQ3tvOn/WWPVk6zNL6r6|uvz6s7O/sHOzu1Zdff/f6x6cvzm9PMvX/0|"</definedName>
    <definedName name="EPMWorkbookOptions_5" hidden="1">"lldP3nx1/PxHTOo3u1WrASaFn/S6nn5tHr137/79/f392/Po3v//ePTp8Zvj169ODIu||vLk9//iy588/RGT|s1u1WqISfNVVrf0|de3|58|2N05OHhwez699/9DPj19efzqzRenzvK/|fINMeqrb58eP/0Rt/rNbtVqgFtPly1FGV|bU8nqf/rpvXvvYfb334NV9x88vLd3vv/p9uTBZJdYdefB9uTTh/e2Zw/PH2S7B1mW5bP/F7Aq8ejZGzb"</definedName>
    <definedName name="EPMWorkbookOptions_6" hidden="1">"6e/TPg/|vM|c3Q4aDH5EBZNh98SM6gA6f/ogMLBX37v9/nRD/77FdZ8v2pPr6puu9kyv338N0/X/Eyzp78ebkSy|18vvTB6ev6KMfManX7FatBpj01aoVVKcf4GW9N6t||v8/Vn318s3JV69enb44sfmVr17/KBIImt2q1QCjvqHPfogc|uA9ODTLH04ePtx/uD2bTO5t79/fPdieUASwnX06uzd5eO/|3t75/xvigDdnX5wa1tzb2d0ff3H86v"</definedName>
    <definedName name="EPMWorkbookOptions_7" hidden="1">"/r/PmN0eLZ6ZMf0UJp8Z3jn7dRQUiLnd0xZXW|Xor8fUf0s0mN//do8S9Oj19/9er09Q9Rkx|8hyb//4ivYahITEr/e3n66uzLp2cn/1|X2W|QS2/RKMAm3ujx3ePVqiymWUtw7OfBp6Y5QauWS0KcPsMyEH/sf/im6g7|8av8vM6b|ZfLL1f58ug8KxtycMIPud1JmWc1gH65fJ1d5qZl92Nu|92qfjupqrfEmy2T0bTufxG2v5rprD0|a34yq"</definedName>
    <definedName name="EPMWorkbookOptions_8" hidden="1">"4tsUuZf5PWFg9D7/DdOHNgvV0KN/wdhFH7m9iQAAA=="</definedName>
    <definedName name="eps">[3]FLEX!$C$72:$IV$72</definedName>
    <definedName name="EPS_1996" localSheetId="9">[5]Sheet1!$G$20</definedName>
    <definedName name="EPS_1996" localSheetId="8">[5]Sheet1!$G$20</definedName>
    <definedName name="EPS_1996" localSheetId="6">#REF!</definedName>
    <definedName name="EPS_1996" localSheetId="5">[5]Sheet1!$G$20</definedName>
    <definedName name="EPS_1996" localSheetId="1">[5]Sheet1!$G$20</definedName>
    <definedName name="EPS_1996" localSheetId="3">[5]Sheet1!$G$20</definedName>
    <definedName name="EPS_1996" localSheetId="2">#REF!</definedName>
    <definedName name="EPS_1996">#REF!</definedName>
    <definedName name="EPS_1997" localSheetId="9">[5]Sheet1!$G$19</definedName>
    <definedName name="EPS_1997" localSheetId="8">[5]Sheet1!$G$19</definedName>
    <definedName name="EPS_1997" localSheetId="5">[5]Sheet1!$G$19</definedName>
    <definedName name="EPS_1997" localSheetId="1">[5]Sheet1!$G$19</definedName>
    <definedName name="EPS_1997" localSheetId="3">[5]Sheet1!$G$19</definedName>
    <definedName name="EPS_1997" localSheetId="2">#REF!</definedName>
    <definedName name="EPS_1997">#REF!</definedName>
    <definedName name="EPS_Curr_Qtr" localSheetId="2">#REF!</definedName>
    <definedName name="EPS_Curr_Qtr">#REF!</definedName>
    <definedName name="EPS_Curr_Yr" localSheetId="2">#REF!</definedName>
    <definedName name="EPS_Curr_Yr">#REF!</definedName>
    <definedName name="EPS_growth" localSheetId="2">#REF!</definedName>
    <definedName name="EPS_growth">#REF!</definedName>
    <definedName name="EPS_growth_avg" localSheetId="9">[5]Sheet1!#REF!</definedName>
    <definedName name="EPS_growth_avg" localSheetId="8">[5]Sheet1!#REF!</definedName>
    <definedName name="EPS_growth_avg" localSheetId="5">[5]Sheet1!#REF!</definedName>
    <definedName name="EPS_growth_avg" localSheetId="1">[5]Sheet1!#REF!</definedName>
    <definedName name="EPS_growth_avg" localSheetId="3">[5]Sheet1!#REF!</definedName>
    <definedName name="EPS_growth_avg" localSheetId="2">#REF!</definedName>
    <definedName name="EPS_growth_avg">#REF!</definedName>
    <definedName name="EPS_Growth_Rate" localSheetId="2">#REF!</definedName>
    <definedName name="EPS_Growth_Rate">#REF!</definedName>
    <definedName name="EPS_Lst_Yr" localSheetId="2">#REF!</definedName>
    <definedName name="EPS_Lst_Yr">#REF!</definedName>
    <definedName name="EPS_Next_Yr" localSheetId="2">#REF!</definedName>
    <definedName name="EPS_Next_Yr">#REF!</definedName>
    <definedName name="EPS_Qtr_Date" localSheetId="2">#REF!</definedName>
    <definedName name="EPS_Qtr_Date">#REF!</definedName>
    <definedName name="EPSCAGR" localSheetId="5">#REF!</definedName>
    <definedName name="EPSCAGR">#REF!</definedName>
    <definedName name="epschartbuild">[18]Income!$A$109:$C$137</definedName>
    <definedName name="Equity_Equivalents" localSheetId="2">#REF!</definedName>
    <definedName name="Equity_Equivalents">#REF!</definedName>
    <definedName name="Equity_risk_premium" localSheetId="2">#REF!</definedName>
    <definedName name="Equity_risk_premium">#REF!</definedName>
    <definedName name="Equity_Ticker" localSheetId="2">#REF!</definedName>
    <definedName name="Equity_Ticker">#REF!</definedName>
    <definedName name="erere" localSheetId="8" hidden="1">{"'MonthlyReport1'!$E$10:$U$120"}</definedName>
    <definedName name="erere" localSheetId="6" hidden="1">{"'MonthlyReport1'!$E$10:$U$120"}</definedName>
    <definedName name="erere" hidden="1">{"'MonthlyReport1'!$E$10:$U$120"}</definedName>
    <definedName name="ERP">7%</definedName>
    <definedName name="ErrorThreshold" localSheetId="9">#REF!</definedName>
    <definedName name="ErrorThreshold" localSheetId="8">#REF!</definedName>
    <definedName name="ErrorThreshold" localSheetId="5">#REF!</definedName>
    <definedName name="ErrorThreshold" localSheetId="3">#REF!</definedName>
    <definedName name="ErrorThreshold">#REF!</definedName>
    <definedName name="EsSitPasPN">[11]Act!#REF!</definedName>
    <definedName name="Est_Look">'[21]Marketing Sheet(NEW)'!$Q$36:$S$66</definedName>
    <definedName name="est_look2">'[22]LLTC Preview'!$Q$31:$S$61</definedName>
    <definedName name="EstEvo" localSheetId="6">#REF!</definedName>
    <definedName name="EstEvo">#REF!</definedName>
    <definedName name="EV__CVPARAMS__" hidden="1">"Nested Row!$B$20:$C$41;"</definedName>
    <definedName name="EV__CVPARAMS___1" hidden="1">"Any by Any!$B$17:$C$38;"</definedName>
    <definedName name="EV__EVCOM_OPTIONS__" hidden="1">8</definedName>
    <definedName name="EV__EVCOM_OPTIONS___1" hidden="1">8</definedName>
    <definedName name="EV__EXPOPTIONS__" hidden="1">0</definedName>
    <definedName name="EV__LASTREFTIME__" hidden="1">40379.4077083333</definedName>
    <definedName name="EV__LASTREFTIME___1" hidden="1">40480.3996759259</definedName>
    <definedName name="EV__LASTREFTIME___2" hidden="1">39896.6700462963</definedName>
    <definedName name="EV__LASTREFTIME___3" hidden="1">40191.7423842593</definedName>
    <definedName name="EV__LASTREFTIME___4" hidden="1">40807.5092708333</definedName>
    <definedName name="EV__LASTREFTIME___5" hidden="1">40875.4099305556</definedName>
    <definedName name="EV__MAXEXPCOLS__" hidden="1">100</definedName>
    <definedName name="EV__MAXEXPCOLS___1" hidden="1">255</definedName>
    <definedName name="EV__MAXEXPROWS__" hidden="1">1000</definedName>
    <definedName name="EV__MAXEXPROWS___1" hidden="1">65000</definedName>
    <definedName name="EV__MEMORYCVW__" hidden="1">0</definedName>
    <definedName name="EV__USERCHANGEOPTIONS__" hidden="1">1</definedName>
    <definedName name="EV__WBEVMODE__" hidden="1">0</definedName>
    <definedName name="EV__WBEVMODE___1" hidden="1">1</definedName>
    <definedName name="EV__WBREFOPTIONS__" hidden="1">134217783</definedName>
    <definedName name="EV__WBREFOPTIONS___1" hidden="1">134217783</definedName>
    <definedName name="EV__WBREFOPTIONS___2" hidden="1">134217780</definedName>
    <definedName name="EV__WBVERSION__" hidden="1">0</definedName>
    <definedName name="EV_LASTREFTIME__" hidden="1">40016.3545138889</definedName>
    <definedName name="Excess_cash" localSheetId="6">#REF!</definedName>
    <definedName name="Excess_cash" localSheetId="2">#REF!</definedName>
    <definedName name="Excess_cash">#REF!</definedName>
    <definedName name="Exchange" localSheetId="6">#REF!</definedName>
    <definedName name="Exchange">#REF!</definedName>
    <definedName name="ExistingGoodwill">'[7]Param (Old)'!$C$36</definedName>
    <definedName name="exitem">[8]sanm!$C$39:$IV$39</definedName>
    <definedName name="Expl_forecast_1st_yr" localSheetId="9">[5]Sheet1!$E$1:$E$65536</definedName>
    <definedName name="Expl_forecast_1st_yr" localSheetId="8">[5]Sheet1!$E$1:$E$65536</definedName>
    <definedName name="Expl_forecast_1st_yr" localSheetId="6">#REF!</definedName>
    <definedName name="Expl_forecast_1st_yr" localSheetId="5">[5]Sheet1!$E$1:$E$65536</definedName>
    <definedName name="Expl_forecast_1st_yr" localSheetId="1">[5]Sheet1!$E$1:$E$65536</definedName>
    <definedName name="Expl_forecast_1st_yr" localSheetId="3">[5]Sheet1!$E$1:$E$65536</definedName>
    <definedName name="Expl_forecast_1st_yr" localSheetId="2">#REF!</definedName>
    <definedName name="Expl_forecast_1st_yr">#REF!</definedName>
    <definedName name="Expl_forecast_2nd_yr" localSheetId="9">[5]Sheet1!$F:$F</definedName>
    <definedName name="Expl_forecast_2nd_yr" localSheetId="8">[5]Sheet1!$F:$F</definedName>
    <definedName name="Expl_forecast_2nd_yr" localSheetId="5">[5]Sheet1!$F$1:$F$65536</definedName>
    <definedName name="Expl_forecast_2nd_yr" localSheetId="1">[5]Sheet1!$F:$F</definedName>
    <definedName name="Expl_forecast_2nd_yr" localSheetId="3">[5]Sheet1!$F:$F</definedName>
    <definedName name="Expl_forecast_2nd_yr" localSheetId="2">#REF!</definedName>
    <definedName name="Expl_forecast_2nd_yr">#REF!</definedName>
    <definedName name="Expl_forecast_3rd_yr" localSheetId="2">#REF!</definedName>
    <definedName name="Expl_forecast_3rd_yr">#REF!</definedName>
    <definedName name="_xlnm.Extract">[11]Llave!#REF!</definedName>
    <definedName name="far" localSheetId="6">#REF!</definedName>
    <definedName name="far">#REF!</definedName>
    <definedName name="fasfasdfasdf" localSheetId="5">#REF!</definedName>
    <definedName name="fasfasdfasdf">#REF!</definedName>
    <definedName name="fdfddf" localSheetId="8" hidden="1">{"'MonthlyReport1'!$E$10:$U$120"}</definedName>
    <definedName name="fdfddf" localSheetId="6" hidden="1">{"'MonthlyReport1'!$E$10:$U$120"}</definedName>
    <definedName name="fdfddf" hidden="1">{"'MonthlyReport1'!$E$10:$U$120"}</definedName>
    <definedName name="FDFVLTMEBIT" localSheetId="5">#REF!</definedName>
    <definedName name="FDFVLTMEBIT">#REF!</definedName>
    <definedName name="FDFVLTMEBITDA" localSheetId="5">#REF!</definedName>
    <definedName name="FDFVLTMEBITDA">#REF!</definedName>
    <definedName name="FDFVLTMRevenues" localSheetId="5">#REF!</definedName>
    <definedName name="FDFVLTMRevenues">#REF!</definedName>
    <definedName name="fff" localSheetId="5" hidden="1">#REF!</definedName>
    <definedName name="fff" hidden="1">#REF!</definedName>
    <definedName name="fg">[3]FLEX!$C$462:$IV$462</definedName>
    <definedName name="fgh" localSheetId="8" hidden="1">{"'MonthlyReport1'!$E$10:$U$120"}</definedName>
    <definedName name="fgh" localSheetId="6" hidden="1">{"'MonthlyReport1'!$E$10:$U$120"}</definedName>
    <definedName name="fgh" hidden="1">{"'MonthlyReport1'!$E$10:$U$120"}</definedName>
    <definedName name="fig_1" localSheetId="5">#REF!</definedName>
    <definedName name="fig_1">#REF!</definedName>
    <definedName name="fig_2" localSheetId="5">#REF!</definedName>
    <definedName name="fig_2">#REF!</definedName>
    <definedName name="fig_3" localSheetId="5">#REF!</definedName>
    <definedName name="fig_3">#REF!</definedName>
    <definedName name="fig_4" localSheetId="5">#REF!</definedName>
    <definedName name="fig_4">#REF!</definedName>
    <definedName name="fig_5" localSheetId="5">#REF!</definedName>
    <definedName name="fig_5">#REF!</definedName>
    <definedName name="fig_6" localSheetId="5">#REF!</definedName>
    <definedName name="fig_6">#REF!</definedName>
    <definedName name="fin3q98">[5]Sheet1!$D$245</definedName>
    <definedName name="fin4q98">[5]Sheet1!$E$245</definedName>
    <definedName name="FINCriteriaType">1</definedName>
    <definedName name="FirstCall" localSheetId="9">#REF!</definedName>
    <definedName name="FirstCall" localSheetId="8">#REF!</definedName>
    <definedName name="FirstCall" localSheetId="5">#REF!</definedName>
    <definedName name="FirstCall" localSheetId="3">#REF!</definedName>
    <definedName name="FirstCall">#REF!</definedName>
    <definedName name="FirstQtr">[23]Param!$C$3</definedName>
    <definedName name="FirstYear">1993</definedName>
    <definedName name="FiscalYr">[23]Param!$C$7</definedName>
    <definedName name="Fixed_asset_turns" localSheetId="6">#REF!</definedName>
    <definedName name="Fixed_asset_turns" localSheetId="2">#REF!</definedName>
    <definedName name="Fixed_asset_turns">#REF!</definedName>
    <definedName name="Fixed_asset_turns_DCF" localSheetId="2">#REF!</definedName>
    <definedName name="Fixed_asset_turns_DCF">#REF!</definedName>
    <definedName name="Fixed_asset_turns_fore" localSheetId="2">#REF!</definedName>
    <definedName name="Fixed_asset_turns_fore">#REF!</definedName>
    <definedName name="Fixed_assets" localSheetId="2">#REF!</definedName>
    <definedName name="Fixed_assets">#REF!</definedName>
    <definedName name="Fixed_assets_DCF" localSheetId="2">#REF!</definedName>
    <definedName name="Fixed_assets_DCF">#REF!</definedName>
    <definedName name="FootNote" localSheetId="5">#REF!</definedName>
    <definedName name="FootNote">#REF!</definedName>
    <definedName name="FootnoteDrop" localSheetId="2">#REF!</definedName>
    <definedName name="FootnoteDrop">#REF!</definedName>
    <definedName name="FootnoteDrop1" localSheetId="2">#REF!</definedName>
    <definedName name="FootnoteDrop1">#REF!</definedName>
    <definedName name="FootnoteDrop10" localSheetId="2">#REF!</definedName>
    <definedName name="FootnoteDrop10">#REF!</definedName>
    <definedName name="FootnoteDrop100" localSheetId="2">#REF!</definedName>
    <definedName name="FootnoteDrop100">#REF!</definedName>
    <definedName name="FootnoteDrop11" localSheetId="2">#REF!</definedName>
    <definedName name="FootnoteDrop11">#REF!</definedName>
    <definedName name="FootnoteDrop12" localSheetId="2">#REF!</definedName>
    <definedName name="FootnoteDrop12">#REF!</definedName>
    <definedName name="FootnoteDrop13" localSheetId="2">#REF!</definedName>
    <definedName name="FootnoteDrop13">#REF!</definedName>
    <definedName name="FootnoteDrop14" localSheetId="2">#REF!</definedName>
    <definedName name="FootnoteDrop14">#REF!</definedName>
    <definedName name="FootnoteDrop15" localSheetId="2">#REF!</definedName>
    <definedName name="FootnoteDrop15">#REF!</definedName>
    <definedName name="FootnoteDrop16" localSheetId="2">#REF!</definedName>
    <definedName name="FootnoteDrop16">#REF!</definedName>
    <definedName name="FootnoteDrop17" localSheetId="2">#REF!</definedName>
    <definedName name="FootnoteDrop17">#REF!</definedName>
    <definedName name="FootnoteDrop18" localSheetId="2">#REF!</definedName>
    <definedName name="FootnoteDrop18">#REF!</definedName>
    <definedName name="FootnoteDrop19" localSheetId="2">#REF!</definedName>
    <definedName name="FootnoteDrop19">#REF!</definedName>
    <definedName name="FootnoteDrop2" localSheetId="2">#REF!</definedName>
    <definedName name="FootnoteDrop2">#REF!</definedName>
    <definedName name="FootnoteDrop20" localSheetId="2">#REF!</definedName>
    <definedName name="FootnoteDrop20">#REF!</definedName>
    <definedName name="FootnoteDrop21" localSheetId="2">#REF!</definedName>
    <definedName name="FootnoteDrop21">#REF!</definedName>
    <definedName name="FootnoteDrop22" localSheetId="2">#REF!</definedName>
    <definedName name="FootnoteDrop22">#REF!</definedName>
    <definedName name="FootnoteDrop23" localSheetId="2">#REF!</definedName>
    <definedName name="FootnoteDrop23">#REF!</definedName>
    <definedName name="FootnoteDrop24" localSheetId="2">#REF!</definedName>
    <definedName name="FootnoteDrop24">#REF!</definedName>
    <definedName name="FootnoteDrop25" localSheetId="2">#REF!</definedName>
    <definedName name="FootnoteDrop25">#REF!</definedName>
    <definedName name="FootnoteDrop26" localSheetId="2">#REF!</definedName>
    <definedName name="FootnoteDrop26">#REF!</definedName>
    <definedName name="FootnoteDrop27" localSheetId="2">#REF!</definedName>
    <definedName name="FootnoteDrop27">#REF!</definedName>
    <definedName name="FootnoteDrop28" localSheetId="2">#REF!</definedName>
    <definedName name="FootnoteDrop28">#REF!</definedName>
    <definedName name="FootnoteDrop29" localSheetId="2">#REF!</definedName>
    <definedName name="FootnoteDrop29">#REF!</definedName>
    <definedName name="FootnoteDrop3" localSheetId="2">#REF!</definedName>
    <definedName name="FootnoteDrop3">#REF!</definedName>
    <definedName name="FootnoteDrop30" localSheetId="2">#REF!</definedName>
    <definedName name="FootnoteDrop30">#REF!</definedName>
    <definedName name="FootnoteDrop31" localSheetId="2">#REF!</definedName>
    <definedName name="FootnoteDrop31">#REF!</definedName>
    <definedName name="FootnoteDrop32" localSheetId="2">#REF!</definedName>
    <definedName name="FootnoteDrop32">#REF!</definedName>
    <definedName name="FootnoteDrop33" localSheetId="2">#REF!</definedName>
    <definedName name="FootnoteDrop33">#REF!</definedName>
    <definedName name="FootnoteDrop34" localSheetId="2">#REF!</definedName>
    <definedName name="FootnoteDrop34">#REF!</definedName>
    <definedName name="FootnoteDrop35" localSheetId="2">#REF!</definedName>
    <definedName name="FootnoteDrop35">#REF!</definedName>
    <definedName name="FootnoteDrop36" localSheetId="2">#REF!</definedName>
    <definedName name="FootnoteDrop36">#REF!</definedName>
    <definedName name="FootnoteDrop37" localSheetId="2">#REF!</definedName>
    <definedName name="FootnoteDrop37">#REF!</definedName>
    <definedName name="FootnoteDrop38" localSheetId="2">#REF!</definedName>
    <definedName name="FootnoteDrop38">#REF!</definedName>
    <definedName name="FootnoteDrop39" localSheetId="2">#REF!</definedName>
    <definedName name="FootnoteDrop39">#REF!</definedName>
    <definedName name="FootnoteDrop4" localSheetId="2">#REF!</definedName>
    <definedName name="FootnoteDrop4">#REF!</definedName>
    <definedName name="FootnoteDrop40" localSheetId="2">#REF!</definedName>
    <definedName name="FootnoteDrop40">#REF!</definedName>
    <definedName name="FootnoteDrop41" localSheetId="2">#REF!</definedName>
    <definedName name="FootnoteDrop41">#REF!</definedName>
    <definedName name="FootnoteDrop42" localSheetId="2">#REF!</definedName>
    <definedName name="FootnoteDrop42">#REF!</definedName>
    <definedName name="FootnoteDrop43" localSheetId="2">#REF!</definedName>
    <definedName name="FootnoteDrop43">#REF!</definedName>
    <definedName name="FootnoteDrop44" localSheetId="2">#REF!</definedName>
    <definedName name="FootnoteDrop44">#REF!</definedName>
    <definedName name="FootnoteDrop45" localSheetId="2">#REF!</definedName>
    <definedName name="FootnoteDrop45">#REF!</definedName>
    <definedName name="FootnoteDrop46" localSheetId="2">#REF!</definedName>
    <definedName name="FootnoteDrop46">#REF!</definedName>
    <definedName name="FootnoteDrop47" localSheetId="2">#REF!</definedName>
    <definedName name="FootnoteDrop47">#REF!</definedName>
    <definedName name="FootnoteDrop48" localSheetId="2">#REF!</definedName>
    <definedName name="FootnoteDrop48">#REF!</definedName>
    <definedName name="FootnoteDrop49" localSheetId="2">#REF!</definedName>
    <definedName name="FootnoteDrop49">#REF!</definedName>
    <definedName name="FootnoteDrop5" localSheetId="2">#REF!</definedName>
    <definedName name="FootnoteDrop5">#REF!</definedName>
    <definedName name="FootnoteDrop50" localSheetId="2">#REF!</definedName>
    <definedName name="FootnoteDrop50">#REF!</definedName>
    <definedName name="FootnoteDrop51" localSheetId="2">#REF!</definedName>
    <definedName name="FootnoteDrop51">#REF!</definedName>
    <definedName name="FootnoteDrop52" localSheetId="2">#REF!</definedName>
    <definedName name="FootnoteDrop52">#REF!</definedName>
    <definedName name="FootnoteDrop53" localSheetId="2">#REF!</definedName>
    <definedName name="FootnoteDrop53">#REF!</definedName>
    <definedName name="FootnoteDrop54" localSheetId="2">#REF!</definedName>
    <definedName name="FootnoteDrop54">#REF!</definedName>
    <definedName name="FootnoteDrop55" localSheetId="2">#REF!</definedName>
    <definedName name="FootnoteDrop55">#REF!</definedName>
    <definedName name="FootnoteDrop56" localSheetId="2">#REF!</definedName>
    <definedName name="FootnoteDrop56">#REF!</definedName>
    <definedName name="FootnoteDrop57" localSheetId="2">#REF!</definedName>
    <definedName name="FootnoteDrop57">#REF!</definedName>
    <definedName name="FootnoteDrop58" localSheetId="2">#REF!</definedName>
    <definedName name="FootnoteDrop58">#REF!</definedName>
    <definedName name="FootnoteDrop59" localSheetId="2">#REF!</definedName>
    <definedName name="FootnoteDrop59">#REF!</definedName>
    <definedName name="FootnoteDrop6" localSheetId="2">#REF!</definedName>
    <definedName name="FootnoteDrop6">#REF!</definedName>
    <definedName name="FootnoteDrop60" localSheetId="2">#REF!</definedName>
    <definedName name="FootnoteDrop60">#REF!</definedName>
    <definedName name="FootnoteDrop61" localSheetId="2">#REF!</definedName>
    <definedName name="FootnoteDrop61">#REF!</definedName>
    <definedName name="FootnoteDrop62" localSheetId="2">#REF!</definedName>
    <definedName name="FootnoteDrop62">#REF!</definedName>
    <definedName name="FootnoteDrop63" localSheetId="2">#REF!</definedName>
    <definedName name="FootnoteDrop63">#REF!</definedName>
    <definedName name="FootnoteDrop64" localSheetId="2">#REF!</definedName>
    <definedName name="FootnoteDrop64">#REF!</definedName>
    <definedName name="FootnoteDrop65" localSheetId="2">#REF!</definedName>
    <definedName name="FootnoteDrop65">#REF!</definedName>
    <definedName name="FootnoteDrop66" localSheetId="2">#REF!</definedName>
    <definedName name="FootnoteDrop66">#REF!</definedName>
    <definedName name="FootnoteDrop67" localSheetId="2">#REF!</definedName>
    <definedName name="FootnoteDrop67">#REF!</definedName>
    <definedName name="FootnoteDrop68" localSheetId="2">#REF!</definedName>
    <definedName name="FootnoteDrop68">#REF!</definedName>
    <definedName name="FootnoteDrop69" localSheetId="2">#REF!</definedName>
    <definedName name="FootnoteDrop69">#REF!</definedName>
    <definedName name="FootnoteDrop7" localSheetId="2">#REF!</definedName>
    <definedName name="FootnoteDrop7">#REF!</definedName>
    <definedName name="FootnoteDrop70" localSheetId="2">#REF!</definedName>
    <definedName name="FootnoteDrop70">#REF!</definedName>
    <definedName name="FootnoteDrop71" localSheetId="2">#REF!</definedName>
    <definedName name="FootnoteDrop71">#REF!</definedName>
    <definedName name="FootnoteDrop72" localSheetId="2">#REF!</definedName>
    <definedName name="FootnoteDrop72">#REF!</definedName>
    <definedName name="FootnoteDrop73" localSheetId="2">#REF!</definedName>
    <definedName name="FootnoteDrop73">#REF!</definedName>
    <definedName name="FootnoteDrop74" localSheetId="2">#REF!</definedName>
    <definedName name="FootnoteDrop74">#REF!</definedName>
    <definedName name="FootnoteDrop75" localSheetId="2">#REF!</definedName>
    <definedName name="FootnoteDrop75">#REF!</definedName>
    <definedName name="FootnoteDrop76" localSheetId="2">#REF!</definedName>
    <definedName name="FootnoteDrop76">#REF!</definedName>
    <definedName name="FootnoteDrop77" localSheetId="2">#REF!</definedName>
    <definedName name="FootnoteDrop77">#REF!</definedName>
    <definedName name="FootnoteDrop78" localSheetId="2">#REF!</definedName>
    <definedName name="FootnoteDrop78">#REF!</definedName>
    <definedName name="FootnoteDrop79" localSheetId="2">#REF!</definedName>
    <definedName name="FootnoteDrop79">#REF!</definedName>
    <definedName name="FootnoteDrop8" localSheetId="2">#REF!</definedName>
    <definedName name="FootnoteDrop8">#REF!</definedName>
    <definedName name="FootnoteDrop80" localSheetId="2">#REF!</definedName>
    <definedName name="FootnoteDrop80">#REF!</definedName>
    <definedName name="FootnoteDrop81" localSheetId="2">#REF!</definedName>
    <definedName name="FootnoteDrop81">#REF!</definedName>
    <definedName name="FootnoteDrop82" localSheetId="2">#REF!</definedName>
    <definedName name="FootnoteDrop82">#REF!</definedName>
    <definedName name="FootnoteDrop83" localSheetId="2">#REF!</definedName>
    <definedName name="FootnoteDrop83">#REF!</definedName>
    <definedName name="FootnoteDrop84" localSheetId="2">#REF!</definedName>
    <definedName name="FootnoteDrop84">#REF!</definedName>
    <definedName name="FootnoteDrop85" localSheetId="2">#REF!</definedName>
    <definedName name="FootnoteDrop85">#REF!</definedName>
    <definedName name="FootnoteDrop86" localSheetId="2">#REF!</definedName>
    <definedName name="FootnoteDrop86">#REF!</definedName>
    <definedName name="FootnoteDrop87" localSheetId="2">#REF!</definedName>
    <definedName name="FootnoteDrop87">#REF!</definedName>
    <definedName name="FootnoteDrop88" localSheetId="2">#REF!</definedName>
    <definedName name="FootnoteDrop88">#REF!</definedName>
    <definedName name="FootnoteDrop89" localSheetId="2">#REF!</definedName>
    <definedName name="FootnoteDrop89">#REF!</definedName>
    <definedName name="FootnoteDrop9" localSheetId="2">#REF!</definedName>
    <definedName name="FootnoteDrop9">#REF!</definedName>
    <definedName name="FootnoteDrop90" localSheetId="2">#REF!</definedName>
    <definedName name="FootnoteDrop90">#REF!</definedName>
    <definedName name="FootnoteDrop91" localSheetId="2">#REF!</definedName>
    <definedName name="FootnoteDrop91">#REF!</definedName>
    <definedName name="FootnoteDrop92" localSheetId="2">#REF!</definedName>
    <definedName name="FootnoteDrop92">#REF!</definedName>
    <definedName name="FootnoteDrop93" localSheetId="2">#REF!</definedName>
    <definedName name="FootnoteDrop93">#REF!</definedName>
    <definedName name="FootnoteDrop94" localSheetId="2">#REF!</definedName>
    <definedName name="FootnoteDrop94">#REF!</definedName>
    <definedName name="FootnoteDrop95" localSheetId="2">#REF!</definedName>
    <definedName name="FootnoteDrop95">#REF!</definedName>
    <definedName name="FootnoteDrop96" localSheetId="2">#REF!</definedName>
    <definedName name="FootnoteDrop96">#REF!</definedName>
    <definedName name="FootnoteDrop97" localSheetId="2">#REF!</definedName>
    <definedName name="FootnoteDrop97">#REF!</definedName>
    <definedName name="FootnoteDrop98" localSheetId="2">#REF!</definedName>
    <definedName name="FootnoteDrop98">#REF!</definedName>
    <definedName name="FootnoteDrop99" localSheetId="2">#REF!</definedName>
    <definedName name="FootnoteDrop99">#REF!</definedName>
    <definedName name="FootNoteID" localSheetId="5">#REF!</definedName>
    <definedName name="FootNoteID">#REF!</definedName>
    <definedName name="ForceBaseCaseFlag" localSheetId="5">#REF!</definedName>
    <definedName name="ForceBaseCaseFlag">#REF!</definedName>
    <definedName name="ForecastPeriodNames" localSheetId="5">#REF!</definedName>
    <definedName name="ForecastPeriodNames">#REF!</definedName>
    <definedName name="ForecastStartDate" localSheetId="5">#REF!</definedName>
    <definedName name="ForecastStartDate">#REF!</definedName>
    <definedName name="FORM" localSheetId="5">#REF!</definedName>
    <definedName name="FORM">#REF!</definedName>
    <definedName name="FourthQtr">'[7]Param (Old)'!$C$6</definedName>
    <definedName name="Free_cash_flow" localSheetId="2">#REF!</definedName>
    <definedName name="Free_cash_flow">#REF!</definedName>
    <definedName name="FullETR">'[7]Param (Old)'!$C$23</definedName>
    <definedName name="FullyDistributedEquityValue" localSheetId="9">#REF!</definedName>
    <definedName name="FullyDistributedEquityValue" localSheetId="8">#REF!</definedName>
    <definedName name="FullyDistributedEquityValue" localSheetId="5">#REF!</definedName>
    <definedName name="FullyDistributedEquityValue" localSheetId="3">#REF!</definedName>
    <definedName name="FullyDistributedEquityValue">#REF!</definedName>
    <definedName name="FullyDistributedFirmValue" localSheetId="5">#REF!</definedName>
    <definedName name="FullyDistributedFirmValue">#REF!</definedName>
    <definedName name="funding00">[5]Sheet1!$P$136</definedName>
    <definedName name="funding01">[5]Sheet1!$Q$136</definedName>
    <definedName name="funding02">[5]Sheet1!$R$136</definedName>
    <definedName name="funding03">[5]Sheet1!$S$136</definedName>
    <definedName name="funding04">[5]Sheet1!$T$136</definedName>
    <definedName name="funding05">[5]Sheet1!$U$136</definedName>
    <definedName name="funding1q97" localSheetId="9">[5]Sheet1!#REF!</definedName>
    <definedName name="funding1q97" localSheetId="8">[5]Sheet1!#REF!</definedName>
    <definedName name="funding1q97" localSheetId="5">[5]Sheet1!#REF!</definedName>
    <definedName name="funding1q97" localSheetId="1">[5]Sheet1!#REF!</definedName>
    <definedName name="funding1q97" localSheetId="3">[5]Sheet1!#REF!</definedName>
    <definedName name="funding1q97">[5]Sheet1!#REF!</definedName>
    <definedName name="funding1q98">[5]Sheet1!$B$136</definedName>
    <definedName name="funding1q99">[5]Sheet1!$G$136</definedName>
    <definedName name="funding2q97" localSheetId="9">[5]Sheet1!#REF!</definedName>
    <definedName name="funding2q97" localSheetId="8">[5]Sheet1!#REF!</definedName>
    <definedName name="funding2q97" localSheetId="5">[5]Sheet1!#REF!</definedName>
    <definedName name="funding2q97" localSheetId="1">[5]Sheet1!#REF!</definedName>
    <definedName name="funding2q97" localSheetId="3">[5]Sheet1!#REF!</definedName>
    <definedName name="funding2q97">[5]Sheet1!#REF!</definedName>
    <definedName name="funding2q98">[5]Sheet1!$C$136</definedName>
    <definedName name="funding2q99">[5]Sheet1!$H$136</definedName>
    <definedName name="funding3q97" localSheetId="9">[5]Sheet1!#REF!</definedName>
    <definedName name="funding3q97" localSheetId="8">[5]Sheet1!#REF!</definedName>
    <definedName name="funding3q97" localSheetId="5">[5]Sheet1!#REF!</definedName>
    <definedName name="funding3q97" localSheetId="1">[5]Sheet1!#REF!</definedName>
    <definedName name="funding3q97" localSheetId="3">[5]Sheet1!#REF!</definedName>
    <definedName name="funding3q97">[5]Sheet1!#REF!</definedName>
    <definedName name="funding3q98">[5]Sheet1!$D$136</definedName>
    <definedName name="funding3q99">[5]Sheet1!$I$136</definedName>
    <definedName name="funding4q97" localSheetId="9">[5]Sheet1!#REF!</definedName>
    <definedName name="funding4q97" localSheetId="8">[5]Sheet1!#REF!</definedName>
    <definedName name="funding4q97" localSheetId="5">[5]Sheet1!#REF!</definedName>
    <definedName name="funding4q97" localSheetId="1">[5]Sheet1!#REF!</definedName>
    <definedName name="funding4q97" localSheetId="3">[5]Sheet1!#REF!</definedName>
    <definedName name="funding4q97">[5]Sheet1!#REF!</definedName>
    <definedName name="funding4q98">[5]Sheet1!$E$136</definedName>
    <definedName name="funding4q99">[5]Sheet1!$J$136</definedName>
    <definedName name="FVEBIT1" localSheetId="9">#REF!</definedName>
    <definedName name="FVEBIT1" localSheetId="8">#REF!</definedName>
    <definedName name="FVEBIT1" localSheetId="5">#REF!</definedName>
    <definedName name="FVEBIT1" localSheetId="3">#REF!</definedName>
    <definedName name="FVEBIT1">#REF!</definedName>
    <definedName name="FVEBIT2" localSheetId="5">#REF!</definedName>
    <definedName name="FVEBIT2">#REF!</definedName>
    <definedName name="FVEBIT3" localSheetId="5">#REF!</definedName>
    <definedName name="FVEBIT3">#REF!</definedName>
    <definedName name="FVEBIT3A" localSheetId="5">#REF!</definedName>
    <definedName name="FVEBIT3A">#REF!</definedName>
    <definedName name="FVEBIT4" localSheetId="5">#REF!</definedName>
    <definedName name="FVEBIT4">#REF!</definedName>
    <definedName name="FVEBIT5" localSheetId="5">#REF!</definedName>
    <definedName name="FVEBIT5">#REF!</definedName>
    <definedName name="FVEBIT6" localSheetId="5">#REF!</definedName>
    <definedName name="FVEBIT6">#REF!</definedName>
    <definedName name="FVEBITDA1" localSheetId="5">#REF!</definedName>
    <definedName name="FVEBITDA1">#REF!</definedName>
    <definedName name="FVEBITDA2" localSheetId="5">#REF!</definedName>
    <definedName name="FVEBITDA2">#REF!</definedName>
    <definedName name="FVEBITDA3" localSheetId="5">#REF!</definedName>
    <definedName name="FVEBITDA3">#REF!</definedName>
    <definedName name="FVEBITDA3A" localSheetId="5">#REF!</definedName>
    <definedName name="FVEBITDA3A">#REF!</definedName>
    <definedName name="FVEBITDA4" localSheetId="5">#REF!</definedName>
    <definedName name="FVEBITDA4">#REF!</definedName>
    <definedName name="FVEBITDA5" localSheetId="5">#REF!</definedName>
    <definedName name="FVEBITDA5">#REF!</definedName>
    <definedName name="FVEBITDA6" localSheetId="5">#REF!</definedName>
    <definedName name="FVEBITDA6">#REF!</definedName>
    <definedName name="FVSales1" localSheetId="5">#REF!</definedName>
    <definedName name="FVSales1">#REF!</definedName>
    <definedName name="FVSales2" localSheetId="5">#REF!</definedName>
    <definedName name="FVSales2">#REF!</definedName>
    <definedName name="FVSales3" localSheetId="5">#REF!</definedName>
    <definedName name="FVSales3">#REF!</definedName>
    <definedName name="FVSales3A" localSheetId="5">#REF!</definedName>
    <definedName name="FVSales3A">#REF!</definedName>
    <definedName name="FVSales4" localSheetId="5">#REF!</definedName>
    <definedName name="FVSales4">#REF!</definedName>
    <definedName name="FVSales5" localSheetId="5">#REF!</definedName>
    <definedName name="FVSales5">#REF!</definedName>
    <definedName name="FVSales6" localSheetId="5">#REF!</definedName>
    <definedName name="FVSales6">#REF!</definedName>
    <definedName name="FY95_E" localSheetId="2">[24]QIncome!#REF!</definedName>
    <definedName name="FY95_E">[24]QIncome!#REF!</definedName>
    <definedName name="FYE" localSheetId="9">#REF!</definedName>
    <definedName name="FYE" localSheetId="8">#REF!</definedName>
    <definedName name="FYE" localSheetId="5">#REF!</definedName>
    <definedName name="FYE" localSheetId="3">#REF!</definedName>
    <definedName name="FYE">#REF!</definedName>
    <definedName name="FYEmonth">[25]External!$B$10</definedName>
    <definedName name="FYEmonthLabel">[25]External!$C$10</definedName>
    <definedName name="GAChg" localSheetId="9">#REF!</definedName>
    <definedName name="GAChg" localSheetId="8">#REF!</definedName>
    <definedName name="GAChg" localSheetId="5">#REF!</definedName>
    <definedName name="GAChg" localSheetId="3">#REF!</definedName>
    <definedName name="GAChg">#REF!</definedName>
    <definedName name="GAChg2" localSheetId="5">#REF!</definedName>
    <definedName name="GAChg2">#REF!</definedName>
    <definedName name="GBGW" localSheetId="8" hidden="1">{"'MonthlyReport1'!$E$10:$U$120"}</definedName>
    <definedName name="GBGW" localSheetId="6" hidden="1">{"'MonthlyReport1'!$E$10:$U$120"}</definedName>
    <definedName name="GBGW" hidden="1">{"'MonthlyReport1'!$E$10:$U$120"}</definedName>
    <definedName name="GBW" localSheetId="8" hidden="1">{"'MonthlyReport1'!$E$10:$U$120"}</definedName>
    <definedName name="GBW" localSheetId="6" hidden="1">{"'MonthlyReport1'!$E$10:$U$120"}</definedName>
    <definedName name="GBW" hidden="1">{"'MonthlyReport1'!$E$10:$U$120"}</definedName>
    <definedName name="germany" localSheetId="5">#REF!</definedName>
    <definedName name="germany">#REF!</definedName>
    <definedName name="GFFFFGFG" localSheetId="8" hidden="1">{"'MonthlyReport1'!$E$10:$U$120"}</definedName>
    <definedName name="GFFFFGFG" localSheetId="6" hidden="1">{"'MonthlyReport1'!$E$10:$U$120"}</definedName>
    <definedName name="GFFFFGFG" hidden="1">{"'MonthlyReport1'!$E$10:$U$120"}</definedName>
    <definedName name="ggrthgtah">#REF!</definedName>
    <definedName name="ghgh" localSheetId="8" hidden="1">{"'MonthlyReport1'!$E$10:$U$120"}</definedName>
    <definedName name="ghgh" localSheetId="6" hidden="1">{"'MonthlyReport1'!$E$10:$U$120"}</definedName>
    <definedName name="ghgh" hidden="1">{"'MonthlyReport1'!$E$10:$U$120"}</definedName>
    <definedName name="GJKGU" localSheetId="8" hidden="1">{"'MonthlyReport1'!$E$10:$U$120"}</definedName>
    <definedName name="GJKGU" localSheetId="6" hidden="1">{"'MonthlyReport1'!$E$10:$U$120"}</definedName>
    <definedName name="GJKGU" hidden="1">{"'MonthlyReport1'!$E$10:$U$120"}</definedName>
    <definedName name="gm">[3]FLEX!$C$99:$IV$99</definedName>
    <definedName name="GMChg">'[7]Param (Old)'!$C$18</definedName>
    <definedName name="GMChg2">'[7]Param (Old)'!$C$19</definedName>
    <definedName name="GMDecr">'[7]Param (Old)'!$C$18</definedName>
    <definedName name="Goodwill" localSheetId="6">#REF!</definedName>
    <definedName name="Goodwill" localSheetId="2">#REF!</definedName>
    <definedName name="Goodwill">#REF!</definedName>
    <definedName name="Goodwill_Amort" localSheetId="2">#REF!</definedName>
    <definedName name="Goodwill_Amort">#REF!</definedName>
    <definedName name="Goodwill_growth_fore" localSheetId="2">#REF!</definedName>
    <definedName name="Goodwill_growth_fore">#REF!</definedName>
    <definedName name="gp">[3]FLEX!$C$46:$IV$46</definedName>
    <definedName name="gppe">[8]sanm!$C$296:$IV$296</definedName>
    <definedName name="Gross_inc_growth" localSheetId="6">#REF!</definedName>
    <definedName name="Gross_inc_growth" localSheetId="2">#REF!</definedName>
    <definedName name="Gross_inc_growth">#REF!</definedName>
    <definedName name="Gross_income" localSheetId="2">#REF!</definedName>
    <definedName name="Gross_income">#REF!</definedName>
    <definedName name="Gross_income_fore" localSheetId="2">#REF!</definedName>
    <definedName name="Gross_income_fore">#REF!</definedName>
    <definedName name="Gross_income_growth_avg" localSheetId="2">#REF!</definedName>
    <definedName name="Gross_income_growth_avg">#REF!</definedName>
    <definedName name="Gross_margin_fore" localSheetId="9">[5]Sheet1!#REF!</definedName>
    <definedName name="Gross_margin_fore" localSheetId="8">[5]Sheet1!#REF!</definedName>
    <definedName name="Gross_margin_fore" localSheetId="5">[5]Sheet1!#REF!</definedName>
    <definedName name="Gross_margin_fore" localSheetId="1">[5]Sheet1!#REF!</definedName>
    <definedName name="Gross_margin_fore" localSheetId="3">[5]Sheet1!#REF!</definedName>
    <definedName name="Gross_margin_fore" localSheetId="2">#REF!</definedName>
    <definedName name="Gross_margin_fore">#REF!</definedName>
    <definedName name="grossmarg99">[5]Sheet1!$K$155</definedName>
    <definedName name="GrossProfitCAGR" localSheetId="9">#REF!</definedName>
    <definedName name="GrossProfitCAGR" localSheetId="8">#REF!</definedName>
    <definedName name="GrossProfitCAGR" localSheetId="5">#REF!</definedName>
    <definedName name="GrossProfitCAGR" localSheetId="3">#REF!</definedName>
    <definedName name="GrossProfitCAGR">#REF!</definedName>
    <definedName name="Growth" localSheetId="5">#REF!</definedName>
    <definedName name="Growth">#REF!</definedName>
    <definedName name="Growth_97" localSheetId="5">#REF!</definedName>
    <definedName name="Growth_97">#REF!</definedName>
    <definedName name="Growth_98" localSheetId="5">#REF!</definedName>
    <definedName name="Growth_98">#REF!</definedName>
    <definedName name="Growth_99" localSheetId="5">#REF!</definedName>
    <definedName name="Growth_99">#REF!</definedName>
    <definedName name="Growth1" localSheetId="5">#REF!</definedName>
    <definedName name="Growth1">#REF!</definedName>
    <definedName name="Growth2" localSheetId="5">#REF!</definedName>
    <definedName name="Growth2">#REF!</definedName>
    <definedName name="Growth3" localSheetId="5">#REF!</definedName>
    <definedName name="Growth3">#REF!</definedName>
    <definedName name="Growth4" localSheetId="5">#REF!</definedName>
    <definedName name="Growth4">#REF!</definedName>
    <definedName name="Growth5" localSheetId="5">#REF!</definedName>
    <definedName name="Growth5">#REF!</definedName>
    <definedName name="Growth6" localSheetId="5">#REF!</definedName>
    <definedName name="Growth6">#REF!</definedName>
    <definedName name="Growth7" localSheetId="5">#REF!</definedName>
    <definedName name="Growth7">#REF!</definedName>
    <definedName name="Growth8" localSheetId="5">#REF!</definedName>
    <definedName name="Growth8">#REF!</definedName>
    <definedName name="Growth9" localSheetId="5">#REF!</definedName>
    <definedName name="Growth9">#REF!</definedName>
    <definedName name="Guideline" hidden="1">[26]Hf!#REF!</definedName>
    <definedName name="gw">[3]FLEX!$C$471:$IV$471</definedName>
    <definedName name="happy" localSheetId="9" hidden="1">{#N/A,#N/A,FALSE,"3mos";#N/A,#N/A,FALSE,"dedicated"}</definedName>
    <definedName name="happy" localSheetId="8" hidden="1">{#N/A,#N/A,FALSE,"3mos";#N/A,#N/A,FALSE,"dedicated"}</definedName>
    <definedName name="happy" localSheetId="5" hidden="1">{#N/A,#N/A,FALSE,"3mos";#N/A,#N/A,FALSE,"dedicated"}</definedName>
    <definedName name="happy" localSheetId="1" hidden="1">{#N/A,#N/A,FALSE,"3mos";#N/A,#N/A,FALSE,"dedicated"}</definedName>
    <definedName name="happy" localSheetId="3" hidden="1">{#N/A,#N/A,FALSE,"3mos";#N/A,#N/A,FALSE,"dedicated"}</definedName>
    <definedName name="happy" hidden="1">{#N/A,#N/A,FALSE,"3mos";#N/A,#N/A,FALSE,"dedicated"}</definedName>
    <definedName name="help" localSheetId="9" hidden="1">{"BSAnnualModel",#N/A,FALSE,"BS"}</definedName>
    <definedName name="help" localSheetId="8" hidden="1">{"BSAnnualModel",#N/A,FALSE,"BS"}</definedName>
    <definedName name="help" localSheetId="5" hidden="1">{"BSAnnualModel",#N/A,FALSE,"BS"}</definedName>
    <definedName name="help" localSheetId="3" hidden="1">{"BSAnnualModel",#N/A,FALSE,"BS"}</definedName>
    <definedName name="help" hidden="1">{"BSAnnualModel",#N/A,FALSE,"BS"}</definedName>
    <definedName name="hey" localSheetId="9" hidden="1">{#N/A,#N/A,FALSE,"3mos";#N/A,#N/A,FALSE,"dedicated"}</definedName>
    <definedName name="hey" localSheetId="8" hidden="1">{#N/A,#N/A,FALSE,"3mos";#N/A,#N/A,FALSE,"dedicated"}</definedName>
    <definedName name="hey" localSheetId="5" hidden="1">{#N/A,#N/A,FALSE,"3mos";#N/A,#N/A,FALSE,"dedicated"}</definedName>
    <definedName name="hey" localSheetId="1" hidden="1">{#N/A,#N/A,FALSE,"3mos";#N/A,#N/A,FALSE,"dedicated"}</definedName>
    <definedName name="hey" localSheetId="3" hidden="1">{#N/A,#N/A,FALSE,"3mos";#N/A,#N/A,FALSE,"dedicated"}</definedName>
    <definedName name="hey" hidden="1">{#N/A,#N/A,FALSE,"3mos";#N/A,#N/A,FALSE,"dedicated"}</definedName>
    <definedName name="HGGGHHG" localSheetId="8" hidden="1">{"'MonthlyReport1'!$E$10:$U$120"}</definedName>
    <definedName name="HGGGHHG" localSheetId="6" hidden="1">{"'MonthlyReport1'!$E$10:$U$120"}</definedName>
    <definedName name="HGGGHHG" hidden="1">{"'MonthlyReport1'!$E$10:$U$120"}</definedName>
    <definedName name="hh" localSheetId="8" hidden="1">{"'MonthlyReport1'!$E$10:$U$120"}</definedName>
    <definedName name="hh" localSheetId="6" hidden="1">{"'MonthlyReport1'!$E$10:$U$120"}</definedName>
    <definedName name="hh" hidden="1">{"'MonthlyReport1'!$E$10:$U$120"}</definedName>
    <definedName name="hhh" localSheetId="8" hidden="1">{"'i.Foundation'!$A$1:$S$60"}</definedName>
    <definedName name="hhh" localSheetId="6" hidden="1">{"'i.Foundation'!$A$1:$S$60"}</definedName>
    <definedName name="hhh" hidden="1">{"'i.Foundation'!$A$1:$S$60"}</definedName>
    <definedName name="hhj">#N/A</definedName>
    <definedName name="HHJH" localSheetId="8" hidden="1">{"'MonthlyReport1'!$E$10:$U$120"}</definedName>
    <definedName name="HHJH" localSheetId="6" hidden="1">{"'MonthlyReport1'!$E$10:$U$120"}</definedName>
    <definedName name="HHJH" hidden="1">{"'MonthlyReport1'!$E$10:$U$120"}</definedName>
    <definedName name="hhu">[5]Sheet1!$D$16</definedName>
    <definedName name="Historical_Economic_Profit" localSheetId="2">#REF!</definedName>
    <definedName name="Historical_Economic_Profit">#REF!</definedName>
    <definedName name="Historical_Incremental_ROIC" localSheetId="2">#REF!</definedName>
    <definedName name="Historical_Incremental_ROIC">#REF!</definedName>
    <definedName name="HJHJKHJK" localSheetId="8" hidden="1">{"'MonthlyReport1'!$E$10:$U$120"}</definedName>
    <definedName name="HJHJKHJK" localSheetId="6" hidden="1">{"'MonthlyReport1'!$E$10:$U$120"}</definedName>
    <definedName name="HJHJKHJK" hidden="1">{"'MonthlyReport1'!$E$10:$U$120"}</definedName>
    <definedName name="hlookmkt">[18]Income!$A$11:$IV$54</definedName>
    <definedName name="HTML_CodePage" hidden="1">1252</definedName>
    <definedName name="HTML_CodePage_1" hidden="1">1252</definedName>
    <definedName name="HTML_Control" localSheetId="8" hidden="1">{"'Sheet1'!$A$1"}</definedName>
    <definedName name="HTML_Control" localSheetId="6" hidden="1">{"'Sheet1'!$A$1"}</definedName>
    <definedName name="HTML_Control" hidden="1">{"'Sheet1'!$A$1"}</definedName>
    <definedName name="HTML_Control_1" localSheetId="8" hidden="1">{"'Sheet1'!$A$1"}</definedName>
    <definedName name="HTML_Control_1" localSheetId="6" hidden="1">{"'Sheet1'!$A$1"}</definedName>
    <definedName name="HTML_Control_1" hidden="1">{"'Sheet1'!$A$1"}</definedName>
    <definedName name="HTML_Control_2" localSheetId="8" hidden="1">{"'Sheet1'!$A$1"}</definedName>
    <definedName name="HTML_Control_2" localSheetId="6" hidden="1">{"'Sheet1'!$A$1"}</definedName>
    <definedName name="HTML_Control_2" hidden="1">{"'Sheet1'!$A$1"}</definedName>
    <definedName name="HTML_Control_3" localSheetId="8" hidden="1">{"'Sheet1'!$A$1"}</definedName>
    <definedName name="HTML_Control_3" localSheetId="6" hidden="1">{"'Sheet1'!$A$1"}</definedName>
    <definedName name="HTML_Control_3" hidden="1">{"'Sheet1'!$A$1"}</definedName>
    <definedName name="HTML_Control_4" localSheetId="8" hidden="1">{"'Sheet1'!$A$1"}</definedName>
    <definedName name="HTML_Control_4" localSheetId="6" hidden="1">{"'Sheet1'!$A$1"}</definedName>
    <definedName name="HTML_Control_4" hidden="1">{"'Sheet1'!$A$1"}</definedName>
    <definedName name="HTML_Control_5" localSheetId="8" hidden="1">{"'Sheet1'!$A$1"}</definedName>
    <definedName name="HTML_Control_5" localSheetId="6" hidden="1">{"'Sheet1'!$A$1"}</definedName>
    <definedName name="HTML_Control_5" hidden="1">{"'Sheet1'!$A$1"}</definedName>
    <definedName name="HTML_Description" hidden="1">""</definedName>
    <definedName name="HTML_Email" hidden="1">""</definedName>
    <definedName name="HTML_Header" hidden="1">"Home"</definedName>
    <definedName name="HTML_Header_1" hidden="1">"Home"</definedName>
    <definedName name="HTML_LastUpdate" hidden="1">"12/20/01"</definedName>
    <definedName name="HTML_LastUpdate_1" hidden="1">"12/20/01"</definedName>
    <definedName name="HTML_LineAfter" hidden="1">FALSE</definedName>
    <definedName name="HTML_LineBefore" hidden="1">FALSE</definedName>
    <definedName name="HTML_Name" hidden="1">"INRANGE_USER"</definedName>
    <definedName name="HTML_Name_1" hidden="1">"INRANGE_USER"</definedName>
    <definedName name="HTML_OBDlg2" hidden="1">TRUE</definedName>
    <definedName name="HTML_OBDlg4" hidden="1">TRUE</definedName>
    <definedName name="HTML_OS" hidden="1">0</definedName>
    <definedName name="HTML_PathFile" hidden="1">"C:\TempBkup\MyHTML.htm"</definedName>
    <definedName name="HTML_PathFile_1" hidden="1">"C:\TempBkup\MyHTML.htm"</definedName>
    <definedName name="HTML_Title" hidden="1">"Master_DE_MM_YY"</definedName>
    <definedName name="HTML_Title_1" hidden="1">"Master_DE_MM_YY"</definedName>
    <definedName name="IC_1" localSheetId="6">#REF!</definedName>
    <definedName name="IC_1" localSheetId="2">#REF!</definedName>
    <definedName name="IC_1">#REF!</definedName>
    <definedName name="IC_10" localSheetId="2">#REF!</definedName>
    <definedName name="IC_10">#REF!</definedName>
    <definedName name="IC_11" localSheetId="2">#REF!</definedName>
    <definedName name="IC_11">#REF!</definedName>
    <definedName name="IC_12" localSheetId="2">#REF!</definedName>
    <definedName name="IC_12">#REF!</definedName>
    <definedName name="IC_13" localSheetId="2">#REF!</definedName>
    <definedName name="IC_13">#REF!</definedName>
    <definedName name="IC_14" localSheetId="2">#REF!</definedName>
    <definedName name="IC_14">#REF!</definedName>
    <definedName name="IC_2" localSheetId="2">#REF!</definedName>
    <definedName name="IC_2">#REF!</definedName>
    <definedName name="IC_3" localSheetId="2">#REF!</definedName>
    <definedName name="IC_3">#REF!</definedName>
    <definedName name="IC_4" localSheetId="2">#REF!</definedName>
    <definedName name="IC_4">#REF!</definedName>
    <definedName name="IC_5" localSheetId="2">#REF!</definedName>
    <definedName name="IC_5">#REF!</definedName>
    <definedName name="IC_6" localSheetId="2">#REF!</definedName>
    <definedName name="IC_6">#REF!</definedName>
    <definedName name="IC_7" localSheetId="2">#REF!</definedName>
    <definedName name="IC_7">#REF!</definedName>
    <definedName name="IC_8" localSheetId="2">#REF!</definedName>
    <definedName name="IC_8">#REF!</definedName>
    <definedName name="IC_9" localSheetId="2">#REF!</definedName>
    <definedName name="IC_9">#REF!</definedName>
    <definedName name="IC_P" localSheetId="2">#REF!</definedName>
    <definedName name="IC_P">#REF!</definedName>
    <definedName name="IC_P1" localSheetId="2">#REF!</definedName>
    <definedName name="IC_P1">#REF!</definedName>
    <definedName name="IC_P2" localSheetId="2">#REF!</definedName>
    <definedName name="IC_P2">#REF!</definedName>
    <definedName name="IC_P3" localSheetId="2">#REF!</definedName>
    <definedName name="IC_P3">#REF!</definedName>
    <definedName name="ie">[3]FLEX!$C$53:$IV$53</definedName>
    <definedName name="in_millions_except_per_share_price">"Summary_Annual"</definedName>
    <definedName name="Inc_cap_RnD_fore" localSheetId="6">#REF!</definedName>
    <definedName name="Inc_cap_RnD_fore" localSheetId="2">#REF!</definedName>
    <definedName name="Inc_cap_RnD_fore">#REF!</definedName>
    <definedName name="INCOME" localSheetId="5">#REF!</definedName>
    <definedName name="Income" localSheetId="2">#REF!</definedName>
    <definedName name="Income">#REF!</definedName>
    <definedName name="Income_before_taxes" localSheetId="2">#REF!</definedName>
    <definedName name="Income_before_taxes">#REF!</definedName>
    <definedName name="Income_equivalents" localSheetId="2">#REF!</definedName>
    <definedName name="Income_equivalents">#REF!</definedName>
    <definedName name="Income_equivalents_fore" localSheetId="2">#REF!</definedName>
    <definedName name="Income_equivalents_fore">#REF!</definedName>
    <definedName name="Income_form_uncons_subs_fore" localSheetId="2">#REF!</definedName>
    <definedName name="Income_form_uncons_subs_fore">#REF!</definedName>
    <definedName name="Income_from_Unconsolidated_Subs" localSheetId="2">#REF!</definedName>
    <definedName name="Income_from_Unconsolidated_Subs">#REF!</definedName>
    <definedName name="Income_tax" localSheetId="2">#REF!</definedName>
    <definedName name="Income_tax">#REF!</definedName>
    <definedName name="Income_tax_fore" localSheetId="2">#REF!</definedName>
    <definedName name="Income_tax_fore">#REF!</definedName>
    <definedName name="Income_tax_growth_fore" localSheetId="2">#REF!</definedName>
    <definedName name="Income_tax_growth_fore">#REF!</definedName>
    <definedName name="Income_tax_rate" localSheetId="2">#REF!</definedName>
    <definedName name="Income_tax_rate">#REF!</definedName>
    <definedName name="Income_taxes_payable" localSheetId="2">#REF!</definedName>
    <definedName name="Income_taxes_payable">#REF!</definedName>
    <definedName name="Income_taxes_payable_growth_fore" localSheetId="2">#REF!</definedName>
    <definedName name="Income_taxes_payable_growth_fore">#REF!</definedName>
    <definedName name="incomeannual" localSheetId="6">[9]IS!#REF!</definedName>
    <definedName name="incomeannual" localSheetId="2">[9]IS!#REF!</definedName>
    <definedName name="incomeannual">[9]IS!#REF!</definedName>
    <definedName name="IncomePre" localSheetId="6">#REF!</definedName>
    <definedName name="IncomePre" localSheetId="2">#REF!</definedName>
    <definedName name="IncomePre">#REF!</definedName>
    <definedName name="Increase_cap_RnD_fore" localSheetId="2">#REF!</definedName>
    <definedName name="Increase_cap_RnD_fore">#REF!</definedName>
    <definedName name="Increase_Capitalized_R_D_net" localSheetId="2">#REF!</definedName>
    <definedName name="Increase_Capitalized_R_D_net">#REF!</definedName>
    <definedName name="Increase_Deferred_Taxes" localSheetId="2">#REF!</definedName>
    <definedName name="Increase_Deferred_Taxes">#REF!</definedName>
    <definedName name="Increase_in_other_liabilities" localSheetId="9">[5]Sheet1!#REF!</definedName>
    <definedName name="Increase_in_other_liabilities" localSheetId="8">[5]Sheet1!#REF!</definedName>
    <definedName name="Increase_in_other_liabilities" localSheetId="5">[5]Sheet1!#REF!</definedName>
    <definedName name="Increase_in_other_liabilities" localSheetId="1">[5]Sheet1!#REF!</definedName>
    <definedName name="Increase_in_other_liabilities" localSheetId="3">[5]Sheet1!#REF!</definedName>
    <definedName name="Increase_in_other_liabilities" localSheetId="2">#REF!</definedName>
    <definedName name="Increase_in_other_liabilities">#REF!</definedName>
    <definedName name="Increase_in_other_reserves" localSheetId="2">#REF!</definedName>
    <definedName name="Increase_in_other_reserves">#REF!</definedName>
    <definedName name="Increase_LIFO_Reserve" localSheetId="2">#REF!</definedName>
    <definedName name="Increase_LIFO_Reserve">#REF!</definedName>
    <definedName name="Incremental_investment" localSheetId="2">#REF!</definedName>
    <definedName name="Incremental_investment">#REF!</definedName>
    <definedName name="Incremental_ROIC" localSheetId="9">[5]Sheet1!#REF!</definedName>
    <definedName name="Incremental_ROIC" localSheetId="8">[5]Sheet1!#REF!</definedName>
    <definedName name="Incremental_ROIC" localSheetId="5">[5]Sheet1!#REF!</definedName>
    <definedName name="Incremental_ROIC" localSheetId="1">[5]Sheet1!#REF!</definedName>
    <definedName name="Incremental_ROIC" localSheetId="3">[5]Sheet1!#REF!</definedName>
    <definedName name="Incremental_ROIC" localSheetId="2">#REF!</definedName>
    <definedName name="Incremental_ROIC">#REF!</definedName>
    <definedName name="Incremental_ROIC_DCF" localSheetId="9">[5]Sheet1!#REF!</definedName>
    <definedName name="Incremental_ROIC_DCF" localSheetId="8">[5]Sheet1!#REF!</definedName>
    <definedName name="Incremental_ROIC_DCF" localSheetId="5">[5]Sheet1!#REF!</definedName>
    <definedName name="Incremental_ROIC_DCF" localSheetId="1">[5]Sheet1!#REF!</definedName>
    <definedName name="Incremental_ROIC_DCF" localSheetId="3">[5]Sheet1!#REF!</definedName>
    <definedName name="Incremental_ROIC_DCF" localSheetId="2">#REF!</definedName>
    <definedName name="Incremental_ROIC_DCF">#REF!</definedName>
    <definedName name="index">[27]valcht!$B$57</definedName>
    <definedName name="indexrut">[27]valcht!$C$57</definedName>
    <definedName name="indexrutsrt" localSheetId="6">#REF!</definedName>
    <definedName name="indexrutsrt" localSheetId="2">#REF!</definedName>
    <definedName name="indexrutsrt">#REF!</definedName>
    <definedName name="indexsrt" localSheetId="2">#REF!</definedName>
    <definedName name="indexsrt">#REF!</definedName>
    <definedName name="inflList" hidden="1">"00000000000000000000000000000000000000000000000000000000000000000000000000000000000000000000000000000000000000000000000000000000000000000000000000000000000000000000000000000000000000000000000000000000"</definedName>
    <definedName name="int">[8]sanm!$C$33:$IV$33</definedName>
    <definedName name="Int_exp_OL" localSheetId="6">#REF!</definedName>
    <definedName name="Int_exp_OL" localSheetId="2">#REF!</definedName>
    <definedName name="Int_exp_OL">#REF!</definedName>
    <definedName name="INTC">'[6]Stock Perf.'!$F$22:$F$123</definedName>
    <definedName name="integrate">[4]CLS!$C$45:$IV$45</definedName>
    <definedName name="Interest_exp_growth_fore" localSheetId="6">#REF!</definedName>
    <definedName name="Interest_exp_growth_fore" localSheetId="2">#REF!</definedName>
    <definedName name="Interest_exp_growth_fore">#REF!</definedName>
    <definedName name="Interest_exp_inc_fore" localSheetId="2">#REF!</definedName>
    <definedName name="Interest_exp_inc_fore">#REF!</definedName>
    <definedName name="Interest_expense_after_taxes" localSheetId="2">#REF!</definedName>
    <definedName name="Interest_expense_after_taxes">#REF!</definedName>
    <definedName name="Interest_expense_income" localSheetId="2">#REF!</definedName>
    <definedName name="Interest_expense_income">#REF!</definedName>
    <definedName name="Interest_expense_oper_leases" localSheetId="9">[5]Sheet1!$D$63:$AZ$63</definedName>
    <definedName name="Interest_expense_oper_leases" localSheetId="8">[5]Sheet1!$D$63:$AZ$63</definedName>
    <definedName name="Interest_expense_oper_leases" localSheetId="5">[5]Sheet1!$D$63:$AZ$63</definedName>
    <definedName name="Interest_expense_oper_leases" localSheetId="1">[5]Sheet1!$D$63:$AZ$63</definedName>
    <definedName name="Interest_expense_oper_leases" localSheetId="3">[5]Sheet1!$D$63:$AZ$63</definedName>
    <definedName name="Interest_expense_oper_leases" localSheetId="2">#REF!</definedName>
    <definedName name="Interest_expense_oper_leases">#REF!</definedName>
    <definedName name="Interest_oper_lease" localSheetId="2">#REF!</definedName>
    <definedName name="Interest_oper_lease">#REF!</definedName>
    <definedName name="InterestQ406">'[22]LLTC Preview'!$I$106</definedName>
    <definedName name="IntExpChg">'[7]Param (Old)'!$C$21</definedName>
    <definedName name="IntIncChg">'[7]Param (Old)'!$C$22</definedName>
    <definedName name="IntRate">'[7]Param (Old)'!$C$88</definedName>
    <definedName name="inv">[3]FLEX!$C$459:$IV$459</definedName>
    <definedName name="inv3q98">[5]Sheet1!$D$234</definedName>
    <definedName name="inv4q98">[5]Sheet1!$E$234</definedName>
    <definedName name="invent">#REF!</definedName>
    <definedName name="Inventory" localSheetId="6">#REF!</definedName>
    <definedName name="Inventory" localSheetId="2">#REF!</definedName>
    <definedName name="Inventory">#REF!</definedName>
    <definedName name="Inventory_growth_fore" localSheetId="2">#REF!</definedName>
    <definedName name="Inventory_growth_fore">#REF!</definedName>
    <definedName name="Inventory_turns" localSheetId="2">#REF!</definedName>
    <definedName name="Inventory_turns">#REF!</definedName>
    <definedName name="Invested_capital" localSheetId="2">#REF!</definedName>
    <definedName name="Invested_capital">#REF!</definedName>
    <definedName name="Invested_capital_DCF" localSheetId="2">#REF!</definedName>
    <definedName name="Invested_capital_DCF">#REF!</definedName>
    <definedName name="Invested_capital_growth_fore" localSheetId="2">#REF!</definedName>
    <definedName name="Invested_capital_growth_fore">#REF!</definedName>
    <definedName name="Invested_capital_turns" localSheetId="2">#REF!</definedName>
    <definedName name="Invested_capital_turns">#REF!</definedName>
    <definedName name="Invested_capital_turns_DCF" localSheetId="2">#REF!</definedName>
    <definedName name="Invested_capital_turns_DCF">#REF!</definedName>
    <definedName name="Invested_capital_turns_fore" localSheetId="2">#REF!</definedName>
    <definedName name="Invested_capital_turns_fore">#REF!</definedName>
    <definedName name="Investments_in_Unconsolidated_Subs" localSheetId="2">#REF!</definedName>
    <definedName name="Investments_in_Unconsolidated_Subs">#REF!</definedName>
    <definedName name="invx">[3]FLEX!$C$511:$IV$511</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FS_AMORT_COST_FFIEC" hidden="1">"c20499"</definedName>
    <definedName name="IQ_ABS_AFS_FAIR_VAL_FFIEC" hidden="1">"c20464"</definedName>
    <definedName name="IQ_ABS_AVAIL_SALE_FFIEC" hidden="1">"c12802"</definedName>
    <definedName name="IQ_ABS_FFIEC" hidden="1">"c12788"</definedName>
    <definedName name="IQ_ABS_HTM_AMORT_COST_FFIEC" hidden="1">"c20447"</definedName>
    <definedName name="IQ_ABS_HTM_FAIR_VAL_FFIEC" hidden="1">"c20482"</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_CIQ_COL" hidden="1">"c11739"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ANAGED_GROWTH_RATE" hidden="1">"c20434"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EQUITY_FUNDS" hidden="1">"c10039"</definedName>
    <definedName name="IQ_AUM_FEE_EARNING" hidden="1">"c20402"</definedName>
    <definedName name="IQ_AUM_FIXED_INCOME_FUNDS" hidden="1">"c10040"</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MONEY_MARKET_FUNDS" hidden="1">"c10041"</definedName>
    <definedName name="IQ_AUM_NET_CHANGE" hidden="1">"c20419"</definedName>
    <definedName name="IQ_AUM_NET_INFLOWS_OUTFLOWS" hidden="1">"c20412"</definedName>
    <definedName name="IQ_AUM_NON_FEE_EARNING" hidden="1">"c20403"</definedName>
    <definedName name="IQ_AUM_OTHER" hidden="1">"c10042"</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CIQ_COL" hidden="1">"c11631"</definedName>
    <definedName name="IQ_AVG_INDUSTRY_REC_NO_CIQ_COL" hidden="1">"c11630"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REV_PER_TRADE" hidden="1">"c20431"</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WEIGHT" hidden="1">"c87"</definedName>
    <definedName name="IQ_BASIC_WEIGHT_GUIDANCE" hidden="1">"c4141"</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ACT_OR_EST_CIQ_COL" hidden="1">"c11715"</definedName>
    <definedName name="IQ_BV_OVER_SHARES" hidden="1">"c1349"</definedName>
    <definedName name="IQ_BV_SHARE" hidden="1">"c100"</definedName>
    <definedName name="IQ_BV_SHARE_ACT_OR_EST_CIQ_COL" hidden="1">"c11719"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 hidden="1">"c11743"</definedName>
    <definedName name="IQ_CAL_Q_EST_REUT" hidden="1">"c6800"</definedName>
    <definedName name="IQ_CAL_Y" hidden="1">"c102"</definedName>
    <definedName name="IQ_CAL_Y_EST" hidden="1">"c6797"</definedName>
    <definedName name="IQ_CAL_Y_EST_CIQ" hidden="1">"c6809"</definedName>
    <definedName name="IQ_CAL_Y_EST_CIQ_COL" hidden="1">"c11744"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CIQ_COL" hidden="1">"c11718"</definedName>
    <definedName name="IQ_CAPEX_BNK" hidden="1">"c110"</definedName>
    <definedName name="IQ_CAPEX_BR" hidden="1">"c111"</definedName>
    <definedName name="IQ_CAPEX_FIN" hidden="1">"c112"</definedName>
    <definedName name="IQ_CAPEX_GUIDANCE_CIQ" hidden="1">"c4562"</definedName>
    <definedName name="IQ_CAPEX_GUIDANCE_CIQ_COL" hidden="1">"c11211"</definedName>
    <definedName name="IQ_CAPEX_HIGH_GUIDANCE_CIQ" hidden="1">"c4592"</definedName>
    <definedName name="IQ_CAPEX_HIGH_GUIDANCE_CIQ_COL" hidden="1">"c11241"</definedName>
    <definedName name="IQ_CAPEX_INS" hidden="1">"c113"</definedName>
    <definedName name="IQ_CAPEX_LOW_GUIDANCE_CIQ" hidden="1">"c4632"</definedName>
    <definedName name="IQ_CAPEX_LOW_GUIDANCE_CIQ_COL" hidden="1">"c11281"</definedName>
    <definedName name="IQ_CAPEX_PCT_REV" hidden="1">"c19144"</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ACT_OR_EST_CIQ_COL" hidden="1">"c11215"</definedName>
    <definedName name="IQ_CASH_FLOW_GUIDANCE" hidden="1">"c4155"</definedName>
    <definedName name="IQ_CASH_FLOW_GUIDANCE_CIQ" hidden="1">"c4567"</definedName>
    <definedName name="IQ_CASH_FLOW_GUIDANCE_CIQ_COL" hidden="1">"c11216"</definedName>
    <definedName name="IQ_CASH_FLOW_HIGH_GUIDANCE" hidden="1">"c4201"</definedName>
    <definedName name="IQ_CASH_FLOW_HIGH_GUIDANCE_CIQ" hidden="1">"c4613"</definedName>
    <definedName name="IQ_CASH_FLOW_HIGH_GUIDANCE_CIQ_COL" hidden="1">"c11262"</definedName>
    <definedName name="IQ_CASH_FLOW_LOW_GUIDANCE" hidden="1">"c4241"</definedName>
    <definedName name="IQ_CASH_FLOW_LOW_GUIDANCE_CIQ" hidden="1">"c4653"</definedName>
    <definedName name="IQ_CASH_FLOW_LOW_GUIDANCE_CIQ_COL" hidden="1">"c11302"</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CT_OR_EST_CIQ_COL" hidden="1">"c11225"</definedName>
    <definedName name="IQ_CASH_OPER_AP" hidden="1">"c8888"</definedName>
    <definedName name="IQ_CASH_OPER_AP_ABS" hidden="1">"c8907"</definedName>
    <definedName name="IQ_CASH_OPER_GUIDANCE_CIQ" hidden="1">"c4577"</definedName>
    <definedName name="IQ_CASH_OPER_GUIDANCE_CIQ_COL" hidden="1">"c11226"</definedName>
    <definedName name="IQ_CASH_OPER_HIGH_GUIDANCE_CIQ" hidden="1">"c4597"</definedName>
    <definedName name="IQ_CASH_OPER_HIGH_GUIDANCE_CIQ_COL" hidden="1">"c11246"</definedName>
    <definedName name="IQ_CASH_OPER_LOW_GUIDANCE_CIQ" hidden="1">"c4637"</definedName>
    <definedName name="IQ_CASH_OPER_LOW_GUIDANCE_CIQ_COL" hidden="1">"c11286"</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GUIDANCE" hidden="1">"c4250"</definedName>
    <definedName name="IQ_CASH_ST_INVEST_GUIDANCE_CIQ" hidden="1">"c4776"</definedName>
    <definedName name="IQ_CASH_ST_INVEST_GUIDANCE_CIQ_COL" hidden="1">"c11423"</definedName>
    <definedName name="IQ_CASH_ST_INVEST_HIGH_GUIDANCE" hidden="1">"c4195"</definedName>
    <definedName name="IQ_CASH_ST_INVEST_HIGH_GUIDANCE_CIQ" hidden="1">"c4607"</definedName>
    <definedName name="IQ_CASH_ST_INVEST_HIGH_GUIDANCE_CIQ_COL" hidden="1">"c11256"</definedName>
    <definedName name="IQ_CASH_ST_INVEST_LOW_GUIDANCE" hidden="1">"c4235"</definedName>
    <definedName name="IQ_CASH_ST_INVEST_LOW_GUIDANCE_CIQ" hidden="1">"c4647"</definedName>
    <definedName name="IQ_CASH_ST_INVEST_LOW_GUIDANCE_CIQ_COL" hidden="1">"c11296"</definedName>
    <definedName name="IQ_CASH_STRUCTURED_PRODUCTS_AFS_AMORT_COST_FFIEC" hidden="1">"c20500"</definedName>
    <definedName name="IQ_CASH_STRUCTURED_PRODUCTS_AFS_FAIR_VAL_FFIEC" hidden="1">"c20465"</definedName>
    <definedName name="IQ_CASH_STRUCTURED_PRODUCTS_AVAIL_SALE_FFIEC" hidden="1">"c15263"</definedName>
    <definedName name="IQ_CASH_STRUCTURED_PRODUCTS_FFIEC" hidden="1">"c15260"</definedName>
    <definedName name="IQ_CASH_STRUCTURED_PRODUCTS_HTM_AMORT_COST_FFIEC" hidden="1">"c20448"</definedName>
    <definedName name="IQ_CASH_STRUCTURED_PRODUCTS_HTM_FAIR_VAL_FFIEC" hidden="1">"c20483"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_CIQ_COL" hidden="1">"c11708"</definedName>
    <definedName name="IQ_CFPS_EST" hidden="1">"c1667"</definedName>
    <definedName name="IQ_CFPS_GUIDANCE_CIQ" hidden="1">"c4782"</definedName>
    <definedName name="IQ_CFPS_GUIDANCE_CIQ_COL" hidden="1">"c11429"</definedName>
    <definedName name="IQ_CFPS_HIGH_EST" hidden="1">"c1669"</definedName>
    <definedName name="IQ_CFPS_HIGH_GUIDANCE_CIQ" hidden="1">"c4579"</definedName>
    <definedName name="IQ_CFPS_HIGH_GUIDANCE_CIQ_COL" hidden="1">"c11228"</definedName>
    <definedName name="IQ_CFPS_LOW_EST" hidden="1">"c1670"</definedName>
    <definedName name="IQ_CFPS_LOW_GUIDANCE_CIQ" hidden="1">"c4619"</definedName>
    <definedName name="IQ_CFPS_LOW_GUIDANCE_CIQ_COL" hidden="1">"c11268"</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K" hidden="1">"c20384"</definedName>
    <definedName name="IQ_CIP" hidden="1">"c17551"</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FS_AMORT_COST_FFIEC" hidden="1">"c20497"</definedName>
    <definedName name="IQ_CMBS_ISSUED_AFS_FAIR_VAL_FFIEC" hidden="1">"c20462"</definedName>
    <definedName name="IQ_CMBS_ISSUED_AVAIL_SALE_FFIEC" hidden="1">"c12800"</definedName>
    <definedName name="IQ_CMBS_ISSUED_FFIEC" hidden="1">"c12786"</definedName>
    <definedName name="IQ_CMBS_ISSUED_HTM_AMORT_COST_FFIEC" hidden="1">"c20445"</definedName>
    <definedName name="IQ_CMBS_ISSUED_HTM_FAIR_VAL_FFIEC" hidden="1">"c20480"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ID_QUICK_MATCH" hidden="1">"c16227"</definedName>
    <definedName name="IQ_COMPANY_NAME" hidden="1">"c215"</definedName>
    <definedName name="IQ_COMPANY_NAME_LONG" hidden="1">"c1585"</definedName>
    <definedName name="IQ_COMPANY_NAME_QUICK_MATCH" hidden="1">"c16228"</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ITUENTS_NAME" hidden="1">"c19192"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RT" hidden="1">"c20427"</definedName>
    <definedName name="IQ_DATA_PROCESSING_EXP_FFIEC" hidden="1">"c13047"</definedName>
    <definedName name="IQ_DATA_SET" hidden="1">"c19244"</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LUT_WEIGHT_GUIDANCE" hidden="1">"c4270"</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 hidden="1">"c11450"</definedName>
    <definedName name="IQ_DISTRIBUTABLE_CASH_GUIDANCE_CIQ" hidden="1">"c4804"</definedName>
    <definedName name="IQ_DISTRIBUTABLE_CASH_GUIDANCE_CIQ_COL" hidden="1">"c11451"</definedName>
    <definedName name="IQ_DISTRIBUTABLE_CASH_HIGH_GUIDANCE_CIQ" hidden="1">"c4610"</definedName>
    <definedName name="IQ_DISTRIBUTABLE_CASH_HIGH_GUIDANCE_CIQ_COL" hidden="1">"c11259"</definedName>
    <definedName name="IQ_DISTRIBUTABLE_CASH_LOW_GUIDANCE_CIQ" hidden="1">"c4650"</definedName>
    <definedName name="IQ_DISTRIBUTABLE_CASH_LOW_GUIDANCE_CIQ_COL" hidden="1">"c11299"</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 hidden="1">"c11458"</definedName>
    <definedName name="IQ_DISTRIBUTABLE_CASH_SHARE_GUIDANCE_CIQ" hidden="1">"c4812"</definedName>
    <definedName name="IQ_DISTRIBUTABLE_CASH_SHARE_GUIDANCE_CIQ_COL" hidden="1">"c11459"</definedName>
    <definedName name="IQ_DISTRIBUTABLE_CASH_SHARE_HIGH_GUIDANCE_CIQ" hidden="1">"c4611"</definedName>
    <definedName name="IQ_DISTRIBUTABLE_CASH_SHARE_HIGH_GUIDANCE_CIQ_COL" hidden="1">"c11260"</definedName>
    <definedName name="IQ_DISTRIBUTABLE_CASH_SHARE_LOW_GUIDANCE_CIQ" hidden="1">"c4651"</definedName>
    <definedName name="IQ_DISTRIBUTABLE_CASH_SHARE_LOW_GUIDANCE_CIQ_COL" hidden="1">"c11300"</definedName>
    <definedName name="IQ_DISTRIBUTABLE_CASH_SHARES_BASIC" hidden="1">"c16189"</definedName>
    <definedName name="IQ_DISTRIBUTABLE_CASH_SHARES_DILUTED" hidden="1">"c16190"</definedName>
    <definedName name="IQ_DISTRIBUTABLE_CASH_STANDARDIZED" hidden="1">"c20435"</definedName>
    <definedName name="IQ_DIV_AMOUNT" hidden="1">"c3041"</definedName>
    <definedName name="IQ_DIV_AMOUNT_LIST" hidden="1">"c17417"</definedName>
    <definedName name="IQ_DIV_PAYMENT_DATE" hidden="1">"c2106"</definedName>
    <definedName name="IQ_DIV_PAYMENT_DATE_LIST" hidden="1">"c17418"</definedName>
    <definedName name="IQ_DIV_PAYMENT_TYPE" hidden="1">"c12752"</definedName>
    <definedName name="IQ_DIV_PAYMENT_TYPE_LIST" hidden="1">"c17419"</definedName>
    <definedName name="IQ_DIV_RECORD_DATE" hidden="1">"c2105"</definedName>
    <definedName name="IQ_DIV_RECORD_DATE_LIST" hidden="1">"c17420"</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CIQ_COL" hidden="1">"c11709"</definedName>
    <definedName name="IQ_DPS_EST" hidden="1">"c1674"</definedName>
    <definedName name="IQ_DPS_GUIDANCE_CIQ" hidden="1">"c4827"</definedName>
    <definedName name="IQ_DPS_GUIDANCE_CIQ_COL" hidden="1">"c11474"</definedName>
    <definedName name="IQ_DPS_HIGH_EST" hidden="1">"c1676"</definedName>
    <definedName name="IQ_DPS_HIGH_GUIDANCE_CIQ" hidden="1">"c4580"</definedName>
    <definedName name="IQ_DPS_HIGH_GUIDANCE_CIQ_COL" hidden="1">"c11229"</definedName>
    <definedName name="IQ_DPS_LOW_EST" hidden="1">"c1677"</definedName>
    <definedName name="IQ_DPS_LOW_GUIDANCE_CIQ" hidden="1">"c4620"</definedName>
    <definedName name="IQ_DPS_LOW_GUIDANCE_CIQ_COL" hidden="1">"c11269"</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CIQ_COL" hidden="1">"c11710"</definedName>
    <definedName name="IQ_EBIT_EQ_INC" hidden="1">"c3498"</definedName>
    <definedName name="IQ_EBIT_EQ_INC_EXCL_SBC" hidden="1">"c3502"</definedName>
    <definedName name="IQ_EBIT_EST" hidden="1">"c1681"</definedName>
    <definedName name="IQ_EBIT_EXCL_SBC" hidden="1">"c3082"</definedName>
    <definedName name="IQ_EBIT_GUIDANCE_CIQ" hidden="1">"c4828"</definedName>
    <definedName name="IQ_EBIT_GUIDANCE_CIQ_COL" hidden="1">"c11475"</definedName>
    <definedName name="IQ_EBIT_GW_ACT_OR_EST" hidden="1">"c4306"</definedName>
    <definedName name="IQ_EBIT_GW_ACT_OR_EST_CIQ_COL" hidden="1">"c11478"</definedName>
    <definedName name="IQ_EBIT_GW_GUIDANCE" hidden="1">"c4307"</definedName>
    <definedName name="IQ_EBIT_GW_GUIDANCE_CIQ" hidden="1">"c4832"</definedName>
    <definedName name="IQ_EBIT_GW_GUIDANCE_CIQ_COL" hidden="1">"c11479"</definedName>
    <definedName name="IQ_EBIT_GW_HIGH_GUIDANCE" hidden="1">"c4171"</definedName>
    <definedName name="IQ_EBIT_GW_HIGH_GUIDANCE_CIQ" hidden="1">"c4583"</definedName>
    <definedName name="IQ_EBIT_GW_HIGH_GUIDANCE_CIQ_COL" hidden="1">"c11232"</definedName>
    <definedName name="IQ_EBIT_GW_LOW_GUIDANCE" hidden="1">"c4211"</definedName>
    <definedName name="IQ_EBIT_GW_LOW_GUIDANCE_CIQ" hidden="1">"c4623"</definedName>
    <definedName name="IQ_EBIT_GW_LOW_GUIDANCE_CIQ_COL" hidden="1">"c11272"</definedName>
    <definedName name="IQ_EBIT_HIGH_EST" hidden="1">"c1683"</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ACT_OR_EST_CIQ" hidden="1">"c4841"</definedName>
    <definedName name="IQ_EBIT_SBC_ACT_OR_EST_CIQ_COL" hidden="1">"c11488"</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ACT_OR_EST_CIQ_COL" hidden="1">"c11492"</definedName>
    <definedName name="IQ_EBIT_SBC_GW_GUIDANCE" hidden="1">"c4321"</definedName>
    <definedName name="IQ_EBIT_SBC_GW_GUIDANCE_CIQ" hidden="1">"c4846"</definedName>
    <definedName name="IQ_EBIT_SBC_GW_GUIDANCE_CIQ_COL" hidden="1">"c11493"</definedName>
    <definedName name="IQ_EBIT_SBC_GW_HIGH_GUIDANCE" hidden="1">"c4193"</definedName>
    <definedName name="IQ_EBIT_SBC_GW_HIGH_GUIDANCE_CIQ" hidden="1">"c4605"</definedName>
    <definedName name="IQ_EBIT_SBC_GW_HIGH_GUIDANCE_CIQ_COL" hidden="1">"c11254"</definedName>
    <definedName name="IQ_EBIT_SBC_GW_LOW_GUIDANCE" hidden="1">"c4233"</definedName>
    <definedName name="IQ_EBIT_SBC_GW_LOW_GUIDANCE_CIQ" hidden="1">"c4645"</definedName>
    <definedName name="IQ_EBIT_SBC_GW_LOW_GUIDANCE_CIQ_COL" hidden="1">"c11294"</definedName>
    <definedName name="IQ_EBIT_SBC_HIGH_GUIDANCE" hidden="1">"c4192"</definedName>
    <definedName name="IQ_EBIT_SBC_HIGH_GUIDANCE_CIQ" hidden="1">"c4604"</definedName>
    <definedName name="IQ_EBIT_SBC_HIGH_GUIDANCE_CIQ_COL" hidden="1">"c11253"</definedName>
    <definedName name="IQ_EBIT_SBC_LOW_GUIDANCE" hidden="1">"c4232"</definedName>
    <definedName name="IQ_EBIT_SBC_LOW_GUIDANCE_CIQ" hidden="1">"c4644"</definedName>
    <definedName name="IQ_EBIT_SBC_LOW_GUIDANCE_CIQ_COL" hidden="1">"c11293"</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 hidden="1">"c11707"</definedName>
    <definedName name="IQ_EBITDA_CAPEX" hidden="1">"c19143"</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REUT" hidden="1">"c3640"</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ITDA_EXCL_SBC" hidden="1">"c3081"</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 hidden="1">"c11509"</definedName>
    <definedName name="IQ_EBITDA_SBC_GUIDANCE" hidden="1">"c4338"</definedName>
    <definedName name="IQ_EBITDA_SBC_GUIDANCE_CIQ" hidden="1">"c4863"</definedName>
    <definedName name="IQ_EBITDA_SBC_GUIDANCE_CIQ_COL" hidden="1">"c11510"</definedName>
    <definedName name="IQ_EBITDA_SBC_HIGH_GUIDANCE" hidden="1">"c4194"</definedName>
    <definedName name="IQ_EBITDA_SBC_HIGH_GUIDANCE_CIQ" hidden="1">"c4606"</definedName>
    <definedName name="IQ_EBITDA_SBC_HIGH_GUIDANCE_CIQ_COL" hidden="1">"c11255"</definedName>
    <definedName name="IQ_EBITDA_SBC_LOW_GUIDANCE" hidden="1">"c4234"</definedName>
    <definedName name="IQ_EBITDA_SBC_LOW_GUIDANCE_CIQ" hidden="1">"c4646"</definedName>
    <definedName name="IQ_EBITDA_SBC_LOW_GUIDANCE_CIQ_COL" hidden="1">"c11295"</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_CIQ" hidden="1">"c4870"</definedName>
    <definedName name="IQ_EBT_GAAP_GUIDANCE_CIQ_COL" hidden="1">"c11517"</definedName>
    <definedName name="IQ_EBT_GAAP_HIGH_GUIDANCE_CIQ" hidden="1">"c4586"</definedName>
    <definedName name="IQ_EBT_GAAP_HIGH_GUIDANCE_CIQ_COL" hidden="1">"c11235"</definedName>
    <definedName name="IQ_EBT_GAAP_LOW_GUIDANCE_CIQ" hidden="1">"c4626"</definedName>
    <definedName name="IQ_EBT_GAAP_LOW_GUIDANCE_CIQ_COL" hidden="1">"c11275"</definedName>
    <definedName name="IQ_EBT_GUIDANCE_CIQ" hidden="1">"c4871"</definedName>
    <definedName name="IQ_EBT_GUIDANCE_CIQ_COL" hidden="1">"c11518"</definedName>
    <definedName name="IQ_EBT_GW_GUIDANCE_CIQ" hidden="1">"c4872"</definedName>
    <definedName name="IQ_EBT_GW_GUIDANCE_CIQ_COL" hidden="1">"c11519"</definedName>
    <definedName name="IQ_EBT_GW_HIGH_GUIDANCE_CIQ" hidden="1">"c4587"</definedName>
    <definedName name="IQ_EBT_GW_HIGH_GUIDANCE_CIQ_COL" hidden="1">"c11236"</definedName>
    <definedName name="IQ_EBT_GW_LOW_GUIDANCE_CIQ" hidden="1">"c4627"</definedName>
    <definedName name="IQ_EBT_GW_LOW_GUIDANCE_CIQ_COL" hidden="1">"c11276"</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 hidden="1">"c11522"</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ACT_OR_EST_CIQ_COL" hidden="1">"c11526"</definedName>
    <definedName name="IQ_EBT_SBC_GW_GUIDANCE" hidden="1">"c4355"</definedName>
    <definedName name="IQ_EBT_SBC_GW_GUIDANCE_CIQ" hidden="1">"c4880"</definedName>
    <definedName name="IQ_EBT_SBC_GW_GUIDANCE_CIQ_COL" hidden="1">"c11527"</definedName>
    <definedName name="IQ_EBT_SBC_GW_HIGH_GUIDANCE" hidden="1">"c4191"</definedName>
    <definedName name="IQ_EBT_SBC_GW_HIGH_GUIDANCE_CIQ" hidden="1">"c4603"</definedName>
    <definedName name="IQ_EBT_SBC_GW_HIGH_GUIDANCE_CIQ_COL" hidden="1">"c11252"</definedName>
    <definedName name="IQ_EBT_SBC_GW_LOW_GUIDANCE" hidden="1">"c4231"</definedName>
    <definedName name="IQ_EBT_SBC_GW_LOW_GUIDANCE_CIQ" hidden="1">"c4643"</definedName>
    <definedName name="IQ_EBT_SBC_GW_LOW_GUIDANCE_CIQ_COL" hidden="1">"c11292"</definedName>
    <definedName name="IQ_EBT_SBC_HIGH_GUIDANCE" hidden="1">"c4190"</definedName>
    <definedName name="IQ_EBT_SBC_HIGH_GUIDANCE_CIQ" hidden="1">"c4602"</definedName>
    <definedName name="IQ_EBT_SBC_HIGH_GUIDANCE_CIQ_COL" hidden="1">"c11251"</definedName>
    <definedName name="IQ_EBT_SBC_LOW_GUIDANCE" hidden="1">"c4230"</definedName>
    <definedName name="IQ_EBT_SBC_LOW_GUIDANCE_CIQ" hidden="1">"c4642"</definedName>
    <definedName name="IQ_EBT_SBC_LOW_GUIDANCE_CIQ_COL" hidden="1">"c11291"</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"c16242"</definedName>
    <definedName name="IQ_ECS_NUM_SHAREHOLDERS_ABS" hidden="1">"c16243"</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CS_NUM_SHAREHOLDERS_OTHER" hidden="1">"c16244"</definedName>
    <definedName name="IQ_ECS_NUM_SHAREHOLDERS_OTHER_ABS" hidden="1">"c16245"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CIQ_COL" hidden="1">"c11705"</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REUT" hidden="1">"c5453"</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EXCL_GUIDANCE_CIQ" hidden="1">"c4893"</definedName>
    <definedName name="IQ_EPS_EXCL_GUIDANCE_CIQ_COL" hidden="1">"c11540"</definedName>
    <definedName name="IQ_EPS_EXCL_HIGH_GUIDANCE_CIQ" hidden="1">"c4894"</definedName>
    <definedName name="IQ_EPS_EXCL_HIGH_GUIDANCE_CIQ_COL" hidden="1">"c11541"</definedName>
    <definedName name="IQ_EPS_EXCL_LOW_GUIDANCE_CIQ" hidden="1">"c4616"</definedName>
    <definedName name="IQ_EPS_EXCL_LOW_GUIDANCE_CIQ_COL" hidden="1">"c11265"</definedName>
    <definedName name="IQ_EPS_GAAP_GUIDANCE_CIQ" hidden="1">"c4895"</definedName>
    <definedName name="IQ_EPS_GAAP_GUIDANCE_CIQ_COL" hidden="1">"c11542"</definedName>
    <definedName name="IQ_EPS_GAAP_HIGH_GUIDANCE_CIQ" hidden="1">"c4896"</definedName>
    <definedName name="IQ_EPS_GAAP_HIGH_GUIDANCE_CIQ_COL" hidden="1">"c11543"</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REUT" hidden="1">"c5389"</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REUT" hidden="1">"c5326"</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REUT" hidden="1">"c5396"</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 hidden="1">"c11548"</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ACT_OR_EST_CIQ_COL" hidden="1">"c11552"</definedName>
    <definedName name="IQ_EPS_SBC_GW_GUIDANCE" hidden="1">"c4381"</definedName>
    <definedName name="IQ_EPS_SBC_GW_GUIDANCE_CIQ" hidden="1">"c4906"</definedName>
    <definedName name="IQ_EPS_SBC_GW_GUIDANCE_CIQ_COL" hidden="1">"c11553"</definedName>
    <definedName name="IQ_EPS_SBC_GW_HIGH_GUIDANCE" hidden="1">"c4189"</definedName>
    <definedName name="IQ_EPS_SBC_GW_HIGH_GUIDANCE_CIQ" hidden="1">"c4601"</definedName>
    <definedName name="IQ_EPS_SBC_GW_HIGH_GUIDANCE_CIQ_COL" hidden="1">"c11250"</definedName>
    <definedName name="IQ_EPS_SBC_GW_LOW_GUIDANCE" hidden="1">"c4229"</definedName>
    <definedName name="IQ_EPS_SBC_GW_LOW_GUIDANCE_CIQ" hidden="1">"c4641"</definedName>
    <definedName name="IQ_EPS_SBC_GW_LOW_GUIDANCE_CIQ_COL" hidden="1">"c11290"</definedName>
    <definedName name="IQ_EPS_SBC_HIGH_GUIDANCE" hidden="1">"c4188"</definedName>
    <definedName name="IQ_EPS_SBC_HIGH_GUIDANCE_CIQ" hidden="1">"c4600"</definedName>
    <definedName name="IQ_EPS_SBC_HIGH_GUIDANCE_CIQ_COL" hidden="1">"c11249"</definedName>
    <definedName name="IQ_EPS_SBC_LOW_GUIDANCE" hidden="1">"c4228"</definedName>
    <definedName name="IQ_EPS_SBC_LOW_GUIDANCE_CIQ" hidden="1">"c4640"</definedName>
    <definedName name="IQ_EPS_SBC_LOW_GUIDANCE_CIQ_COL" hidden="1">"c11289"</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AFS_AMORT_COST_FFIEC" hidden="1">"c20505"</definedName>
    <definedName name="IQ_EQUITY_SEC_FAIR_VALUE_AFS_FAIR_VAL_FFIEC" hidden="1">"c20470"</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ISTRIBUTABLE_CASH_CIQ_COL" hidden="1">"c11568"</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FFO" hidden="1">"c1666"</definedName>
    <definedName name="IQ_EST_ACT_FFO_CIQ_COL" hidden="1">"c11579"</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ASH_FLOW_DIFF_CIQ_COL" hidden="1">"c11213"</definedName>
    <definedName name="IQ_EST_CASH_FLOW_SURPRISE_PERCENT_CIQ_COL" hidden="1">"c11222"</definedName>
    <definedName name="IQ_EST_CASH_OPER_DIFF_CIQ_COL" hidden="1">"c11223"</definedName>
    <definedName name="IQ_EST_CASH_OPER_SURPRISE_PERCENT_CIQ_COL" hidden="1">"c11421"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_CIQ_COL" hidden="1">"c11448"</definedName>
    <definedName name="IQ_EST_DISTRIBUTABLE_CASH_GROWTH_1YR_CIQ_COL" hidden="1">"c11585"</definedName>
    <definedName name="IQ_EST_DISTRIBUTABLE_CASH_GROWTH_2YR_CIQ_COL" hidden="1">"c11586"</definedName>
    <definedName name="IQ_EST_DISTRIBUTABLE_CASH_GROWTH_Q_1YR_CIQ_COL" hidden="1">"c11587"</definedName>
    <definedName name="IQ_EST_DISTRIBUTABLE_CASH_SEQ_GROWTH_Q_CIQ_COL" hidden="1">"c11588"</definedName>
    <definedName name="IQ_EST_DISTRIBUTABLE_CASH_SHARE_DIFF_CIQ_COL" hidden="1">"c11456"</definedName>
    <definedName name="IQ_EST_DISTRIBUTABLE_CASH_SHARE_GROWTH_1YR_CIQ_COL" hidden="1">"c11589"</definedName>
    <definedName name="IQ_EST_DISTRIBUTABLE_CASH_SHARE_GROWTH_2YR_CIQ_COL" hidden="1">"c11590"</definedName>
    <definedName name="IQ_EST_DISTRIBUTABLE_CASH_SHARE_GROWTH_Q_1YR_CIQ_COL" hidden="1">"c11591"</definedName>
    <definedName name="IQ_EST_DISTRIBUTABLE_CASH_SHARE_SEQ_GROWTH_Q_CIQ_COL" hidden="1">"c11592"</definedName>
    <definedName name="IQ_EST_DISTRIBUTABLE_CASH_SHARE_SURPRISE_PERCENT_CIQ_COL" hidden="1">"c11465"</definedName>
    <definedName name="IQ_EST_DISTRIBUTABLE_CASH_SURPRISE_PERCENT_CIQ_COL" hidden="1">"c11467"</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GW_DIFF_CIQ_COL" hidden="1">"c11476"</definedName>
    <definedName name="IQ_EST_EBIT_GW_SURPRISE_PERCENT_CIQ_COL" hidden="1">"c11485"</definedName>
    <definedName name="IQ_EST_EBIT_SBC_DIFF_CIQ_COL" hidden="1">"c11486"</definedName>
    <definedName name="IQ_EST_EBIT_SBC_GW_DIFF_CIQ_COL" hidden="1">"c11490"</definedName>
    <definedName name="IQ_EST_EBIT_SBC_GW_SURPRISE_PERCENT_CIQ_COL" hidden="1">"c11499"</definedName>
    <definedName name="IQ_EST_EBIT_SBC_SURPRISE_PERCENT_CIQ_COL" hidden="1">"c11505"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BC_DIFF_CIQ_COL" hidden="1">"c11507"</definedName>
    <definedName name="IQ_EST_EBITDA_SBC_SURPRISE_PERCENT_CIQ_COL" hidden="1">"c11516"</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BT_SBC_DIFF_CIQ_COL" hidden="1">"c11520"</definedName>
    <definedName name="IQ_EST_EBT_SBC_GW_DIFF_CIQ_COL" hidden="1">"c11524"</definedName>
    <definedName name="IQ_EST_EBT_SBC_GW_SURPRISE_PERCENT_CIQ_COL" hidden="1">"c11533"</definedName>
    <definedName name="IQ_EST_EBT_SBC_SURPRISE_PERCENT_CIQ_COL" hidden="1">"c11539"</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_CIQ_COL" hidden="1">"c11546"</definedName>
    <definedName name="IQ_EST_EPS_SBC_GW_DIFF_CIQ_COL" hidden="1">"c11550"</definedName>
    <definedName name="IQ_EST_EPS_SBC_GW_SURPRISE_PERCENT_CIQ_COL" hidden="1">"c11559"</definedName>
    <definedName name="IQ_EST_EPS_SBC_SURPRISE_PERCENT_CIQ_COL" hidden="1">"c11565"</definedName>
    <definedName name="IQ_EST_EPS_SEQ_GROWTH_Q" hidden="1">"c1764"</definedName>
    <definedName name="IQ_EST_EPS_SEQ_GROWTH_Q_CIQ" hidden="1">"c3690"</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ADJ_DIFF_CIQ_COL" hidden="1">"c11605"</definedName>
    <definedName name="IQ_EST_FFO_ADJ_GROWTH_1YR_CIQ_COL" hidden="1">"c11593"</definedName>
    <definedName name="IQ_EST_FFO_ADJ_GROWTH_2YR_CIQ_COL" hidden="1">"c11594"</definedName>
    <definedName name="IQ_EST_FFO_ADJ_GROWTH_Q_1YR_CIQ_COL" hidden="1">"c11595"</definedName>
    <definedName name="IQ_EST_FFO_ADJ_SEQ_GROWTH_Q_CIQ_COL" hidden="1">"c11596"</definedName>
    <definedName name="IQ_EST_FFO_ADJ_SURPRISE_PERCENT_CIQ_COL" hidden="1">"c11614"</definedName>
    <definedName name="IQ_EST_FFO_DIFF" hidden="1">"c1869"</definedName>
    <definedName name="IQ_EST_FFO_DIFF_CIQ_COL" hidden="1">"c11616"</definedName>
    <definedName name="IQ_EST_FFO_GROWTH_1YR" hidden="1">"c1770"</definedName>
    <definedName name="IQ_EST_FFO_GROWTH_1YR_CIQ_COL" hidden="1">"c11597"</definedName>
    <definedName name="IQ_EST_FFO_GROWTH_2YR" hidden="1">"c1771"</definedName>
    <definedName name="IQ_EST_FFO_GROWTH_2YR_CIQ_COL" hidden="1">"c11598"</definedName>
    <definedName name="IQ_EST_FFO_GROWTH_Q_1YR" hidden="1">"c1772"</definedName>
    <definedName name="IQ_EST_FFO_GROWTH_Q_1YR_CIQ_COL" hidden="1">"c11599"</definedName>
    <definedName name="IQ_EST_FFO_SEQ_GROWTH_Q" hidden="1">"c1773"</definedName>
    <definedName name="IQ_EST_FFO_SEQ_GROWTH_Q_CIQ_COL" hidden="1">"c11600"</definedName>
    <definedName name="IQ_EST_FFO_SURPRISE_PERCENT" hidden="1">"c1870"</definedName>
    <definedName name="IQ_EST_FFO_SURPRISE_PERCENT_CIQ_COL" hidden="1">"c11629"</definedName>
    <definedName name="IQ_EST_FOOTNOTE" hidden="1">"c4540"</definedName>
    <definedName name="IQ_EST_FOOTNOTE_CIQ" hidden="1">"c12022"</definedName>
    <definedName name="IQ_EST_MAINT_CAPEX_DIFF_CIQ_COL" hidden="1">"c11632"</definedName>
    <definedName name="IQ_EST_MAINT_CAPEX_GROWTH_1YR_CIQ_COL" hidden="1">"c11601"</definedName>
    <definedName name="IQ_EST_MAINT_CAPEX_GROWTH_2YR_CIQ_COL" hidden="1">"c11602"</definedName>
    <definedName name="IQ_EST_MAINT_CAPEX_GROWTH_Q_1YR_CIQ_COL" hidden="1">"c11603"</definedName>
    <definedName name="IQ_EST_MAINT_CAPEX_SEQ_GROWTH_Q_CIQ_COL" hidden="1">"c11604"</definedName>
    <definedName name="IQ_EST_MAINT_CAPEX_SURPRISE_PERCENT_CIQ_COL" hidden="1">"c11650"</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_CIQ_COL" hidden="1">"c11657"</definedName>
    <definedName name="IQ_EST_NI_SBC_GW_DIFF_CIQ_COL" hidden="1">"c11661"</definedName>
    <definedName name="IQ_EST_NI_SBC_GW_SURPRISE_PERCENT_CIQ_COL" hidden="1">"c11670"</definedName>
    <definedName name="IQ_EST_NI_SBC_SURPRISE_PERCENT_CIQ_COL" hidden="1">"c11676"</definedName>
    <definedName name="IQ_EST_NI_SURPRISE_PERCENT" hidden="1">"c1886"</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ERIOD_ID" hidden="1">"c13923"</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CURRING_PROFIT_SHARE_DIFF_CIQ_COL" hidden="1">"c11690"</definedName>
    <definedName name="IQ_EST_RECURRING_PROFIT_SHARE_SURPRISE_PERCENT_CIQ_COL" hidden="1">"c11700"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 hidden="1">"c16229"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CERT_NUMBER_FFIEC" hidden="1">"c20507"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DJ_ACT_OR_EST" hidden="1">"c4435"</definedName>
    <definedName name="IQ_FFO_ADJ_ACT_OR_EST_CIQ" hidden="1">"c4960"</definedName>
    <definedName name="IQ_FFO_ADJ_ACT_OR_EST_CIQ_COL" hidden="1">"c11607"</definedName>
    <definedName name="IQ_FFO_ADJ_GUIDANCE_CIQ" hidden="1">"c4961"</definedName>
    <definedName name="IQ_FFO_ADJ_GUIDANCE_CIQ_COL" hidden="1">"c11608"</definedName>
    <definedName name="IQ_FFO_ADJ_HIGH_GUIDANCE_CIQ" hidden="1">"c4614"</definedName>
    <definedName name="IQ_FFO_ADJ_HIGH_GUIDANCE_CIQ_COL" hidden="1">"c11263"</definedName>
    <definedName name="IQ_FFO_ADJ_LOW_GUIDANCE_CIQ" hidden="1">"c4654"</definedName>
    <definedName name="IQ_FFO_ADJ_LOW_GUIDANCE_CIQ_COL" hidden="1">"c11303"</definedName>
    <definedName name="IQ_FFO_DILUTED" hidden="1">"c16186"</definedName>
    <definedName name="IQ_FFO_EST" hidden="1">"c418"</definedName>
    <definedName name="IQ_FFO_EST_CIQ_COL" hidden="1">"c11617"</definedName>
    <definedName name="IQ_FFO_GUIDANCE_CIQ" hidden="1">"c4968"</definedName>
    <definedName name="IQ_FFO_GUIDANCE_CIQ_COL" hidden="1">"c11615"</definedName>
    <definedName name="IQ_FFO_HIGH_EST" hidden="1">"c419"</definedName>
    <definedName name="IQ_FFO_HIGH_EST_CIQ_COL" hidden="1">"c11624"</definedName>
    <definedName name="IQ_FFO_HIGH_GUIDANCE_CIQ" hidden="1">"c4596"</definedName>
    <definedName name="IQ_FFO_HIGH_GUIDANCE_CIQ_COL" hidden="1">"c11245"</definedName>
    <definedName name="IQ_FFO_LOW_EST" hidden="1">"c420"</definedName>
    <definedName name="IQ_FFO_LOW_EST_CIQ_COL" hidden="1">"c11625"</definedName>
    <definedName name="IQ_FFO_LOW_GUIDANCE_CIQ" hidden="1">"c4636"</definedName>
    <definedName name="IQ_FFO_LOW_GUIDANCE_CIQ_COL" hidden="1">"c11285"</definedName>
    <definedName name="IQ_FFO_MEDIAN_EST" hidden="1">"c1665"</definedName>
    <definedName name="IQ_FFO_MEDIAN_EST_CIQ_COL" hidden="1">"c11626"</definedName>
    <definedName name="IQ_FFO_NUM_EST" hidden="1">"c421"</definedName>
    <definedName name="IQ_FFO_NUM_EST_CIQ_COL" hidden="1">"c11627"</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ACT_OR_EST_CIQ_COL" hidden="1">"c11618"</definedName>
    <definedName name="IQ_FFO_SHARE_GUIDANCE_CIQ" hidden="1">"c4976"</definedName>
    <definedName name="IQ_FFO_SHARE_GUIDANCE_CIQ_COL" hidden="1">"c11623"</definedName>
    <definedName name="IQ_FFO_SHARE_HIGH_GUIDANCE_CIQ" hidden="1">"c4615"</definedName>
    <definedName name="IQ_FFO_SHARE_HIGH_GUIDANCE_CIQ_COL" hidden="1">"c11264"</definedName>
    <definedName name="IQ_FFO_SHARE_LOW_GUIDANCE_CIQ" hidden="1">"c4655"</definedName>
    <definedName name="IQ_FFO_SHARE_LOW_GUIDANCE_CIQ_COL" hidden="1">"c11304"</definedName>
    <definedName name="IQ_FFO_SHARES_BASIC" hidden="1">"c16185"</definedName>
    <definedName name="IQ_FFO_SHARES_DILUTED" hidden="1">"c16187"</definedName>
    <definedName name="IQ_FFO_STDDEV_EST" hidden="1">"c422"</definedName>
    <definedName name="IQ_FFO_STDDEV_EST_CIQ_COL" hidden="1">"c11628"</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ARCHITECTURE" hidden="1">"c20386"</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 hidden="1">"c11741"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 hidden="1">"c11742"</definedName>
    <definedName name="IQ_FISCAL_Y_EST_REUT" hidden="1">"c6799"</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"c17421"</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DISCOUNT_OR_PREMIUM" hidden="1">"c19242"</definedName>
    <definedName name="IQ_FUND_FEE_INC_NON_INT_INC_FFIEC" hidden="1">"c13493"</definedName>
    <definedName name="IQ_FUND_GEOGRAPHIC_MANDATE" hidden="1">"c19195"</definedName>
    <definedName name="IQ_FUND_MARKET_CAP_EMPHASIS" hidden="1">"c19197"</definedName>
    <definedName name="IQ_FUND_NAV" hidden="1">"c15225"</definedName>
    <definedName name="IQ_FUND_PRIMARY_ADVISOR" hidden="1">"c19091"</definedName>
    <definedName name="IQ_FUND_SECTOR_EMPHASIS" hidden="1">"c19196"</definedName>
    <definedName name="IQ_FUND_VEHICLE_TYPE" hidden="1">"c19194"</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COMBINED_RATIO" hidden="1">"c2781"</definedName>
    <definedName name="IQ_GAAP_COMBINED_RATIO_EXCL_CL" hidden="1">"c2782"</definedName>
    <definedName name="IQ_GAAP_EST_CIQ" hidden="1">"c13924"</definedName>
    <definedName name="IQ_GAAP_EXPENSE_RATIO" hidden="1">"c2780"</definedName>
    <definedName name="IQ_GAAP_IS" hidden="1">"c6194"</definedName>
    <definedName name="IQ_GAAP_LOSS" hidden="1">"c2779"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FS_AMORT_COST_FFIEC" hidden="1">"c20502"</definedName>
    <definedName name="IQ_HYBRID_STRUCTURED_PRODUCTS_AFS_FAIR_VAL_FFIEC" hidden="1">"c20467"</definedName>
    <definedName name="IQ_HYBRID_STRUCTURED_PRODUCTS_AVAIL_SALE_FFIEC" hidden="1">"c15265"</definedName>
    <definedName name="IQ_HYBRID_STRUCTURED_PRODUCTS_FFIEC" hidden="1">"c15262"</definedName>
    <definedName name="IQ_HYBRID_STRUCTURED_PRODUCTS_HTM_AMORT_COST_FFIEC" hidden="1">"c20450"</definedName>
    <definedName name="IQ_HYBRID_STRUCTURED_PRODUCTS_HTM_FAIR_VAL_FFIEC" hidden="1">"c20485"</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_SHARES" hidden="1">"c19193"</definedName>
    <definedName name="IQ_INDEX_TYPE" hidden="1">"c15223"</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HOLD_IMPROVEMENT" hidden="1">"c17549"</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ACT_OR_EST_CIQ_COL" hidden="1">"c11634"</definedName>
    <definedName name="IQ_MAINT_CAPEX_GUIDANCE_CIQ" hidden="1">"c4988"</definedName>
    <definedName name="IQ_MAINT_CAPEX_GUIDANCE_CIQ_COL" hidden="1">"c11635"</definedName>
    <definedName name="IQ_MAINT_CAPEX_HIGH_GUIDANCE_CIQ" hidden="1">"c4609"</definedName>
    <definedName name="IQ_MAINT_CAPEX_HIGH_GUIDANCE_CIQ_COL" hidden="1">"c11258"</definedName>
    <definedName name="IQ_MAINT_CAPEX_LOW_GUIDANCE_CIQ" hidden="1">"c4649"</definedName>
    <definedName name="IQ_MAINT_CAPEX_LOW_GUIDANCE_CIQ_COL" hidden="1">"c11298"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OTHER_ISSUED_FNMA_OTHERS_AVAIL_SALE_FFIEC" hidden="1">"c12799"</definedName>
    <definedName name="IQ_MBS_OTHER_ISSUED_FNMA_OTHERS_FFIEC" hidden="1">"c12785"</definedName>
    <definedName name="IQ_MBS_PASS_THROUGH_FNMA_AFS_AMORT_COST_FFIEC" hidden="1">"c20494"</definedName>
    <definedName name="IQ_MBS_PASS_THROUGH_FNMA_AFS_FAIR_VAL_FFIEC" hidden="1">"c20459"</definedName>
    <definedName name="IQ_MBS_PASS_THROUGH_FNMA_AVAIL_SALE_FFIEC" hidden="1">"c12797"</definedName>
    <definedName name="IQ_MBS_PASS_THROUGH_FNMA_FFIEC" hidden="1">"c12783"</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AVAIL_SALE_FFIEC" hidden="1">"c12796"</definedName>
    <definedName name="IQ_MBS_PASS_THROUGH_GNMA_FFIEC" hidden="1">"c12782"</definedName>
    <definedName name="IQ_MBS_PASS_THROUGH_GNMA_HTM_AMORT_COST_FFIEC" hidden="1">"c20441"</definedName>
    <definedName name="IQ_MBS_PASS_THROUGH_GNMA_HTM_FAIR_VAL_FFIEC" hidden="1">"c20476"</definedName>
    <definedName name="IQ_MBS_PASS_THROUGH_ISSUED_FNMA_GNMA_TRADING_DOM_FFIEC" hidden="1">"c12921"</definedName>
    <definedName name="IQ_MBS_PASS_THROUGH_OTHER_AFS_AMORT_COST_FFIEC" hidden="1">"c20495"</definedName>
    <definedName name="IQ_MBS_PASS_THROUGH_OTHER_AFS_FAIR_VAL_FFIEC" hidden="1">"c20460"</definedName>
    <definedName name="IQ_MBS_PASS_THROUGH_OTHER_AVAIL_SALE_FFIEC" hidden="1">"c12798"</definedName>
    <definedName name="IQ_MBS_PASS_THROUGH_OTHER_FFIEC" hidden="1">"c12784"</definedName>
    <definedName name="IQ_MBS_PASS_THROUGH_OTHER_HTM_AMORT_COST_FFIEC" hidden="1">"c20443"</definedName>
    <definedName name="IQ_MBS_PASS_THROUGH_OTHER_HTM_FAIR_VAL_FFIEC" hidden="1">"c20478"</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LIST" hidden="1">"c19092"</definedName>
    <definedName name="IQ_MUTUAL_FUND_NET_SALES" hidden="1">"c20423"</definedName>
    <definedName name="IQ_MUTUAL_FUND_REDEMPTIONS" hidden="1">"c20422"</definedName>
    <definedName name="IQ_MUTUAL_FUND_SALES" hidden="1">"c20421"</definedName>
    <definedName name="IQ_NAMES_REVISION_DATE_" localSheetId="9" hidden="1">41913.566875</definedName>
    <definedName name="IQ_NAMES_REVISION_DATE_" localSheetId="8" hidden="1">41913.566875</definedName>
    <definedName name="IQ_NAMES_REVISION_DATE_" localSheetId="5" hidden="1">41913.566875</definedName>
    <definedName name="IQ_NAMES_REVISION_DATE_" localSheetId="3" hidden="1">41913.566875</definedName>
    <definedName name="IQ_NAMES_REVISION_DATE_" hidden="1">40815.4533796296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TURAL_RESOURCES_COST" hidden="1">"c17550"</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 hidden="1">"c15996"</definedName>
    <definedName name="IQ_NAV_SHARE_EST_NOTE" hidden="1">"c17522"</definedName>
    <definedName name="IQ_NAV_SHARE_EST_NOTE_CIQ" hidden="1">"c17475"</definedName>
    <definedName name="IQ_NAV_SHARE_RE" hidden="1">"c16011"</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CIQ_COL" hidden="1">"c11717"</definedName>
    <definedName name="IQ_NET_DEBT_EBITDA" hidden="1">"c750"</definedName>
    <definedName name="IQ_NET_DEBT_EBITDA_CAPEX" hidden="1">"c2949"</definedName>
    <definedName name="IQ_NET_DEBT_GUIDANCE_CIQ" hidden="1">"c5005"</definedName>
    <definedName name="IQ_NET_DEBT_GUIDANCE_CIQ_COL" hidden="1">"c11652"</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GUIDANCE_CIQ" hidden="1">"c4633"</definedName>
    <definedName name="IQ_NET_DEBT_LOW_GUIDANCE_CIQ_COL" hidden="1">"c11282"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EW_CLIENT_ASSETS" hidden="1">"c20430"</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XDIV_DATE" hidden="1">"c17411"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CIQ_COL" hidden="1">"c11712"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AAP_GUIDANCE_CIQ" hidden="1">"c5008"</definedName>
    <definedName name="IQ_NI_GAAP_GUIDANCE_CIQ_COL" hidden="1">"c11655"</definedName>
    <definedName name="IQ_NI_GAAP_HIGH_GUIDANCE_CIQ" hidden="1">"c4589"</definedName>
    <definedName name="IQ_NI_GAAP_HIGH_GUIDANCE_CIQ_COL" hidden="1">"c11238"</definedName>
    <definedName name="IQ_NI_GAAP_LOW_GUIDANCE_CIQ" hidden="1">"c4629"</definedName>
    <definedName name="IQ_NI_GAAP_LOW_GUIDANCE_CIQ_COL" hidden="1">"c11278"</definedName>
    <definedName name="IQ_NI_GUIDANCE_CIQ" hidden="1">"c5007"</definedName>
    <definedName name="IQ_NI_GUIDANCE_CIQ_COL" hidden="1">"c11654"</definedName>
    <definedName name="IQ_NI_GW_EST" hidden="1">"c1723"</definedName>
    <definedName name="IQ_NI_GW_GUIDANCE_CIQ" hidden="1">"c5009"</definedName>
    <definedName name="IQ_NI_GW_GUIDANCE_CIQ_COL" hidden="1">"c11656"</definedName>
    <definedName name="IQ_NI_GW_HIGH_EST" hidden="1">"c1725"</definedName>
    <definedName name="IQ_NI_GW_HIGH_GUIDANCE_CIQ" hidden="1">"c4590"</definedName>
    <definedName name="IQ_NI_GW_HIGH_GUIDANCE_CIQ_COL" hidden="1">"c11239"</definedName>
    <definedName name="IQ_NI_GW_LOW_EST" hidden="1">"c1726"</definedName>
    <definedName name="IQ_NI_GW_LOW_GUIDANCE_CIQ" hidden="1">"c4630"</definedName>
    <definedName name="IQ_NI_GW_LOW_GUIDANCE_CIQ_COL" hidden="1">"c11279"</definedName>
    <definedName name="IQ_NI_GW_MEDIAN_EST" hidden="1">"c1724"</definedName>
    <definedName name="IQ_NI_GW_NUM_EST" hidden="1">"c1727"</definedName>
    <definedName name="IQ_NI_GW_STDDEV_EST" hidden="1">"c1728"</definedName>
    <definedName name="IQ_NI_HIGH_EST" hidden="1">"c1718"</definedName>
    <definedName name="IQ_NI_HIGH_GUIDANCE_CIQ" hidden="1">"c4588"</definedName>
    <definedName name="IQ_NI_HIGH_GUIDANCE_CIQ_COL" hidden="1">"c11237"</definedName>
    <definedName name="IQ_NI_LOW_EST" hidden="1">"c1719"</definedName>
    <definedName name="IQ_NI_LOW_GUIDANCE_CIQ" hidden="1">"c4628"</definedName>
    <definedName name="IQ_NI_LOW_GUIDANCE_CIQ_COL" hidden="1">"c11277"</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ACT_OR_EST_CIQ_COL" hidden="1">"c11659"</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ACT_OR_EST_CIQ_COL" hidden="1">"c11663"</definedName>
    <definedName name="IQ_NI_SBC_GW_GUIDANCE" hidden="1">"c4479"</definedName>
    <definedName name="IQ_NI_SBC_GW_GUIDANCE_CIQ" hidden="1">"c5017"</definedName>
    <definedName name="IQ_NI_SBC_GW_GUIDANCE_CIQ_COL" hidden="1">"c11664"</definedName>
    <definedName name="IQ_NI_SBC_GW_HIGH_GUIDANCE" hidden="1">"c4187"</definedName>
    <definedName name="IQ_NI_SBC_GW_HIGH_GUIDANCE_CIQ" hidden="1">"c4599"</definedName>
    <definedName name="IQ_NI_SBC_GW_HIGH_GUIDANCE_CIQ_COL" hidden="1">"c11248"</definedName>
    <definedName name="IQ_NI_SBC_GW_LOW_GUIDANCE" hidden="1">"c4227"</definedName>
    <definedName name="IQ_NI_SBC_GW_LOW_GUIDANCE_CIQ" hidden="1">"c4639"</definedName>
    <definedName name="IQ_NI_SBC_GW_LOW_GUIDANCE_CIQ_COL" hidden="1">"c11288"</definedName>
    <definedName name="IQ_NI_SBC_HIGH_GUIDANCE" hidden="1">"c4186"</definedName>
    <definedName name="IQ_NI_SBC_HIGH_GUIDANCE_CIQ" hidden="1">"c4598"</definedName>
    <definedName name="IQ_NI_SBC_HIGH_GUIDANCE_CIQ_COL" hidden="1">"c11247"</definedName>
    <definedName name="IQ_NI_SBC_LOW_GUIDANCE" hidden="1">"c4226"</definedName>
    <definedName name="IQ_NI_SBC_LOW_GUIDANCE_CIQ" hidden="1">"c4638"</definedName>
    <definedName name="IQ_NI_SBC_LOW_GUIDANCE_CIQ_COL" hidden="1">"c11287"</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TRADES_EXECUTED" hidden="1">"c20428"</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ITY_RESERVES_GAS" hidden="1">"c2050"</definedName>
    <definedName name="IQ_OG_EQUITY_RESERVES_NGL" hidden="1">"c2921"</definedName>
    <definedName name="IQ_OG_EQUITY_RESERVES_OIL" hidden="1">"c2038"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RGANIC_GROWTH_RATE" hidden="1">"c20429"</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 hidden="1">"c20503"</definedName>
    <definedName name="IQ_OTHER_DEBT_SEC_DOM_AFS_FAIR_VAL_FFIEC" hidden="1">"c20468"</definedName>
    <definedName name="IQ_OTHER_DEBT_SEC_DOM_AVAIL_SALE_FFIEC" hidden="1">"c12803"</definedName>
    <definedName name="IQ_OTHER_DEBT_SEC_FOREIGN_AFS_AMORT_COST_FFIEC" hidden="1">"c20504"</definedName>
    <definedName name="IQ_OTHER_DEBT_SEC_FOREIGN_AFS_FAIR_VAL_FFIEC" hidden="1">"c20469"</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DOM_HTM_AMORT_COST_FFIEC" hidden="1">"c20451"</definedName>
    <definedName name="IQ_OTHER_DEBT_SECURITIES_DOM_HTM_FAIR_VAL_FFIEC" hidden="1">"c20486"</definedName>
    <definedName name="IQ_OTHER_DEBT_SECURITIES_FOREIGN_FFIEC" hidden="1">"c12790"</definedName>
    <definedName name="IQ_OTHER_DEBT_SECURITIES_FOREIGN_HTM_AMORT_COST_FFIEC" hidden="1">"c20452"</definedName>
    <definedName name="IQ_OTHER_DEBT_SECURITIES_FOREIGN_HTM_FAIR_VAL_FFIEC" hidden="1">"c20487"</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 hidden="1">"c20498"</definedName>
    <definedName name="IQ_OTHER_MBS_AFS_FAIR_VAL_FFIEC" hidden="1">"c20463"</definedName>
    <definedName name="IQ_OTHER_MBS_AVAIL_SALE_FFIEC" hidden="1">"c12801"</definedName>
    <definedName name="IQ_OTHER_MBS_FFIEC" hidden="1">"c12787"</definedName>
    <definedName name="IQ_OTHER_MBS_HTM_AMORT_COST_FFIEC" hidden="1">"c20446"</definedName>
    <definedName name="IQ_OTHER_MBS_HTM_FAIR_VAL_FFIEC" hidden="1">"c20481"</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RTFOLIO_SHARES" hidden="1">"c19116"</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_CIQ_COL" hidden="1">"c11711"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SALES" hidden="1">"c17552"</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_CIQ_COL" hidden="1">"c11677"</definedName>
    <definedName name="IQ_PRICE_VOLATILITY_HIGH_CIQ_COL" hidden="1">"c11678"</definedName>
    <definedName name="IQ_PRICE_VOLATILITY_LOW_CIQ_COL" hidden="1">"c11679"</definedName>
    <definedName name="IQ_PRICE_VOLATILITY_MEDIAN_CIQ_COL" hidden="1">"c11680"</definedName>
    <definedName name="IQ_PRICE_VOLATILITY_NUM_CIQ_COL" hidden="1">"c11681"</definedName>
    <definedName name="IQ_PRICE_VOLATILITY_STDDEV_CIQ_COL" hidden="1">"c11682"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ST_CONSOLIDATION" hidden="1">"c16246"</definedName>
    <definedName name="IQ_PRIMARY_EST_CONSOLIDATION_CIQ" hidden="1">"c16247"</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 hidden="1">"c11692"</definedName>
    <definedName name="IQ_RECURRING_PROFIT_GUIDANCE" hidden="1">"c4500"</definedName>
    <definedName name="IQ_RECURRING_PROFIT_GUIDANCE_CIQ" hidden="1">"c5038"</definedName>
    <definedName name="IQ_RECURRING_PROFIT_GUIDANCE_CIQ_COL" hidden="1">"c11685"</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SHARE_ACT_OR_EST" hidden="1">"c4508"</definedName>
    <definedName name="IQ_RECURRING_PROFIT_SHARE_ACT_OR_EST_CIQ" hidden="1">"c5046"</definedName>
    <definedName name="IQ_RECURRING_PROFIT_SHARE_ACT_OR_EST_CIQ_COL" hidden="1">"c11693"</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ASSETS_GUIDANCE_CIQ" hidden="1">"c5055"</definedName>
    <definedName name="IQ_RETURN_ASSETS_GUIDANCE_CIQ_COL" hidden="1">"c11702"</definedName>
    <definedName name="IQ_RETURN_ASSETS_HIGH_GUIDANCE_CIQ" hidden="1">"c4595"</definedName>
    <definedName name="IQ_RETURN_ASSETS_HIGH_GUIDANCE_CIQ_COL" hidden="1">"c11244"</definedName>
    <definedName name="IQ_RETURN_ASSETS_LOW_GUIDANCE_CIQ" hidden="1">"c4635"</definedName>
    <definedName name="IQ_RETURN_ASSETS_LOW_GUIDANCE_CIQ_COL" hidden="1">"c11284"</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EQUITY_GUIDANCE_CIQ" hidden="1">"c5056"</definedName>
    <definedName name="IQ_RETURN_EQUITY_GUIDANCE_CIQ_COL" hidden="1">"c11703"</definedName>
    <definedName name="IQ_RETURN_EQUITY_HIGH_GUIDANCE_CIQ" hidden="1">"c4594"</definedName>
    <definedName name="IQ_RETURN_EQUITY_HIGH_GUIDANCE_CIQ_COL" hidden="1">"c11243"</definedName>
    <definedName name="IQ_RETURN_EQUITY_LOW_GUIDANCE_CIQ" hidden="1">"c4634"</definedName>
    <definedName name="IQ_RETURN_EQUITY_LOW_GUIDANCE_CIQ_COL" hidden="1">"c11283"</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CIQ_COL" hidden="1">"c11706"</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_CIQ" hidden="1">"c12025"</definedName>
    <definedName name="IQ_REVENUE_EST_CIQ" hidden="1">"c3616"</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REUT" hidden="1">"c3634"</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39043.5847106481</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RSSD_ID_FFIEC" hidden="1">"c20506"</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FS_AMORT_COST_FFIEC" hidden="1">"c20492"</definedName>
    <definedName name="IQ_SEC_ISSUED_US_AFS_FAIR_VAL_FFIEC" hidden="1">"c20457"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ELD_MATURITY_FFIEC" hidden="1">"c12777"</definedName>
    <definedName name="IQ_SECURITIES_HTM_AMORT_COST_FFIEC" hidden="1">"c20436"</definedName>
    <definedName name="IQ_SECURITIES_HTM_FAIR_VAL_FFIEC" hidden="1">"c20471"</definedName>
    <definedName name="IQ_SECURITIES_ISSUED_STATES_FDIC" hidden="1">"c6300"</definedName>
    <definedName name="IQ_SECURITIES_ISSUED_US_FFIEC" hidden="1">"c12781"</definedName>
    <definedName name="IQ_SECURITIES_ISSUED_US_HTM_AMORT_COST_FFIEC" hidden="1">"c20440"</definedName>
    <definedName name="IQ_SECURITIES_ISSUED_US_HTM_FAIR_VAL_FFIEC" hidden="1">"c20475"</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 hidden="1">"c17422"</definedName>
    <definedName name="IQ_SHORT_INTEREST_PERCENT" hidden="1">"c1576"</definedName>
    <definedName name="IQ_SHORT_POSITIONS_FFIEC" hidden="1">"c12859"</definedName>
    <definedName name="IQ_SHORT_SCORE_DX" hidden="1">"c17439"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QUALITY_RANKING_DESCRIPTION" hidden="1">"c17410"</definedName>
    <definedName name="IQ_SP_QUALITY_RANKING_VALUE" hidden="1">"c17409"</definedName>
    <definedName name="IQ_SP_REASON" hidden="1">"c2174"</definedName>
    <definedName name="IQ_SP_STARS_DESCRIPTION" hidden="1">"c17408"</definedName>
    <definedName name="IQ_SP_STARS_VALUE" hidden="1">"c17407"</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TYLE_GROWTH_VALUE" hidden="1">"c19203"</definedName>
    <definedName name="IQ_STYLE_HIGH_YIELD" hidden="1">"c19204"</definedName>
    <definedName name="IQ_STYLE_MARKET_CAP" hidden="1">"c19202"</definedName>
    <definedName name="IQ_STYLE_REPORTED" hidden="1">"c19205"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CAPEX" hidden="1">"c17553"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GUIDANCE" hidden="1">"c4236"</definedName>
    <definedName name="IQ_TOTAL_DEBT_LOW_GUIDANCE_CIQ" hidden="1">"c4648"</definedName>
    <definedName name="IQ_TOTAL_DEBT_LOW_GUIDANCE_CIQ_COL" hidden="1">"c11297"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 hidden="1">"c16265"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 hidden="1">"c16268"</definedName>
    <definedName name="IQ_TR_CASH_ST_INVEST" hidden="1">"c3025"</definedName>
    <definedName name="IQ_TR_CASH_ST_INVEST_FINAL" hidden="1">"c16266"</definedName>
    <definedName name="IQ_TR_CHANGE_CONTROL" hidden="1">"c2365"</definedName>
    <definedName name="IQ_TR_CLOSED_DATE" hidden="1">"c2283"</definedName>
    <definedName name="IQ_TR_CO_NET_PROCEEDS" hidden="1">"c2268"</definedName>
    <definedName name="IQ_TR_CO_NET_PROCEEDS_ISSUE" hidden="1">"c17571"</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 hidden="1">"c16274"</definedName>
    <definedName name="IQ_TR_DEF_AGRMT_DATE" hidden="1">"c2285"</definedName>
    <definedName name="IQ_TR_DISCLOSED_FEES_EXP" hidden="1">"c2288"</definedName>
    <definedName name="IQ_TR_EARNOUTS" hidden="1">"c3023"</definedName>
    <definedName name="IQ_TR_EARNOUTS_FINAL" hidden="1">"c16262"</definedName>
    <definedName name="IQ_TR_EX_OVER_SHARES_ISSUE" hidden="1">"c17566"</definedName>
    <definedName name="IQ_TR_EXPIRED_DATE" hidden="1">"c2412"</definedName>
    <definedName name="IQ_TR_GROSS_OFFERING_AMT" hidden="1">"c2262"</definedName>
    <definedName name="IQ_TR_GROSS_PROCEEDS_ISSUE" hidden="1">"c17568"</definedName>
    <definedName name="IQ_TR_HYBRID_CONSID_PCT" hidden="1">"c2300"</definedName>
    <definedName name="IQ_TR_HYBRID_CONSID_PCT_FINAL" hidden="1">"c16276"</definedName>
    <definedName name="IQ_TR_IMPLIED_EQ" hidden="1">"c3018"</definedName>
    <definedName name="IQ_TR_IMPLIED_EQ_BV" hidden="1">"c3019"</definedName>
    <definedName name="IQ_TR_IMPLIED_EQ_BV_FINAL" hidden="1">"c16255"</definedName>
    <definedName name="IQ_TR_IMPLIED_EQ_FINAL" hidden="1">"c16253"</definedName>
    <definedName name="IQ_TR_IMPLIED_EQ_NI_LTM" hidden="1">"c3020"</definedName>
    <definedName name="IQ_TR_IMPLIED_EQ_NI_LTM_FINAL" hidden="1">"c16254"</definedName>
    <definedName name="IQ_TR_IMPLIED_EV" hidden="1">"c2301"</definedName>
    <definedName name="IQ_TR_IMPLIED_EV_BV" hidden="1">"c2306"</definedName>
    <definedName name="IQ_TR_IMPLIED_EV_EBIT" hidden="1">"c2302"</definedName>
    <definedName name="IQ_TR_IMPLIED_EV_EBIT_FINAL" hidden="1">"c16252"</definedName>
    <definedName name="IQ_TR_IMPLIED_EV_EBITDA" hidden="1">"c2303"</definedName>
    <definedName name="IQ_TR_IMPLIED_EV_EBITDA_FINAL" hidden="1">"c16251"</definedName>
    <definedName name="IQ_TR_IMPLIED_EV_FINAL" hidden="1">"c16249"</definedName>
    <definedName name="IQ_TR_IMPLIED_EV_NI_LTM" hidden="1">"c2307"</definedName>
    <definedName name="IQ_TR_IMPLIED_EV_REV" hidden="1">"c2304"</definedName>
    <definedName name="IQ_TR_IMPLIED_EV_REV_FINAL" hidden="1">"c16250"</definedName>
    <definedName name="IQ_TR_INIT_FILED_DATE" hidden="1">"c3495"</definedName>
    <definedName name="IQ_TR_IPO_TRANSACTION_ID" hidden="1">"c17554"</definedName>
    <definedName name="IQ_TR_LEAD_UNDERWRITERS" hidden="1">"c17576"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 hidden="1">"c16264"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 hidden="1">"c16257"</definedName>
    <definedName name="IQ_TR_OPTIONS_CONSID_PCT" hidden="1">"c2311"</definedName>
    <definedName name="IQ_TR_OPTIONS_CONSID_PCT_FINAL" hidden="1">"c16278"</definedName>
    <definedName name="IQ_TR_OTHER_CONSID" hidden="1">"c3022"</definedName>
    <definedName name="IQ_TR_OTHER_CONSID_FINAL" hidden="1">"c16261"</definedName>
    <definedName name="IQ_TR_PCT_SOUGHT" hidden="1">"c2309"</definedName>
    <definedName name="IQ_TR_PCT_SOUGHT_ACQUIRED_FINAL" hidden="1">"c16256"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OSTMONEY_VAL" hidden="1">"c2286"</definedName>
    <definedName name="IQ_TR_PREDEAL_SITUATION" hidden="1">"c2390"</definedName>
    <definedName name="IQ_TR_PREF_CONSID_PCT" hidden="1">"c2310"</definedName>
    <definedName name="IQ_TR_PREF_CONSID_PCT_FINAL" hidden="1">"c16272"</definedName>
    <definedName name="IQ_TR_PREMONEY_VAL" hidden="1">"c2287"</definedName>
    <definedName name="IQ_TR_PRINTING_FEES" hidden="1">"c2276"</definedName>
    <definedName name="IQ_TR_PROCEEDS_EX_OVER_ISSUE" hidden="1">"c17574"</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 hidden="1">"c17565"</definedName>
    <definedName name="IQ_TR_REG_OVER_VALUE_ISSUE" hidden="1">"c17572"</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 hidden="1">"c17570"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 hidden="1">"c16270"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 hidden="1">"c16267"</definedName>
    <definedName name="IQ_TR_TOTAL_CONSID_SH" hidden="1">"c2316"</definedName>
    <definedName name="IQ_TR_TOTAL_CONSID_SH_FINAL" hidden="1">"c16260"</definedName>
    <definedName name="IQ_TR_TOTAL_DEBT" hidden="1">"c2317"</definedName>
    <definedName name="IQ_TR_TOTAL_DEBT_FINAL" hidden="1">"c16273"</definedName>
    <definedName name="IQ_TR_TOTAL_EX_OVER_VALUE_ISSUE" hidden="1">"c17573"</definedName>
    <definedName name="IQ_TR_TOTAL_GROSS_TV" hidden="1">"c2318"</definedName>
    <definedName name="IQ_TR_TOTAL_GROSS_TV_FINAL" hidden="1">"c16259"</definedName>
    <definedName name="IQ_TR_TOTAL_HYBRID" hidden="1">"c2319"</definedName>
    <definedName name="IQ_TR_TOTAL_HYBRID_FINAL" hidden="1">"c16275"</definedName>
    <definedName name="IQ_TR_TOTAL_LEGAL_FEES" hidden="1">"c2272"</definedName>
    <definedName name="IQ_TR_TOTAL_NET_TV" hidden="1">"c2320"</definedName>
    <definedName name="IQ_TR_TOTAL_NET_TV_FINAL" hidden="1">"c16258"</definedName>
    <definedName name="IQ_TR_TOTAL_NEWMONEY" hidden="1">"c2289"</definedName>
    <definedName name="IQ_TR_TOTAL_OPTIONS" hidden="1">"c2322"</definedName>
    <definedName name="IQ_TR_TOTAL_OPTIONS_BUYER" hidden="1">"c3026"</definedName>
    <definedName name="IQ_TR_TOTAL_OPTIONS_BUYER_FINAL" hidden="1">"c16277"</definedName>
    <definedName name="IQ_TR_TOTAL_OPTIONS_FINAL" hidden="1">"c16263"</definedName>
    <definedName name="IQ_TR_TOTAL_PREFERRED" hidden="1">"c2321"</definedName>
    <definedName name="IQ_TR_TOTAL_PREFERRED_FINAL" hidden="1">"c16271"</definedName>
    <definedName name="IQ_TR_TOTAL_REG_AMT" hidden="1">"c2261"</definedName>
    <definedName name="IQ_TR_TOTAL_STOCK" hidden="1">"c2323"</definedName>
    <definedName name="IQ_TR_TOTAL_STOCK_FINAL" hidden="1">"c16269"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 hidden="1">"c17569"</definedName>
    <definedName name="IQ_TR_UNDERWRITERS_OTHER" hidden="1">"c17577"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HTM_AMORT_COST_FFIEC" hidden="1">"c20438"</definedName>
    <definedName name="IQ_US_AGENCY_OBLIG_HTM_FAIR_VAL_FFIEC" hidden="1">"c20473"</definedName>
    <definedName name="IQ_US_AGENCY_OBLIG_TRADING_DOM_FFIEC" hidden="1">"c12919"</definedName>
    <definedName name="IQ_US_AGENCY_OBLIG_TRADING_FFIEC" hidden="1">"c12814"</definedName>
    <definedName name="IQ_US_AGENCY_OBLIGATIONS_AFS_AMORT_COST_FFIEC" hidden="1">"c20490"</definedName>
    <definedName name="IQ_US_AGENCY_OBLIGATIONS_AFS_FAIR_VAL_FFIEC" hidden="1">"c20455"</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FS_AMORT_COST_FFIEC" hidden="1">"c20491"</definedName>
    <definedName name="IQ_US_SPONSORED_AGENCY_OBLIG_AFS_FAIR_VAL_FFIEC" hidden="1">"c20456"</definedName>
    <definedName name="IQ_US_SPONSORED_AGENCY_OBLIG_AVAIL_SALE_FFIEC" hidden="1">"c12794"</definedName>
    <definedName name="IQ_US_SPONSORED_AGENCY_OBLIG_FFIEC" hidden="1">"c12780"</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_TREASURY_SECURITIES_HTM_AMORT_COST_FFIEC" hidden="1">"c20437"</definedName>
    <definedName name="IQ_US_TREASURY_SECURITIES_HTM_FAIR_VAL_FFIEC" hidden="1">"c20472"</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CUSTOMER_ASSETS" hidden="1">"c20433"</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"c2104"</definedName>
    <definedName name="IQ_XDIV_DATE_LIST" hidden="1">"c17416"</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CURVE_LIST" hidden="1">"c19250"</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"iQShowAll"</definedName>
    <definedName name="is">[5]Sheet1!$A$141</definedName>
    <definedName name="IS_1" localSheetId="6">#REF!</definedName>
    <definedName name="IS_1" localSheetId="2">#REF!</definedName>
    <definedName name="IS_1">#REF!</definedName>
    <definedName name="IS_10" localSheetId="2">#REF!</definedName>
    <definedName name="IS_10">#REF!</definedName>
    <definedName name="IS_11" localSheetId="2">#REF!</definedName>
    <definedName name="IS_11">#REF!</definedName>
    <definedName name="IS_12" localSheetId="2">#REF!</definedName>
    <definedName name="IS_12">#REF!</definedName>
    <definedName name="IS_13" localSheetId="2">#REF!</definedName>
    <definedName name="IS_13">#REF!</definedName>
    <definedName name="IS_14" localSheetId="2">#REF!</definedName>
    <definedName name="IS_14">#REF!</definedName>
    <definedName name="IS_2" localSheetId="2">#REF!</definedName>
    <definedName name="IS_2">#REF!</definedName>
    <definedName name="IS_3" localSheetId="2">#REF!</definedName>
    <definedName name="IS_3">#REF!</definedName>
    <definedName name="IS_4" localSheetId="2">#REF!</definedName>
    <definedName name="IS_4">#REF!</definedName>
    <definedName name="IS_5" localSheetId="2">#REF!</definedName>
    <definedName name="IS_5">#REF!</definedName>
    <definedName name="IS_6" localSheetId="2">#REF!</definedName>
    <definedName name="IS_6">#REF!</definedName>
    <definedName name="IS_7" localSheetId="2">#REF!</definedName>
    <definedName name="IS_7">#REF!</definedName>
    <definedName name="IS_8" localSheetId="2">#REF!</definedName>
    <definedName name="IS_8">#REF!</definedName>
    <definedName name="IS_9" localSheetId="2">#REF!</definedName>
    <definedName name="IS_9">#REF!</definedName>
    <definedName name="IS_p" localSheetId="2">#REF!</definedName>
    <definedName name="IS_p">#REF!</definedName>
    <definedName name="isplines4q2000">[5]Sheet1!$P$21</definedName>
    <definedName name="isplinesadded2000">[5]Sheet1!$P$25</definedName>
    <definedName name="italy" localSheetId="9">#REF!</definedName>
    <definedName name="italy" localSheetId="8">#REF!</definedName>
    <definedName name="italy" localSheetId="5">#REF!</definedName>
    <definedName name="italy" localSheetId="3">#REF!</definedName>
    <definedName name="italy">#REF!</definedName>
    <definedName name="ivx">[4]CLS!$D$344:$IV$344</definedName>
    <definedName name="JGJGGJJ" localSheetId="8" hidden="1">{"'MonthlyReport1'!$E$10:$U$120"}</definedName>
    <definedName name="JGJGGJJ" localSheetId="6" hidden="1">{"'MonthlyReport1'!$E$10:$U$120"}</definedName>
    <definedName name="JGJGGJJ" hidden="1">{"'MonthlyReport1'!$E$10:$U$120"}</definedName>
    <definedName name="JKJKHKJH" localSheetId="8" hidden="1">{"'MonthlyReport1'!$E$10:$U$120"}</definedName>
    <definedName name="JKJKHKJH" localSheetId="6" hidden="1">{"'MonthlyReport1'!$E$10:$U$120"}</definedName>
    <definedName name="JKJKHKJH" hidden="1">{"'MonthlyReport1'!$E$10:$U$120"}</definedName>
    <definedName name="JMP_ModelData" hidden="1">"'Partitions:2'"</definedName>
    <definedName name="JMP_ModelData.0" hidden="1">"'﻿&lt;?xml version=""1.0"" encoding=""utf-8""?&gt;&lt;ModelData xmlns:xsi=""http://www.w3.org/2001/XMLSchema-instance"" xmlns:xsd=""http://www.w3.org/2001/XMLSchema""&gt;&lt;ProfilerModels&gt;&lt;Models&gt;&lt;Inputs&gt;&lt;Parameters name=""GE"" cell="""" minimum=""0"" maximum=""0'"</definedName>
    <definedName name="JMP_ModelData.1" hidden="1">"'"" initial=""0"" /&gt;&lt;/Inputs&gt;&lt;Outputs&gt;&lt;Parameters name=""SPY"" cell="""" minimum=""0"" maximum=""0"" initial=""0"" /&gt;&lt;/Outputs&gt;&lt;name&gt;New Model&lt;/name&gt;&lt;/Models&gt;&lt;/ProfilerModels&gt;&lt;/ModelData&gt;'"</definedName>
    <definedName name="JMP_Models" hidden="1">"'New Model'"</definedName>
    <definedName name="K2_WBEVMODE" hidden="1">0</definedName>
    <definedName name="Kd" localSheetId="2">#REF!</definedName>
    <definedName name="Kd">#REF!</definedName>
    <definedName name="Ke" localSheetId="2">#REF!</definedName>
    <definedName name="Ke">#REF!</definedName>
    <definedName name="KHLK" localSheetId="8" hidden="1">{"'MonthlyReport1'!$E$10:$U$120"}</definedName>
    <definedName name="KHLK" localSheetId="6" hidden="1">{"'MonthlyReport1'!$E$10:$U$120"}</definedName>
    <definedName name="KHLK" hidden="1">{"'MonthlyReport1'!$E$10:$U$120"}</definedName>
    <definedName name="KLJLOIK" localSheetId="8" hidden="1">{"'MonthlyReport1'!$E$10:$U$120"}</definedName>
    <definedName name="KLJLOIK" localSheetId="6" hidden="1">{"'MonthlyReport1'!$E$10:$U$120"}</definedName>
    <definedName name="KLJLOIK" hidden="1">{"'MonthlyReport1'!$E$10:$U$120"}</definedName>
    <definedName name="KLOIJ" localSheetId="8" hidden="1">{"'MonthlyReport1'!$E$10:$U$120"}</definedName>
    <definedName name="KLOIJ" localSheetId="6" hidden="1">{"'MonthlyReport1'!$E$10:$U$120"}</definedName>
    <definedName name="KLOIJ" hidden="1">{"'MonthlyReport1'!$E$10:$U$120"}</definedName>
    <definedName name="KNT" localSheetId="5">#REF!</definedName>
    <definedName name="KNT">#REF!</definedName>
    <definedName name="KTR" localSheetId="5">#REF!</definedName>
    <definedName name="KTR">#REF!</definedName>
    <definedName name="L_T_obligations_under_cap_leases" localSheetId="2">#REF!</definedName>
    <definedName name="L_T_obligations_under_cap_leases">#REF!</definedName>
    <definedName name="LastListUpdate">0</definedName>
    <definedName name="LastYear">1997</definedName>
    <definedName name="LatestFiscalYearEnded" localSheetId="9">#REF!</definedName>
    <definedName name="LatestFiscalYearEnded" localSheetId="8">#REF!</definedName>
    <definedName name="LatestFiscalYearEnded" localSheetId="5">#REF!</definedName>
    <definedName name="LatestFiscalYearEnded" localSheetId="3">#REF!</definedName>
    <definedName name="LatestFiscalYearEnded">#REF!</definedName>
    <definedName name="Lease_thereafter" localSheetId="6">#REF!</definedName>
    <definedName name="Lease_thereafter" localSheetId="2">#REF!</definedName>
    <definedName name="Lease_thereafter">#REF!</definedName>
    <definedName name="Lease_years" localSheetId="2">#REF!</definedName>
    <definedName name="Lease_years">#REF!</definedName>
    <definedName name="Lease_yr_1" localSheetId="2">#REF!</definedName>
    <definedName name="Lease_yr_1">#REF!</definedName>
    <definedName name="Lease_yr_2" localSheetId="2">#REF!</definedName>
    <definedName name="Lease_yr_2">#REF!</definedName>
    <definedName name="Lease_yr_3" localSheetId="2">#REF!</definedName>
    <definedName name="Lease_yr_3">#REF!</definedName>
    <definedName name="Lease_yr_4" localSheetId="2">#REF!</definedName>
    <definedName name="Lease_yr_4">#REF!</definedName>
    <definedName name="Lease_yr_5" localSheetId="2">#REF!</definedName>
    <definedName name="Lease_yr_5">#REF!</definedName>
    <definedName name="LeaseIntRate">#REF!</definedName>
    <definedName name="LicenseAmort" localSheetId="5">#REF!</definedName>
    <definedName name="LicenseAmort">#REF!</definedName>
    <definedName name="LicenseGM" localSheetId="5">#REF!</definedName>
    <definedName name="LicenseGM">#REF!</definedName>
    <definedName name="LIFO_Reserve" localSheetId="2">#REF!</definedName>
    <definedName name="LIFO_Reserve">#REF!</definedName>
    <definedName name="limcount" hidden="1">1</definedName>
    <definedName name="lines1997">[5]Sheet1!$G$48</definedName>
    <definedName name="lines1998">[5]Sheet1!$H$48</definedName>
    <definedName name="lines1999">[5]Sheet1!$I$48</definedName>
    <definedName name="lines1Q99">[5]Sheet1!$BZ$48</definedName>
    <definedName name="lines2000">[5]Sheet1!$J$48</definedName>
    <definedName name="lines2001">[5]Sheet1!$K$48</definedName>
    <definedName name="lines2002">[5]Sheet1!$L$48</definedName>
    <definedName name="lines2003">[5]Sheet1!$M$48</definedName>
    <definedName name="lines2004">[5]Sheet1!$N$48</definedName>
    <definedName name="lines2005">[5]Sheet1!$O$48</definedName>
    <definedName name="lines2006">[5]Sheet1!$P$48</definedName>
    <definedName name="lines2007">[5]Sheet1!$Q$48</definedName>
    <definedName name="lines2Q99">[5]Sheet1!$CA$48</definedName>
    <definedName name="lines3Q99">[5]Sheet1!$CB$48</definedName>
    <definedName name="lines4q2000">[5]Sheet1!$P$11</definedName>
    <definedName name="lines4q2001">[5]Sheet1!$Q$11</definedName>
    <definedName name="lines4q2002">[5]Sheet1!$R$11</definedName>
    <definedName name="lines4q2003">[5]Sheet1!$S$11</definedName>
    <definedName name="lines4Q99">[5]Sheet1!$CC$48</definedName>
    <definedName name="linesadded2000">[5]Sheet1!$P$12</definedName>
    <definedName name="List_StockProfile" localSheetId="9">#REF!</definedName>
    <definedName name="List_StockProfile" localSheetId="8">#REF!</definedName>
    <definedName name="List_StockProfile" localSheetId="5">#REF!</definedName>
    <definedName name="List_StockProfile" localSheetId="3">#REF!</definedName>
    <definedName name="List_StockProfile">#REF!</definedName>
    <definedName name="List_StockRating" localSheetId="5">#REF!</definedName>
    <definedName name="List_StockRating">#REF!</definedName>
    <definedName name="ListOffset" hidden="1">1</definedName>
    <definedName name="ListOptions" localSheetId="9">#REF!</definedName>
    <definedName name="ListOptions" localSheetId="8">#REF!</definedName>
    <definedName name="ListOptions" localSheetId="5">#REF!</definedName>
    <definedName name="ListOptions" localSheetId="3">#REF!</definedName>
    <definedName name="ListOptions">#REF!</definedName>
    <definedName name="loa">[4]CLS!$C$320:$IV$320</definedName>
    <definedName name="Loan_Loss_Provision_fore" localSheetId="9">[5]Sheet1!#REF!</definedName>
    <definedName name="Loan_Loss_Provision_fore" localSheetId="8">[5]Sheet1!#REF!</definedName>
    <definedName name="Loan_Loss_Provision_fore" localSheetId="6">#REF!</definedName>
    <definedName name="Loan_Loss_Provision_fore" localSheetId="5">[5]Sheet1!#REF!</definedName>
    <definedName name="Loan_Loss_Provision_fore" localSheetId="1">[5]Sheet1!#REF!</definedName>
    <definedName name="Loan_Loss_Provision_fore" localSheetId="3">[5]Sheet1!#REF!</definedName>
    <definedName name="Loan_Loss_Provision_fore" localSheetId="2">#REF!</definedName>
    <definedName name="Loan_Loss_Provision_fore">#REF!</definedName>
    <definedName name="LOCRate">'[7]Param (Old)'!$C$89</definedName>
    <definedName name="LongCompany">[25]External!$B$2</definedName>
    <definedName name="look_Est">'[28]LFUS Preview'!$Q$37:$S$61</definedName>
    <definedName name="lookup">[29]PivotTable!$A:$F</definedName>
    <definedName name="LT_debt" localSheetId="6">#REF!</definedName>
    <definedName name="LT_debt" localSheetId="2">#REF!</definedName>
    <definedName name="LT_debt">#REF!</definedName>
    <definedName name="LT_debt_growth_fore" localSheetId="2">#REF!</definedName>
    <definedName name="LT_debt_growth_fore">#REF!</definedName>
    <definedName name="ltdbt">[3]FLEX!$C$490:$IV$490</definedName>
    <definedName name="ltinv">[8]sanm!$C$301:$IV$301</definedName>
    <definedName name="LTMCapEx" localSheetId="9">#REF!</definedName>
    <definedName name="LTMCapEx" localSheetId="8">#REF!</definedName>
    <definedName name="LTMCapEx" localSheetId="5">#REF!</definedName>
    <definedName name="LTMCapEx" localSheetId="3">#REF!</definedName>
    <definedName name="LTMCapEx">#REF!</definedName>
    <definedName name="LTMDaysCOGSinInv" localSheetId="5">#REF!</definedName>
    <definedName name="LTMDaysCOGSinInv">#REF!</definedName>
    <definedName name="LTMDaysCOGSinPayables" localSheetId="5">#REF!</definedName>
    <definedName name="LTMDaysCOGSinPayables">#REF!</definedName>
    <definedName name="LTMDSOs" localSheetId="5">#REF!</definedName>
    <definedName name="LTMDSOs">#REF!</definedName>
    <definedName name="LTMEBIT" localSheetId="5">#REF!</definedName>
    <definedName name="LTMEBIT">#REF!</definedName>
    <definedName name="LTMEBITDA" localSheetId="5">#REF!</definedName>
    <definedName name="LTMEBITDA">#REF!</definedName>
    <definedName name="LTMEPS" localSheetId="5">#REF!</definedName>
    <definedName name="LTMEPS">#REF!</definedName>
    <definedName name="LTMGrossProfit" localSheetId="5">#REF!</definedName>
    <definedName name="LTMGrossProfit">#REF!</definedName>
    <definedName name="LTMInventoryTurns" localSheetId="5">#REF!</definedName>
    <definedName name="LTMInventoryTurns">#REF!</definedName>
    <definedName name="LTMMargins1" localSheetId="5">#REF!</definedName>
    <definedName name="LTMMargins1">#REF!</definedName>
    <definedName name="LTMMargins2" localSheetId="5">#REF!</definedName>
    <definedName name="LTMMargins2">#REF!</definedName>
    <definedName name="LTMMargins3" localSheetId="5">#REF!</definedName>
    <definedName name="LTMMargins3">#REF!</definedName>
    <definedName name="LTMMargins4" localSheetId="5">#REF!</definedName>
    <definedName name="LTMMargins4">#REF!</definedName>
    <definedName name="LTMMargins5" localSheetId="5">#REF!</definedName>
    <definedName name="LTMMargins5">#REF!</definedName>
    <definedName name="LTMMargins6" localSheetId="5">#REF!</definedName>
    <definedName name="LTMMargins6">#REF!</definedName>
    <definedName name="LTMMargins7" localSheetId="5">#REF!</definedName>
    <definedName name="LTMMargins7">#REF!</definedName>
    <definedName name="LTMMargins8" localSheetId="5">#REF!</definedName>
    <definedName name="LTMMargins8">#REF!</definedName>
    <definedName name="LTMMargins9" localSheetId="5">#REF!</definedName>
    <definedName name="LTMMargins9">#REF!</definedName>
    <definedName name="LTMNetIncome" localSheetId="5">#REF!</definedName>
    <definedName name="LTMNetIncome">#REF!</definedName>
    <definedName name="LTMNetWorkingCapital" localSheetId="5">#REF!</definedName>
    <definedName name="LTMNetWorkingCapital">#REF!</definedName>
    <definedName name="LTMRD" localSheetId="5">#REF!</definedName>
    <definedName name="LTMRD">#REF!</definedName>
    <definedName name="LTMReceivableTurns" localSheetId="5">#REF!</definedName>
    <definedName name="LTMReceivableTurns">#REF!</definedName>
    <definedName name="LTMResults1" localSheetId="5">#REF!</definedName>
    <definedName name="LTMResults1">#REF!</definedName>
    <definedName name="LTMResults2" localSheetId="5">#REF!</definedName>
    <definedName name="LTMResults2">#REF!</definedName>
    <definedName name="LTMResults3" localSheetId="5">#REF!</definedName>
    <definedName name="LTMResults3">#REF!</definedName>
    <definedName name="LTMResults4" localSheetId="5">#REF!</definedName>
    <definedName name="LTMResults4">#REF!</definedName>
    <definedName name="LTMResults5" localSheetId="5">#REF!</definedName>
    <definedName name="LTMResults5">#REF!</definedName>
    <definedName name="LTMResults6" localSheetId="5">#REF!</definedName>
    <definedName name="LTMResults6">#REF!</definedName>
    <definedName name="LTMResults7" localSheetId="5">#REF!</definedName>
    <definedName name="LTMResults7">#REF!</definedName>
    <definedName name="LTMResults8" localSheetId="5">#REF!</definedName>
    <definedName name="LTMResults8">#REF!</definedName>
    <definedName name="LTMResults9" localSheetId="5">#REF!</definedName>
    <definedName name="LTMResults9">#REF!</definedName>
    <definedName name="LTMRevenues" localSheetId="5">#REF!</definedName>
    <definedName name="LTMRevenues">#REF!</definedName>
    <definedName name="LTMROA" localSheetId="5">#REF!</definedName>
    <definedName name="LTMROA">#REF!</definedName>
    <definedName name="LTMROE" localSheetId="5">#REF!</definedName>
    <definedName name="LTMROE">#REF!</definedName>
    <definedName name="LTMROE1" localSheetId="5">#REF!</definedName>
    <definedName name="LTMROE1">#REF!</definedName>
    <definedName name="LTMROE2" localSheetId="5">#REF!</definedName>
    <definedName name="LTMROE2">#REF!</definedName>
    <definedName name="LTMROE3" localSheetId="5">#REF!</definedName>
    <definedName name="LTMROE3">#REF!</definedName>
    <definedName name="LTMROE4" localSheetId="5">#REF!</definedName>
    <definedName name="LTMROE4">#REF!</definedName>
    <definedName name="LTMROE5" localSheetId="5">#REF!</definedName>
    <definedName name="LTMROE5">#REF!</definedName>
    <definedName name="LTMROE6" localSheetId="5">#REF!</definedName>
    <definedName name="LTMROE6">#REF!</definedName>
    <definedName name="LTMROE7" localSheetId="5">#REF!</definedName>
    <definedName name="LTMROE7">#REF!</definedName>
    <definedName name="LTMROE8" localSheetId="5">#REF!</definedName>
    <definedName name="LTMROE8">#REF!</definedName>
    <definedName name="LTMROIC" localSheetId="5">#REF!</definedName>
    <definedName name="LTMROIC">#REF!</definedName>
    <definedName name="LTMSGA" localSheetId="5">#REF!</definedName>
    <definedName name="LTMSGA">#REF!</definedName>
    <definedName name="MACREC" localSheetId="5">#REF!</definedName>
    <definedName name="MACREC">#REF!</definedName>
    <definedName name="Market_capitalization" localSheetId="6">#REF!</definedName>
    <definedName name="Market_capitalization" localSheetId="2">#REF!</definedName>
    <definedName name="Market_capitalization">#REF!</definedName>
    <definedName name="Market_Implied_CAP" localSheetId="2">#REF!</definedName>
    <definedName name="Market_Implied_CAP">#REF!</definedName>
    <definedName name="markets00">[5]Sheet1!$O$9</definedName>
    <definedName name="mcapexdep">'[4]Qtrly-Annual Metrics'!$C$24:$IV$24</definedName>
    <definedName name="MCHP">'[6]Stock Perf.'!$G$22:$G$123</definedName>
    <definedName name="mebitdapctm">'[4]Qtrly-Annual Metrics'!$C$9:$IV$9</definedName>
    <definedName name="MediaList">'[30]Media Categories'!$A$3:$A$14</definedName>
    <definedName name="MEWarning" hidden="1">0</definedName>
    <definedName name="MilDivisor" localSheetId="5">#REF!</definedName>
    <definedName name="MilDivisor" localSheetId="3">#REF!</definedName>
    <definedName name="MilDivisor">#REF!</definedName>
    <definedName name="minint">[3]FLEX!$C$493:$IV$493</definedName>
    <definedName name="Minority_Interests" localSheetId="6">#REF!</definedName>
    <definedName name="Minority_Interests" localSheetId="2">#REF!</definedName>
    <definedName name="Minority_Interests">#REF!</definedName>
    <definedName name="Mix" localSheetId="5">#REF!</definedName>
    <definedName name="Mix">#REF!</definedName>
    <definedName name="mkgprint1" localSheetId="5">#REF!</definedName>
    <definedName name="mkgprint1">#REF!</definedName>
    <definedName name="mkgprint2" localSheetId="5">#REF!</definedName>
    <definedName name="mkgprint2">#REF!</definedName>
    <definedName name="mkgprint3" localSheetId="5">#REF!</definedName>
    <definedName name="mkgprint3">#REF!</definedName>
    <definedName name="mm" localSheetId="5">#REF!</definedName>
    <definedName name="mm">#REF!</definedName>
    <definedName name="Model_Name" localSheetId="2">#REF!</definedName>
    <definedName name="Model_Name">#REF!</definedName>
    <definedName name="ModelCurrencyName" localSheetId="5">#REF!</definedName>
    <definedName name="ModelCurrencyName">#REF!</definedName>
    <definedName name="ModelCurrencyUnits" localSheetId="5">#REF!</definedName>
    <definedName name="ModelCurrencyUnits">#REF!</definedName>
    <definedName name="ModelName" localSheetId="5">#REF!</definedName>
    <definedName name="ModelName">#REF!</definedName>
    <definedName name="ModelStartYear" localSheetId="5">#REF!</definedName>
    <definedName name="ModelStartYear">#REF!</definedName>
    <definedName name="Month">'[31]Ann BS'!$A$1</definedName>
    <definedName name="MOVED" localSheetId="8" hidden="1">{"CHART",#N/A,FALSE,"Arch Communications"}</definedName>
    <definedName name="MOVED" localSheetId="6" hidden="1">{"CHART",#N/A,FALSE,"Arch Communications"}</definedName>
    <definedName name="MOVED" hidden="1">{"CHART",#N/A,FALSE,"Arch Communications"}</definedName>
    <definedName name="MU">'[6]Stock Perf.'!$H$22:$H$123</definedName>
    <definedName name="N_A" localSheetId="6">#REF!</definedName>
    <definedName name="N_A" localSheetId="2">#REF!</definedName>
    <definedName name="N_A">#REF!</definedName>
    <definedName name="NAmessage">"n.a."</definedName>
    <definedName name="nate">#REF!</definedName>
    <definedName name="Net_Adj_capitalized_expenses" localSheetId="6">#REF!</definedName>
    <definedName name="Net_Adj_capitalized_expenses" localSheetId="2">#REF!</definedName>
    <definedName name="Net_Adj_capitalized_expenses">#REF!</definedName>
    <definedName name="Net_adj_for_capitalized_expenses" localSheetId="2">#REF!</definedName>
    <definedName name="Net_adj_for_capitalized_expenses">#REF!</definedName>
    <definedName name="Net_Income" localSheetId="2">#REF!</definedName>
    <definedName name="Net_Income">#REF!</definedName>
    <definedName name="Net_income_adj_cap_expenses" localSheetId="2">#REF!</definedName>
    <definedName name="Net_income_adj_cap_expenses">#REF!</definedName>
    <definedName name="Net_income_fore" localSheetId="2">#REF!</definedName>
    <definedName name="Net_income_fore">#REF!</definedName>
    <definedName name="Net_income_growth" localSheetId="2">#REF!</definedName>
    <definedName name="Net_income_growth">#REF!</definedName>
    <definedName name="Net_income_growth_avg" localSheetId="2">#REF!</definedName>
    <definedName name="Net_income_growth_avg">#REF!</definedName>
    <definedName name="Net_margin" localSheetId="2">#REF!</definedName>
    <definedName name="Net_margin">#REF!</definedName>
    <definedName name="Net_margin_fore" localSheetId="9">[5]Sheet1!#REF!</definedName>
    <definedName name="Net_margin_fore" localSheetId="8">[5]Sheet1!#REF!</definedName>
    <definedName name="Net_margin_fore" localSheetId="5">[5]Sheet1!#REF!</definedName>
    <definedName name="Net_margin_fore" localSheetId="1">[5]Sheet1!#REF!</definedName>
    <definedName name="Net_margin_fore" localSheetId="3">[5]Sheet1!#REF!</definedName>
    <definedName name="Net_margin_fore" localSheetId="2">#REF!</definedName>
    <definedName name="Net_margin_fore">#REF!</definedName>
    <definedName name="Net_PPE" localSheetId="2">#REF!</definedName>
    <definedName name="Net_PPE">#REF!</definedName>
    <definedName name="Net_PPE_DCF" localSheetId="2">#REF!</definedName>
    <definedName name="Net_PPE_DCF">#REF!</definedName>
    <definedName name="Net_PPE_growth_fore" localSheetId="2">#REF!</definedName>
    <definedName name="Net_PPE_growth_fore">#REF!</definedName>
    <definedName name="Net_property_under_capital_leases" localSheetId="2">#REF!</definedName>
    <definedName name="Net_property_under_capital_leases">#REF!</definedName>
    <definedName name="Net_Revenues" localSheetId="5">#REF!</definedName>
    <definedName name="Net_Revenues">#REF!</definedName>
    <definedName name="Net_sales" localSheetId="2">#REF!</definedName>
    <definedName name="Net_sales">#REF!</definedName>
    <definedName name="Net_sales_DCF" localSheetId="9">[5]Sheet1!$C$9:$AZ$9</definedName>
    <definedName name="Net_sales_DCF" localSheetId="8">[5]Sheet1!$C$9:$AZ$9</definedName>
    <definedName name="Net_sales_DCF" localSheetId="5">[5]Sheet1!$C$9:$AZ$9</definedName>
    <definedName name="Net_sales_DCF" localSheetId="1">[5]Sheet1!$C$9:$AZ$9</definedName>
    <definedName name="Net_sales_DCF" localSheetId="3">[5]Sheet1!$C$9:$AZ$9</definedName>
    <definedName name="Net_sales_DCF" localSheetId="2">#REF!</definedName>
    <definedName name="Net_sales_DCF">#REF!</definedName>
    <definedName name="Net_sales_fore" localSheetId="2">#REF!</definedName>
    <definedName name="Net_sales_fore">#REF!</definedName>
    <definedName name="Net_sales_growth_fore" localSheetId="2">#REF!</definedName>
    <definedName name="Net_sales_growth_fore">#REF!</definedName>
    <definedName name="Net_Tax_Benefit_of_Non_Op_Charges_Gains" localSheetId="2">#REF!</definedName>
    <definedName name="Net_Tax_Benefit_of_Non_Op_Charges_Gains">#REF!</definedName>
    <definedName name="Net_Unrealized_Gains_Losses" localSheetId="2">#REF!</definedName>
    <definedName name="Net_Unrealized_Gains_Losses">#REF!</definedName>
    <definedName name="Net_working_capital" localSheetId="2">#REF!</definedName>
    <definedName name="Net_working_capital">#REF!</definedName>
    <definedName name="Net_working_capital_DCF" localSheetId="2">#REF!</definedName>
    <definedName name="Net_working_capital_DCF">#REF!</definedName>
    <definedName name="Net_working_capital_turns" localSheetId="2">#REF!</definedName>
    <definedName name="Net_working_capital_turns">#REF!</definedName>
    <definedName name="Net_working_capital_turns_DCF" localSheetId="2">#REF!</definedName>
    <definedName name="Net_working_capital_turns_DCF">#REF!</definedName>
    <definedName name="netdebt1998">[5]Sheet1!$D$71</definedName>
    <definedName name="netdebt1999">[5]Sheet1!$E$71</definedName>
    <definedName name="netdebt2000">[5]Sheet1!$F$71</definedName>
    <definedName name="netdebt2001">[5]Sheet1!$G$71</definedName>
    <definedName name="netdebt2002">[5]Sheet1!$H$71</definedName>
    <definedName name="netdebt2003">[5]Sheet1!$I$71</definedName>
    <definedName name="netdebt2004">[5]Sheet1!$J$71</definedName>
    <definedName name="netdebt2005">[5]Sheet1!$K$71</definedName>
    <definedName name="netdebt2006">[5]Sheet1!$L$71</definedName>
    <definedName name="netdebt2007">[5]Sheet1!$M$71</definedName>
    <definedName name="NetIncomeCAGR" localSheetId="9">#REF!</definedName>
    <definedName name="NetIncomeCAGR" localSheetId="8">#REF!</definedName>
    <definedName name="NetIncomeCAGR" localSheetId="5">#REF!</definedName>
    <definedName name="NetIncomeCAGR" localSheetId="3">#REF!</definedName>
    <definedName name="NetIncomeCAGR">#REF!</definedName>
    <definedName name="netplant1997" localSheetId="9">[5]Sheet1!#REF!</definedName>
    <definedName name="netplant1997" localSheetId="8">[5]Sheet1!#REF!</definedName>
    <definedName name="netplant1997" localSheetId="3">[5]Sheet1!#REF!</definedName>
    <definedName name="netplant1997">[5]Sheet1!#REF!</definedName>
    <definedName name="netplant1998">[5]Sheet1!$E$270</definedName>
    <definedName name="netplant1999">[5]Sheet1!$K$270</definedName>
    <definedName name="netplant2000">[5]Sheet1!$P$270</definedName>
    <definedName name="NetWC_turns_fore" localSheetId="2">#REF!</definedName>
    <definedName name="NetWC_turns_fore">#REF!</definedName>
    <definedName name="new" localSheetId="9" hidden="1">{"BSAnnualModel",#N/A,FALSE,"BS"}</definedName>
    <definedName name="new" localSheetId="8" hidden="1">{"BSAnnualModel",#N/A,FALSE,"BS"}</definedName>
    <definedName name="new" localSheetId="5" hidden="1">{"BSAnnualModel",#N/A,FALSE,"BS"}</definedName>
    <definedName name="new" localSheetId="3" hidden="1">{"BSAnnualModel",#N/A,FALSE,"BS"}</definedName>
    <definedName name="new" hidden="1">{"BSAnnualModel",#N/A,FALSE,"BS"}</definedName>
    <definedName name="ni">[3]FLEX!$C$67:$IV$67</definedName>
    <definedName name="NIBCLs" localSheetId="6">#REF!</definedName>
    <definedName name="NIBCLs" localSheetId="2">#REF!</definedName>
    <definedName name="NIBCLs">#REF!</definedName>
    <definedName name="nipct">[3]FLEX!$C$105:$IV$105</definedName>
    <definedName name="Non_Recurring_loss_gain" localSheetId="6">#REF!</definedName>
    <definedName name="Non_Recurring_loss_gain" localSheetId="2">#REF!</definedName>
    <definedName name="Non_Recurring_loss_gain">#REF!</definedName>
    <definedName name="NOPAT" localSheetId="2">#REF!</definedName>
    <definedName name="NOPAT">#REF!</definedName>
    <definedName name="NOPAT_DCF" localSheetId="9">[5]Sheet1!$C$12:$AZ$12</definedName>
    <definedName name="NOPAT_DCF" localSheetId="8">[5]Sheet1!$C$12:$AZ$12</definedName>
    <definedName name="NOPAT_DCF" localSheetId="5">[5]Sheet1!$C$12:$AZ$12</definedName>
    <definedName name="NOPAT_DCF" localSheetId="1">[5]Sheet1!$C$12:$AZ$12</definedName>
    <definedName name="NOPAT_DCF" localSheetId="3">[5]Sheet1!$C$12:$AZ$12</definedName>
    <definedName name="NOPAT_DCF" localSheetId="2">#REF!</definedName>
    <definedName name="NOPAT_DCF">#REF!</definedName>
    <definedName name="NOPAT_fore" localSheetId="2">#REF!</definedName>
    <definedName name="NOPAT_fore">#REF!</definedName>
    <definedName name="NOPAT_growth" localSheetId="2">#REF!</definedName>
    <definedName name="NOPAT_growth">#REF!</definedName>
    <definedName name="NOPAT_growth_avg" localSheetId="9">[5]Sheet1!#REF!</definedName>
    <definedName name="NOPAT_growth_avg" localSheetId="8">[5]Sheet1!#REF!</definedName>
    <definedName name="NOPAT_growth_avg" localSheetId="5">[5]Sheet1!#REF!</definedName>
    <definedName name="NOPAT_growth_avg" localSheetId="1">[5]Sheet1!#REF!</definedName>
    <definedName name="NOPAT_growth_avg" localSheetId="3">[5]Sheet1!#REF!</definedName>
    <definedName name="NOPAT_growth_avg" localSheetId="2">#REF!</definedName>
    <definedName name="NOPAT_growth_avg">#REF!</definedName>
    <definedName name="NOPAT_margin" localSheetId="2">#REF!</definedName>
    <definedName name="NOPAT_margin">#REF!</definedName>
    <definedName name="NOPAT_margin_fore" localSheetId="2">#REF!</definedName>
    <definedName name="NOPAT_margin_fore">#REF!</definedName>
    <definedName name="NOPAT_Share" localSheetId="9">[5]Sheet1!#REF!</definedName>
    <definedName name="NOPAT_Share" localSheetId="8">[5]Sheet1!#REF!</definedName>
    <definedName name="NOPAT_Share" localSheetId="5">[5]Sheet1!#REF!</definedName>
    <definedName name="NOPAT_Share" localSheetId="1">[5]Sheet1!#REF!</definedName>
    <definedName name="NOPAT_Share" localSheetId="3">[5]Sheet1!#REF!</definedName>
    <definedName name="NOPAT_Share" localSheetId="2">#REF!</definedName>
    <definedName name="NOPAT_Share">#REF!</definedName>
    <definedName name="NOPBT" localSheetId="2">#REF!</definedName>
    <definedName name="NOPBT">#REF!</definedName>
    <definedName name="NOPBT_fore" localSheetId="2">#REF!</definedName>
    <definedName name="NOPBT_fore">#REF!</definedName>
    <definedName name="Norm_forecast_11_15" localSheetId="2">#REF!</definedName>
    <definedName name="Norm_forecast_11_15">#REF!</definedName>
    <definedName name="Norm_forecast_16_25" localSheetId="2">#REF!</definedName>
    <definedName name="Norm_forecast_16_25">#REF!</definedName>
    <definedName name="Norm_forecast_4_5" localSheetId="2">#REF!</definedName>
    <definedName name="Norm_forecast_4_5">#REF!</definedName>
    <definedName name="Norm_forecast_6_10" localSheetId="2">#REF!</definedName>
    <definedName name="Norm_forecast_6_10">#REF!</definedName>
    <definedName name="Notas">#REF!</definedName>
    <definedName name="nppe3Q98">[5]Sheet1!$X$7</definedName>
    <definedName name="nppe4Q98">[5]Sheet1!$Y$7</definedName>
    <definedName name="nppe4Q99">[5]Sheet1!$AC$7</definedName>
    <definedName name="NPT_1" localSheetId="2">#REF!</definedName>
    <definedName name="NPT_1">#REF!</definedName>
    <definedName name="NPT_10" localSheetId="2">#REF!</definedName>
    <definedName name="NPT_10">#REF!</definedName>
    <definedName name="NPT_11" localSheetId="2">#REF!</definedName>
    <definedName name="NPT_11">#REF!</definedName>
    <definedName name="NPT_12" localSheetId="2">#REF!</definedName>
    <definedName name="NPT_12">#REF!</definedName>
    <definedName name="NPT_13" localSheetId="2">#REF!</definedName>
    <definedName name="NPT_13">#REF!</definedName>
    <definedName name="NPT_14" localSheetId="2">#REF!</definedName>
    <definedName name="NPT_14">#REF!</definedName>
    <definedName name="NPT_2" localSheetId="2">#REF!</definedName>
    <definedName name="NPT_2">#REF!</definedName>
    <definedName name="NPT_3" localSheetId="2">#REF!</definedName>
    <definedName name="NPT_3">#REF!</definedName>
    <definedName name="NPT_4" localSheetId="2">#REF!</definedName>
    <definedName name="NPT_4">#REF!</definedName>
    <definedName name="NPT_5" localSheetId="2">#REF!</definedName>
    <definedName name="NPT_5">#REF!</definedName>
    <definedName name="NPT_6" localSheetId="2">#REF!</definedName>
    <definedName name="NPT_6">#REF!</definedName>
    <definedName name="NPT_7" localSheetId="2">#REF!</definedName>
    <definedName name="NPT_7">#REF!</definedName>
    <definedName name="NPT_8" localSheetId="2">#REF!</definedName>
    <definedName name="NPT_8">#REF!</definedName>
    <definedName name="NPT_9" localSheetId="2">#REF!</definedName>
    <definedName name="NPT_9">#REF!</definedName>
    <definedName name="NPT_EY1" localSheetId="2">#REF!</definedName>
    <definedName name="NPT_EY1">#REF!</definedName>
    <definedName name="NPT_EY2" localSheetId="2">#REF!</definedName>
    <definedName name="NPT_EY2">#REF!</definedName>
    <definedName name="NPT_EY3" localSheetId="2">#REF!</definedName>
    <definedName name="NPT_EY3">#REF!</definedName>
    <definedName name="NPT_P" localSheetId="2">#REF!</definedName>
    <definedName name="NPT_P">#REF!</definedName>
    <definedName name="Number_of_Shares" localSheetId="5">#REF!</definedName>
    <definedName name="Number_of_Shares" localSheetId="2">#REF!</definedName>
    <definedName name="Number_of_Shares">#REF!</definedName>
    <definedName name="oa">[3]FLEX!$C$474:$IV$474</definedName>
    <definedName name="oca">[8]sanm!$C$294:$IV$294</definedName>
    <definedName name="oe">[3]FLEX!$C$495:$IV$495</definedName>
    <definedName name="oemacq">[3]FLEX!$C$572:$IV$572</definedName>
    <definedName name="Off_B_S_Income" localSheetId="6">#REF!</definedName>
    <definedName name="Off_B_S_Income" localSheetId="2">#REF!</definedName>
    <definedName name="Off_B_S_Income">#REF!</definedName>
    <definedName name="Off_B_S_Income_DCF" localSheetId="2">#REF!</definedName>
    <definedName name="Off_B_S_Income_DCF">#REF!</definedName>
    <definedName name="Off_B_S_Income_fore" localSheetId="2">#REF!</definedName>
    <definedName name="Off_B_S_Income_fore">#REF!</definedName>
    <definedName name="Off_B_S_Income_growth_fore" localSheetId="2">#REF!</definedName>
    <definedName name="Off_B_S_Income_growth_fore">#REF!</definedName>
    <definedName name="Off_High_Cov" localSheetId="5">#REF!</definedName>
    <definedName name="Off_High_Cov">#REF!</definedName>
    <definedName name="oi">[3]FLEX!$C$51:$IV$51</definedName>
    <definedName name="oipct">[3]FLEX!$C$102:$IV$102</definedName>
    <definedName name="ol">[3]FLEX!$C$492:$IV$492</definedName>
    <definedName name="OL_1" localSheetId="9">[5]Sheet1!$AD:$AD</definedName>
    <definedName name="OL_1" localSheetId="8">[5]Sheet1!$AD:$AD</definedName>
    <definedName name="OL_1" localSheetId="6">#REF!</definedName>
    <definedName name="OL_1" localSheetId="5">[5]Sheet1!$AD$1:$AD$65536</definedName>
    <definedName name="OL_1" localSheetId="1">[5]Sheet1!$AD:$AD</definedName>
    <definedName name="OL_1" localSheetId="3">[5]Sheet1!$AD:$AD</definedName>
    <definedName name="OL_1" localSheetId="2">#REF!</definedName>
    <definedName name="OL_1">#REF!</definedName>
    <definedName name="OL_10" localSheetId="9">[5]Sheet1!$L:$L</definedName>
    <definedName name="OL_10" localSheetId="8">[5]Sheet1!$L:$L</definedName>
    <definedName name="OL_10" localSheetId="5">[5]Sheet1!$L$1:$L$65536</definedName>
    <definedName name="OL_10" localSheetId="1">[5]Sheet1!$L:$L</definedName>
    <definedName name="OL_10" localSheetId="3">[5]Sheet1!$L:$L</definedName>
    <definedName name="OL_10" localSheetId="2">#REF!</definedName>
    <definedName name="OL_10">#REF!</definedName>
    <definedName name="OL_11" localSheetId="9">[5]Sheet1!$J:$J</definedName>
    <definedName name="OL_11" localSheetId="8">[5]Sheet1!$J:$J</definedName>
    <definedName name="OL_11" localSheetId="5">[5]Sheet1!$J$1:$J$65536</definedName>
    <definedName name="OL_11" localSheetId="1">[5]Sheet1!$J:$J</definedName>
    <definedName name="OL_11" localSheetId="3">[5]Sheet1!$J:$J</definedName>
    <definedName name="OL_11" localSheetId="2">#REF!</definedName>
    <definedName name="OL_11">#REF!</definedName>
    <definedName name="OL_12" localSheetId="9">[5]Sheet1!$H:$H</definedName>
    <definedName name="OL_12" localSheetId="8">[5]Sheet1!$H:$H</definedName>
    <definedName name="OL_12" localSheetId="5">[5]Sheet1!$H$1:$H$65536</definedName>
    <definedName name="OL_12" localSheetId="1">[5]Sheet1!$H:$H</definedName>
    <definedName name="OL_12" localSheetId="3">[5]Sheet1!$H:$H</definedName>
    <definedName name="OL_12" localSheetId="2">#REF!</definedName>
    <definedName name="OL_12">#REF!</definedName>
    <definedName name="OL_13" localSheetId="9">[5]Sheet1!$F:$F</definedName>
    <definedName name="OL_13" localSheetId="8">[5]Sheet1!$F:$F</definedName>
    <definedName name="OL_13" localSheetId="5">[5]Sheet1!$F$1:$F$65536</definedName>
    <definedName name="OL_13" localSheetId="1">[5]Sheet1!$F:$F</definedName>
    <definedName name="OL_13" localSheetId="3">[5]Sheet1!$F:$F</definedName>
    <definedName name="OL_13" localSheetId="2">#REF!</definedName>
    <definedName name="OL_13">#REF!</definedName>
    <definedName name="OL_14" localSheetId="9">[5]Sheet1!$D:$D</definedName>
    <definedName name="OL_14" localSheetId="8">[5]Sheet1!$D:$D</definedName>
    <definedName name="OL_14" localSheetId="5">[5]Sheet1!$D$1:$D$65536</definedName>
    <definedName name="OL_14" localSheetId="1">[5]Sheet1!$D:$D</definedName>
    <definedName name="OL_14" localSheetId="3">[5]Sheet1!$D:$D</definedName>
    <definedName name="OL_14" localSheetId="2">#REF!</definedName>
    <definedName name="OL_14">#REF!</definedName>
    <definedName name="OL_2" localSheetId="9">[5]Sheet1!$AB:$AB</definedName>
    <definedName name="OL_2" localSheetId="8">[5]Sheet1!$AB:$AB</definedName>
    <definedName name="OL_2" localSheetId="5">[5]Sheet1!$AB$1:$AB$65536</definedName>
    <definedName name="OL_2" localSheetId="1">[5]Sheet1!$AB:$AB</definedName>
    <definedName name="OL_2" localSheetId="3">[5]Sheet1!$AB:$AB</definedName>
    <definedName name="OL_2" localSheetId="2">#REF!</definedName>
    <definedName name="OL_2">#REF!</definedName>
    <definedName name="OL_3" localSheetId="9">[5]Sheet1!$Z:$Z</definedName>
    <definedName name="OL_3" localSheetId="8">[5]Sheet1!$Z:$Z</definedName>
    <definedName name="OL_3" localSheetId="5">[5]Sheet1!$Z$1:$Z$65536</definedName>
    <definedName name="OL_3" localSheetId="1">[5]Sheet1!$Z:$Z</definedName>
    <definedName name="OL_3" localSheetId="3">[5]Sheet1!$Z:$Z</definedName>
    <definedName name="OL_3" localSheetId="2">#REF!</definedName>
    <definedName name="OL_3">#REF!</definedName>
    <definedName name="OL_4" localSheetId="9">[5]Sheet1!$X:$X</definedName>
    <definedName name="OL_4" localSheetId="8">[5]Sheet1!$X:$X</definedName>
    <definedName name="OL_4" localSheetId="5">[5]Sheet1!$X$1:$X$65536</definedName>
    <definedName name="OL_4" localSheetId="1">[5]Sheet1!$X:$X</definedName>
    <definedName name="OL_4" localSheetId="3">[5]Sheet1!$X:$X</definedName>
    <definedName name="OL_4" localSheetId="2">#REF!</definedName>
    <definedName name="OL_4">#REF!</definedName>
    <definedName name="OL_5" localSheetId="9">[5]Sheet1!$V:$V</definedName>
    <definedName name="OL_5" localSheetId="8">[5]Sheet1!$V:$V</definedName>
    <definedName name="OL_5" localSheetId="5">[5]Sheet1!$V$1:$V$65536</definedName>
    <definedName name="OL_5" localSheetId="1">[5]Sheet1!$V:$V</definedName>
    <definedName name="OL_5" localSheetId="3">[5]Sheet1!$V:$V</definedName>
    <definedName name="OL_5" localSheetId="2">#REF!</definedName>
    <definedName name="OL_5">#REF!</definedName>
    <definedName name="OL_6" localSheetId="9">[5]Sheet1!$T:$T</definedName>
    <definedName name="OL_6" localSheetId="8">[5]Sheet1!$T:$T</definedName>
    <definedName name="OL_6" localSheetId="5">[5]Sheet1!$T$1:$T$65536</definedName>
    <definedName name="OL_6" localSheetId="1">[5]Sheet1!$T:$T</definedName>
    <definedName name="OL_6" localSheetId="3">[5]Sheet1!$T:$T</definedName>
    <definedName name="OL_6" localSheetId="2">#REF!</definedName>
    <definedName name="OL_6">#REF!</definedName>
    <definedName name="OL_7" localSheetId="9">[5]Sheet1!$R:$R</definedName>
    <definedName name="OL_7" localSheetId="8">[5]Sheet1!$R:$R</definedName>
    <definedName name="OL_7" localSheetId="5">[5]Sheet1!$R$1:$R$65536</definedName>
    <definedName name="OL_7" localSheetId="1">[5]Sheet1!$R:$R</definedName>
    <definedName name="OL_7" localSheetId="3">[5]Sheet1!$R:$R</definedName>
    <definedName name="OL_7" localSheetId="2">#REF!</definedName>
    <definedName name="OL_7">#REF!</definedName>
    <definedName name="OL_8" localSheetId="9">[5]Sheet1!$P:$P</definedName>
    <definedName name="OL_8" localSheetId="8">[5]Sheet1!$P:$P</definedName>
    <definedName name="OL_8" localSheetId="5">[5]Sheet1!$P$1:$P$65536</definedName>
    <definedName name="OL_8" localSheetId="1">[5]Sheet1!$P:$P</definedName>
    <definedName name="OL_8" localSheetId="3">[5]Sheet1!$P:$P</definedName>
    <definedName name="OL_8" localSheetId="2">#REF!</definedName>
    <definedName name="OL_8">#REF!</definedName>
    <definedName name="OL_9" localSheetId="9">[5]Sheet1!$N:$N</definedName>
    <definedName name="OL_9" localSheetId="8">[5]Sheet1!$N:$N</definedName>
    <definedName name="OL_9" localSheetId="5">[5]Sheet1!$N$1:$N$65536</definedName>
    <definedName name="OL_9" localSheetId="1">[5]Sheet1!$N:$N</definedName>
    <definedName name="OL_9" localSheetId="3">[5]Sheet1!$N:$N</definedName>
    <definedName name="OL_9" localSheetId="2">#REF!</definedName>
    <definedName name="OL_9">#REF!</definedName>
    <definedName name="OL_P" localSheetId="9">[5]Sheet1!$AF:$AF</definedName>
    <definedName name="OL_P" localSheetId="8">[5]Sheet1!$AF:$AF</definedName>
    <definedName name="OL_P" localSheetId="5">[5]Sheet1!$AF$1:$AF$65536</definedName>
    <definedName name="OL_P" localSheetId="1">[5]Sheet1!$AF:$AF</definedName>
    <definedName name="OL_P" localSheetId="3">[5]Sheet1!$AF:$AF</definedName>
    <definedName name="OL_P" localSheetId="2">#REF!</definedName>
    <definedName name="OL_P">#REF!</definedName>
    <definedName name="old" localSheetId="9" hidden="1">{"AnnModel",#N/A,FALSE,"IS"}</definedName>
    <definedName name="old" localSheetId="8" hidden="1">{"AnnModel",#N/A,FALSE,"IS"}</definedName>
    <definedName name="old" localSheetId="5" hidden="1">{"AnnModel",#N/A,FALSE,"IS"}</definedName>
    <definedName name="old" localSheetId="3" hidden="1">{"AnnModel",#N/A,FALSE,"IS"}</definedName>
    <definedName name="old" hidden="1">{"AnnModel",#N/A,FALSE,"IS"}</definedName>
    <definedName name="Old_Content">'[16]Content Pipeline'!#REF!</definedName>
    <definedName name="Oldname" localSheetId="9" hidden="1">{#N/A,#N/A,FALSE,"Handout.XLS";#N/A,#N/A,FALSE,"Onepager.XLS "}</definedName>
    <definedName name="Oldname" localSheetId="8" hidden="1">{#N/A,#N/A,FALSE,"Handout.XLS";#N/A,#N/A,FALSE,"Onepager.XLS "}</definedName>
    <definedName name="Oldname" localSheetId="5" hidden="1">{#N/A,#N/A,FALSE,"Handout.XLS";#N/A,#N/A,FALSE,"Onepager.XLS "}</definedName>
    <definedName name="Oldname" localSheetId="3" hidden="1">{#N/A,#N/A,FALSE,"Handout.XLS";#N/A,#N/A,FALSE,"Onepager.XLS "}</definedName>
    <definedName name="Oldname" hidden="1">{#N/A,#N/A,FALSE,"Handout.XLS";#N/A,#N/A,FALSE,"Onepager.XLS "}</definedName>
    <definedName name="opeps">[3]FLEX!$C$70:$IV$70</definedName>
    <definedName name="Operating_Expenses" localSheetId="6">#REF!</definedName>
    <definedName name="Operating_Expenses" localSheetId="2">#REF!</definedName>
    <definedName name="Operating_Expenses">#REF!</definedName>
    <definedName name="Operating_income" localSheetId="2">#REF!</definedName>
    <definedName name="Operating_income">#REF!</definedName>
    <definedName name="Operating_income_fore" localSheetId="2">#REF!</definedName>
    <definedName name="Operating_income_fore">#REF!</definedName>
    <definedName name="Operating_Lease_Expense" localSheetId="2">#REF!</definedName>
    <definedName name="Operating_Lease_Expense">#REF!</definedName>
    <definedName name="Operating_Lease_Expense_fore" localSheetId="2">#REF!</definedName>
    <definedName name="Operating_Lease_Expense_fore">#REF!</definedName>
    <definedName name="opni">[3]FLEX!$C$61:$IV$61</definedName>
    <definedName name="ops3q98">[5]Sheet1!$D$227</definedName>
    <definedName name="ops4q98">[5]Sheet1!$E$227</definedName>
    <definedName name="Options" localSheetId="9" hidden="1">{#N/A,#N/A,FALSE,"3mos";#N/A,#N/A,FALSE,"dedicated"}</definedName>
    <definedName name="Options" localSheetId="8" hidden="1">{#N/A,#N/A,FALSE,"3mos";#N/A,#N/A,FALSE,"dedicated"}</definedName>
    <definedName name="Options" localSheetId="5" hidden="1">{#N/A,#N/A,FALSE,"3mos";#N/A,#N/A,FALSE,"dedicated"}</definedName>
    <definedName name="Options" localSheetId="1" hidden="1">{#N/A,#N/A,FALSE,"3mos";#N/A,#N/A,FALSE,"dedicated"}</definedName>
    <definedName name="Options" localSheetId="3" hidden="1">{#N/A,#N/A,FALSE,"3mos";#N/A,#N/A,FALSE,"dedicated"}</definedName>
    <definedName name="Options" hidden="1">{#N/A,#N/A,FALSE,"3mos";#N/A,#N/A,FALSE,"dedicated"}</definedName>
    <definedName name="Other" localSheetId="6">#REF!</definedName>
    <definedName name="Other" localSheetId="2">#REF!</definedName>
    <definedName name="Other">#REF!</definedName>
    <definedName name="Other_asset_turns" localSheetId="2">#REF!</definedName>
    <definedName name="Other_asset_turns">#REF!</definedName>
    <definedName name="Other_asset_turns_DCF" localSheetId="2">#REF!</definedName>
    <definedName name="Other_asset_turns_DCF">#REF!</definedName>
    <definedName name="Other_asset_turns_fore" localSheetId="2">#REF!</definedName>
    <definedName name="Other_asset_turns_fore">#REF!</definedName>
    <definedName name="Other_assets" localSheetId="2">#REF!</definedName>
    <definedName name="Other_assets">#REF!</definedName>
    <definedName name="Other_assets_DCF" localSheetId="2">#REF!</definedName>
    <definedName name="Other_assets_DCF">#REF!</definedName>
    <definedName name="Other_Assets2" localSheetId="2">#REF!</definedName>
    <definedName name="Other_Assets2">#REF!</definedName>
    <definedName name="Other_current_assets" localSheetId="2">#REF!</definedName>
    <definedName name="Other_current_assets">#REF!</definedName>
    <definedName name="Other_current_assets_growth_fore" localSheetId="2">#REF!</definedName>
    <definedName name="Other_current_assets_growth_fore">#REF!</definedName>
    <definedName name="Other_Current_Assets2" localSheetId="2">#REF!</definedName>
    <definedName name="Other_Current_Assets2">#REF!</definedName>
    <definedName name="Other_current_liabilities" localSheetId="2">#REF!</definedName>
    <definedName name="Other_current_liabilities">#REF!</definedName>
    <definedName name="Other_current_liabilities_growth_fore" localSheetId="2">#REF!</definedName>
    <definedName name="Other_current_liabilities_growth_fore">#REF!</definedName>
    <definedName name="Other_Current_Liabilities2" localSheetId="2">#REF!</definedName>
    <definedName name="Other_Current_Liabilities2">#REF!</definedName>
    <definedName name="Other_DCF" localSheetId="2">#REF!</definedName>
    <definedName name="Other_DCF">#REF!</definedName>
    <definedName name="Other_dividends" localSheetId="2">#REF!</definedName>
    <definedName name="Other_dividends">#REF!</definedName>
    <definedName name="Other_Expenses" localSheetId="2">#REF!</definedName>
    <definedName name="Other_Expenses">#REF!</definedName>
    <definedName name="Other_Expenses_fore" localSheetId="2">#REF!</definedName>
    <definedName name="Other_Expenses_fore">#REF!</definedName>
    <definedName name="Other_expenses_gains" localSheetId="2">#REF!</definedName>
    <definedName name="Other_expenses_gains">#REF!</definedName>
    <definedName name="Other_expenses_gains_fore" localSheetId="2">#REF!</definedName>
    <definedName name="Other_expenses_gains_fore">#REF!</definedName>
    <definedName name="Other_expenses_growth_fore" localSheetId="2">#REF!</definedName>
    <definedName name="Other_expenses_growth_fore">#REF!</definedName>
    <definedName name="Other_fixed_asset_turns" localSheetId="2">#REF!</definedName>
    <definedName name="Other_fixed_asset_turns">#REF!</definedName>
    <definedName name="Other_fixed_asset_turns_fore" localSheetId="2">#REF!</definedName>
    <definedName name="Other_fixed_asset_turns_fore">#REF!</definedName>
    <definedName name="Other_fixed_assets" localSheetId="2">#REF!</definedName>
    <definedName name="Other_fixed_assets">#REF!</definedName>
    <definedName name="Other_fixed_assets_growth_fore" localSheetId="2">#REF!</definedName>
    <definedName name="Other_fixed_assets_growth_fore">#REF!</definedName>
    <definedName name="Other_fixed_assets2" localSheetId="2">#REF!</definedName>
    <definedName name="Other_fixed_assets2">#REF!</definedName>
    <definedName name="Other_growth_fore" localSheetId="2">#REF!</definedName>
    <definedName name="Other_growth_fore">#REF!</definedName>
    <definedName name="Other_inc_exp_fore" localSheetId="2">#REF!</definedName>
    <definedName name="Other_inc_exp_fore">#REF!</definedName>
    <definedName name="Other_Income" localSheetId="2">#REF!</definedName>
    <definedName name="Other_Income">#REF!</definedName>
    <definedName name="Other_income_growth_fore" localSheetId="2">#REF!</definedName>
    <definedName name="Other_income_growth_fore">#REF!</definedName>
    <definedName name="Other_Intangible_Assets" localSheetId="2">#REF!</definedName>
    <definedName name="Other_Intangible_Assets">#REF!</definedName>
    <definedName name="Other_liabilities" localSheetId="2">#REF!</definedName>
    <definedName name="Other_liabilities">#REF!</definedName>
    <definedName name="Other_liabilities_growth_fore" localSheetId="2">#REF!</definedName>
    <definedName name="Other_liabilities_growth_fore">#REF!</definedName>
    <definedName name="Other_liabilities2" localSheetId="2">#REF!</definedName>
    <definedName name="Other_liabilities2">#REF!</definedName>
    <definedName name="Other_LT_Debt" localSheetId="2">#REF!</definedName>
    <definedName name="Other_LT_Debt">#REF!</definedName>
    <definedName name="Other_ncome_expenses" localSheetId="2">#REF!</definedName>
    <definedName name="Other_ncome_expenses">#REF!</definedName>
    <definedName name="Other_reserves" localSheetId="2">#REF!</definedName>
    <definedName name="Other_reserves">#REF!</definedName>
    <definedName name="Other_Segment_Revenues" localSheetId="9">[5]Sheet1!#REF!</definedName>
    <definedName name="Other_Segment_Revenues" localSheetId="8">[5]Sheet1!#REF!</definedName>
    <definedName name="Other_Segment_Revenues" localSheetId="5">[5]Sheet1!#REF!</definedName>
    <definedName name="Other_Segment_Revenues" localSheetId="1">[5]Sheet1!#REF!</definedName>
    <definedName name="Other_Segment_Revenues" localSheetId="3">[5]Sheet1!#REF!</definedName>
    <definedName name="Other_Segment_Revenues" localSheetId="2">#REF!</definedName>
    <definedName name="Other_Segment_Revenues">#REF!</definedName>
    <definedName name="Other_ST_Debt" localSheetId="2">#REF!</definedName>
    <definedName name="Other_ST_Debt">#REF!</definedName>
    <definedName name="OtherARChg">'[7]Param (Old)'!$C$46</definedName>
    <definedName name="OtherARIncr">'[7]Param (Old)'!$C$46</definedName>
    <definedName name="OtherCAChg">'[7]Param (Old)'!$C$47</definedName>
    <definedName name="OtherCAIncr">'[7]Param (Old)'!$C$47</definedName>
    <definedName name="OtherIncChg" localSheetId="9">#REF!</definedName>
    <definedName name="OtherIncChg" localSheetId="8">#REF!</definedName>
    <definedName name="OtherIncChg" localSheetId="5">#REF!</definedName>
    <definedName name="OtherIncChg" localSheetId="3">#REF!</definedName>
    <definedName name="OtherIncChg">#REF!</definedName>
    <definedName name="OtherIncChg2" localSheetId="5">#REF!</definedName>
    <definedName name="OtherIncChg2">#REF!</definedName>
    <definedName name="Partial_year" localSheetId="2">#REF!</definedName>
    <definedName name="Partial_year">#REF!</definedName>
    <definedName name="PartialBarrier" localSheetId="2">[32]!PartialBarrier</definedName>
    <definedName name="PartialBarrier">[32]!PartialBarrier</definedName>
    <definedName name="PDTREV" localSheetId="9">#REF!</definedName>
    <definedName name="PDTREV" localSheetId="8">#REF!</definedName>
    <definedName name="PDTREV" localSheetId="5">#REF!</definedName>
    <definedName name="PDTREV" localSheetId="3">#REF!</definedName>
    <definedName name="PDTREV">#REF!</definedName>
    <definedName name="PE_Sensitivity" localSheetId="5">#REF!</definedName>
    <definedName name="PE_Sensitivity">#REF!</definedName>
    <definedName name="PE3A" localSheetId="5">#REF!</definedName>
    <definedName name="PE3A">#REF!</definedName>
    <definedName name="Perf_98" localSheetId="5">#REF!</definedName>
    <definedName name="Perf_98">#REF!</definedName>
    <definedName name="Perf_99" localSheetId="5">#REF!</definedName>
    <definedName name="Perf_99">#REF!</definedName>
    <definedName name="PeriodFrom" localSheetId="5">#REF!</definedName>
    <definedName name="PeriodFrom">#REF!</definedName>
    <definedName name="PeriodList">[33]Input!$F$7:$BB$7</definedName>
    <definedName name="PeriodNames" localSheetId="9">#REF!</definedName>
    <definedName name="PeriodNames" localSheetId="8">#REF!</definedName>
    <definedName name="PeriodNames" localSheetId="5">#REF!</definedName>
    <definedName name="PeriodNames" localSheetId="3">#REF!</definedName>
    <definedName name="PeriodNames">#REF!</definedName>
    <definedName name="PeriodNumber" localSheetId="5">#REF!</definedName>
    <definedName name="PeriodNumber">#REF!</definedName>
    <definedName name="PeriodTo" localSheetId="5">#REF!</definedName>
    <definedName name="PeriodTo">#REF!</definedName>
    <definedName name="pfa" localSheetId="6">#REF!</definedName>
    <definedName name="pfa">#REF!</definedName>
    <definedName name="PIPOPOI" localSheetId="8" hidden="1">{"'MonthlyReport1'!$E$10:$U$120"}</definedName>
    <definedName name="PIPOPOI" localSheetId="6" hidden="1">{"'MonthlyReport1'!$E$10:$U$120"}</definedName>
    <definedName name="PIPOPOI" hidden="1">{"'MonthlyReport1'!$E$10:$U$120"}</definedName>
    <definedName name="PLACE" localSheetId="5">#REF!</definedName>
    <definedName name="PLACE">#REF!</definedName>
    <definedName name="PLACE2" localSheetId="5">#REF!</definedName>
    <definedName name="PLACE2">#REF!</definedName>
    <definedName name="pmcs" localSheetId="9" hidden="1">{"AnnModel",#N/A,FALSE,"IS"}</definedName>
    <definedName name="pmcs" localSheetId="8" hidden="1">{"AnnModel",#N/A,FALSE,"IS"}</definedName>
    <definedName name="pmcs" localSheetId="5" hidden="1">{"AnnModel",#N/A,FALSE,"IS"}</definedName>
    <definedName name="pmcs" localSheetId="3" hidden="1">{"AnnModel",#N/A,FALSE,"IS"}</definedName>
    <definedName name="pmcs" hidden="1">{"AnnModel",#N/A,FALSE,"IS"}</definedName>
    <definedName name="pmv" localSheetId="9">#REF!</definedName>
    <definedName name="pmv" localSheetId="8">#REF!</definedName>
    <definedName name="pmv" localSheetId="5">#REF!</definedName>
    <definedName name="pmv" localSheetId="3">#REF!</definedName>
    <definedName name="pmv">#REF!</definedName>
    <definedName name="POPOOPO" localSheetId="8" hidden="1">{"'MonthlyReport1'!$E$10:$U$120"}</definedName>
    <definedName name="POPOOPO" localSheetId="6" hidden="1">{"'MonthlyReport1'!$E$10:$U$120"}</definedName>
    <definedName name="POPOOPO" hidden="1">{"'MonthlyReport1'!$E$10:$U$120"}</definedName>
    <definedName name="portugal" localSheetId="5">#REF!</definedName>
    <definedName name="portugal">#REF!</definedName>
    <definedName name="ppe">[3]FLEX!$C$467:$IV$467</definedName>
    <definedName name="PPIPPO" localSheetId="8" hidden="1">{"'MonthlyReport1'!$E$10:$U$120"}</definedName>
    <definedName name="PPIPPO" localSheetId="6" hidden="1">{"'MonthlyReport1'!$E$10:$U$120"}</definedName>
    <definedName name="PPIPPO" hidden="1">{"'MonthlyReport1'!$E$10:$U$120"}</definedName>
    <definedName name="PPnE_turns_fore" localSheetId="2">#REF!</definedName>
    <definedName name="PPnE_turns_fore">#REF!</definedName>
    <definedName name="PRCAPP" localSheetId="5">#REF!</definedName>
    <definedName name="PRCAPP">#REF!</definedName>
    <definedName name="preexp">[8]sanm!$C$293:$IV$293</definedName>
    <definedName name="Preferred_book_value" localSheetId="6">#REF!</definedName>
    <definedName name="Preferred_book_value" localSheetId="2">#REF!</definedName>
    <definedName name="Preferred_book_value">#REF!</definedName>
    <definedName name="Preferred_Dividends" localSheetId="2">#REF!</definedName>
    <definedName name="Preferred_Dividends">#REF!</definedName>
    <definedName name="Preferred_stock" localSheetId="2">#REF!</definedName>
    <definedName name="Preferred_stock">#REF!</definedName>
    <definedName name="Preferred_stock_growth_fore" localSheetId="2">#REF!</definedName>
    <definedName name="Preferred_stock_growth_fore">#REF!</definedName>
    <definedName name="PrepaidIncr">'[7]Param (Old)'!$C$47</definedName>
    <definedName name="Present_Value_Oper_lease" localSheetId="9">[5]Sheet1!$C$62:$AW$62</definedName>
    <definedName name="Present_Value_Oper_lease" localSheetId="8">[5]Sheet1!$C$62:$AW$62</definedName>
    <definedName name="Present_Value_Oper_lease" localSheetId="5">[5]Sheet1!$C$62:$AW$62</definedName>
    <definedName name="Present_Value_Oper_lease" localSheetId="1">[5]Sheet1!$C$62:$AW$62</definedName>
    <definedName name="Present_Value_Oper_lease" localSheetId="3">[5]Sheet1!$C$62:$AW$62</definedName>
    <definedName name="Present_Value_Oper_lease" localSheetId="2">#REF!</definedName>
    <definedName name="Present_Value_Oper_lease">#REF!</definedName>
    <definedName name="Pretax_income" localSheetId="2">#REF!</definedName>
    <definedName name="Pretax_income">#REF!</definedName>
    <definedName name="Pretax_income_fore" localSheetId="2">#REF!</definedName>
    <definedName name="Pretax_income_fore">#REF!</definedName>
    <definedName name="PREVIEW" localSheetId="9">'[19]Earnings Prevue'!$B$1:$G$48</definedName>
    <definedName name="PREVIEW" localSheetId="8">'[19]Earnings Prevue'!$B$1:$G$48</definedName>
    <definedName name="PREVIEW" localSheetId="5">'[20]Earnings Prevue'!$B$1:$G$48</definedName>
    <definedName name="PREVIEW" localSheetId="1">'[19]Earnings Prevue'!$B$1:$G$48</definedName>
    <definedName name="PREVIEW" localSheetId="3">'[19]Earnings Prevue'!$B$1:$G$48</definedName>
    <definedName name="PREVIEW">'[20]Earnings Prevue'!$B$1:$G$48</definedName>
    <definedName name="Preview1" localSheetId="9">'[34]Earnings Prevue'!$D$5:$I$32</definedName>
    <definedName name="Preview1" localSheetId="8">'[34]Earnings Prevue'!$D$5:$I$32</definedName>
    <definedName name="Preview1" localSheetId="5">'[35]Earnings Prevue'!$D$5:$I$32</definedName>
    <definedName name="Preview1" localSheetId="1">'[34]Earnings Prevue'!$D$5:$I$32</definedName>
    <definedName name="Preview1" localSheetId="3">'[34]Earnings Prevue'!$D$5:$I$32</definedName>
    <definedName name="Preview1">'[35]Earnings Prevue'!$D$5:$I$32</definedName>
    <definedName name="prevue" localSheetId="9">#REF!</definedName>
    <definedName name="prevue" localSheetId="8">#REF!</definedName>
    <definedName name="prevue" localSheetId="5">#REF!</definedName>
    <definedName name="prevue" localSheetId="3">#REF!</definedName>
    <definedName name="prevue">#REF!</definedName>
    <definedName name="Price">[25]External!$B$8</definedName>
    <definedName name="_xlnm.Print_Area" localSheetId="9">'1'!$D$6:$R$36</definedName>
    <definedName name="_xlnm.Print_Area" localSheetId="8">'1a'!$D$6:$R$36</definedName>
    <definedName name="_xlnm.Print_Area" localSheetId="6">cashqtr</definedName>
    <definedName name="_xlnm.Print_Area" localSheetId="5">Comps!$A$5:$AD$39</definedName>
    <definedName name="_xlnm.Print_Area" localSheetId="1">CW_Drivers!$A$1:$AT$10</definedName>
    <definedName name="_xlnm.Print_Area" localSheetId="3">CW_FCF!$A$1:$Z$56</definedName>
    <definedName name="_xlnm.Print_Area" localSheetId="2">CW_IS!$B$2:$BY$146</definedName>
    <definedName name="_xlnm.Print_Area" localSheetId="4">'WB FIN STATEMENT'!$B$2:$Z$111</definedName>
    <definedName name="_xlnm.Print_Area">cashqtr</definedName>
    <definedName name="PRINT_AREA_MI" localSheetId="9">#REF!</definedName>
    <definedName name="PRINT_AREA_MI" localSheetId="8">#REF!</definedName>
    <definedName name="PRINT_AREA_MI" localSheetId="5">#REF!</definedName>
    <definedName name="PRINT_AREA_MI" localSheetId="3">#REF!</definedName>
    <definedName name="PRINT_AREA_MI">#REF!</definedName>
    <definedName name="Print_Area1" localSheetId="8">cashqtr</definedName>
    <definedName name="Print_Area1" localSheetId="6">cashqtr</definedName>
    <definedName name="Print_Area1">cashqtr</definedName>
    <definedName name="print_value" localSheetId="9">#REF!</definedName>
    <definedName name="print_value" localSheetId="8">#REF!</definedName>
    <definedName name="print_value" localSheetId="5">#REF!</definedName>
    <definedName name="print_value" localSheetId="3">#REF!</definedName>
    <definedName name="print_value">#REF!</definedName>
    <definedName name="printable" localSheetId="5">#REF!</definedName>
    <definedName name="printable">#REF!</definedName>
    <definedName name="PrintC" localSheetId="5">#REF!</definedName>
    <definedName name="PrintC">#REF!</definedName>
    <definedName name="printC2" localSheetId="5">#REF!</definedName>
    <definedName name="printC2">#REF!</definedName>
    <definedName name="printc4" localSheetId="5">#REF!</definedName>
    <definedName name="printc4">#REF!</definedName>
    <definedName name="printd" localSheetId="5">#REF!</definedName>
    <definedName name="printd">#REF!</definedName>
    <definedName name="printd1" localSheetId="5">#REF!</definedName>
    <definedName name="printd1">#REF!</definedName>
    <definedName name="printe" localSheetId="5">#REF!</definedName>
    <definedName name="printe">#REF!</definedName>
    <definedName name="printf" localSheetId="5">#REF!</definedName>
    <definedName name="printf">#REF!</definedName>
    <definedName name="printg" localSheetId="5">#REF!</definedName>
    <definedName name="printg">#REF!</definedName>
    <definedName name="printh" localSheetId="5">#REF!</definedName>
    <definedName name="printh">#REF!</definedName>
    <definedName name="PROB1" localSheetId="5">#REF!</definedName>
    <definedName name="PROB1">#REF!</definedName>
    <definedName name="PROB2" localSheetId="5">#REF!</definedName>
    <definedName name="PROB2">#REF!</definedName>
    <definedName name="PROB3" localSheetId="5">#REF!</definedName>
    <definedName name="PROB3">#REF!</definedName>
    <definedName name="Proceeds" localSheetId="5">#REF!</definedName>
    <definedName name="Proceeds">#REF!</definedName>
    <definedName name="ProcomAP">'[7]Param (Old)'!$C$40</definedName>
    <definedName name="ProcomAR">'[7]Param (Old)'!$C$38</definedName>
    <definedName name="ProcomBook">'[7]Param (Old)'!$C$31</definedName>
    <definedName name="ProcomGoodwill">'[7]Param (Old)'!$C$32</definedName>
    <definedName name="ProcomInventory">'[7]Param (Old)'!$C$39</definedName>
    <definedName name="ProcomPrice">'[7]Param (Old)'!$C$30</definedName>
    <definedName name="ProcomQtrlyAmort">'[7]Param (Old)'!$C$34</definedName>
    <definedName name="ProdGMChg" localSheetId="9">#REF!</definedName>
    <definedName name="ProdGMChg" localSheetId="8">#REF!</definedName>
    <definedName name="ProdGMChg" localSheetId="5">#REF!</definedName>
    <definedName name="ProdGMChg" localSheetId="3">#REF!</definedName>
    <definedName name="ProdGMChg">#REF!</definedName>
    <definedName name="Profit_Loss" localSheetId="5">#REF!</definedName>
    <definedName name="Profit_Loss">#REF!</definedName>
    <definedName name="ProjectName" localSheetId="5">#REF!</definedName>
    <definedName name="ProjectName">#REF!</definedName>
    <definedName name="ps">[5]Sheet1!$A$184</definedName>
    <definedName name="ptinc">[3]FLEX!$C$58:$IV$58</definedName>
    <definedName name="ptincpct">[3]FLEX!$C$103:$IV$103</definedName>
    <definedName name="ptinpct">[4]CLS!$C$103:$IV$103</definedName>
    <definedName name="PV_of_Economic_Profit" localSheetId="6">#REF!</definedName>
    <definedName name="PV_of_Economic_Profit" localSheetId="2">#REF!</definedName>
    <definedName name="PV_of_Economic_Profit">#REF!</definedName>
    <definedName name="PV_of_FCF" localSheetId="2">#REF!</definedName>
    <definedName name="PV_of_FCF">#REF!</definedName>
    <definedName name="PV_of_Residual_Value" localSheetId="2">#REF!</definedName>
    <definedName name="PV_of_Residual_Value">#REF!</definedName>
    <definedName name="PV_Oper_lease" localSheetId="2">#REF!</definedName>
    <definedName name="PV_Oper_lease">#REF!</definedName>
    <definedName name="PVGO" localSheetId="2">#REF!</definedName>
    <definedName name="PVGO">#REF!</definedName>
    <definedName name="Q1Data">'[36]Company Information'!$F$11</definedName>
    <definedName name="QED" localSheetId="9" hidden="1">{"BSAnnualModel",#N/A,FALSE,"BS"}</definedName>
    <definedName name="QED" localSheetId="8" hidden="1">{"BSAnnualModel",#N/A,FALSE,"BS"}</definedName>
    <definedName name="QED" localSheetId="5" hidden="1">{"BSAnnualModel",#N/A,FALSE,"BS"}</definedName>
    <definedName name="QED" localSheetId="3" hidden="1">{"BSAnnualModel",#N/A,FALSE,"BS"}</definedName>
    <definedName name="QED" hidden="1">{"BSAnnualModel",#N/A,FALSE,"BS"}</definedName>
    <definedName name="qew" localSheetId="8" hidden="1">{"'MonthlyReport1'!$E$10:$U$120"}</definedName>
    <definedName name="qew" localSheetId="6" hidden="1">{"'MonthlyReport1'!$E$10:$U$120"}</definedName>
    <definedName name="qew" hidden="1">{"'MonthlyReport1'!$E$10:$U$120"}</definedName>
    <definedName name="QH" localSheetId="5">#REF!</definedName>
    <definedName name="QH">#REF!</definedName>
    <definedName name="QIncome" localSheetId="2">[24]QIncome!#REF!</definedName>
    <definedName name="QIncome">[24]QIncome!#REF!</definedName>
    <definedName name="Qintpmt">'[22]LLTC Preview'!$J$104</definedName>
    <definedName name="QTR" localSheetId="9">#REF!</definedName>
    <definedName name="QTR" localSheetId="8">#REF!</definedName>
    <definedName name="QTR" localSheetId="5">#REF!</definedName>
    <definedName name="QTR" localSheetId="3">#REF!</definedName>
    <definedName name="QTR">#REF!</definedName>
    <definedName name="QtrDays">'[7]Param (Old)'!$C$9</definedName>
    <definedName name="QTRFORECAST" localSheetId="9">#REF!</definedName>
    <definedName name="QTRFORECAST" localSheetId="8">#REF!</definedName>
    <definedName name="QTRFORECAST" localSheetId="5">#REF!</definedName>
    <definedName name="QTRFORECAST" localSheetId="3">#REF!</definedName>
    <definedName name="QTRFORECAST">#REF!</definedName>
    <definedName name="QtrIS" localSheetId="5">#REF!</definedName>
    <definedName name="QtrIS">#REF!</definedName>
    <definedName name="qtros">#N/A</definedName>
    <definedName name="qtrpl">#N/A</definedName>
    <definedName name="QTRS" localSheetId="9">#REF!</definedName>
    <definedName name="QTRS" localSheetId="8">#REF!</definedName>
    <definedName name="QTRS" localSheetId="5">#REF!</definedName>
    <definedName name="QTRS" localSheetId="3">#REF!</definedName>
    <definedName name="QTRS">#REF!</definedName>
    <definedName name="QUARTER" localSheetId="5">#REF!</definedName>
    <definedName name="QUARTER">#REF!</definedName>
    <definedName name="QuarterList">[37]Input!$F$6:$BA$6</definedName>
    <definedName name="QuarterlySumFlag" localSheetId="9">#REF!</definedName>
    <definedName name="QuarterlySumFlag" localSheetId="8">#REF!</definedName>
    <definedName name="QuarterlySumFlag" localSheetId="5">#REF!</definedName>
    <definedName name="QuarterlySumFlag" localSheetId="3">#REF!</definedName>
    <definedName name="QuarterlySumFlag">#REF!</definedName>
    <definedName name="QuarterNumber" localSheetId="5">#REF!</definedName>
    <definedName name="QuarterNumber">#REF!</definedName>
    <definedName name="Quarters">[18]Income!$AM$12:$BV$12</definedName>
    <definedName name="qwer" localSheetId="8" hidden="1">{"'MonthlyReport1'!$E$10:$U$120"}</definedName>
    <definedName name="qwer" localSheetId="6" hidden="1">{"'MonthlyReport1'!$E$10:$U$120"}</definedName>
    <definedName name="qwer" hidden="1">{"'MonthlyReport1'!$E$10:$U$120"}</definedName>
    <definedName name="R_D_amort_years" localSheetId="2">#REF!</definedName>
    <definedName name="R_D_amort_years">#REF!</definedName>
    <definedName name="R_D_Amortization" localSheetId="2">#REF!</definedName>
    <definedName name="R_D_Amortization">#REF!</definedName>
    <definedName name="R_D_Capzed" localSheetId="2">#REF!</definedName>
    <definedName name="R_D_Capzed">#REF!</definedName>
    <definedName name="R_D_expense" localSheetId="2">#REF!</definedName>
    <definedName name="R_D_expense">#REF!</definedName>
    <definedName name="R_D_expense_IS" localSheetId="2">#REF!</definedName>
    <definedName name="R_D_expense_IS">#REF!</definedName>
    <definedName name="Range_Names" localSheetId="2">#REF!</definedName>
    <definedName name="Range_Names">#REF!</definedName>
    <definedName name="Rating">[25]External!$B$5</definedName>
    <definedName name="RATIOS" localSheetId="9">#REF!</definedName>
    <definedName name="RATIOS" localSheetId="8">#REF!</definedName>
    <definedName name="RATIOS" localSheetId="5">#REF!</definedName>
    <definedName name="RATIOS" localSheetId="3">#REF!</definedName>
    <definedName name="RATIOS">#REF!</definedName>
    <definedName name="RDCAGR" localSheetId="5">#REF!</definedName>
    <definedName name="RDCAGR">#REF!</definedName>
    <definedName name="RDChg" localSheetId="5">#REF!</definedName>
    <definedName name="RDChg">#REF!</definedName>
    <definedName name="RDChg2" localSheetId="5">#REF!</definedName>
    <definedName name="RDChg2">#REF!</definedName>
    <definedName name="REI" localSheetId="6">#REF!</definedName>
    <definedName name="REI">#REF!</definedName>
    <definedName name="ReportGroup" hidden="1">0</definedName>
    <definedName name="Required_cash" localSheetId="6">#REF!</definedName>
    <definedName name="Required_cash" localSheetId="2">#REF!</definedName>
    <definedName name="Required_cash">#REF!</definedName>
    <definedName name="Required_cash_percent" localSheetId="2">#REF!</definedName>
    <definedName name="Required_cash_percent">#REF!</definedName>
    <definedName name="Resdiual_Income_Print">[4]CLS!$BN$6:$CA$547</definedName>
    <definedName name="residual_income">[3]FLEX!$GL$661:$GZ$717</definedName>
    <definedName name="Residual_Value" localSheetId="6">#REF!</definedName>
    <definedName name="Residual_Value" localSheetId="2">#REF!</definedName>
    <definedName name="Residual_Value">#REF!</definedName>
    <definedName name="Restructuring_charges" localSheetId="2">#REF!</definedName>
    <definedName name="Restructuring_charges">#REF!</definedName>
    <definedName name="Restructuring_charges_growth_fore" localSheetId="2">#REF!</definedName>
    <definedName name="Restructuring_charges_growth_fore">#REF!</definedName>
    <definedName name="rev">[3]FLEX!$C$11:$IV$11</definedName>
    <definedName name="rev_1996" localSheetId="6">#REF!</definedName>
    <definedName name="rev_1996" localSheetId="2">#REF!</definedName>
    <definedName name="rev_1996">#REF!</definedName>
    <definedName name="rev_1997" localSheetId="2">#REF!</definedName>
    <definedName name="rev_1997">#REF!</definedName>
    <definedName name="rev_1998" localSheetId="2">#REF!</definedName>
    <definedName name="rev_1998">#REF!</definedName>
    <definedName name="rev_1999" localSheetId="2">#REF!</definedName>
    <definedName name="rev_1999">#REF!</definedName>
    <definedName name="rev_2000" localSheetId="2">#REF!</definedName>
    <definedName name="rev_2000">#REF!</definedName>
    <definedName name="rev_2001" localSheetId="2">#REF!</definedName>
    <definedName name="rev_2001">#REF!</definedName>
    <definedName name="rev_2002" localSheetId="2">#REF!</definedName>
    <definedName name="rev_2002">#REF!</definedName>
    <definedName name="rev_2003" localSheetId="2">#REF!</definedName>
    <definedName name="rev_2003">#REF!</definedName>
    <definedName name="rev_2004" localSheetId="2">#REF!</definedName>
    <definedName name="rev_2004">#REF!</definedName>
    <definedName name="rev_2005" localSheetId="2">#REF!</definedName>
    <definedName name="rev_2005">#REF!</definedName>
    <definedName name="rev_2006" localSheetId="2">#REF!</definedName>
    <definedName name="rev_2006">#REF!</definedName>
    <definedName name="rev_2007" localSheetId="2">#REF!</definedName>
    <definedName name="rev_2007">#REF!</definedName>
    <definedName name="rev_2008" localSheetId="2">#REF!</definedName>
    <definedName name="rev_2008">#REF!</definedName>
    <definedName name="rev_2009" localSheetId="2">#REF!</definedName>
    <definedName name="rev_2009">#REF!</definedName>
    <definedName name="rev1q98">[5]Sheet1!$BS$15</definedName>
    <definedName name="rev1Q99">[5]Sheet1!$BZ$15</definedName>
    <definedName name="rev2Q98">[5]Sheet1!$BT$15</definedName>
    <definedName name="rev2Q99">[5]Sheet1!$CA$15</definedName>
    <definedName name="rev3Q98">[5]Sheet1!$BU$15</definedName>
    <definedName name="rev3Q99">[5]Sheet1!$CB$15</definedName>
    <definedName name="rev4Q97">[5]Sheet1!$BO$15</definedName>
    <definedName name="rev4Q98">[5]Sheet1!$BV$15</definedName>
    <definedName name="rev4q99">[5]Sheet1!$CC$15</definedName>
    <definedName name="revcgr2000">[5]Sheet1!$P$182</definedName>
    <definedName name="revcgr2001">[5]Sheet1!$Q$182</definedName>
    <definedName name="revcgr2002">[5]Sheet1!$R$182</definedName>
    <definedName name="RevenueCAGR" localSheetId="9">#REF!</definedName>
    <definedName name="RevenueCAGR" localSheetId="8">#REF!</definedName>
    <definedName name="RevenueCAGR" localSheetId="5">#REF!</definedName>
    <definedName name="RevenueCAGR" localSheetId="3">#REF!</definedName>
    <definedName name="RevenueCAGR">#REF!</definedName>
    <definedName name="REVIEW" localSheetId="5">#REF!</definedName>
    <definedName name="REVIEW">#REF!</definedName>
    <definedName name="reviews" localSheetId="9">'[34]Earnings Review'!$D$1:$J$35</definedName>
    <definedName name="reviews" localSheetId="8">'[34]Earnings Review'!$D$1:$J$35</definedName>
    <definedName name="reviews" localSheetId="5">'[35]Earnings Review'!$D$1:$J$35</definedName>
    <definedName name="reviews" localSheetId="1">'[34]Earnings Review'!$D$1:$J$35</definedName>
    <definedName name="reviews" localSheetId="3">'[34]Earnings Review'!$D$1:$J$35</definedName>
    <definedName name="reviews">'[35]Earnings Review'!$D$1:$J$35</definedName>
    <definedName name="RI_Print">[8]sanm!$A$4:$FC$494</definedName>
    <definedName name="RIsk_free_30yr_Treas" localSheetId="6">#REF!</definedName>
    <definedName name="RIsk_free_30yr_Treas" localSheetId="2">#REF!</definedName>
    <definedName name="RIsk_free_30yr_Treas">#REF!</definedName>
    <definedName name="Risk_Premium" localSheetId="5">#REF!</definedName>
    <definedName name="Risk_Premium">#REF!</definedName>
    <definedName name="rm">[3]FLEX!$C$460:$IV$460</definedName>
    <definedName name="RnD_expense" localSheetId="6">#REF!</definedName>
    <definedName name="RnD_expense" localSheetId="2">#REF!</definedName>
    <definedName name="RnD_expense">#REF!</definedName>
    <definedName name="RnD_expense_fore" localSheetId="2">#REF!</definedName>
    <definedName name="RnD_expense_fore">#REF!</definedName>
    <definedName name="RnD_expense_growth_fore" localSheetId="2">#REF!</definedName>
    <definedName name="RnD_expense_growth_fore">#REF!</definedName>
    <definedName name="RnD_expenses_fore" localSheetId="2">#REF!</definedName>
    <definedName name="RnD_expenses_fore">#REF!</definedName>
    <definedName name="Rnoa">[3]FLEX!$C$647:$IV$647</definedName>
    <definedName name="roa">[3]FLEX!$C$523:$IV$523</definedName>
    <definedName name="roe">[3]FLEX!$C$522:$IV$522</definedName>
    <definedName name="ROIC" localSheetId="6">#REF!</definedName>
    <definedName name="ROIC" localSheetId="2">#REF!</definedName>
    <definedName name="ROIC">#REF!</definedName>
    <definedName name="ROIC_DCF" localSheetId="2">#REF!</definedName>
    <definedName name="ROIC_DCF">#REF!</definedName>
    <definedName name="ROIC_WACC" localSheetId="2">#REF!</definedName>
    <definedName name="ROIC_WACC">#REF!</definedName>
    <definedName name="RORIC__3_yr_rolling" localSheetId="2">#REF!</definedName>
    <definedName name="RORIC__3_yr_rolling">#REF!</definedName>
    <definedName name="RRTRT" localSheetId="8" hidden="1">{"'MonthlyReport1'!$E$10:$U$120"}</definedName>
    <definedName name="RRTRT" localSheetId="6" hidden="1">{"'MonthlyReport1'!$E$10:$U$120"}</definedName>
    <definedName name="RRTRT" hidden="1">{"'MonthlyReport1'!$E$10:$U$120"}</definedName>
    <definedName name="RYKRYUK" localSheetId="8" hidden="1">{"'MonthlyReport1'!$E$10:$U$120"}</definedName>
    <definedName name="RYKRYUK" localSheetId="6" hidden="1">{"'MonthlyReport1'!$E$10:$U$120"}</definedName>
    <definedName name="RYKRYUK" hidden="1">{"'MonthlyReport1'!$E$10:$U$120"}</definedName>
    <definedName name="s" localSheetId="9" hidden="1">#REF!</definedName>
    <definedName name="s" localSheetId="8" hidden="1">#REF!</definedName>
    <definedName name="s" localSheetId="6">{16,16}</definedName>
    <definedName name="s" localSheetId="5" hidden="1">#REF!</definedName>
    <definedName name="s" localSheetId="3" hidden="1">#REF!</definedName>
    <definedName name="s">{16,16}</definedName>
    <definedName name="S_T_obligations_under_cap_leases" localSheetId="6">#REF!</definedName>
    <definedName name="S_T_obligations_under_cap_leases" localSheetId="2">#REF!</definedName>
    <definedName name="S_T_obligations_under_cap_leases">#REF!</definedName>
    <definedName name="Sales_growth" localSheetId="2">#REF!</definedName>
    <definedName name="Sales_growth">#REF!</definedName>
    <definedName name="Sales_growth_avg" localSheetId="2">#REF!</definedName>
    <definedName name="Sales_growth_avg">#REF!</definedName>
    <definedName name="SalomonFDMTB" localSheetId="5">#REF!</definedName>
    <definedName name="SalomonFDMTB">#REF!</definedName>
    <definedName name="SalomonLTMPE" localSheetId="5">#REF!</definedName>
    <definedName name="SalomonLTMPE">#REF!</definedName>
    <definedName name="SalomonToggle" localSheetId="5">#REF!</definedName>
    <definedName name="SalomonToggle">#REF!</definedName>
    <definedName name="sapo">[4]CLS!$D$361:$IV$361</definedName>
    <definedName name="sccycle">[3]FLEX!$C$530:$IV$530</definedName>
    <definedName name="SCENARIO1_NAME" localSheetId="9">#REF!</definedName>
    <definedName name="SCENARIO1_NAME" localSheetId="8">#REF!</definedName>
    <definedName name="SCENARIO1_NAME" localSheetId="5">#REF!</definedName>
    <definedName name="SCENARIO1_NAME" localSheetId="3">#REF!</definedName>
    <definedName name="SCENARIO1_NAME">#REF!</definedName>
    <definedName name="SCENARIO2_NAME" localSheetId="5">#REF!</definedName>
    <definedName name="SCENARIO2_NAME">#REF!</definedName>
    <definedName name="SCENARIO3_NAME" localSheetId="5">#REF!</definedName>
    <definedName name="SCENARIO3_NAME">#REF!</definedName>
    <definedName name="SCENARIO4_NAME" localSheetId="5">#REF!</definedName>
    <definedName name="SCENARIO4_NAME">#REF!</definedName>
    <definedName name="SCENARIO5_NAME" localSheetId="5">#REF!</definedName>
    <definedName name="SCENARIO5_NAME">#REF!</definedName>
    <definedName name="scf" localSheetId="9">'[34]Earnings Prevue'!$D$5:$I$32</definedName>
    <definedName name="scf" localSheetId="8">'[34]Earnings Prevue'!$D$5:$I$32</definedName>
    <definedName name="scf" localSheetId="5">'[35]Earnings Prevue'!$D$5:$I$32</definedName>
    <definedName name="scf" localSheetId="1">'[34]Earnings Prevue'!$D$5:$I$32</definedName>
    <definedName name="scf" localSheetId="3">'[34]Earnings Prevue'!$D$5:$I$32</definedName>
    <definedName name="scf">'[35]Earnings Prevue'!$D$5:$I$32</definedName>
    <definedName name="schedule">#REF!</definedName>
    <definedName name="sdafsd">[38]Input!$F$6:$BR$6</definedName>
    <definedName name="sddfdf" localSheetId="8" hidden="1">{"'MonthlyReport1'!$E$10:$U$120"}</definedName>
    <definedName name="sddfdf" localSheetId="6" hidden="1">{"'MonthlyReport1'!$E$10:$U$120"}</definedName>
    <definedName name="sddfdf" hidden="1">{"'MonthlyReport1'!$E$10:$U$120"}</definedName>
    <definedName name="sdf" localSheetId="5" hidden="1">#REF!</definedName>
    <definedName name="sdf" hidden="1">#REF!</definedName>
    <definedName name="sdih">[3]FLEX!$C$527:$IV$527</definedName>
    <definedName name="sdpo">[3]FLEX!$C$529:$IV$529</definedName>
    <definedName name="sdsd" localSheetId="8" hidden="1">{"'MonthlyReport1'!$E$10:$U$120"}</definedName>
    <definedName name="sdsd" localSheetId="6" hidden="1">{"'MonthlyReport1'!$E$10:$U$120"}</definedName>
    <definedName name="sdsd" hidden="1">{"'MonthlyReport1'!$E$10:$U$120"}</definedName>
    <definedName name="sdso">[3]FLEX!$C$528:$IV$528</definedName>
    <definedName name="SecondQtr">[23]Param!$C$4</definedName>
    <definedName name="segment">'[39]Income Statement'!$A$120:$BP$142</definedName>
    <definedName name="Segment1_income" localSheetId="6">#REF!</definedName>
    <definedName name="Segment1_income" localSheetId="2">#REF!</definedName>
    <definedName name="Segment1_income">#REF!</definedName>
    <definedName name="Segment1_income_DCF" localSheetId="2">#REF!</definedName>
    <definedName name="Segment1_income_DCF">#REF!</definedName>
    <definedName name="Segment1_income_fore" localSheetId="2">#REF!</definedName>
    <definedName name="Segment1_income_fore">#REF!</definedName>
    <definedName name="Segment1_income_growth_fore" localSheetId="2">#REF!</definedName>
    <definedName name="Segment1_income_growth_fore">#REF!</definedName>
    <definedName name="Segment2_income" localSheetId="2">#REF!</definedName>
    <definedName name="Segment2_income">#REF!</definedName>
    <definedName name="Segment2_income_DCF" localSheetId="2">#REF!</definedName>
    <definedName name="Segment2_income_DCF">#REF!</definedName>
    <definedName name="Segment2_income_fore" localSheetId="2">#REF!</definedName>
    <definedName name="Segment2_income_fore">#REF!</definedName>
    <definedName name="Segment2_income_growth_fore" localSheetId="2">#REF!</definedName>
    <definedName name="Segment2_income_growth_fore">#REF!</definedName>
    <definedName name="SegmentHlook">[18]Income!$A$12:$IV$90</definedName>
    <definedName name="Selection">[29]PivotTable!$C$4:$C$15</definedName>
    <definedName name="sencount" hidden="1">1</definedName>
    <definedName name="seqorevg">[3]FLEX!$C$89:$IV$89</definedName>
    <definedName name="seqrevg">[3]FLEX!$C$88:$IV$88</definedName>
    <definedName name="sga">[3]FLEX!$C$48:$IV$48</definedName>
    <definedName name="SGA_fore" localSheetId="6">#REF!</definedName>
    <definedName name="SGA_fore" localSheetId="2">#REF!</definedName>
    <definedName name="SGA_fore">#REF!</definedName>
    <definedName name="SGA_growth" localSheetId="9">[5]Sheet1!#REF!</definedName>
    <definedName name="SGA_growth" localSheetId="8">[5]Sheet1!#REF!</definedName>
    <definedName name="SGA_growth" localSheetId="5">[5]Sheet1!#REF!</definedName>
    <definedName name="SGA_growth" localSheetId="1">[5]Sheet1!#REF!</definedName>
    <definedName name="SGA_growth" localSheetId="3">[5]Sheet1!#REF!</definedName>
    <definedName name="SGA_growth" localSheetId="2">#REF!</definedName>
    <definedName name="SGA_growth">#REF!</definedName>
    <definedName name="SGA_growth_avg" localSheetId="2">#REF!</definedName>
    <definedName name="SGA_growth_avg">#REF!</definedName>
    <definedName name="SGA_growth_fore" localSheetId="2">#REF!</definedName>
    <definedName name="SGA_growth_fore">#REF!</definedName>
    <definedName name="SGA_margin" localSheetId="2">#REF!</definedName>
    <definedName name="SGA_margin">#REF!</definedName>
    <definedName name="SGA_margin_fore" localSheetId="9">[5]Sheet1!#REF!</definedName>
    <definedName name="SGA_margin_fore" localSheetId="8">[5]Sheet1!#REF!</definedName>
    <definedName name="SGA_margin_fore" localSheetId="5">[5]Sheet1!#REF!</definedName>
    <definedName name="SGA_margin_fore" localSheetId="1">[5]Sheet1!#REF!</definedName>
    <definedName name="SGA_margin_fore" localSheetId="3">[5]Sheet1!#REF!</definedName>
    <definedName name="SGA_margin_fore" localSheetId="2">#REF!</definedName>
    <definedName name="SGA_margin_fore">#REF!</definedName>
    <definedName name="SGACAGR" localSheetId="5">#REF!</definedName>
    <definedName name="SGACAGR">#REF!</definedName>
    <definedName name="SGAChg">'[7]Param (Old)'!$C$20</definedName>
    <definedName name="SGAChg2" localSheetId="9">#REF!</definedName>
    <definedName name="SGAChg2" localSheetId="8">#REF!</definedName>
    <definedName name="SGAChg2" localSheetId="5">#REF!</definedName>
    <definedName name="SGAChg2" localSheetId="3">#REF!</definedName>
    <definedName name="SGAChg2">#REF!</definedName>
    <definedName name="sgapct">[3]FLEX!$C$100:$IV$100</definedName>
    <definedName name="Share_Data" localSheetId="9">#REF!,#REF!</definedName>
    <definedName name="Share_Data" localSheetId="8">#REF!,#REF!</definedName>
    <definedName name="Share_Data" localSheetId="5">#REF!,#REF!</definedName>
    <definedName name="Share_Data" localSheetId="3">#REF!,#REF!</definedName>
    <definedName name="Share_Data">#REF!,#REF!</definedName>
    <definedName name="Share_Price" localSheetId="6">#REF!</definedName>
    <definedName name="Share_Price" localSheetId="5">#REF!</definedName>
    <definedName name="Share_Price" localSheetId="2">#REF!</definedName>
    <definedName name="Share_Price">#REF!</definedName>
    <definedName name="ShareChg" localSheetId="5">#REF!</definedName>
    <definedName name="ShareChg">#REF!</definedName>
    <definedName name="Shareholder_value" localSheetId="2">#REF!</definedName>
    <definedName name="Shareholder_value">#REF!</definedName>
    <definedName name="Shareholder_Value_EVA" localSheetId="2">#REF!</definedName>
    <definedName name="Shareholder_Value_EVA">#REF!</definedName>
    <definedName name="Shareholders_equity" localSheetId="2">#REF!</definedName>
    <definedName name="Shareholders_equity">#REF!</definedName>
    <definedName name="Shares" localSheetId="2">#REF!</definedName>
    <definedName name="Shares">#REF!</definedName>
    <definedName name="Shares_DCF" localSheetId="9">[5]Sheet1!$C$37:$AZ$37</definedName>
    <definedName name="Shares_DCF" localSheetId="8">[5]Sheet1!$C$37:$AZ$37</definedName>
    <definedName name="Shares_DCF" localSheetId="5">[5]Sheet1!$C$37:$AZ$37</definedName>
    <definedName name="Shares_DCF" localSheetId="1">[5]Sheet1!$C$37:$AZ$37</definedName>
    <definedName name="Shares_DCF" localSheetId="3">[5]Sheet1!$C$37:$AZ$37</definedName>
    <definedName name="Shares_DCF" localSheetId="2">#REF!</definedName>
    <definedName name="Shares_DCF">#REF!</definedName>
    <definedName name="Shares_fore" localSheetId="2">#REF!</definedName>
    <definedName name="Shares_fore">#REF!</definedName>
    <definedName name="Shares_growth" localSheetId="2">#REF!</definedName>
    <definedName name="Shares_growth">#REF!</definedName>
    <definedName name="Shares_growth_fore" localSheetId="2">#REF!</definedName>
    <definedName name="Shares_growth_fore">#REF!</definedName>
    <definedName name="Shares_repurchase_liability" localSheetId="9">[5]Sheet1!#REF!</definedName>
    <definedName name="Shares_repurchase_liability" localSheetId="8">[5]Sheet1!#REF!</definedName>
    <definedName name="Shares_repurchase_liability" localSheetId="5">[5]Sheet1!#REF!</definedName>
    <definedName name="Shares_repurchase_liability" localSheetId="1">[5]Sheet1!#REF!</definedName>
    <definedName name="Shares_repurchase_liability" localSheetId="3">[5]Sheet1!#REF!</definedName>
    <definedName name="Shares_repurchase_liability" localSheetId="2">#REF!</definedName>
    <definedName name="Shares_repurchase_liability">#REF!</definedName>
    <definedName name="Shares2Q96" localSheetId="5">#REF!</definedName>
    <definedName name="Shares2Q96">#REF!</definedName>
    <definedName name="sheet1Header" localSheetId="5">#REF!</definedName>
    <definedName name="sheet1Header">#REF!</definedName>
    <definedName name="sheet1LOF" localSheetId="5">#REF!</definedName>
    <definedName name="sheet1LOF">#REF!</definedName>
    <definedName name="sheet1LOT" localSheetId="5">#REF!</definedName>
    <definedName name="sheet1LOT">#REF!</definedName>
    <definedName name="sheet4LOF" localSheetId="5">#REF!</definedName>
    <definedName name="sheet4LOF">#REF!</definedName>
    <definedName name="sheet4LOT" localSheetId="5">#REF!</definedName>
    <definedName name="sheet4LOT">#REF!</definedName>
    <definedName name="sinvx">[3]FLEX!$C$526:$IV$526</definedName>
    <definedName name="slett" localSheetId="8" hidden="1">{"'MonthlyReport1'!$E$10:$U$120"}</definedName>
    <definedName name="slett" localSheetId="6" hidden="1">{"'MonthlyReport1'!$E$10:$U$120"}</definedName>
    <definedName name="slett" hidden="1">{"'MonthlyReport1'!$E$10:$U$120"}</definedName>
    <definedName name="slett1" localSheetId="8" hidden="1">{"'MonthlyReport1'!$E$10:$U$120"}</definedName>
    <definedName name="slett1" localSheetId="6" hidden="1">{"'MonthlyReport1'!$E$10:$U$120"}</definedName>
    <definedName name="slett1" hidden="1">{"'MonthlyReport1'!$E$10:$U$120"}</definedName>
    <definedName name="so">[3]FLEX!$C$83:$IV$83</definedName>
    <definedName name="Source">[25]Exhibits!$C$17</definedName>
    <definedName name="SOX">'[6]Stock Perf.'!$M$22:$M$124</definedName>
    <definedName name="spain" localSheetId="9">#REF!</definedName>
    <definedName name="spain" localSheetId="8">#REF!</definedName>
    <definedName name="spain" localSheetId="5">#REF!</definedName>
    <definedName name="spain" localSheetId="3">#REF!</definedName>
    <definedName name="spain">#REF!</definedName>
    <definedName name="SPANN" localSheetId="5">#REF!</definedName>
    <definedName name="SPANN">#REF!</definedName>
    <definedName name="SpltFctr">'[7]Param (Old)'!$C$24</definedName>
    <definedName name="SPMAC" localSheetId="9">#REF!</definedName>
    <definedName name="SPMAC" localSheetId="8">#REF!</definedName>
    <definedName name="SPMAC" localSheetId="5">#REF!</definedName>
    <definedName name="SPMAC" localSheetId="3">#REF!</definedName>
    <definedName name="SPMAC">#REF!</definedName>
    <definedName name="SPQTR" localSheetId="5">#REF!</definedName>
    <definedName name="SPQTR">#REF!</definedName>
    <definedName name="Spread_on_debt" localSheetId="6">#REF!</definedName>
    <definedName name="Spread_on_debt" localSheetId="2">#REF!</definedName>
    <definedName name="Spread_on_debt">#REF!</definedName>
    <definedName name="SPWS_WBID">"52D30BDE-8759-11D5-AF1D-0008C7CACC4F"</definedName>
    <definedName name="SPX" localSheetId="2">#REF!</definedName>
    <definedName name="SPX">#REF!</definedName>
    <definedName name="ssssss">[40]PivotTable!$A:$G</definedName>
    <definedName name="ST_debt" localSheetId="2">#REF!</definedName>
    <definedName name="ST_debt">#REF!</definedName>
    <definedName name="ST_debt_growth_fore" localSheetId="2">#REF!</definedName>
    <definedName name="ST_debt_growth_fore">#REF!</definedName>
    <definedName name="Staightline_charge" localSheetId="2">#REF!</definedName>
    <definedName name="Staightline_charge">#REF!</definedName>
    <definedName name="stats" localSheetId="5">#REF!</definedName>
    <definedName name="stats">#REF!</definedName>
    <definedName name="Stock_price" localSheetId="9">[5]Sheet1!$B$9</definedName>
    <definedName name="Stock_price" localSheetId="8">[5]Sheet1!$B$9</definedName>
    <definedName name="Stock_price" localSheetId="5">[5]Sheet1!$B$9</definedName>
    <definedName name="Stock_price" localSheetId="1">[5]Sheet1!$B$9</definedName>
    <definedName name="Stock_price" localSheetId="3">[5]Sheet1!$B$9</definedName>
    <definedName name="Stock_price" localSheetId="2">#REF!</definedName>
    <definedName name="Stock_price">#REF!</definedName>
    <definedName name="Stock_price_close" localSheetId="2">#REF!</definedName>
    <definedName name="Stock_price_close">#REF!</definedName>
    <definedName name="Stock_price_high" localSheetId="2">#REF!</definedName>
    <definedName name="Stock_price_high">#REF!</definedName>
    <definedName name="Stock_price_low" localSheetId="2">#REF!</definedName>
    <definedName name="Stock_price_low">#REF!</definedName>
    <definedName name="StubPeriod" localSheetId="5">#REF!</definedName>
    <definedName name="StubPeriod">#REF!</definedName>
    <definedName name="Summary_1" localSheetId="9">[5]Sheet1!$F:$F</definedName>
    <definedName name="Summary_1" localSheetId="8">[5]Sheet1!$F:$F</definedName>
    <definedName name="Summary_1" localSheetId="5">[5]Sheet1!$F$1:$F$65536</definedName>
    <definedName name="Summary_1" localSheetId="1">[5]Sheet1!$F:$F</definedName>
    <definedName name="Summary_1" localSheetId="3">[5]Sheet1!$F:$F</definedName>
    <definedName name="Summary_1" localSheetId="2">#REF!</definedName>
    <definedName name="Summary_1">#REF!</definedName>
    <definedName name="Summary_1991" localSheetId="9">[5]Sheet1!$C$25:$C$106</definedName>
    <definedName name="Summary_1991" localSheetId="8">[5]Sheet1!$C$25:$C$106</definedName>
    <definedName name="Summary_1991" localSheetId="5">[5]Sheet1!$C$25:$C$106</definedName>
    <definedName name="Summary_1991" localSheetId="1">[5]Sheet1!$C$25:$C$106</definedName>
    <definedName name="Summary_1991" localSheetId="3">[5]Sheet1!$C$25:$C$106</definedName>
    <definedName name="Summary_1991" localSheetId="2">#REF!</definedName>
    <definedName name="Summary_1991">#REF!</definedName>
    <definedName name="Summary_1992" localSheetId="9">[5]Sheet1!$D$25:$D$106</definedName>
    <definedName name="Summary_1992" localSheetId="8">[5]Sheet1!$D$25:$D$106</definedName>
    <definedName name="Summary_1992" localSheetId="5">[5]Sheet1!$D$25:$D$106</definedName>
    <definedName name="Summary_1992" localSheetId="1">[5]Sheet1!$D$25:$D$106</definedName>
    <definedName name="Summary_1992" localSheetId="3">[5]Sheet1!$D$25:$D$106</definedName>
    <definedName name="Summary_1992" localSheetId="2">#REF!</definedName>
    <definedName name="Summary_1992">#REF!</definedName>
    <definedName name="Summary_1993" localSheetId="9">[5]Sheet1!$E$25:$E$106</definedName>
    <definedName name="Summary_1993" localSheetId="8">[5]Sheet1!$E$25:$E$106</definedName>
    <definedName name="Summary_1993" localSheetId="5">[5]Sheet1!$E$25:$E$106</definedName>
    <definedName name="Summary_1993" localSheetId="1">[5]Sheet1!$E$25:$E$106</definedName>
    <definedName name="Summary_1993" localSheetId="3">[5]Sheet1!$E$25:$E$106</definedName>
    <definedName name="Summary_1993" localSheetId="2">#REF!</definedName>
    <definedName name="Summary_1993">#REF!</definedName>
    <definedName name="Summary_1994" localSheetId="9">[5]Sheet1!$F$25:$F$106</definedName>
    <definedName name="Summary_1994" localSheetId="8">[5]Sheet1!$F$25:$F$106</definedName>
    <definedName name="Summary_1994" localSheetId="5">[5]Sheet1!$F$25:$F$106</definedName>
    <definedName name="Summary_1994" localSheetId="1">[5]Sheet1!$F$25:$F$106</definedName>
    <definedName name="Summary_1994" localSheetId="3">[5]Sheet1!$F$25:$F$106</definedName>
    <definedName name="Summary_1994" localSheetId="2">#REF!</definedName>
    <definedName name="Summary_1994">#REF!</definedName>
    <definedName name="Summary_1995" localSheetId="9">[5]Sheet1!$G$25:$G$106</definedName>
    <definedName name="Summary_1995" localSheetId="8">[5]Sheet1!$G$25:$G$106</definedName>
    <definedName name="Summary_1995" localSheetId="5">[5]Sheet1!$G$25:$G$106</definedName>
    <definedName name="Summary_1995" localSheetId="1">[5]Sheet1!$G$25:$G$106</definedName>
    <definedName name="Summary_1995" localSheetId="3">[5]Sheet1!$G$25:$G$106</definedName>
    <definedName name="Summary_1995" localSheetId="2">#REF!</definedName>
    <definedName name="Summary_1995">#REF!</definedName>
    <definedName name="Summary_1996" localSheetId="2">#REF!</definedName>
    <definedName name="Summary_1996">#REF!</definedName>
    <definedName name="Summary_1997" localSheetId="2">#REF!</definedName>
    <definedName name="Summary_1997">#REF!</definedName>
    <definedName name="Summary_2" localSheetId="9">[5]Sheet1!$E:$E</definedName>
    <definedName name="Summary_2" localSheetId="8">[5]Sheet1!$E:$E</definedName>
    <definedName name="Summary_2" localSheetId="5">[5]Sheet1!$E$1:$E$65536</definedName>
    <definedName name="Summary_2" localSheetId="1">[5]Sheet1!$E:$E</definedName>
    <definedName name="Summary_2" localSheetId="3">[5]Sheet1!$E:$E</definedName>
    <definedName name="Summary_2" localSheetId="2">#REF!</definedName>
    <definedName name="Summary_2">#REF!</definedName>
    <definedName name="Summary_3" localSheetId="9">[5]Sheet1!$D:$D</definedName>
    <definedName name="Summary_3" localSheetId="8">[5]Sheet1!$D:$D</definedName>
    <definedName name="Summary_3" localSheetId="5">[5]Sheet1!$D$1:$D$65536</definedName>
    <definedName name="Summary_3" localSheetId="1">[5]Sheet1!$D:$D</definedName>
    <definedName name="Summary_3" localSheetId="3">[5]Sheet1!$D:$D</definedName>
    <definedName name="Summary_3" localSheetId="2">#REF!</definedName>
    <definedName name="Summary_3">#REF!</definedName>
    <definedName name="Summary_4" localSheetId="9">[5]Sheet1!$C:$C</definedName>
    <definedName name="Summary_4" localSheetId="8">[5]Sheet1!$C:$C</definedName>
    <definedName name="Summary_4" localSheetId="5">[5]Sheet1!$C$1:$C$65536</definedName>
    <definedName name="Summary_4" localSheetId="1">[5]Sheet1!$C:$C</definedName>
    <definedName name="Summary_4" localSheetId="3">[5]Sheet1!$C:$C</definedName>
    <definedName name="Summary_4" localSheetId="2">#REF!</definedName>
    <definedName name="Summary_4">#REF!</definedName>
    <definedName name="Summary_Annual" localSheetId="2">#REF!</definedName>
    <definedName name="Summary_Annual">#REF!</definedName>
    <definedName name="Summary_Date" localSheetId="2">#REF!</definedName>
    <definedName name="Summary_Date">#REF!</definedName>
    <definedName name="Summary_EY1" localSheetId="2">#REF!</definedName>
    <definedName name="Summary_EY1">#REF!</definedName>
    <definedName name="Summary_EY2" localSheetId="2">#REF!</definedName>
    <definedName name="Summary_EY2">#REF!</definedName>
    <definedName name="Summary_P" localSheetId="9">[5]Sheet1!$G:$G</definedName>
    <definedName name="Summary_P" localSheetId="8">[5]Sheet1!$G:$G</definedName>
    <definedName name="Summary_P" localSheetId="5">[5]Sheet1!$G$1:$G$65536</definedName>
    <definedName name="Summary_P" localSheetId="1">[5]Sheet1!$G:$G</definedName>
    <definedName name="Summary_P" localSheetId="3">[5]Sheet1!$G:$G</definedName>
    <definedName name="Summary_P" localSheetId="2">#REF!</definedName>
    <definedName name="Summary_P">#REF!</definedName>
    <definedName name="SUS" localSheetId="5">#REF!</definedName>
    <definedName name="SUS">#REF!</definedName>
    <definedName name="SVCGMChg" localSheetId="5">#REF!</definedName>
    <definedName name="SVCGMChg">#REF!</definedName>
    <definedName name="SvcMixChg" localSheetId="5">#REF!</definedName>
    <definedName name="SvcMixChg">#REF!</definedName>
    <definedName name="sweden" localSheetId="5">#REF!</definedName>
    <definedName name="sweden">#REF!</definedName>
    <definedName name="T" localSheetId="8">cashqtr</definedName>
    <definedName name="T" localSheetId="6">cashqtr</definedName>
    <definedName name="T" localSheetId="2">cashqtr</definedName>
    <definedName name="T">cashqtr</definedName>
    <definedName name="T1CA92" localSheetId="9">#REF!</definedName>
    <definedName name="T1CA92" localSheetId="8">#REF!</definedName>
    <definedName name="T1CA92" localSheetId="5">#REF!</definedName>
    <definedName name="T1CA92" localSheetId="3">#REF!</definedName>
    <definedName name="T1CA92">#REF!</definedName>
    <definedName name="T1CA93" localSheetId="5">#REF!</definedName>
    <definedName name="T1CA93">#REF!</definedName>
    <definedName name="T1CA94" localSheetId="5">#REF!</definedName>
    <definedName name="T1CA94">#REF!</definedName>
    <definedName name="T1CA95" localSheetId="5">#REF!</definedName>
    <definedName name="T1CA95">#REF!</definedName>
    <definedName name="T1F" localSheetId="5">#REF!</definedName>
    <definedName name="T1F">#REF!</definedName>
    <definedName name="T1H93" localSheetId="5">#REF!</definedName>
    <definedName name="T1H93">#REF!</definedName>
    <definedName name="T1Q" localSheetId="5">#REF!</definedName>
    <definedName name="T1Q">#REF!</definedName>
    <definedName name="T1Q191" localSheetId="5">#REF!</definedName>
    <definedName name="T1Q191">#REF!</definedName>
    <definedName name="T1Q192" localSheetId="5">#REF!</definedName>
    <definedName name="T1Q192">#REF!</definedName>
    <definedName name="T1Q193" localSheetId="5">#REF!</definedName>
    <definedName name="T1Q193">#REF!</definedName>
    <definedName name="T1Q291" localSheetId="5">#REF!</definedName>
    <definedName name="T1Q291">#REF!</definedName>
    <definedName name="T1Q292" localSheetId="5">#REF!</definedName>
    <definedName name="T1Q292">#REF!</definedName>
    <definedName name="T1Q293" localSheetId="5">#REF!</definedName>
    <definedName name="T1Q293">#REF!</definedName>
    <definedName name="T1Q391" localSheetId="5">#REF!</definedName>
    <definedName name="T1Q391">#REF!</definedName>
    <definedName name="T1Q392" localSheetId="5">#REF!</definedName>
    <definedName name="T1Q392">#REF!</definedName>
    <definedName name="T1Q393" localSheetId="5">#REF!</definedName>
    <definedName name="T1Q393">#REF!</definedName>
    <definedName name="T1Q490" localSheetId="5">#REF!</definedName>
    <definedName name="T1Q490">#REF!</definedName>
    <definedName name="T1Q491" localSheetId="5">#REF!</definedName>
    <definedName name="T1Q491">#REF!</definedName>
    <definedName name="T1Q492" localSheetId="5">#REF!</definedName>
    <definedName name="T1Q492">#REF!</definedName>
    <definedName name="T1Q493" localSheetId="5">#REF!</definedName>
    <definedName name="T1Q493">#REF!</definedName>
    <definedName name="T1Q93" localSheetId="5">#REF!</definedName>
    <definedName name="T1Q93">#REF!</definedName>
    <definedName name="T1QN" localSheetId="5">#REF!</definedName>
    <definedName name="T1QN">#REF!</definedName>
    <definedName name="T1R" localSheetId="5">#REF!</definedName>
    <definedName name="T1R">#REF!</definedName>
    <definedName name="T1R93" localSheetId="5">#REF!</definedName>
    <definedName name="T1R93">#REF!</definedName>
    <definedName name="T2F" localSheetId="5">#REF!</definedName>
    <definedName name="T2F">#REF!</definedName>
    <definedName name="T2H93" localSheetId="5">#REF!</definedName>
    <definedName name="T2H93">#REF!</definedName>
    <definedName name="T2Q" localSheetId="5">#REF!</definedName>
    <definedName name="T2Q">#REF!</definedName>
    <definedName name="T2Q191" localSheetId="5">#REF!</definedName>
    <definedName name="T2Q191">#REF!</definedName>
    <definedName name="T2Q192" localSheetId="5">#REF!</definedName>
    <definedName name="T2Q192">#REF!</definedName>
    <definedName name="T2Q291" localSheetId="5">#REF!</definedName>
    <definedName name="T2Q291">#REF!</definedName>
    <definedName name="T2Q292" localSheetId="5">#REF!</definedName>
    <definedName name="T2Q292">#REF!</definedName>
    <definedName name="T2Q391" localSheetId="5">#REF!</definedName>
    <definedName name="T2Q391">#REF!</definedName>
    <definedName name="T2Q392" localSheetId="5">#REF!</definedName>
    <definedName name="T2Q392">#REF!</definedName>
    <definedName name="T2Q491" localSheetId="5">#REF!</definedName>
    <definedName name="T2Q491">#REF!</definedName>
    <definedName name="T2Q492" localSheetId="5">#REF!</definedName>
    <definedName name="T2Q492">#REF!</definedName>
    <definedName name="T2Q93" localSheetId="5">#REF!</definedName>
    <definedName name="T2Q93">#REF!</definedName>
    <definedName name="T2R" localSheetId="5">#REF!</definedName>
    <definedName name="T2R">#REF!</definedName>
    <definedName name="T2R93" localSheetId="5">#REF!</definedName>
    <definedName name="T2R93">#REF!</definedName>
    <definedName name="T7F" localSheetId="5">#REF!</definedName>
    <definedName name="T7F">#REF!</definedName>
    <definedName name="T7H93" localSheetId="5">#REF!</definedName>
    <definedName name="T7H93">#REF!</definedName>
    <definedName name="T7Q" localSheetId="5">#REF!</definedName>
    <definedName name="T7Q">#REF!</definedName>
    <definedName name="T7Q93" localSheetId="5">#REF!</definedName>
    <definedName name="T7Q93">#REF!</definedName>
    <definedName name="T7R" localSheetId="5">#REF!</definedName>
    <definedName name="T7R">#REF!</definedName>
    <definedName name="T7R93" localSheetId="5">#REF!</definedName>
    <definedName name="T7R93">#REF!</definedName>
    <definedName name="ta">[3]FLEX!$C$454:$IV$454</definedName>
    <definedName name="TABLE" localSheetId="9">#REF!</definedName>
    <definedName name="TABLE" localSheetId="8">#REF!</definedName>
    <definedName name="TABLE" localSheetId="5">#REF!</definedName>
    <definedName name="TABLE" localSheetId="3">#REF!</definedName>
    <definedName name="TABLE">#REF!</definedName>
    <definedName name="TABLE3" localSheetId="6">#REF!</definedName>
    <definedName name="TABLE3">#REF!</definedName>
    <definedName name="TABLE4" localSheetId="6">#REF!</definedName>
    <definedName name="TABLE4">#REF!</definedName>
    <definedName name="TABLE5" localSheetId="6">#REF!</definedName>
    <definedName name="TABLE5">#REF!</definedName>
    <definedName name="TableName">"Dummy"</definedName>
    <definedName name="Target_debt_to_capital" localSheetId="2">#REF!</definedName>
    <definedName name="Target_debt_to_capital">#REF!</definedName>
    <definedName name="tax">[3]FLEX!$C$59:$IV$59</definedName>
    <definedName name="Tax_benefit_from_interest" localSheetId="6">#REF!</definedName>
    <definedName name="Tax_benefit_from_interest" localSheetId="2">#REF!</definedName>
    <definedName name="Tax_benefit_from_interest">#REF!</definedName>
    <definedName name="Tax_benefit_from_oper_leases" localSheetId="2">#REF!</definedName>
    <definedName name="Tax_benefit_from_oper_leases">#REF!</definedName>
    <definedName name="Tax_benefit_from_ops_leases" localSheetId="2">#REF!</definedName>
    <definedName name="Tax_benefit_from_ops_leases">#REF!</definedName>
    <definedName name="Tax_rate_for_WACC" localSheetId="2">#REF!</definedName>
    <definedName name="Tax_rate_for_WACC">#REF!</definedName>
    <definedName name="Tax_Shield_Tax_Rate" localSheetId="2">#REF!</definedName>
    <definedName name="Tax_Shield_Tax_Rate">#REF!</definedName>
    <definedName name="TaxBenefit4Q" localSheetId="9">#REF!</definedName>
    <definedName name="TaxBenefit4Q" localSheetId="8">#REF!</definedName>
    <definedName name="TaxBenefit4Q" localSheetId="3">#REF!</definedName>
    <definedName name="TaxBenefit4Q">#REF!</definedName>
    <definedName name="Taxinterval">300</definedName>
    <definedName name="taxpct">[3]FLEX!$C$104:$IV$104</definedName>
    <definedName name="taxrate" localSheetId="9">[41]Summary!$Q$17</definedName>
    <definedName name="taxrate" localSheetId="8">[41]Summary!$Q$17</definedName>
    <definedName name="taxrate" localSheetId="5">[41]Summary!$Q$17</definedName>
    <definedName name="taxrate" localSheetId="3">[41]Summary!$Q$17</definedName>
    <definedName name="taxrate">[4]CLS!$C$104:$IV$104</definedName>
    <definedName name="tbvps">[3]FLEX!$C$505:$IV$505</definedName>
    <definedName name="TekAmort">'[7]Param (Old)'!$C$44</definedName>
    <definedName name="Terminal_PE" localSheetId="9">#REF!</definedName>
    <definedName name="Terminal_PE" localSheetId="8">#REF!</definedName>
    <definedName name="Terminal_PE" localSheetId="5">#REF!</definedName>
    <definedName name="Terminal_PE" localSheetId="3">#REF!</definedName>
    <definedName name="Terminal_PE">#REF!</definedName>
    <definedName name="ThirdQtr">[23]Param!$C$5</definedName>
    <definedName name="Ticker" localSheetId="9">'[14]Inputs &amp; Lookup'!$C$3</definedName>
    <definedName name="Ticker" localSheetId="8">'[14]Inputs &amp; Lookup'!$C$3</definedName>
    <definedName name="Ticker" localSheetId="5">'[14]Inputs &amp; Lookup'!$C$3</definedName>
    <definedName name="Ticker" localSheetId="3">'[14]Inputs &amp; Lookup'!$C$3</definedName>
    <definedName name="Ticker">[25]External!$B$4</definedName>
    <definedName name="TickersList" localSheetId="9">#REF!</definedName>
    <definedName name="TickersList" localSheetId="8">#REF!</definedName>
    <definedName name="TickersList" localSheetId="5">#REF!</definedName>
    <definedName name="TickersList" localSheetId="3">#REF!</definedName>
    <definedName name="TickersList">#REF!</definedName>
    <definedName name="timeframelook">[18]Income!$A$47:$B$60</definedName>
    <definedName name="TJYTY" localSheetId="8" hidden="1">{"'MonthlyReport1'!$E$10:$U$120"}</definedName>
    <definedName name="TJYTY" localSheetId="6" hidden="1">{"'MonthlyReport1'!$E$10:$U$120"}</definedName>
    <definedName name="TJYTY" hidden="1">{"'MonthlyReport1'!$E$10:$U$120"}</definedName>
    <definedName name="tl">[3]FLEX!$C$478:$IV$478</definedName>
    <definedName name="Total_amort_fore" localSheetId="6">#REF!</definedName>
    <definedName name="Total_amort_fore" localSheetId="2">#REF!</definedName>
    <definedName name="Total_amort_fore">#REF!</definedName>
    <definedName name="Total_Amortization" localSheetId="2">#REF!</definedName>
    <definedName name="Total_Amortization">#REF!</definedName>
    <definedName name="Total_Amortization_fore" localSheetId="2">#REF!</definedName>
    <definedName name="Total_Amortization_fore">#REF!</definedName>
    <definedName name="total_cash_in">[5]Sheet1!$P$28</definedName>
    <definedName name="Total_COS" localSheetId="2">#REF!</definedName>
    <definedName name="Total_COS">#REF!</definedName>
    <definedName name="Total_COS_fore" localSheetId="2">#REF!</definedName>
    <definedName name="Total_COS_fore">#REF!</definedName>
    <definedName name="Total_COS_growth_fore" localSheetId="2">#REF!</definedName>
    <definedName name="Total_COS_growth_fore">#REF!</definedName>
    <definedName name="Total_COS_net_DnA" localSheetId="2">#REF!</definedName>
    <definedName name="Total_COS_net_DnA">#REF!</definedName>
    <definedName name="Total_COS_net_DnA_fore" localSheetId="9">[5]Sheet1!#REF!</definedName>
    <definedName name="Total_COS_net_DnA_fore" localSheetId="8">[5]Sheet1!#REF!</definedName>
    <definedName name="Total_COS_net_DnA_fore" localSheetId="5">[5]Sheet1!#REF!</definedName>
    <definedName name="Total_COS_net_DnA_fore" localSheetId="1">[5]Sheet1!#REF!</definedName>
    <definedName name="Total_COS_net_DnA_fore" localSheetId="3">[5]Sheet1!#REF!</definedName>
    <definedName name="Total_COS_net_DnA_fore" localSheetId="2">#REF!</definedName>
    <definedName name="Total_COS_net_DnA_fore">#REF!</definedName>
    <definedName name="Total_debt" localSheetId="2">#REF!</definedName>
    <definedName name="Total_debt">#REF!</definedName>
    <definedName name="Total_debt_DCF" localSheetId="2">#REF!</definedName>
    <definedName name="Total_debt_DCF">#REF!</definedName>
    <definedName name="Total_debt_fore" localSheetId="2">#REF!</definedName>
    <definedName name="Total_debt_fore">#REF!</definedName>
    <definedName name="Total_debt_growth_fore" localSheetId="2">#REF!</definedName>
    <definedName name="Total_debt_growth_fore">#REF!</definedName>
    <definedName name="Total_increase_in_EEs" localSheetId="2">#REF!</definedName>
    <definedName name="Total_increase_in_EEs">#REF!</definedName>
    <definedName name="Total_Increase_in_EEs_fore" localSheetId="2">#REF!</definedName>
    <definedName name="Total_Increase_in_EEs_fore">#REF!</definedName>
    <definedName name="Total_other_assets" localSheetId="2">#REF!</definedName>
    <definedName name="Total_other_assets">#REF!</definedName>
    <definedName name="treeList" hidden="1">"00000000000000000000000000000000000000000000000000000000000000000000000000000000000000000000000000000000000000000000000000000000000000000000000000000000000000000000000000000000000000000000000000000000"</definedName>
    <definedName name="trwr" localSheetId="9">#REF!</definedName>
    <definedName name="trwr" localSheetId="8">#REF!</definedName>
    <definedName name="trwr" localSheetId="5">#REF!</definedName>
    <definedName name="trwr" localSheetId="3">#REF!</definedName>
    <definedName name="trwr">#REF!</definedName>
    <definedName name="tt" localSheetId="6">#REF!</definedName>
    <definedName name="tt" localSheetId="2">#REF!</definedName>
    <definedName name="tt">#REF!</definedName>
    <definedName name="TXN">'[6]Stock Perf.'!$I$22:$I$123</definedName>
    <definedName name="TYETY" localSheetId="8" hidden="1">{"'MonthlyReport1'!$E$10:$U$120"}</definedName>
    <definedName name="TYETY" localSheetId="6" hidden="1">{"'MonthlyReport1'!$E$10:$U$120"}</definedName>
    <definedName name="TYETY" hidden="1">{"'MonthlyReport1'!$E$10:$U$120"}</definedName>
    <definedName name="UGHS" localSheetId="5">#REF!</definedName>
    <definedName name="UGHS">#REF!</definedName>
    <definedName name="uil" localSheetId="8" hidden="1">{"'MonthlyReport1'!$E$10:$U$120"}</definedName>
    <definedName name="uil" localSheetId="6" hidden="1">{"'MonthlyReport1'!$E$10:$U$120"}</definedName>
    <definedName name="uil" hidden="1">{"'MonthlyReport1'!$E$10:$U$120"}</definedName>
    <definedName name="UniqueRange_37" localSheetId="2">#REF!</definedName>
    <definedName name="UniqueRange_37">#REF!</definedName>
    <definedName name="UniqueRange_38" localSheetId="2">#REF!</definedName>
    <definedName name="UniqueRange_38">#REF!</definedName>
    <definedName name="UniqueRange_466" localSheetId="2">#REF!</definedName>
    <definedName name="UniqueRange_466">#REF!</definedName>
    <definedName name="UniqueRange_468" localSheetId="2">#REF!</definedName>
    <definedName name="UniqueRange_468">#REF!</definedName>
    <definedName name="UniqueRange_469" localSheetId="2">#REF!</definedName>
    <definedName name="UniqueRange_469">#REF!</definedName>
    <definedName name="UniqueRange_470" localSheetId="2">#REF!</definedName>
    <definedName name="UniqueRange_470">#REF!</definedName>
    <definedName name="UniqueRange_471" localSheetId="2">#REF!</definedName>
    <definedName name="UniqueRange_471">#REF!</definedName>
    <definedName name="UniqueRange_472" localSheetId="2">#REF!</definedName>
    <definedName name="UniqueRange_472">#REF!</definedName>
    <definedName name="UniqueRange_473" localSheetId="2">#REF!</definedName>
    <definedName name="UniqueRange_473">#REF!</definedName>
    <definedName name="UniqueRange_474" localSheetId="2">#REF!</definedName>
    <definedName name="UniqueRange_474">#REF!</definedName>
    <definedName name="UniqueRange_475" localSheetId="2">#REF!</definedName>
    <definedName name="UniqueRange_475">#REF!</definedName>
    <definedName name="UniqueRange_476" localSheetId="2">#REF!</definedName>
    <definedName name="UniqueRange_476">#REF!</definedName>
    <definedName name="UniqueRange_477" localSheetId="2">#REF!</definedName>
    <definedName name="UniqueRange_477">#REF!</definedName>
    <definedName name="UniqueRange_478" localSheetId="2">#REF!</definedName>
    <definedName name="UniqueRange_478">#REF!</definedName>
    <definedName name="UniqueRange_479" localSheetId="2">#REF!</definedName>
    <definedName name="UniqueRange_479">#REF!</definedName>
    <definedName name="UniqueRange_480" localSheetId="2">#REF!</definedName>
    <definedName name="UniqueRange_480">#REF!</definedName>
    <definedName name="UniqueRange_481" localSheetId="2">#REF!</definedName>
    <definedName name="UniqueRange_481">#REF!</definedName>
    <definedName name="UniqueRange_482" localSheetId="2">#REF!</definedName>
    <definedName name="UniqueRange_482">#REF!</definedName>
    <definedName name="UniqueRange_483" localSheetId="2">#REF!</definedName>
    <definedName name="UniqueRange_483">#REF!</definedName>
    <definedName name="UniqueRange_484" localSheetId="2">#REF!</definedName>
    <definedName name="UniqueRange_484">#REF!</definedName>
    <definedName name="UniqueRange_485" localSheetId="2">#REF!</definedName>
    <definedName name="UniqueRange_485">#REF!</definedName>
    <definedName name="UniqueRange_50" localSheetId="2">#REF!</definedName>
    <definedName name="UniqueRange_50">#REF!</definedName>
    <definedName name="UniqueRange_51" localSheetId="2">#REF!</definedName>
    <definedName name="UniqueRange_51">#REF!</definedName>
    <definedName name="UniqueRange_52" localSheetId="2">#REF!</definedName>
    <definedName name="UniqueRange_52">#REF!</definedName>
    <definedName name="UniqueRange_53" localSheetId="2">#REF!</definedName>
    <definedName name="UniqueRange_53">#REF!</definedName>
    <definedName name="UniqueRange_54" localSheetId="2">#REF!</definedName>
    <definedName name="UniqueRange_54">#REF!</definedName>
    <definedName name="UniqueRange_55" localSheetId="2">#REF!</definedName>
    <definedName name="UniqueRange_55">#REF!</definedName>
    <definedName name="UniqueRange_56" localSheetId="2">#REF!</definedName>
    <definedName name="UniqueRange_56">#REF!</definedName>
    <definedName name="UniqueRange_57" localSheetId="2">#REF!</definedName>
    <definedName name="UniqueRange_57">#REF!</definedName>
    <definedName name="UniqueRange_58" localSheetId="2">#REF!</definedName>
    <definedName name="UniqueRange_58">#REF!</definedName>
    <definedName name="UniqueRange_59" localSheetId="2">#REF!</definedName>
    <definedName name="UniqueRange_59">#REF!</definedName>
    <definedName name="UniqueRange_60" localSheetId="2">#REF!</definedName>
    <definedName name="UniqueRange_60">#REF!</definedName>
    <definedName name="UniqueRange_61" localSheetId="2">#REF!</definedName>
    <definedName name="UniqueRange_61">#REF!</definedName>
    <definedName name="UniqueRange_62" localSheetId="2">#REF!</definedName>
    <definedName name="UniqueRange_62">#REF!</definedName>
    <definedName name="UniqueRange_63" localSheetId="2">#REF!</definedName>
    <definedName name="UniqueRange_63">#REF!</definedName>
    <definedName name="UniqueRange_64" localSheetId="2">#REF!</definedName>
    <definedName name="UniqueRange_64">#REF!</definedName>
    <definedName name="UniqueRange_65" localSheetId="2">#REF!</definedName>
    <definedName name="UniqueRange_65">#REF!</definedName>
    <definedName name="UniqueRange_66" localSheetId="2">#REF!</definedName>
    <definedName name="UniqueRange_66">#REF!</definedName>
    <definedName name="UniqueRange_67" localSheetId="2">#REF!</definedName>
    <definedName name="UniqueRange_67">#REF!</definedName>
    <definedName name="UniqueRange_68" localSheetId="2">#REF!</definedName>
    <definedName name="UniqueRange_68">#REF!</definedName>
    <definedName name="UniqueRange_69" localSheetId="2">#REF!</definedName>
    <definedName name="UniqueRange_69">#REF!</definedName>
    <definedName name="UNIT_ANALYSIS" localSheetId="5">#REF!</definedName>
    <definedName name="UNIT_ANALYSIS">#REF!</definedName>
    <definedName name="United_Toggle">[42]IS!$C$119</definedName>
    <definedName name="us_budget" localSheetId="9" hidden="1">{#N/A,#N/A,FALSE,"3mos";#N/A,#N/A,FALSE,"dedicated"}</definedName>
    <definedName name="us_budget" localSheetId="8" hidden="1">{#N/A,#N/A,FALSE,"3mos";#N/A,#N/A,FALSE,"dedicated"}</definedName>
    <definedName name="us_budget" localSheetId="5" hidden="1">{#N/A,#N/A,FALSE,"3mos";#N/A,#N/A,FALSE,"dedicated"}</definedName>
    <definedName name="us_budget" localSheetId="1" hidden="1">{#N/A,#N/A,FALSE,"3mos";#N/A,#N/A,FALSE,"dedicated"}</definedName>
    <definedName name="us_budget" localSheetId="3" hidden="1">{#N/A,#N/A,FALSE,"3mos";#N/A,#N/A,FALSE,"dedicated"}</definedName>
    <definedName name="us_budget" hidden="1">{#N/A,#N/A,FALSE,"3mos";#N/A,#N/A,FALSE,"dedicated"}</definedName>
    <definedName name="USClosingStockPrice">#REF!</definedName>
    <definedName name="val" localSheetId="5">#REF!</definedName>
    <definedName name="val" localSheetId="3">#REF!</definedName>
    <definedName name="val">#REF!</definedName>
    <definedName name="Valuation1" localSheetId="5">#REF!</definedName>
    <definedName name="Valuation1">#REF!</definedName>
    <definedName name="Valuation10" localSheetId="5">#REF!</definedName>
    <definedName name="Valuation10">#REF!</definedName>
    <definedName name="Valuation11" localSheetId="5">#REF!</definedName>
    <definedName name="Valuation11">#REF!</definedName>
    <definedName name="Valuation12" localSheetId="5">#REF!</definedName>
    <definedName name="Valuation12">#REF!</definedName>
    <definedName name="Valuation13" localSheetId="5">#REF!</definedName>
    <definedName name="Valuation13">#REF!</definedName>
    <definedName name="Valuation14" localSheetId="5">#REF!</definedName>
    <definedName name="Valuation14">#REF!</definedName>
    <definedName name="Valuation15" localSheetId="5">#REF!</definedName>
    <definedName name="Valuation15">#REF!</definedName>
    <definedName name="Valuation16" localSheetId="5">#REF!</definedName>
    <definedName name="Valuation16">#REF!</definedName>
    <definedName name="Valuation2" localSheetId="5">#REF!</definedName>
    <definedName name="Valuation2">#REF!</definedName>
    <definedName name="Valuation3" localSheetId="5">#REF!</definedName>
    <definedName name="Valuation3">#REF!</definedName>
    <definedName name="Valuation4" localSheetId="5">#REF!</definedName>
    <definedName name="Valuation4">#REF!</definedName>
    <definedName name="Valuation5" localSheetId="5">#REF!</definedName>
    <definedName name="Valuation5">#REF!</definedName>
    <definedName name="Valuation6" localSheetId="5">#REF!</definedName>
    <definedName name="Valuation6">#REF!</definedName>
    <definedName name="Valuation7" localSheetId="5">#REF!</definedName>
    <definedName name="Valuation7">#REF!</definedName>
    <definedName name="Valuation8" localSheetId="5">#REF!</definedName>
    <definedName name="Valuation8">#REF!</definedName>
    <definedName name="Valuation9" localSheetId="5">#REF!</definedName>
    <definedName name="Valuation9">#REF!</definedName>
    <definedName name="Value_of_Equity" localSheetId="2">#REF!</definedName>
    <definedName name="Value_of_Equity">#REF!</definedName>
    <definedName name="Value_of_Firm" localSheetId="2">#REF!</definedName>
    <definedName name="Value_of_Firm">#REF!</definedName>
    <definedName name="Value_of_Unconsol._Subs" localSheetId="2">#REF!</definedName>
    <definedName name="Value_of_Unconsol._Subs">#REF!</definedName>
    <definedName name="Value_per_share" localSheetId="2">#REF!</definedName>
    <definedName name="Value_per_share">#REF!</definedName>
    <definedName name="vantive" localSheetId="9" hidden="1">'[43]Combined Model'!$R$4</definedName>
    <definedName name="vantive" localSheetId="8" hidden="1">'[43]Combined Model'!$R$4</definedName>
    <definedName name="vantive" localSheetId="5" hidden="1">'[44]Combined Model'!$R$4</definedName>
    <definedName name="vantive" localSheetId="1" hidden="1">'[43]Combined Model'!$R$4</definedName>
    <definedName name="vantive" localSheetId="3" hidden="1">'[43]Combined Model'!$R$4</definedName>
    <definedName name="vantive" hidden="1">'[44]Combined Model'!$R$4</definedName>
    <definedName name="Variation" localSheetId="9" hidden="1">{"CFSModel",#N/A,FALSE,"CFS"}</definedName>
    <definedName name="Variation" localSheetId="8" hidden="1">{"CFSModel",#N/A,FALSE,"CFS"}</definedName>
    <definedName name="Variation" localSheetId="5" hidden="1">{"CFSModel",#N/A,FALSE,"CFS"}</definedName>
    <definedName name="Variation" localSheetId="3" hidden="1">{"CFSModel",#N/A,FALSE,"CFS"}</definedName>
    <definedName name="Variation" hidden="1">{"CFSModel",#N/A,FALSE,"CFS"}</definedName>
    <definedName name="vars" localSheetId="9">#REF!</definedName>
    <definedName name="vars" localSheetId="8">#REF!</definedName>
    <definedName name="vars" localSheetId="5">#REF!</definedName>
    <definedName name="vars" localSheetId="3">#REF!</definedName>
    <definedName name="vars">#REF!</definedName>
    <definedName name="VDV" localSheetId="8" hidden="1">{"'MonthlyReport1'!$E$10:$U$120"}</definedName>
    <definedName name="VDV" localSheetId="6" hidden="1">{"'MonthlyReport1'!$E$10:$U$120"}</definedName>
    <definedName name="VDV" hidden="1">{"'MonthlyReport1'!$E$10:$U$120"}</definedName>
    <definedName name="w" localSheetId="9" hidden="1">{"QtrModel",#N/A,FALSE,"IS"}</definedName>
    <definedName name="w" localSheetId="8" hidden="1">{"QtrModel",#N/A,FALSE,"IS"}</definedName>
    <definedName name="w" localSheetId="5" hidden="1">{"QtrModel",#N/A,FALSE,"IS"}</definedName>
    <definedName name="w" localSheetId="3" hidden="1">{"QtrModel",#N/A,FALSE,"IS"}</definedName>
    <definedName name="w" hidden="1">{"QtrModel",#N/A,FALSE,"IS"}</definedName>
    <definedName name="WACC">#REF!</definedName>
    <definedName name="WACC_1" localSheetId="9">[5]Sheet1!$Q$44</definedName>
    <definedName name="WACC_1" localSheetId="8">[5]Sheet1!$Q$44</definedName>
    <definedName name="WACC_1" localSheetId="5">[5]Sheet1!$Q$44</definedName>
    <definedName name="WACC_1" localSheetId="1">[5]Sheet1!$Q$44</definedName>
    <definedName name="WACC_1" localSheetId="3">[5]Sheet1!$Q$44</definedName>
    <definedName name="WACC_1" localSheetId="2">#REF!</definedName>
    <definedName name="WACC_1">#REF!</definedName>
    <definedName name="WACC_10" localSheetId="9">[5]Sheet1!$H$44</definedName>
    <definedName name="WACC_10" localSheetId="8">[5]Sheet1!$H$44</definedName>
    <definedName name="WACC_10" localSheetId="5">[5]Sheet1!$H$44</definedName>
    <definedName name="WACC_10" localSheetId="1">[5]Sheet1!$H$44</definedName>
    <definedName name="WACC_10" localSheetId="3">[5]Sheet1!$H$44</definedName>
    <definedName name="WACC_10" localSheetId="2">#REF!</definedName>
    <definedName name="WACC_10">#REF!</definedName>
    <definedName name="WACC_11" localSheetId="9">[5]Sheet1!$G$44</definedName>
    <definedName name="WACC_11" localSheetId="8">[5]Sheet1!$G$44</definedName>
    <definedName name="WACC_11" localSheetId="5">[5]Sheet1!$G$44</definedName>
    <definedName name="WACC_11" localSheetId="1">[5]Sheet1!$G$44</definedName>
    <definedName name="WACC_11" localSheetId="3">[5]Sheet1!$G$44</definedName>
    <definedName name="WACC_11" localSheetId="2">#REF!</definedName>
    <definedName name="WACC_11">#REF!</definedName>
    <definedName name="WACC_12" localSheetId="9">[5]Sheet1!$F$44</definedName>
    <definedName name="WACC_12" localSheetId="8">[5]Sheet1!$F$44</definedName>
    <definedName name="WACC_12" localSheetId="5">[5]Sheet1!$F$44</definedName>
    <definedName name="WACC_12" localSheetId="1">[5]Sheet1!$F$44</definedName>
    <definedName name="WACC_12" localSheetId="3">[5]Sheet1!$F$44</definedName>
    <definedName name="WACC_12" localSheetId="2">#REF!</definedName>
    <definedName name="WACC_12">#REF!</definedName>
    <definedName name="WACC_13" localSheetId="9">[5]Sheet1!$E$44</definedName>
    <definedName name="WACC_13" localSheetId="8">[5]Sheet1!$E$44</definedName>
    <definedName name="WACC_13" localSheetId="5">[5]Sheet1!$E$44</definedName>
    <definedName name="WACC_13" localSheetId="1">[5]Sheet1!$E$44</definedName>
    <definedName name="WACC_13" localSheetId="3">[5]Sheet1!$E$44</definedName>
    <definedName name="WACC_13" localSheetId="2">#REF!</definedName>
    <definedName name="WACC_13">#REF!</definedName>
    <definedName name="WACC_14" localSheetId="9">[5]Sheet1!$D$44</definedName>
    <definedName name="WACC_14" localSheetId="8">[5]Sheet1!$D$44</definedName>
    <definedName name="WACC_14" localSheetId="5">[5]Sheet1!$D$44</definedName>
    <definedName name="WACC_14" localSheetId="1">[5]Sheet1!$D$44</definedName>
    <definedName name="WACC_14" localSheetId="3">[5]Sheet1!$D$44</definedName>
    <definedName name="WACC_14" localSheetId="2">#REF!</definedName>
    <definedName name="WACC_14">#REF!</definedName>
    <definedName name="WACC_2" localSheetId="9">[5]Sheet1!$P$44</definedName>
    <definedName name="WACC_2" localSheetId="8">[5]Sheet1!$P$44</definedName>
    <definedName name="WACC_2" localSheetId="5">[5]Sheet1!$P$44</definedName>
    <definedName name="WACC_2" localSheetId="1">[5]Sheet1!$P$44</definedName>
    <definedName name="WACC_2" localSheetId="3">[5]Sheet1!$P$44</definedName>
    <definedName name="WACC_2" localSheetId="2">#REF!</definedName>
    <definedName name="WACC_2">#REF!</definedName>
    <definedName name="WACC_3" localSheetId="9">[5]Sheet1!$O$44</definedName>
    <definedName name="WACC_3" localSheetId="8">[5]Sheet1!$O$44</definedName>
    <definedName name="WACC_3" localSheetId="5">[5]Sheet1!$O$44</definedName>
    <definedName name="WACC_3" localSheetId="1">[5]Sheet1!$O$44</definedName>
    <definedName name="WACC_3" localSheetId="3">[5]Sheet1!$O$44</definedName>
    <definedName name="WACC_3" localSheetId="2">#REF!</definedName>
    <definedName name="WACC_3">#REF!</definedName>
    <definedName name="WACC_4" localSheetId="9">[5]Sheet1!$N$44</definedName>
    <definedName name="WACC_4" localSheetId="8">[5]Sheet1!$N$44</definedName>
    <definedName name="WACC_4" localSheetId="5">[5]Sheet1!$N$44</definedName>
    <definedName name="WACC_4" localSheetId="1">[5]Sheet1!$N$44</definedName>
    <definedName name="WACC_4" localSheetId="3">[5]Sheet1!$N$44</definedName>
    <definedName name="WACC_4" localSheetId="2">#REF!</definedName>
    <definedName name="WACC_4">#REF!</definedName>
    <definedName name="WACC_5" localSheetId="9">[5]Sheet1!$M$44</definedName>
    <definedName name="WACC_5" localSheetId="8">[5]Sheet1!$M$44</definedName>
    <definedName name="WACC_5" localSheetId="5">[5]Sheet1!$M$44</definedName>
    <definedName name="WACC_5" localSheetId="1">[5]Sheet1!$M$44</definedName>
    <definedName name="WACC_5" localSheetId="3">[5]Sheet1!$M$44</definedName>
    <definedName name="WACC_5" localSheetId="2">#REF!</definedName>
    <definedName name="WACC_5">#REF!</definedName>
    <definedName name="WACC_6" localSheetId="9">[5]Sheet1!$L$44</definedName>
    <definedName name="WACC_6" localSheetId="8">[5]Sheet1!$L$44</definedName>
    <definedName name="WACC_6" localSheetId="5">[5]Sheet1!$L$44</definedName>
    <definedName name="WACC_6" localSheetId="1">[5]Sheet1!$L$44</definedName>
    <definedName name="WACC_6" localSheetId="3">[5]Sheet1!$L$44</definedName>
    <definedName name="WACC_6" localSheetId="2">#REF!</definedName>
    <definedName name="WACC_6">#REF!</definedName>
    <definedName name="WACC_7" localSheetId="9">[5]Sheet1!$K$44</definedName>
    <definedName name="WACC_7" localSheetId="8">[5]Sheet1!$K$44</definedName>
    <definedName name="WACC_7" localSheetId="5">[5]Sheet1!$K$44</definedName>
    <definedName name="WACC_7" localSheetId="1">[5]Sheet1!$K$44</definedName>
    <definedName name="WACC_7" localSheetId="3">[5]Sheet1!$K$44</definedName>
    <definedName name="WACC_7" localSheetId="2">#REF!</definedName>
    <definedName name="WACC_7">#REF!</definedName>
    <definedName name="WACC_8" localSheetId="9">[5]Sheet1!$J$44</definedName>
    <definedName name="WACC_8" localSheetId="8">[5]Sheet1!$J$44</definedName>
    <definedName name="WACC_8" localSheetId="5">[5]Sheet1!$J$44</definedName>
    <definedName name="WACC_8" localSheetId="1">[5]Sheet1!$J$44</definedName>
    <definedName name="WACC_8" localSheetId="3">[5]Sheet1!$J$44</definedName>
    <definedName name="WACC_8" localSheetId="2">#REF!</definedName>
    <definedName name="WACC_8">#REF!</definedName>
    <definedName name="WACC_9" localSheetId="9">[5]Sheet1!$I$44</definedName>
    <definedName name="WACC_9" localSheetId="8">[5]Sheet1!$I$44</definedName>
    <definedName name="WACC_9" localSheetId="5">[5]Sheet1!$I$44</definedName>
    <definedName name="WACC_9" localSheetId="1">[5]Sheet1!$I$44</definedName>
    <definedName name="WACC_9" localSheetId="3">[5]Sheet1!$I$44</definedName>
    <definedName name="WACC_9" localSheetId="2">#REF!</definedName>
    <definedName name="WACC_9">#REF!</definedName>
    <definedName name="WACC_fore" localSheetId="2">#REF!</definedName>
    <definedName name="WACC_fore">#REF!</definedName>
    <definedName name="WACC_P" localSheetId="9">[5]Sheet1!$R$44</definedName>
    <definedName name="WACC_P" localSheetId="8">[5]Sheet1!$R$44</definedName>
    <definedName name="WACC_P" localSheetId="5">[5]Sheet1!$R$44</definedName>
    <definedName name="WACC_P" localSheetId="1">[5]Sheet1!$R$44</definedName>
    <definedName name="WACC_P" localSheetId="3">[5]Sheet1!$R$44</definedName>
    <definedName name="WACC_P" localSheetId="2">#REF!</definedName>
    <definedName name="WACC_P">#REF!</definedName>
    <definedName name="WACC_P_1" localSheetId="2">#REF!</definedName>
    <definedName name="WACC_P_1">#REF!</definedName>
    <definedName name="WACC_P_10" localSheetId="2">#REF!</definedName>
    <definedName name="WACC_P_10">#REF!</definedName>
    <definedName name="WACC_P_11" localSheetId="2">#REF!</definedName>
    <definedName name="WACC_P_11">#REF!</definedName>
    <definedName name="WACC_P_12" localSheetId="2">#REF!</definedName>
    <definedName name="WACC_P_12">#REF!</definedName>
    <definedName name="WACC_P_13" localSheetId="2">#REF!</definedName>
    <definedName name="WACC_P_13">#REF!</definedName>
    <definedName name="WACC_P_14" localSheetId="2">#REF!</definedName>
    <definedName name="WACC_P_14">#REF!</definedName>
    <definedName name="WACC_P_2" localSheetId="2">#REF!</definedName>
    <definedName name="WACC_P_2">#REF!</definedName>
    <definedName name="WACC_P_3" localSheetId="2">#REF!</definedName>
    <definedName name="WACC_P_3">#REF!</definedName>
    <definedName name="WACC_P_4" localSheetId="2">#REF!</definedName>
    <definedName name="WACC_P_4">#REF!</definedName>
    <definedName name="WACC_P_5" localSheetId="2">#REF!</definedName>
    <definedName name="WACC_P_5">#REF!</definedName>
    <definedName name="WACC_P_6" localSheetId="2">#REF!</definedName>
    <definedName name="WACC_P_6">#REF!</definedName>
    <definedName name="WACC_P_7" localSheetId="2">#REF!</definedName>
    <definedName name="WACC_P_7">#REF!</definedName>
    <definedName name="WACC_P_8" localSheetId="9">[5]Sheet1!#REF!</definedName>
    <definedName name="WACC_P_8" localSheetId="8">[5]Sheet1!#REF!</definedName>
    <definedName name="WACC_P_8" localSheetId="5">[5]Sheet1!#REF!</definedName>
    <definedName name="WACC_P_8" localSheetId="1">[5]Sheet1!#REF!</definedName>
    <definedName name="WACC_P_8" localSheetId="3">[5]Sheet1!#REF!</definedName>
    <definedName name="WACC_P_8" localSheetId="2">#REF!</definedName>
    <definedName name="WACC_P_8">#REF!</definedName>
    <definedName name="WACC_P_9" localSheetId="2">#REF!</definedName>
    <definedName name="WACC_P_9">#REF!</definedName>
    <definedName name="WACC_Sensitivity" localSheetId="5">#REF!</definedName>
    <definedName name="WACC_Sensitivity">#REF!</definedName>
    <definedName name="wip">[3]FLEX!$C$461:$IV$461</definedName>
    <definedName name="WORK1" localSheetId="9">#REF!</definedName>
    <definedName name="WORK1" localSheetId="8">#REF!</definedName>
    <definedName name="WORK1" localSheetId="5">#REF!</definedName>
    <definedName name="WORK1" localSheetId="3">#REF!</definedName>
    <definedName name="WORK1">#REF!</definedName>
    <definedName name="wrn.ALL." localSheetId="8" hidden="1">{"AUS",#N/A,FALSE,"AUSTRALIA";"GER",#N/A,FALSE,"GERMANY";"NET",#N/A,FALSE,"NETHERLANDS";"UK",#N/A,FALSE,"U K"}</definedName>
    <definedName name="wrn.ALL." localSheetId="6" hidden="1">{"AUS",#N/A,FALSE,"AUSTRALIA";"GER",#N/A,FALSE,"GERMANY";"NET",#N/A,FALSE,"NETHERLANDS";"UK",#N/A,FALSE,"U K"}</definedName>
    <definedName name="wrn.ALL." hidden="1">{"AUS",#N/A,FALSE,"AUSTRALIA";"GER",#N/A,FALSE,"GERMANY";"NET",#N/A,FALSE,"NETHERLANDS";"UK",#N/A,FALSE,"U K"}</definedName>
    <definedName name="wrn.all_sheets." localSheetId="9" hidden="1">{#N/A,#N/A,FALSE,"3mos";#N/A,#N/A,FALSE,"dedicated"}</definedName>
    <definedName name="wrn.all_sheets." localSheetId="8" hidden="1">{#N/A,#N/A,FALSE,"3mos";#N/A,#N/A,FALSE,"dedicated"}</definedName>
    <definedName name="wrn.all_sheets." localSheetId="5" hidden="1">{#N/A,#N/A,FALSE,"3mos";#N/A,#N/A,FALSE,"dedicated"}</definedName>
    <definedName name="wrn.all_sheets." localSheetId="1" hidden="1">{#N/A,#N/A,FALSE,"3mos";#N/A,#N/A,FALSE,"dedicated"}</definedName>
    <definedName name="wrn.all_sheets." localSheetId="3" hidden="1">{#N/A,#N/A,FALSE,"3mos";#N/A,#N/A,FALSE,"dedicated"}</definedName>
    <definedName name="wrn.all_sheets." hidden="1">{#N/A,#N/A,FALSE,"3mos";#N/A,#N/A,FALSE,"dedicated"}</definedName>
    <definedName name="wrn.AllResults." localSheetId="8"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localSheetId="6"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AllResults." hidden="1">{#N/A,#N/A,FALSE,"Introduction";#N/A,#N/A,FALSE,"Input";#N/A,#N/A,FALSE,"LastYearInput";#N/A,#N/A,FALSE,"NextYearData";#N/A,#N/A,FALSE,"Summary";#N/A,#N/A,FALSE,"Quart";#N/A,#N/A,FALSE,"UAL";#N/A,#N/A,FALSE,"AVA";#N/A,#N/A,FALSE,"CL";#N/A,#N/A,FALSE,"CBal";#N/A,#N/A,FALSE,"Min";#N/A,#N/A,FALSE,"AFC";#N/A,#N/A,FALSE,"FFL";#N/A,#N/A,FALSE,"Max";#N/A,#N/A,FALSE,"MinAmort";#N/A,#N/A,FALSE,"Exp";#N/A,#N/A,FALSE,"AssetRet";#N/A,#N/A,FALSE,"NPPC";#N/A,#N/A,FALSE,"ReconPC";#N/A,#N/A,FALSE,"PSCAmort";#N/A,#N/A,FALSE,"FASBGL";#N/A,#N/A,FALSE,"FAS132";#N/A,#N/A,FALSE,"AML";#N/A,#N/A,FALSE,"FAS35";#N/A,#N/A,FALSE,"PI";#N/A,#N/A,FALSE,"DataRecon";#N/A,#N/A,FALSE,"GraphInput";#N/A,#N/A,FALSE,"Grph_Contrib";#N/A,#N/A,FALSE,"Grph_Fund";#N/A,#N/A,FALSE,"Grph_FAS87";#N/A,#N/A,FALSE,"Grph_FAS35";#N/A,#N/A,FALSE,"Grph_PI";#N/A,#N/A,FALSE,"Grph_Asset";#N/A,#N/A,FALSE,"Grph_Invest";#N/A,#N/A,FALSE,"ARPSOutput"}</definedName>
    <definedName name="wrn.ba." localSheetId="9"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localSheetId="8"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localSheetId="6"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localSheetId="5"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localSheetId="1"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localSheetId="3"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 hidden="1">{#N/A,#N/A,FALSE,"Summary";#N/A,#N/A,FALSE,"MDBA";#N/A,#N/A,FALSE,"Annual";#N/A,#N/A,FALSE,"Qrtly";#N/A,#N/A,FALSE,"Rates";#N/A,#N/A,FALSE,"CA Sales";#N/A,#N/A,FALSE,"CA SalesQtr";#N/A,#N/A,FALSE,"CA Profit";#N/A,#N/A,FALSE,"CA ProfitQtr";#N/A,#N/A,FALSE,"MD Military Aircraft";#N/A,#N/A,FALSE,"MD Space &amp; Finance";#N/A,#N/A,FALSE,"MD Commercial";#N/A,#N/A,FALSE,"MD Commercial";#N/A,#N/A,FALSE,"Space&amp;Mil.";#N/A,#N/A,FALSE,"Space&amp;DefQtr";#N/A,#N/A,FALSE,"Balance Sht";#N/A,#N/A,FALSE,"Balance Sht";#N/A,#N/A,FALSE,"BalanceShtQtr";#N/A,#N/A,FALSE,"Cash Flow Summary";#N/A,#N/A,FALSE,"Cashflow";#N/A,#N/A,FALSE,"CashflowQtr"}</definedName>
    <definedName name="wrn.Basic." localSheetId="9"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8"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6"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SAnnualModel." localSheetId="9" hidden="1">{"BSAnnualModel",#N/A,FALSE,"BS"}</definedName>
    <definedName name="wrn.BSAnnualModel." localSheetId="8" hidden="1">{"BSAnnualModel",#N/A,FALSE,"BS"}</definedName>
    <definedName name="wrn.BSAnnualModel." localSheetId="5" hidden="1">{"BSAnnualModel",#N/A,FALSE,"BS"}</definedName>
    <definedName name="wrn.BSAnnualModel." localSheetId="3" hidden="1">{"BSAnnualModel",#N/A,FALSE,"BS"}</definedName>
    <definedName name="wrn.BSAnnualModel." hidden="1">{"BSAnnualModel",#N/A,FALSE,"BS"}</definedName>
    <definedName name="wrn.BudExp." localSheetId="8" hidden="1">{"AUSTRALIA",#N/A,FALSE,"BudExp";"AUSTRIA",#N/A,FALSE,"BudExp";"BELGIUM1",#N/A,FALSE,"BudExp";"BELGIUM2",#N/A,FALSE,"BudExp";"BELGIUM3",#N/A,FALSE,"BudExp";"CANADA1",#N/A,FALSE,"BudExp";"CANADA2",#N/A,FALSE,"BudExp";"CANADA3",#N/A,FALSE,"BudExp";"FRANCE1",#N/A,FALSE,"BudExp";"FRANCE2",#N/A,FALSE,"BudExp";"FRANCE3",#N/A,FALSE,"BudExp";"FRANCE4",#N/A,FALSE,"BudExp";"FRANCE5",#N/A,FALSE,"BudExp";"GERMANY1",#N/A,FALSE,"BudExp";"GERMANY2",#N/A,FALSE,"BudExp";"GERMANY3",#N/A,FALSE,"BudExp";"GERMANY4",#N/A,FALSE,"BudExp";"GERMANY5",#N/A,FALSE,"BudExp";"GERMANY6",#N/A,FALSE,"BudExp";"HK",#N/A,FALSE,"BudExp";"IRELAND",#N/A,FALSE,"BudExp";"MEXICO1",#N/A,FALSE,"BudExp";"MEXICO2",#N/A,FALSE,"BudExp";"NETHERLANDS1",#N/A,FALSE,"BudExp";"NETHERLANDS2",#N/A,FALSE,"BudExp";"NETHERLANDS3",#N/A,FALSE,"BudExp";"NZ",#N/A,FALSE,"BudExp";"NORWAY",#N/A,FALSE,"BudExp";"SPAIN",#N/A,FALSE,"BudExp";"UK1",#N/A,FALSE,"BudExp";"UK2",#N/A,FALSE,"BudExp";"UK3",#N/A,FALSE,"BudExp";"UK4",#N/A,FALSE,"BudExp";#N/A,#N/A,FALSE,"BudExpTV";"TOTAL1",#N/A,FALSE,"BudExpTot";"TOTAL2",#N/A,FALSE,"BudExpTot";"TOTAL3",#N/A,FALSE,"BudExpTot";"TOTAL4",#N/A,FALSE,"BudExpTot";#N/A,#N/A,FALSE,"BudExpAssump"}</definedName>
    <definedName name="wrn.BudExp." localSheetId="6" hidden="1">{"AUSTRALIA",#N/A,FALSE,"BudExp";"AUSTRIA",#N/A,FALSE,"BudExp";"BELGIUM1",#N/A,FALSE,"BudExp";"BELGIUM2",#N/A,FALSE,"BudExp";"BELGIUM3",#N/A,FALSE,"BudExp";"CANADA1",#N/A,FALSE,"BudExp";"CANADA2",#N/A,FALSE,"BudExp";"CANADA3",#N/A,FALSE,"BudExp";"FRANCE1",#N/A,FALSE,"BudExp";"FRANCE2",#N/A,FALSE,"BudExp";"FRANCE3",#N/A,FALSE,"BudExp";"FRANCE4",#N/A,FALSE,"BudExp";"FRANCE5",#N/A,FALSE,"BudExp";"GERMANY1",#N/A,FALSE,"BudExp";"GERMANY2",#N/A,FALSE,"BudExp";"GERMANY3",#N/A,FALSE,"BudExp";"GERMANY4",#N/A,FALSE,"BudExp";"GERMANY5",#N/A,FALSE,"BudExp";"GERMANY6",#N/A,FALSE,"BudExp";"HK",#N/A,FALSE,"BudExp";"IRELAND",#N/A,FALSE,"BudExp";"MEXICO1",#N/A,FALSE,"BudExp";"MEXICO2",#N/A,FALSE,"BudExp";"NETHERLANDS1",#N/A,FALSE,"BudExp";"NETHERLANDS2",#N/A,FALSE,"BudExp";"NETHERLANDS3",#N/A,FALSE,"BudExp";"NZ",#N/A,FALSE,"BudExp";"NORWAY",#N/A,FALSE,"BudExp";"SPAIN",#N/A,FALSE,"BudExp";"UK1",#N/A,FALSE,"BudExp";"UK2",#N/A,FALSE,"BudExp";"UK3",#N/A,FALSE,"BudExp";"UK4",#N/A,FALSE,"BudExp";#N/A,#N/A,FALSE,"BudExpTV";"TOTAL1",#N/A,FALSE,"BudExpTot";"TOTAL2",#N/A,FALSE,"BudExpTot";"TOTAL3",#N/A,FALSE,"BudExpTot";"TOTAL4",#N/A,FALSE,"BudExpTot";#N/A,#N/A,FALSE,"BudExpAssump"}</definedName>
    <definedName name="wrn.BudExp." hidden="1">{"AUSTRALIA",#N/A,FALSE,"BudExp";"AUSTRIA",#N/A,FALSE,"BudExp";"BELGIUM1",#N/A,FALSE,"BudExp";"BELGIUM2",#N/A,FALSE,"BudExp";"BELGIUM3",#N/A,FALSE,"BudExp";"CANADA1",#N/A,FALSE,"BudExp";"CANADA2",#N/A,FALSE,"BudExp";"CANADA3",#N/A,FALSE,"BudExp";"FRANCE1",#N/A,FALSE,"BudExp";"FRANCE2",#N/A,FALSE,"BudExp";"FRANCE3",#N/A,FALSE,"BudExp";"FRANCE4",#N/A,FALSE,"BudExp";"FRANCE5",#N/A,FALSE,"BudExp";"GERMANY1",#N/A,FALSE,"BudExp";"GERMANY2",#N/A,FALSE,"BudExp";"GERMANY3",#N/A,FALSE,"BudExp";"GERMANY4",#N/A,FALSE,"BudExp";"GERMANY5",#N/A,FALSE,"BudExp";"GERMANY6",#N/A,FALSE,"BudExp";"HK",#N/A,FALSE,"BudExp";"IRELAND",#N/A,FALSE,"BudExp";"MEXICO1",#N/A,FALSE,"BudExp";"MEXICO2",#N/A,FALSE,"BudExp";"NETHERLANDS1",#N/A,FALSE,"BudExp";"NETHERLANDS2",#N/A,FALSE,"BudExp";"NETHERLANDS3",#N/A,FALSE,"BudExp";"NZ",#N/A,FALSE,"BudExp";"NORWAY",#N/A,FALSE,"BudExp";"SPAIN",#N/A,FALSE,"BudExp";"UK1",#N/A,FALSE,"BudExp";"UK2",#N/A,FALSE,"BudExp";"UK3",#N/A,FALSE,"BudExp";"UK4",#N/A,FALSE,"BudExp";#N/A,#N/A,FALSE,"BudExpTV";"TOTAL1",#N/A,FALSE,"BudExpTot";"TOTAL2",#N/A,FALSE,"BudExpTot";"TOTAL3",#N/A,FALSE,"BudExpTot";"TOTAL4",#N/A,FALSE,"BudExpTot";#N/A,#N/A,FALSE,"BudExpAssump"}</definedName>
    <definedName name="wrn.CFSModel." localSheetId="9" hidden="1">{"CFSModel",#N/A,FALSE,"CFS"}</definedName>
    <definedName name="wrn.CFSModel." localSheetId="8" hidden="1">{"CFSModel",#N/A,FALSE,"CFS"}</definedName>
    <definedName name="wrn.CFSModel." localSheetId="5" hidden="1">{"CFSModel",#N/A,FALSE,"CFS"}</definedName>
    <definedName name="wrn.CFSModel." localSheetId="3" hidden="1">{"CFSModel",#N/A,FALSE,"CFS"}</definedName>
    <definedName name="wrn.CFSModel." hidden="1">{"CFSModel",#N/A,FALSE,"CFS"}</definedName>
    <definedName name="wrn.CHART." localSheetId="8" hidden="1">{"CHART",#N/A,FALSE,"Arch Communications"}</definedName>
    <definedName name="wrn.CHART." localSheetId="6" hidden="1">{"CHART",#N/A,FALSE,"Arch Communications"}</definedName>
    <definedName name="wrn.CHART." hidden="1">{"CHART",#N/A,FALSE,"Arch Communications"}</definedName>
    <definedName name="wrn.Chuckie._.Boyz._.Masterfukinpiece." localSheetId="9" hidden="1">{#N/A,#N/A,FALSE,"Networking";#N/A,#N/A,FALSE,"Net. Graphs";#N/A,#N/A,FALSE,"Services";#N/A,#N/A,FALSE,"Serv. Grpahs"}</definedName>
    <definedName name="wrn.Chuckie._.Boyz._.Masterfukinpiece." localSheetId="8" hidden="1">{#N/A,#N/A,FALSE,"Networking";#N/A,#N/A,FALSE,"Net. Graphs";#N/A,#N/A,FALSE,"Services";#N/A,#N/A,FALSE,"Serv. Grpahs"}</definedName>
    <definedName name="wrn.Chuckie._.Boyz._.Masterfukinpiece." localSheetId="6" hidden="1">{#N/A,#N/A,FALSE,"Networking";#N/A,#N/A,FALSE,"Net. Graphs";#N/A,#N/A,FALSE,"Services";#N/A,#N/A,FALSE,"Serv. Grpahs"}</definedName>
    <definedName name="wrn.Chuckie._.Boyz._.Masterfukinpiece." localSheetId="5" hidden="1">{#N/A,#N/A,FALSE,"Networking";#N/A,#N/A,FALSE,"Net. Graphs";#N/A,#N/A,FALSE,"Services";#N/A,#N/A,FALSE,"Serv. Grpahs"}</definedName>
    <definedName name="wrn.Chuckie._.Boyz._.Masterfukinpiece." localSheetId="1" hidden="1">{#N/A,#N/A,FALSE,"Networking";#N/A,#N/A,FALSE,"Net. Graphs";#N/A,#N/A,FALSE,"Services";#N/A,#N/A,FALSE,"Serv. Grpahs"}</definedName>
    <definedName name="wrn.Chuckie._.Boyz._.Masterfukinpiece." localSheetId="3" hidden="1">{#N/A,#N/A,FALSE,"Networking";#N/A,#N/A,FALSE,"Net. Graphs";#N/A,#N/A,FALSE,"Services";#N/A,#N/A,FALSE,"Serv. Grpahs"}</definedName>
    <definedName name="wrn.Chuckie._.Boyz._.Masterfukinpiece." hidden="1">{#N/A,#N/A,FALSE,"Networking";#N/A,#N/A,FALSE,"Net. Graphs";#N/A,#N/A,FALSE,"Services";#N/A,#N/A,FALSE,"Serv. Grpahs"}</definedName>
    <definedName name="wrn.clientcopy." localSheetId="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8"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Disclosure." localSheetId="8" hidden="1">{"AABOLC",#N/A,FALSE,"Disclosure";"AABOUS",#N/A,FALSE,"Disclosure";"AABOUSTOT",#N/A,FALSE,"Disclosure";"ABOALC",#N/A,FALSE,"Disclosure";"ABOAUS",#N/A,FALSE,"Disclosure";"AssumptionsD",#N/A,FALSE,"Assumption";"Summary",#N/A,FALSE,"Summary"}</definedName>
    <definedName name="wrn.Disclosure." localSheetId="6" hidden="1">{"AABOLC",#N/A,FALSE,"Disclosure";"AABOUS",#N/A,FALSE,"Disclosure";"AABOUSTOT",#N/A,FALSE,"Disclosure";"ABOALC",#N/A,FALSE,"Disclosure";"ABOAUS",#N/A,FALSE,"Disclosure";"AssumptionsD",#N/A,FALSE,"Assumption";"Summary",#N/A,FALSE,"Summary"}</definedName>
    <definedName name="wrn.Disclosure." hidden="1">{"AABOLC",#N/A,FALSE,"Disclosure";"AABOUS",#N/A,FALSE,"Disclosure";"AABOUSTOT",#N/A,FALSE,"Disclosure";"ABOALC",#N/A,FALSE,"Disclosure";"ABOAUS",#N/A,FALSE,"Disclosure";"AssumptionsD",#N/A,FALSE,"Assumption";"Summary",#N/A,FALSE,"Summary"}</definedName>
    <definedName name="wrn.Eight._.Page." localSheetId="9" hidden="1">{"Income",#N/A,FALSE,"income";"Sales",#N/A,FALSE,"income";"Critical",#N/A,FALSE,"income";"Market",#N/A,FALSE,"Market";"Returns",#N/A,FALSE,"returns";"Balance",#N/A,FALSE,"balance";"Cash Flow",#N/A,FALSE,"balance"}</definedName>
    <definedName name="wrn.Eight._.Page." localSheetId="8" hidden="1">{"Income",#N/A,FALSE,"income";"Sales",#N/A,FALSE,"income";"Critical",#N/A,FALSE,"income";"Market",#N/A,FALSE,"Market";"Returns",#N/A,FALSE,"returns";"Balance",#N/A,FALSE,"balance";"Cash Flow",#N/A,FALSE,"balance"}</definedName>
    <definedName name="wrn.Eight._.Page." localSheetId="5" hidden="1">{"Income",#N/A,FALSE,"income";"Sales",#N/A,FALSE,"income";"Critical",#N/A,FALSE,"income";"Market",#N/A,FALSE,"Market";"Returns",#N/A,FALSE,"returns";"Balance",#N/A,FALSE,"balance";"Cash Flow",#N/A,FALSE,"balance"}</definedName>
    <definedName name="wrn.Eight._.Page." localSheetId="3" hidden="1">{"Income",#N/A,FALSE,"income";"Sales",#N/A,FALSE,"income";"Critical",#N/A,FALSE,"income";"Market",#N/A,FALSE,"Market";"Returns",#N/A,FALSE,"returns";"Balance",#N/A,FALSE,"balance";"Cash Flow",#N/A,FALSE,"balance"}</definedName>
    <definedName name="wrn.Eight._.Page." hidden="1">{"Income",#N/A,FALSE,"income";"Sales",#N/A,FALSE,"income";"Critical",#N/A,FALSE,"income";"Market",#N/A,FALSE,"Market";"Returns",#N/A,FALSE,"returns";"Balance",#N/A,FALSE,"balance";"Cash Flow",#N/A,FALSE,"balance"}</definedName>
    <definedName name="wrn.ExpenseSheets." localSheetId="8" hidden="1">{"KAW",#N/A,FALSE,"Expense";"LAU",#N/A,FALSE,"Expense";"UK",#N/A,FALSE,"Expense"}</definedName>
    <definedName name="wrn.ExpenseSheets." localSheetId="6" hidden="1">{"KAW",#N/A,FALSE,"Expense";"LAU",#N/A,FALSE,"Expense";"UK",#N/A,FALSE,"Expense"}</definedName>
    <definedName name="wrn.ExpenseSheets." hidden="1">{"KAW",#N/A,FALSE,"Expense";"LAU",#N/A,FALSE,"Expense";"UK",#N/A,FALSE,"Expense"}</definedName>
    <definedName name="wrn.FASBResults." localSheetId="8" hidden="1">{#N/A,#N/A,FALSE,"Input";#N/A,#N/A,FALSE,"LastYearInput";#N/A,#N/A,FALSE,"NextYearData";#N/A,#N/A,FALSE,"NPPC";#N/A,#N/A,FALSE,"ReconPC";#N/A,#N/A,FALSE,"PSCAmort";#N/A,#N/A,FALSE,"FASBGL";#N/A,#N/A,FALSE,"FAS132";#N/A,#N/A,FALSE,"AML";#N/A,#N/A,FALSE,"FAS35"}</definedName>
    <definedName name="wrn.FASBResults." localSheetId="6" hidden="1">{#N/A,#N/A,FALSE,"Input";#N/A,#N/A,FALSE,"LastYearInput";#N/A,#N/A,FALSE,"NextYearData";#N/A,#N/A,FALSE,"NPPC";#N/A,#N/A,FALSE,"ReconPC";#N/A,#N/A,FALSE,"PSCAmort";#N/A,#N/A,FALSE,"FASBGL";#N/A,#N/A,FALSE,"FAS132";#N/A,#N/A,FALSE,"AML";#N/A,#N/A,FALSE,"FAS35"}</definedName>
    <definedName name="wrn.FASBResults." hidden="1">{#N/A,#N/A,FALSE,"Input";#N/A,#N/A,FALSE,"LastYearInput";#N/A,#N/A,FALSE,"NextYearData";#N/A,#N/A,FALSE,"NPPC";#N/A,#N/A,FALSE,"ReconPC";#N/A,#N/A,FALSE,"PSCAmort";#N/A,#N/A,FALSE,"FASBGL";#N/A,#N/A,FALSE,"FAS132";#N/A,#N/A,FALSE,"AML";#N/A,#N/A,FALSE,"FAS35"}</definedName>
    <definedName name="wrn.filecopy." localSheetId="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8"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req_Res." localSheetId="8" hidden="1">{#N/A,#N/A,TRUE,"FR_HC";#N/A,#N/A,TRUE,"FR_REST";#N/A,#N/A,TRUE,"FR_RETA";#N/A,#N/A,TRUE,"FR_TECSOF";#N/A,#N/A,TRUE,"FR_NETTEC";#N/A,#N/A,TRUE,"FR_CLISER"}</definedName>
    <definedName name="wrn.Freq_Res." localSheetId="6" hidden="1">{#N/A,#N/A,TRUE,"FR_HC";#N/A,#N/A,TRUE,"FR_REST";#N/A,#N/A,TRUE,"FR_RETA";#N/A,#N/A,TRUE,"FR_TECSOF";#N/A,#N/A,TRUE,"FR_NETTEC";#N/A,#N/A,TRUE,"FR_CLISER"}</definedName>
    <definedName name="wrn.Freq_Res." hidden="1">{#N/A,#N/A,TRUE,"FR_HC";#N/A,#N/A,TRUE,"FR_REST";#N/A,#N/A,TRUE,"FR_RETA";#N/A,#N/A,TRUE,"FR_TECSOF";#N/A,#N/A,TRUE,"FR_NETTEC";#N/A,#N/A,TRUE,"FR_CLISER"}</definedName>
    <definedName name="wrn.Full." localSheetId="9"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8"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6"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5"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3"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ndingResults." localSheetId="8"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localSheetId="6" hidden="1">{#N/A,#N/A,FALSE,"Input";#N/A,#N/A,FALSE,"LastYearInput";#N/A,#N/A,FALSE,"NextYearData";#N/A,#N/A,FALSE,"Summary";#N/A,#N/A,FALSE,"Quart";#N/A,#N/A,FALSE,"UAL";#N/A,#N/A,FALSE,"AVA";#N/A,#N/A,FALSE,"CL";#N/A,#N/A,FALSE,"CBal";#N/A,#N/A,FALSE,"Min";#N/A,#N/A,FALSE,"AFC";#N/A,#N/A,FALSE,"FFL";#N/A,#N/A,FALSE,"Max";#N/A,#N/A,FALSE,"MinAmort";#N/A,#N/A,FALSE,"Exp";#N/A,#N/A,FALSE,"AssetRet"}</definedName>
    <definedName name="wrn.FundingResults." hidden="1">{#N/A,#N/A,FALSE,"Input";#N/A,#N/A,FALSE,"LastYearInput";#N/A,#N/A,FALSE,"NextYearData";#N/A,#N/A,FALSE,"Summary";#N/A,#N/A,FALSE,"Quart";#N/A,#N/A,FALSE,"UAL";#N/A,#N/A,FALSE,"AVA";#N/A,#N/A,FALSE,"CL";#N/A,#N/A,FALSE,"CBal";#N/A,#N/A,FALSE,"Min";#N/A,#N/A,FALSE,"AFC";#N/A,#N/A,FALSE,"FFL";#N/A,#N/A,FALSE,"Max";#N/A,#N/A,FALSE,"MinAmort";#N/A,#N/A,FALSE,"Exp";#N/A,#N/A,FALSE,"AssetRet"}</definedName>
    <definedName name="wrn.gd." localSheetId="9" hidden="1">{#N/A,#N/A,FALSE,"Summary";#N/A,#N/A,FALSE,"Annual";#N/A,#N/A,FALSE,"Quarterly";#N/A,#N/A,FALSE,"Land Systems";#N/A,#N/A,FALSE,"LandSystemsQtr";#N/A,#N/A,FALSE,"E.B.";#N/A,#N/A,FALSE,"EBqtr";#N/A,#N/A,FALSE,"Other";#N/A,#N/A,FALSE,"Other, Qtr.";#N/A,#N/A,FALSE,"Balance Sht.";#N/A,#N/A,FALSE,"BalShtQtr";#N/A,#N/A,FALSE,"Cashflow";#N/A,#N/A,FALSE,"CashflowQtr"}</definedName>
    <definedName name="wrn.gd." localSheetId="8" hidden="1">{#N/A,#N/A,FALSE,"Summary";#N/A,#N/A,FALSE,"Annual";#N/A,#N/A,FALSE,"Quarterly";#N/A,#N/A,FALSE,"Land Systems";#N/A,#N/A,FALSE,"LandSystemsQtr";#N/A,#N/A,FALSE,"E.B.";#N/A,#N/A,FALSE,"EBqtr";#N/A,#N/A,FALSE,"Other";#N/A,#N/A,FALSE,"Other, Qtr.";#N/A,#N/A,FALSE,"Balance Sht.";#N/A,#N/A,FALSE,"BalShtQtr";#N/A,#N/A,FALSE,"Cashflow";#N/A,#N/A,FALSE,"CashflowQtr"}</definedName>
    <definedName name="wrn.gd." localSheetId="6" hidden="1">{#N/A,#N/A,FALSE,"Summary";#N/A,#N/A,FALSE,"Annual";#N/A,#N/A,FALSE,"Quarterly";#N/A,#N/A,FALSE,"Land Systems";#N/A,#N/A,FALSE,"LandSystemsQtr";#N/A,#N/A,FALSE,"E.B.";#N/A,#N/A,FALSE,"EBqtr";#N/A,#N/A,FALSE,"Other";#N/A,#N/A,FALSE,"Other, Qtr.";#N/A,#N/A,FALSE,"Balance Sht.";#N/A,#N/A,FALSE,"BalShtQtr";#N/A,#N/A,FALSE,"Cashflow";#N/A,#N/A,FALSE,"CashflowQtr"}</definedName>
    <definedName name="wrn.gd." localSheetId="5" hidden="1">{#N/A,#N/A,FALSE,"Summary";#N/A,#N/A,FALSE,"Annual";#N/A,#N/A,FALSE,"Quarterly";#N/A,#N/A,FALSE,"Land Systems";#N/A,#N/A,FALSE,"LandSystemsQtr";#N/A,#N/A,FALSE,"E.B.";#N/A,#N/A,FALSE,"EBqtr";#N/A,#N/A,FALSE,"Other";#N/A,#N/A,FALSE,"Other, Qtr.";#N/A,#N/A,FALSE,"Balance Sht.";#N/A,#N/A,FALSE,"BalShtQtr";#N/A,#N/A,FALSE,"Cashflow";#N/A,#N/A,FALSE,"CashflowQtr"}</definedName>
    <definedName name="wrn.gd." localSheetId="1" hidden="1">{#N/A,#N/A,FALSE,"Summary";#N/A,#N/A,FALSE,"Annual";#N/A,#N/A,FALSE,"Quarterly";#N/A,#N/A,FALSE,"Land Systems";#N/A,#N/A,FALSE,"LandSystemsQtr";#N/A,#N/A,FALSE,"E.B.";#N/A,#N/A,FALSE,"EBqtr";#N/A,#N/A,FALSE,"Other";#N/A,#N/A,FALSE,"Other, Qtr.";#N/A,#N/A,FALSE,"Balance Sht.";#N/A,#N/A,FALSE,"BalShtQtr";#N/A,#N/A,FALSE,"Cashflow";#N/A,#N/A,FALSE,"CashflowQtr"}</definedName>
    <definedName name="wrn.gd." localSheetId="3" hidden="1">{#N/A,#N/A,FALSE,"Summary";#N/A,#N/A,FALSE,"Annual";#N/A,#N/A,FALSE,"Quarterly";#N/A,#N/A,FALSE,"Land Systems";#N/A,#N/A,FALSE,"LandSystemsQtr";#N/A,#N/A,FALSE,"E.B.";#N/A,#N/A,FALSE,"EBqtr";#N/A,#N/A,FALSE,"Other";#N/A,#N/A,FALSE,"Other, Qtr.";#N/A,#N/A,FALSE,"Balance Sht.";#N/A,#N/A,FALSE,"BalShtQtr";#N/A,#N/A,FALSE,"Cashflow";#N/A,#N/A,FALSE,"CashflowQtr"}</definedName>
    <definedName name="wrn.gd." hidden="1">{#N/A,#N/A,FALSE,"Summary";#N/A,#N/A,FALSE,"Annual";#N/A,#N/A,FALSE,"Quarterly";#N/A,#N/A,FALSE,"Land Systems";#N/A,#N/A,FALSE,"LandSystemsQtr";#N/A,#N/A,FALSE,"E.B.";#N/A,#N/A,FALSE,"EBqtr";#N/A,#N/A,FALSE,"Other";#N/A,#N/A,FALSE,"Other, Qtr.";#N/A,#N/A,FALSE,"Balance Sht.";#N/A,#N/A,FALSE,"BalShtQtr";#N/A,#N/A,FALSE,"Cashflow";#N/A,#N/A,FALSE,"CashflowQtr"}</definedName>
    <definedName name="wrn.gh" localSheetId="9" hidden="1">{#N/A,#N/A,FALSE,"Summary";#N/A,#N/A,FALSE,"Annual";#N/A,#N/A,FALSE,"Quarterly";#N/A,#N/A,FALSE,"Land Systems";#N/A,#N/A,FALSE,"LandSystemsQtr";#N/A,#N/A,FALSE,"E.B.";#N/A,#N/A,FALSE,"EBqtr";#N/A,#N/A,FALSE,"Other";#N/A,#N/A,FALSE,"Other, Qtr.";#N/A,#N/A,FALSE,"Balance Sht.";#N/A,#N/A,FALSE,"BalShtQtr";#N/A,#N/A,FALSE,"Cashflow";#N/A,#N/A,FALSE,"CashflowQtr"}</definedName>
    <definedName name="wrn.gh" localSheetId="8" hidden="1">{#N/A,#N/A,FALSE,"Summary";#N/A,#N/A,FALSE,"Annual";#N/A,#N/A,FALSE,"Quarterly";#N/A,#N/A,FALSE,"Land Systems";#N/A,#N/A,FALSE,"LandSystemsQtr";#N/A,#N/A,FALSE,"E.B.";#N/A,#N/A,FALSE,"EBqtr";#N/A,#N/A,FALSE,"Other";#N/A,#N/A,FALSE,"Other, Qtr.";#N/A,#N/A,FALSE,"Balance Sht.";#N/A,#N/A,FALSE,"BalShtQtr";#N/A,#N/A,FALSE,"Cashflow";#N/A,#N/A,FALSE,"CashflowQtr"}</definedName>
    <definedName name="wrn.gh" localSheetId="6" hidden="1">{#N/A,#N/A,FALSE,"Summary";#N/A,#N/A,FALSE,"Annual";#N/A,#N/A,FALSE,"Quarterly";#N/A,#N/A,FALSE,"Land Systems";#N/A,#N/A,FALSE,"LandSystemsQtr";#N/A,#N/A,FALSE,"E.B.";#N/A,#N/A,FALSE,"EBqtr";#N/A,#N/A,FALSE,"Other";#N/A,#N/A,FALSE,"Other, Qtr.";#N/A,#N/A,FALSE,"Balance Sht.";#N/A,#N/A,FALSE,"BalShtQtr";#N/A,#N/A,FALSE,"Cashflow";#N/A,#N/A,FALSE,"CashflowQtr"}</definedName>
    <definedName name="wrn.gh" localSheetId="5" hidden="1">{#N/A,#N/A,FALSE,"Summary";#N/A,#N/A,FALSE,"Annual";#N/A,#N/A,FALSE,"Quarterly";#N/A,#N/A,FALSE,"Land Systems";#N/A,#N/A,FALSE,"LandSystemsQtr";#N/A,#N/A,FALSE,"E.B.";#N/A,#N/A,FALSE,"EBqtr";#N/A,#N/A,FALSE,"Other";#N/A,#N/A,FALSE,"Other, Qtr.";#N/A,#N/A,FALSE,"Balance Sht.";#N/A,#N/A,FALSE,"BalShtQtr";#N/A,#N/A,FALSE,"Cashflow";#N/A,#N/A,FALSE,"CashflowQtr"}</definedName>
    <definedName name="wrn.gh" localSheetId="1" hidden="1">{#N/A,#N/A,FALSE,"Summary";#N/A,#N/A,FALSE,"Annual";#N/A,#N/A,FALSE,"Quarterly";#N/A,#N/A,FALSE,"Land Systems";#N/A,#N/A,FALSE,"LandSystemsQtr";#N/A,#N/A,FALSE,"E.B.";#N/A,#N/A,FALSE,"EBqtr";#N/A,#N/A,FALSE,"Other";#N/A,#N/A,FALSE,"Other, Qtr.";#N/A,#N/A,FALSE,"Balance Sht.";#N/A,#N/A,FALSE,"BalShtQtr";#N/A,#N/A,FALSE,"Cashflow";#N/A,#N/A,FALSE,"CashflowQtr"}</definedName>
    <definedName name="wrn.gh" localSheetId="3" hidden="1">{#N/A,#N/A,FALSE,"Summary";#N/A,#N/A,FALSE,"Annual";#N/A,#N/A,FALSE,"Quarterly";#N/A,#N/A,FALSE,"Land Systems";#N/A,#N/A,FALSE,"LandSystemsQtr";#N/A,#N/A,FALSE,"E.B.";#N/A,#N/A,FALSE,"EBqtr";#N/A,#N/A,FALSE,"Other";#N/A,#N/A,FALSE,"Other, Qtr.";#N/A,#N/A,FALSE,"Balance Sht.";#N/A,#N/A,FALSE,"BalShtQtr";#N/A,#N/A,FALSE,"Cashflow";#N/A,#N/A,FALSE,"CashflowQtr"}</definedName>
    <definedName name="wrn.gh" hidden="1">{#N/A,#N/A,FALSE,"Summary";#N/A,#N/A,FALSE,"Annual";#N/A,#N/A,FALSE,"Quarterly";#N/A,#N/A,FALSE,"Land Systems";#N/A,#N/A,FALSE,"LandSystemsQtr";#N/A,#N/A,FALSE,"E.B.";#N/A,#N/A,FALSE,"EBqtr";#N/A,#N/A,FALSE,"Other";#N/A,#N/A,FALSE,"Other, Qtr.";#N/A,#N/A,FALSE,"Balance Sht.";#N/A,#N/A,FALSE,"BalShtQtr";#N/A,#N/A,FALSE,"Cashflow";#N/A,#N/A,FALSE,"CashflowQtr"}</definedName>
    <definedName name="wrn.GraphResults." localSheetId="8" hidden="1">{#N/A,#N/A,FALSE,"GraphInput";#N/A,#N/A,FALSE,"Grph_Contrib";#N/A,#N/A,FALSE,"Grph_Fund";#N/A,#N/A,FALSE,"Grph_FAS87";#N/A,#N/A,FALSE,"Grph_FAS35";#N/A,#N/A,FALSE,"Grph_PI";#N/A,#N/A,FALSE,"Grph_Asset";#N/A,#N/A,FALSE,"Grph_Invest"}</definedName>
    <definedName name="wrn.GraphResults." localSheetId="6" hidden="1">{#N/A,#N/A,FALSE,"GraphInput";#N/A,#N/A,FALSE,"Grph_Contrib";#N/A,#N/A,FALSE,"Grph_Fund";#N/A,#N/A,FALSE,"Grph_FAS87";#N/A,#N/A,FALSE,"Grph_FAS35";#N/A,#N/A,FALSE,"Grph_PI";#N/A,#N/A,FALSE,"Grph_Asset";#N/A,#N/A,FALSE,"Grph_Invest"}</definedName>
    <definedName name="wrn.GraphResults." hidden="1">{#N/A,#N/A,FALSE,"GraphInput";#N/A,#N/A,FALSE,"Grph_Contrib";#N/A,#N/A,FALSE,"Grph_Fund";#N/A,#N/A,FALSE,"Grph_FAS87";#N/A,#N/A,FALSE,"Grph_FAS35";#N/A,#N/A,FALSE,"Grph_PI";#N/A,#N/A,FALSE,"Grph_Asset";#N/A,#N/A,FALSE,"Grph_Invest"}</definedName>
    <definedName name="wrn.gth." localSheetId="8" hidden="1">{#N/A,#N/A,FALSE,"Title Page";#N/A,#N/A,FALSE,"Summary Sheet"}</definedName>
    <definedName name="wrn.gth." localSheetId="6" hidden="1">{#N/A,#N/A,FALSE,"Title Page";#N/A,#N/A,FALSE,"Summary Sheet"}</definedName>
    <definedName name="wrn.gth." hidden="1">{#N/A,#N/A,FALSE,"Title Page";#N/A,#N/A,FALSE,"Summary Sheet"}</definedName>
    <definedName name="wrn.ISAnnualModel." localSheetId="9" hidden="1">{"AnnModel",#N/A,FALSE,"IS"}</definedName>
    <definedName name="wrn.ISAnnualModel." localSheetId="8" hidden="1">{"AnnModel",#N/A,FALSE,"IS"}</definedName>
    <definedName name="wrn.ISAnnualModel." localSheetId="5" hidden="1">{"AnnModel",#N/A,FALSE,"IS"}</definedName>
    <definedName name="wrn.ISAnnualModel." localSheetId="3" hidden="1">{"AnnModel",#N/A,FALSE,"IS"}</definedName>
    <definedName name="wrn.ISAnnualModel." hidden="1">{"AnnModel",#N/A,FALSE,"IS"}</definedName>
    <definedName name="wrn.ISQtrModel." localSheetId="9" hidden="1">{"QtrModel",#N/A,FALSE,"IS"}</definedName>
    <definedName name="wrn.ISQtrModel." localSheetId="8" hidden="1">{"QtrModel",#N/A,FALSE,"IS"}</definedName>
    <definedName name="wrn.ISQtrModel." localSheetId="5" hidden="1">{"QtrModel",#N/A,FALSE,"IS"}</definedName>
    <definedName name="wrn.ISQtrModel." localSheetId="3" hidden="1">{"QtrModel",#N/A,FALSE,"IS"}</definedName>
    <definedName name="wrn.ISQtrModel." hidden="1">{"QtrModel",#N/A,FALSE,"IS"}</definedName>
    <definedName name="wrn.IVTI_Rep." localSheetId="8" hidden="1">{#N/A,#N/A,FALSE,"Title Page";#N/A,#N/A,FALSE,"Summary Sheet";#N/A,#N/A,FALSE,"Fiscal Year Income Statement";#N/A,#N/A,FALSE,"Valuation Summary";#N/A,#N/A,FALSE,"Comps with IVT";#N/A,#N/A,FALSE,"Comps without IVT"}</definedName>
    <definedName name="wrn.IVTI_Rep." localSheetId="6"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LC." localSheetId="8" hidden="1">{"KWAN",#N/A,FALSE,"A";"LAURA",#N/A,FALSE,"A"}</definedName>
    <definedName name="wrn.LC." localSheetId="6" hidden="1">{"KWAN",#N/A,FALSE,"A";"LAURA",#N/A,FALSE,"A"}</definedName>
    <definedName name="wrn.LC." hidden="1">{"KWAN",#N/A,FALSE,"A";"LAURA",#N/A,FALSE,"A"}</definedName>
    <definedName name="wrn.noc." localSheetId="9"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localSheetId="8"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localSheetId="6"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localSheetId="5"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localSheetId="1"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localSheetId="3"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noc." hidden="1">{#N/A,#N/A,FALSE,"Summary";#N/A,#N/A,FALSE,"Annual I.S.";#N/A,#N/A,FALSE,"Qtr. I.S.";#N/A,#N/A,FALSE,"Aircraft";#N/A,#N/A,FALSE,"AircraftQtr";#N/A,#N/A,FALSE,"Electronics";#N/A,#N/A,FALSE,"ElectronicsQtr";#N/A,#N/A,FALSE,"OpMargin";#N/A,#N/A,FALSE,"OpMargin";#N/A,#N/A,FALSE,"Backlog &amp; Del.";#N/A,#N/A,FALSE,"B&amp;DQtr";#N/A,#N/A,FALSE,"Balance Sht";#N/A,#N/A,FALSE,"BalanceShtQtr";#N/A,#N/A,FALSE,"Cashflow"}</definedName>
    <definedName name="wrn.OldBudExpUK." localSheetId="8" hidden="1">{"UK1",#N/A,FALSE,"OldBudExpUK";"UK2",#N/A,FALSE,"OldBudExpUK";"UK3",#N/A,FALSE,"OldBudExpUK";"UK4",#N/A,FALSE,"OldBudExpUK";#N/A,#N/A,FALSE,"OldBudExpTV"}</definedName>
    <definedName name="wrn.OldBudExpUK." localSheetId="6" hidden="1">{"UK1",#N/A,FALSE,"OldBudExpUK";"UK2",#N/A,FALSE,"OldBudExpUK";"UK3",#N/A,FALSE,"OldBudExpUK";"UK4",#N/A,FALSE,"OldBudExpUK";#N/A,#N/A,FALSE,"OldBudExpTV"}</definedName>
    <definedName name="wrn.OldBudExpUK." hidden="1">{"UK1",#N/A,FALSE,"OldBudExpUK";"UK2",#N/A,FALSE,"OldBudExpUK";"UK3",#N/A,FALSE,"OldBudExpUK";"UK4",#N/A,FALSE,"OldBudExpUK";#N/A,#N/A,FALSE,"OldBudExpTV"}</definedName>
    <definedName name="wrn.ONTK." localSheetId="8" hidden="1">{#N/A,#N/A,FALSE,"Title Page";#N/A,#N/A,FALSE,"Summary Sheet";#N/A,#N/A,FALSE,"Quarterly Income Statement";#N/A,#N/A,FALSE,"Proforma QTR Income Statement";#N/A,#N/A,FALSE,"Fiscal Year Income Statement";#N/A,#N/A,FALSE,"Valuation Summary";#N/A,#N/A,FALSE,"Comps Without";#N/A,#N/A,FALSE,"Comps With"}</definedName>
    <definedName name="wrn.ONTK." localSheetId="6"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PRINT." localSheetId="8" hidden="1">{#N/A,#N/A,FALSE,"TOC";#N/A,#N/A,FALSE,"Assum";#N/A,#N/A,FALSE,"Op-BS";#N/A,#N/A,FALSE,"IS";#N/A,#N/A,FALSE,"BSCF";#N/A,#N/A,FALSE,"Ratios";#N/A,#N/A,FALSE,"BAX_IS";#N/A,#N/A,FALSE,"BAX_BSCF";#N/A,#N/A,FALSE,"BAX_Rate";#N/A,#N/A,FALSE,"NMC_IS";#N/A,#N/A,FALSE,"NMC_BSCF";#N/A,#N/A,FALSE,"NMC_Rate"}</definedName>
    <definedName name="wrn.PRINT." localSheetId="6" hidden="1">{#N/A,#N/A,FALSE,"TOC";#N/A,#N/A,FALSE,"Assum";#N/A,#N/A,FALSE,"Op-BS";#N/A,#N/A,FALSE,"IS";#N/A,#N/A,FALSE,"BSCF";#N/A,#N/A,FALSE,"Ratios";#N/A,#N/A,FALSE,"BAX_IS";#N/A,#N/A,FALSE,"BAX_BSCF";#N/A,#N/A,FALSE,"BAX_Rate";#N/A,#N/A,FALSE,"NMC_IS";#N/A,#N/A,FALSE,"NMC_BSCF";#N/A,#N/A,FALSE,"NMC_Rate"}</definedName>
    <definedName name="wrn.PRINT." hidden="1">{#N/A,#N/A,FALSE,"TOC";#N/A,#N/A,FALSE,"Assum";#N/A,#N/A,FALSE,"Op-BS";#N/A,#N/A,FALSE,"IS";#N/A,#N/A,FALSE,"BSCF";#N/A,#N/A,FALSE,"Ratios";#N/A,#N/A,FALSE,"BAX_IS";#N/A,#N/A,FALSE,"BAX_BSCF";#N/A,#N/A,FALSE,"BAX_Rate";#N/A,#N/A,FALSE,"NMC_IS";#N/A,#N/A,FALSE,"NMC_BSCF";#N/A,#N/A,FALSE,"NMC_Rate"}</definedName>
    <definedName name="wrn.Standard." localSheetId="9"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wrn.Standard." localSheetId="8"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wrn.Standard." localSheetId="6"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wrn.Standard." localSheetId="5"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wrn.Standard." localSheetId="3"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wrn.Standard." hidden="1">{#N/A,#N/A,TRUE,"Summary";"Capital - operating",#N/A,TRUE,"Capital";"capital financing",#N/A,TRUE,"Capital";#N/A,#N/A,TRUE,"NOPAT";#N/A,#N/A,TRUE,"Income Statement";#N/A,#N/A,TRUE,"Balance Sheet";#N/A,#N/A,TRUE,"Cost of Capital";#N/A,#N/A,TRUE,"MV";"SVA - Beginning",#N/A,TRUE,"SVA";"SVA - Ending",#N/A,TRUE,"SVA";#N/A,#N/A,TRUE,"Six Graphs";#N/A,#N/A,TRUE,"Analysis"}</definedName>
    <definedName name="x" hidden="1">#REF!</definedName>
    <definedName name="Xbrl_Tag_8fd4630e_1b2b_474f_a717_f0ca600933fb" hidden="1">'[45]Statement of Earnings'!#REF!</definedName>
    <definedName name="Xbrl_Tag_d9b5e60a_3eed_4829_b878_ac0084844223" hidden="1">'[45]Statement of Earnings'!#REF!</definedName>
    <definedName name="xitem">[3]FLEX!$C$62:$IV$62</definedName>
    <definedName name="XLNX">'[6]Stock Perf.'!$J$22:$J$123</definedName>
    <definedName name="xrates" localSheetId="8" hidden="1">{"UK1",#N/A,FALSE,"OldBudExpUK";"UK2",#N/A,FALSE,"OldBudExpUK";"UK3",#N/A,FALSE,"OldBudExpUK";"UK4",#N/A,FALSE,"OldBudExpUK";#N/A,#N/A,FALSE,"OldBudExpTV"}</definedName>
    <definedName name="xrates" localSheetId="6" hidden="1">{"UK1",#N/A,FALSE,"OldBudExpUK";"UK2",#N/A,FALSE,"OldBudExpUK";"UK3",#N/A,FALSE,"OldBudExpUK";"UK4",#N/A,FALSE,"OldBudExpUK";#N/A,#N/A,FALSE,"OldBudExpTV"}</definedName>
    <definedName name="xrates" hidden="1">{"UK1",#N/A,FALSE,"OldBudExpUK";"UK2",#N/A,FALSE,"OldBudExpUK";"UK3",#N/A,FALSE,"OldBudExpUK";"UK4",#N/A,FALSE,"OldBudExpUK";#N/A,#N/A,FALSE,"OldBudExpTV"}</definedName>
    <definedName name="XTRACT_FILE1" localSheetId="9">#REF!</definedName>
    <definedName name="XTRACT_FILE1" localSheetId="8">#REF!</definedName>
    <definedName name="XTRACT_FILE1" localSheetId="5">#REF!</definedName>
    <definedName name="XTRACT_FILE1" localSheetId="3">#REF!</definedName>
    <definedName name="XTRACT_FILE1">#REF!</definedName>
    <definedName name="XTRACT_FILES" localSheetId="5">#REF!</definedName>
    <definedName name="XTRACT_FILES">#REF!</definedName>
    <definedName name="y" localSheetId="9"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localSheetId="8"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localSheetId="6"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localSheetId="5"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localSheetId="1"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localSheetId="3"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 hidden="1">{"fdsup://directions/FAT Viewer?action=UPDATE&amp;creator=factset&amp;DYN_ARGS=TRUE&amp;DOC_NAME=FAT:FQL_AUDITING_CLIENT_TEMPLATE.FAT&amp;display_string=Audit&amp;VAR:KEY=WRCPIXKPER&amp;VAR:QUERY=RkZfRU5UUlBSX1ZBTF9EQUlMWShOT1csLTEwQVksVywsLCdESUwnKQ==&amp;WINDOW=FIRST_POPUP&amp;HEIGHT=45","0&amp;WIDTH=450&amp;START_MAXIMIZED=FALSE&amp;VAR:CALENDAR=US&amp;VAR:SYMBOL=AOS&amp;VAR:INDEX=199"}</definedName>
    <definedName name="Yahoo__Quarterly_Advertising_Revenue_Summary__1996E___1998E" localSheetId="9">#REF!</definedName>
    <definedName name="Yahoo__Quarterly_Advertising_Revenue_Summary__1996E___1998E" localSheetId="8">#REF!</definedName>
    <definedName name="Yahoo__Quarterly_Advertising_Revenue_Summary__1996E___1998E" localSheetId="5">#REF!</definedName>
    <definedName name="Yahoo__Quarterly_Advertising_Revenue_Summary__1996E___1998E" localSheetId="3">#REF!</definedName>
    <definedName name="Yahoo__Quarterly_Advertising_Revenue_Summary__1996E___1998E">#REF!</definedName>
    <definedName name="Year" localSheetId="6">#REF!</definedName>
    <definedName name="Year" localSheetId="2">#REF!</definedName>
    <definedName name="Year">#REF!</definedName>
    <definedName name="YearHighStockPrice" localSheetId="5">#REF!</definedName>
    <definedName name="YearHighStockPrice">#REF!</definedName>
    <definedName name="YearLowStockPrice" localSheetId="5">#REF!</definedName>
    <definedName name="YearLowStockPrice">#REF!</definedName>
    <definedName name="Years_in_full_stream" localSheetId="2">#REF!</definedName>
    <definedName name="Years_in_full_stream">#REF!</definedName>
    <definedName name="Years_into_future" localSheetId="2">#REF!</definedName>
    <definedName name="Years_into_future">#REF!</definedName>
    <definedName name="YKRYUK" localSheetId="8" hidden="1">{"'MonthlyReport1'!$E$10:$U$120"}</definedName>
    <definedName name="YKRYUK" localSheetId="6" hidden="1">{"'MonthlyReport1'!$E$10:$U$120"}</definedName>
    <definedName name="YKRYUK" hidden="1">{"'MonthlyReport1'!$E$10:$U$120"}</definedName>
    <definedName name="ykuyy" localSheetId="8" hidden="1">{"'MonthlyReport1'!$E$10:$U$120"}</definedName>
    <definedName name="ykuyy" localSheetId="6" hidden="1">{"'MonthlyReport1'!$E$10:$U$120"}</definedName>
    <definedName name="ykuyy" hidden="1">{"'MonthlyReport1'!$E$10:$U$120"}</definedName>
    <definedName name="yr1998q1">#REF!</definedName>
    <definedName name="yr1998q2">#REF!</definedName>
    <definedName name="yr1998q3">#REF!</definedName>
    <definedName name="yr1998q4">#REF!</definedName>
    <definedName name="yr1999q1">#REF!</definedName>
    <definedName name="yr1999q2">#REF!</definedName>
    <definedName name="yr1999q3">#REF!</definedName>
    <definedName name="yr1999q4">#REF!</definedName>
    <definedName name="YR2000q1">#REF!</definedName>
    <definedName name="YR2000q2">#REF!</definedName>
    <definedName name="YR2000q3">#REF!</definedName>
    <definedName name="YR2000q4">#REF!</definedName>
    <definedName name="YR2001q1">#REF!</definedName>
    <definedName name="YR2001q2">#REF!</definedName>
    <definedName name="YR2001q3">#REF!</definedName>
    <definedName name="YR2001q4">#REF!</definedName>
    <definedName name="YR2002q1">#REF!</definedName>
    <definedName name="YR2002q2">#REF!</definedName>
    <definedName name="YR2002q3">#REF!</definedName>
    <definedName name="YR2002q4">#REF!</definedName>
    <definedName name="YR2003q1">#REF!</definedName>
    <definedName name="YR2003q2">#REF!</definedName>
    <definedName name="YR2003q3">#REF!</definedName>
    <definedName name="YR2003q4">#REF!</definedName>
    <definedName name="YR2004q1">#REF!</definedName>
    <definedName name="YR2004q2">#REF!</definedName>
    <definedName name="YR2004q3">#REF!</definedName>
    <definedName name="YR2004q4">#REF!</definedName>
    <definedName name="YR2005q1">#REF!</definedName>
    <definedName name="YR2005q2">#REF!</definedName>
    <definedName name="YR2005q3">#REF!</definedName>
    <definedName name="YR2005q4">#REF!</definedName>
    <definedName name="YR2006q1">#REF!</definedName>
    <definedName name="YR2006q2">#REF!</definedName>
    <definedName name="YR2006q3">#REF!</definedName>
    <definedName name="YR2006q4">#REF!</definedName>
    <definedName name="YR2007q1">#REF!</definedName>
    <definedName name="YR2007q2">#REF!</definedName>
    <definedName name="YR2007q3">#REF!</definedName>
    <definedName name="YR2007q4">#REF!</definedName>
    <definedName name="YTETY" localSheetId="8" hidden="1">{"'MonthlyReport1'!$E$10:$U$120"}</definedName>
    <definedName name="YTETY" localSheetId="6" hidden="1">{"'MonthlyReport1'!$E$10:$U$120"}</definedName>
    <definedName name="YTETY" hidden="1">{"'MonthlyReport1'!$E$10:$U$120"}</definedName>
    <definedName name="yyebgpsg">[3]FLEX!$C$96:$IV$96</definedName>
    <definedName name="yyeps">[3]FLEX!$C$95:$IV$95</definedName>
    <definedName name="yyorevg">[3]FLEX!$C$87:$IV$87</definedName>
    <definedName name="yyrevg">[3]FLEX!$C$86:$IV$86</definedName>
    <definedName name="z" localSheetId="9" hidden="1">{"AnnModel",#N/A,FALSE,"IS"}</definedName>
    <definedName name="z" localSheetId="8" hidden="1">{"AnnModel",#N/A,FALSE,"IS"}</definedName>
    <definedName name="z" localSheetId="5" hidden="1">{"AnnModel",#N/A,FALSE,"IS"}</definedName>
    <definedName name="z" localSheetId="3" hidden="1">{"AnnModel",#N/A,FALSE,"IS"}</definedName>
    <definedName name="z" hidden="1">{"AnnModel",#N/A,FALSE,"IS"}</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19" i="19" l="1"/>
  <c r="BS19" i="19"/>
  <c r="CT54" i="22" l="1"/>
  <c r="CT53" i="22"/>
  <c r="CT52" i="22"/>
  <c r="CU52" i="22" s="1"/>
  <c r="CT57" i="22"/>
  <c r="Z58" i="22"/>
  <c r="AE58" i="22"/>
  <c r="AJ58" i="22"/>
  <c r="AO58" i="22"/>
  <c r="AT58" i="22"/>
  <c r="AY58" i="22"/>
  <c r="BC32" i="18" a="1"/>
  <c r="BC32" i="18" l="1"/>
  <c r="BB32" i="18" a="1"/>
  <c r="BB32" i="18" l="1"/>
  <c r="BA32" i="18" a="1"/>
  <c r="BA32" i="18" l="1"/>
  <c r="BC29" i="18" a="1"/>
  <c r="BC29" i="18" l="1"/>
  <c r="BB29" i="18" a="1"/>
  <c r="BB29" i="18" l="1"/>
  <c r="BA29" i="18" a="1"/>
  <c r="BA29" i="18" l="1"/>
  <c r="BC28" i="18" a="1"/>
  <c r="BC28" i="18" l="1"/>
  <c r="BB28" i="18" a="1"/>
  <c r="BB28" i="18" l="1"/>
  <c r="BA28" i="18" a="1"/>
  <c r="BA28" i="18" l="1"/>
  <c r="BC27" i="18" a="1"/>
  <c r="BC27" i="18" l="1"/>
  <c r="BB27" i="18" a="1"/>
  <c r="BB27" i="18" l="1"/>
  <c r="BA27" i="18" a="1"/>
  <c r="BA27" i="18" l="1"/>
  <c r="BC26" i="18" a="1"/>
  <c r="BC26" i="18" l="1"/>
  <c r="BB26" i="18" a="1"/>
  <c r="BB26" i="18" l="1"/>
  <c r="BA26" i="18" a="1"/>
  <c r="BA26" i="18" l="1"/>
  <c r="BC25" i="18" a="1"/>
  <c r="BC25" i="18" l="1"/>
  <c r="BB25" i="18" a="1"/>
  <c r="BB25" i="18" l="1"/>
  <c r="BA25" i="18" a="1"/>
  <c r="BA25" i="18" l="1"/>
  <c r="BC24" i="18" a="1"/>
  <c r="BC24" i="18" l="1"/>
  <c r="BB24" i="18" a="1"/>
  <c r="BB24" i="18" l="1"/>
  <c r="BA24" i="18" a="1"/>
  <c r="BA24" i="18" l="1"/>
  <c r="BC21" i="18" a="1"/>
  <c r="BC21" i="18" l="1"/>
  <c r="BB21" i="18" a="1"/>
  <c r="BB21" i="18" l="1"/>
  <c r="BA21" i="18" a="1"/>
  <c r="BA21" i="18" l="1"/>
  <c r="BC20" i="18" a="1"/>
  <c r="BC20" i="18" l="1"/>
  <c r="BB20" i="18" a="1"/>
  <c r="BB20" i="18" l="1"/>
  <c r="BA20" i="18" a="1"/>
  <c r="BA20" i="18" l="1"/>
  <c r="BC19" i="18" a="1"/>
  <c r="BC19" i="18" l="1"/>
  <c r="BB19" i="18" a="1"/>
  <c r="BB19" i="18" l="1"/>
  <c r="BA19" i="18" a="1"/>
  <c r="BA19" i="18" l="1"/>
  <c r="BC18" i="18" a="1"/>
  <c r="BC18" i="18" l="1"/>
  <c r="BB18" i="18" a="1"/>
  <c r="BB18" i="18" l="1"/>
  <c r="BA18" i="18" a="1"/>
  <c r="BA18" i="18" l="1"/>
  <c r="BC17" i="18" a="1"/>
  <c r="BC17" i="18" l="1"/>
  <c r="BB17" i="18" a="1"/>
  <c r="BB17" i="18" l="1"/>
  <c r="BA17" i="18" a="1"/>
  <c r="BA17" i="18" l="1"/>
  <c r="BC16" i="18" a="1"/>
  <c r="BC16" i="18" l="1"/>
  <c r="BB16" i="18" a="1"/>
  <c r="BB16" i="18" l="1"/>
  <c r="BA16" i="18" a="1"/>
  <c r="BA16" i="18" l="1"/>
  <c r="BC15" i="18" a="1"/>
  <c r="BC15" i="18" l="1"/>
  <c r="BB15" i="18" a="1"/>
  <c r="BB15" i="18" l="1"/>
  <c r="BA15" i="18" a="1"/>
  <c r="BA15" i="18" l="1"/>
  <c r="BC14" i="18" a="1"/>
  <c r="BC14" i="18" l="1"/>
  <c r="BB14" i="18" a="1"/>
  <c r="BB14" i="18" l="1"/>
  <c r="BA14" i="18" a="1"/>
  <c r="BA14" i="18" l="1"/>
  <c r="BC13" i="18" a="1"/>
  <c r="BC13" i="18" l="1"/>
  <c r="BB13" i="18" a="1"/>
  <c r="BB13" i="18" l="1"/>
  <c r="BA13" i="18" a="1"/>
  <c r="BA13" i="18" l="1"/>
  <c r="BC12" i="18" a="1"/>
  <c r="BC12" i="18" l="1"/>
  <c r="BB12" i="18" a="1"/>
  <c r="BB12" i="18" l="1"/>
  <c r="BA12" i="18" a="1"/>
  <c r="BA12" i="18" l="1"/>
  <c r="AY32" i="18" a="1"/>
  <c r="AY32" i="18" l="1"/>
  <c r="AX32" i="18" a="1"/>
  <c r="AX32" i="18" l="1"/>
  <c r="AW32" i="18" a="1"/>
  <c r="AW32" i="18" l="1"/>
  <c r="AY21" i="18" a="1"/>
  <c r="AY21" i="18" l="1"/>
  <c r="AX21" i="18" a="1"/>
  <c r="AX21" i="18" l="1"/>
  <c r="AW21" i="18" a="1"/>
  <c r="AW21" i="18" l="1"/>
  <c r="AY20" i="18" a="1"/>
  <c r="AY20" i="18" l="1"/>
  <c r="AX20" i="18" a="1"/>
  <c r="AX20" i="18" l="1"/>
  <c r="AW20" i="18" a="1"/>
  <c r="AW20" i="18" l="1"/>
  <c r="AY19" i="18" a="1"/>
  <c r="AY19" i="18" l="1"/>
  <c r="AX19" i="18" a="1"/>
  <c r="AX19" i="18" l="1"/>
  <c r="AW19" i="18" a="1"/>
  <c r="AW19" i="18" l="1"/>
  <c r="AY18" i="18" a="1"/>
  <c r="AY18" i="18" l="1"/>
  <c r="AX18" i="18" a="1"/>
  <c r="AX18" i="18" l="1"/>
  <c r="AW18" i="18" a="1"/>
  <c r="AW18" i="18" l="1"/>
  <c r="AY17" i="18" a="1"/>
  <c r="AY17" i="18" l="1"/>
  <c r="AX17" i="18" a="1"/>
  <c r="AX17" i="18" l="1"/>
  <c r="AW17" i="18" a="1"/>
  <c r="AW17" i="18" l="1"/>
  <c r="AY16" i="18" a="1"/>
  <c r="AY16" i="18" l="1"/>
  <c r="AX16" i="18" a="1"/>
  <c r="AX16" i="18" l="1"/>
  <c r="AW16" i="18" a="1"/>
  <c r="AW16" i="18" l="1"/>
  <c r="AY15" i="18" a="1"/>
  <c r="AY15" i="18" l="1"/>
  <c r="AX15" i="18" a="1"/>
  <c r="AX15" i="18" l="1"/>
  <c r="AW15" i="18" a="1"/>
  <c r="AW15" i="18" l="1"/>
  <c r="AY14" i="18" a="1"/>
  <c r="AY14" i="18" l="1"/>
  <c r="AX14" i="18" a="1"/>
  <c r="AX14" i="18" l="1"/>
  <c r="AW14" i="18" a="1"/>
  <c r="AW14" i="18" l="1"/>
  <c r="AY13" i="18" a="1"/>
  <c r="AY13" i="18" l="1"/>
  <c r="AX13" i="18" a="1"/>
  <c r="AX13" i="18" l="1"/>
  <c r="AW13" i="18" a="1"/>
  <c r="AW13" i="18" l="1"/>
  <c r="AY12" i="18" a="1"/>
  <c r="AY12" i="18" l="1"/>
  <c r="AX12" i="18" a="1"/>
  <c r="AX12" i="18" l="1"/>
  <c r="AW12" i="18" a="1"/>
  <c r="AW12" i="18" l="1"/>
  <c r="AY29" i="18" a="1"/>
  <c r="AY29" i="18" l="1"/>
  <c r="AX29" i="18" a="1"/>
  <c r="AX29" i="18" l="1"/>
  <c r="AW29" i="18" a="1"/>
  <c r="AW29" i="18" l="1"/>
  <c r="AY28" i="18" a="1"/>
  <c r="AY28" i="18" l="1"/>
  <c r="AX28" i="18" a="1"/>
  <c r="AX28" i="18" l="1"/>
  <c r="AW28" i="18" a="1"/>
  <c r="AW28" i="18" l="1"/>
  <c r="AY27" i="18" a="1"/>
  <c r="AY27" i="18" l="1"/>
  <c r="AX27" i="18" a="1"/>
  <c r="AX27" i="18" l="1"/>
  <c r="AW27" i="18" a="1"/>
  <c r="AW27" i="18" l="1"/>
  <c r="AY26" i="18" a="1"/>
  <c r="AY26" i="18" l="1"/>
  <c r="AX26" i="18" a="1"/>
  <c r="AX26" i="18" l="1"/>
  <c r="AW26" i="18" a="1"/>
  <c r="AW26" i="18" l="1"/>
  <c r="AY25" i="18" a="1"/>
  <c r="AY25" i="18" l="1"/>
  <c r="AX25" i="18" a="1"/>
  <c r="AX25" i="18" l="1"/>
  <c r="AW25" i="18" a="1"/>
  <c r="AW25" i="18" l="1"/>
  <c r="AY24" i="18" a="1"/>
  <c r="AY24" i="18" l="1"/>
  <c r="AX24" i="18" a="1"/>
  <c r="AX24" i="18" l="1"/>
  <c r="AW24" i="18" a="1"/>
  <c r="AW24" i="18" l="1"/>
  <c r="AU32" i="18" a="1"/>
  <c r="AU32" i="18" l="1"/>
  <c r="AT32" i="18" a="1"/>
  <c r="AT32" i="18" l="1"/>
  <c r="AS32" i="18" a="1"/>
  <c r="AS32" i="18" l="1"/>
  <c r="AU29" i="18" a="1"/>
  <c r="AU29" i="18" l="1"/>
  <c r="AT29" i="18" a="1"/>
  <c r="AT29" i="18" l="1"/>
  <c r="AS29" i="18" a="1"/>
  <c r="AS29" i="18" l="1"/>
  <c r="AU28" i="18" a="1"/>
  <c r="AU28" i="18" l="1"/>
  <c r="AT28" i="18" a="1"/>
  <c r="AT28" i="18" l="1"/>
  <c r="AS28" i="18" a="1"/>
  <c r="AS28" i="18" l="1"/>
  <c r="AU27" i="18" a="1"/>
  <c r="AU27" i="18" l="1"/>
  <c r="AT27" i="18" a="1"/>
  <c r="AT27" i="18" l="1"/>
  <c r="AS27" i="18" a="1"/>
  <c r="AS27" i="18" l="1"/>
  <c r="AU26" i="18" a="1"/>
  <c r="AU26" i="18" l="1"/>
  <c r="AT26" i="18" a="1"/>
  <c r="AT26" i="18" l="1"/>
  <c r="AS26" i="18" a="1"/>
  <c r="AS26" i="18" l="1"/>
  <c r="AU25" i="18" a="1"/>
  <c r="AU25" i="18" l="1"/>
  <c r="AT25" i="18" a="1"/>
  <c r="AT25" i="18" l="1"/>
  <c r="AS25" i="18" a="1"/>
  <c r="AS25" i="18" l="1"/>
  <c r="AU24" i="18" a="1"/>
  <c r="AU24" i="18" l="1"/>
  <c r="AT24" i="18" a="1"/>
  <c r="AT24" i="18" l="1"/>
  <c r="AS24" i="18" a="1"/>
  <c r="AS24" i="18" l="1"/>
  <c r="AU21" i="18" a="1"/>
  <c r="AU21" i="18" l="1"/>
  <c r="AT21" i="18" a="1"/>
  <c r="AT21" i="18" l="1"/>
  <c r="AS21" i="18" a="1"/>
  <c r="AS21" i="18" l="1"/>
  <c r="AU20" i="18" a="1"/>
  <c r="AU20" i="18" l="1"/>
  <c r="AT20" i="18" a="1"/>
  <c r="AT20" i="18" l="1"/>
  <c r="AS20" i="18" a="1"/>
  <c r="AS20" i="18" l="1"/>
  <c r="AU19" i="18" a="1"/>
  <c r="AU19" i="18" l="1"/>
  <c r="AT19" i="18" a="1"/>
  <c r="AT19" i="18" l="1"/>
  <c r="AS19" i="18" a="1"/>
  <c r="AS19" i="18" l="1"/>
  <c r="AU18" i="18" a="1"/>
  <c r="AU18" i="18" l="1"/>
  <c r="AT18" i="18" a="1"/>
  <c r="AT18" i="18" l="1"/>
  <c r="AS18" i="18" a="1"/>
  <c r="AS18" i="18" l="1"/>
  <c r="AU17" i="18" a="1"/>
  <c r="AU17" i="18" l="1"/>
  <c r="AT17" i="18" a="1"/>
  <c r="AT17" i="18" l="1"/>
  <c r="AS17" i="18" a="1"/>
  <c r="AS17" i="18" l="1"/>
  <c r="AU16" i="18" a="1"/>
  <c r="AU16" i="18" l="1"/>
  <c r="AT16" i="18" a="1"/>
  <c r="AT16" i="18" l="1"/>
  <c r="AS16" i="18" a="1"/>
  <c r="AS16" i="18" l="1"/>
  <c r="AU15" i="18" a="1"/>
  <c r="AU15" i="18" l="1"/>
  <c r="AT15" i="18" a="1"/>
  <c r="AT15" i="18" l="1"/>
  <c r="AS15" i="18" a="1"/>
  <c r="AS15" i="18" l="1"/>
  <c r="AU14" i="18" a="1"/>
  <c r="AU14" i="18" l="1"/>
  <c r="AT14" i="18" a="1"/>
  <c r="AT14" i="18" l="1"/>
  <c r="AS14" i="18" a="1"/>
  <c r="AS14" i="18" l="1"/>
  <c r="AU13" i="18" a="1"/>
  <c r="AU13" i="18" l="1"/>
  <c r="AT13" i="18" a="1"/>
  <c r="AT13" i="18" l="1"/>
  <c r="AS13" i="18" a="1"/>
  <c r="AS13" i="18" l="1"/>
  <c r="AU12" i="18" a="1"/>
  <c r="AU12" i="18" l="1"/>
  <c r="AT12" i="18" a="1"/>
  <c r="AT12" i="18" l="1"/>
  <c r="AS12" i="18" a="1"/>
  <c r="AS12" i="18" l="1"/>
  <c r="AQ32" i="18" a="1"/>
  <c r="AQ32" i="18" l="1"/>
  <c r="AP32" i="18" a="1"/>
  <c r="AP32" i="18" l="1"/>
  <c r="AO32" i="18" a="1"/>
  <c r="AO32" i="18" l="1"/>
  <c r="AQ29" i="18" a="1"/>
  <c r="AQ29" i="18" l="1"/>
  <c r="AP29" i="18" a="1"/>
  <c r="AP29" i="18" l="1"/>
  <c r="AO29" i="18" a="1"/>
  <c r="AO29" i="18" l="1"/>
  <c r="AQ28" i="18" a="1"/>
  <c r="AQ28" i="18" l="1"/>
  <c r="AP28" i="18" a="1"/>
  <c r="AP28" i="18" l="1"/>
  <c r="AO28" i="18" a="1"/>
  <c r="AO28" i="18" l="1"/>
  <c r="AQ27" i="18" a="1"/>
  <c r="AQ27" i="18" l="1"/>
  <c r="AP27" i="18" a="1"/>
  <c r="AP27" i="18" l="1"/>
  <c r="AO27" i="18" a="1"/>
  <c r="AO27" i="18" l="1"/>
  <c r="AQ26" i="18" a="1"/>
  <c r="AQ26" i="18" l="1"/>
  <c r="AP26" i="18" a="1"/>
  <c r="AP26" i="18" l="1"/>
  <c r="AO26" i="18" a="1"/>
  <c r="AO26" i="18" l="1"/>
  <c r="AQ25" i="18" a="1"/>
  <c r="AQ25" i="18" l="1"/>
  <c r="AP25" i="18" a="1"/>
  <c r="AP25" i="18" l="1"/>
  <c r="AO25" i="18" a="1"/>
  <c r="AO25" i="18" l="1"/>
  <c r="AQ24" i="18" a="1"/>
  <c r="AQ24" i="18" l="1"/>
  <c r="AP24" i="18" a="1"/>
  <c r="AP24" i="18" l="1"/>
  <c r="AO24" i="18" a="1"/>
  <c r="AO24" i="18" l="1"/>
  <c r="AQ21" i="18" a="1"/>
  <c r="AQ21" i="18" l="1"/>
  <c r="AP21" i="18" a="1"/>
  <c r="AP21" i="18" l="1"/>
  <c r="AO21" i="18" a="1"/>
  <c r="AO21" i="18" l="1"/>
  <c r="AQ20" i="18" a="1"/>
  <c r="AQ20" i="18" l="1"/>
  <c r="AP20" i="18" a="1"/>
  <c r="AP20" i="18" l="1"/>
  <c r="AO20" i="18" a="1"/>
  <c r="AO20" i="18" l="1"/>
  <c r="AQ19" i="18" a="1"/>
  <c r="AQ19" i="18" l="1"/>
  <c r="AP19" i="18" a="1"/>
  <c r="AP19" i="18" l="1"/>
  <c r="AO19" i="18" a="1"/>
  <c r="AO19" i="18" l="1"/>
  <c r="AQ18" i="18" a="1"/>
  <c r="AQ18" i="18" l="1"/>
  <c r="AP18" i="18" a="1"/>
  <c r="AP18" i="18" l="1"/>
  <c r="AO18" i="18" a="1"/>
  <c r="AO18" i="18" l="1"/>
  <c r="AQ17" i="18" a="1"/>
  <c r="AQ17" i="18" l="1"/>
  <c r="AP17" i="18" a="1"/>
  <c r="AP17" i="18" l="1"/>
  <c r="AO17" i="18" a="1"/>
  <c r="AO17" i="18" l="1"/>
  <c r="AQ16" i="18" a="1"/>
  <c r="AQ16" i="18" l="1"/>
  <c r="AP16" i="18" a="1"/>
  <c r="AP16" i="18" l="1"/>
  <c r="AO16" i="18" a="1"/>
  <c r="AO16" i="18" l="1"/>
  <c r="AQ15" i="18" a="1"/>
  <c r="AQ15" i="18" l="1"/>
  <c r="AP15" i="18" a="1"/>
  <c r="AP15" i="18" l="1"/>
  <c r="AO15" i="18" a="1"/>
  <c r="AO15" i="18" l="1"/>
  <c r="AQ14" i="18" a="1"/>
  <c r="AQ14" i="18" l="1"/>
  <c r="AP14" i="18" a="1"/>
  <c r="AP14" i="18" l="1"/>
  <c r="AO14" i="18" a="1"/>
  <c r="AO14" i="18" l="1"/>
  <c r="AQ13" i="18" a="1"/>
  <c r="AQ13" i="18" l="1"/>
  <c r="AP13" i="18" a="1"/>
  <c r="AP13" i="18" l="1"/>
  <c r="AO13" i="18" a="1"/>
  <c r="AO13" i="18" l="1"/>
  <c r="AQ12" i="18" a="1"/>
  <c r="AQ12" i="18" l="1"/>
  <c r="AP12" i="18" a="1"/>
  <c r="AP12" i="18" l="1"/>
  <c r="AO12" i="18" a="1"/>
  <c r="AO12" i="18" l="1"/>
  <c r="AM32" i="18" a="1"/>
  <c r="AM32" i="18" l="1"/>
  <c r="AM29" i="18" a="1"/>
  <c r="AM29" i="18" l="1"/>
  <c r="AM28" i="18" a="1"/>
  <c r="AM28" i="18" l="1"/>
  <c r="AM27" i="18" a="1"/>
  <c r="AM27" i="18" l="1"/>
  <c r="AM26" i="18" a="1"/>
  <c r="AM26" i="18" l="1"/>
  <c r="AM25" i="18" a="1"/>
  <c r="AM25" i="18" l="1"/>
  <c r="AM24" i="18" a="1"/>
  <c r="AM24" i="18" l="1"/>
  <c r="AM21" i="18" a="1"/>
  <c r="AM21" i="18" l="1"/>
  <c r="AM20" i="18" a="1"/>
  <c r="AM20" i="18" l="1"/>
  <c r="AM19" i="18" a="1"/>
  <c r="AM19" i="18" l="1"/>
  <c r="AM18" i="18" a="1"/>
  <c r="AM18" i="18" l="1"/>
  <c r="AM17" i="18" a="1"/>
  <c r="AM17" i="18" l="1"/>
  <c r="AM16" i="18" a="1"/>
  <c r="AM16" i="18" l="1"/>
  <c r="AM15" i="18" a="1"/>
  <c r="AM15" i="18" l="1"/>
  <c r="AM14" i="18" a="1"/>
  <c r="AM14" i="18" l="1"/>
  <c r="AM13" i="18" a="1"/>
  <c r="AM13" i="18" l="1"/>
  <c r="AM12" i="18" a="1"/>
  <c r="AM12" i="18" l="1"/>
  <c r="U35" i="18" a="1"/>
  <c r="U35" i="18" l="1"/>
  <c r="T35" i="18" a="1"/>
  <c r="T35" i="18" l="1"/>
  <c r="K21" i="18" a="1"/>
  <c r="K21" i="18" l="1"/>
  <c r="J21" i="18" a="1"/>
  <c r="J21" i="18" l="1"/>
  <c r="K20" i="18" a="1"/>
  <c r="K20" i="18" l="1"/>
  <c r="J20" i="18" a="1"/>
  <c r="J20" i="18" l="1"/>
  <c r="K19" i="18" a="1"/>
  <c r="K19" i="18" l="1"/>
  <c r="J19" i="18" a="1"/>
  <c r="J19" i="18" l="1"/>
  <c r="K18" i="18" a="1"/>
  <c r="K18" i="18" l="1"/>
  <c r="J18" i="18" a="1"/>
  <c r="J18" i="18" l="1"/>
  <c r="K17" i="18" a="1"/>
  <c r="K17" i="18" l="1"/>
  <c r="J17" i="18" a="1"/>
  <c r="J17" i="18" l="1"/>
  <c r="K16" i="18" a="1"/>
  <c r="K16" i="18" l="1"/>
  <c r="J16" i="18" a="1"/>
  <c r="J16" i="18" l="1"/>
  <c r="K15" i="18" a="1"/>
  <c r="K15" i="18" l="1"/>
  <c r="J15" i="18" a="1"/>
  <c r="J15" i="18" l="1"/>
  <c r="K14" i="18" a="1"/>
  <c r="K14" i="18" l="1"/>
  <c r="J14" i="18" a="1"/>
  <c r="J14" i="18" l="1"/>
  <c r="K13" i="18" a="1"/>
  <c r="K13" i="18" l="1"/>
  <c r="J13" i="18" a="1"/>
  <c r="J13" i="18" l="1"/>
  <c r="K12" i="18" a="1"/>
  <c r="K12" i="18" l="1"/>
  <c r="J12" i="18" a="1"/>
  <c r="J12" i="18" l="1"/>
  <c r="K29" i="18" a="1"/>
  <c r="K29" i="18" l="1"/>
  <c r="J29" i="18" a="1"/>
  <c r="J29" i="18" l="1"/>
  <c r="K28" i="18" a="1"/>
  <c r="K28" i="18" l="1"/>
  <c r="J28" i="18" a="1"/>
  <c r="J28" i="18" l="1"/>
  <c r="K27" i="18" a="1"/>
  <c r="K27" i="18" l="1"/>
  <c r="J27" i="18" a="1"/>
  <c r="J27" i="18" l="1"/>
  <c r="K26" i="18" a="1"/>
  <c r="K26" i="18" l="1"/>
  <c r="J26" i="18" a="1"/>
  <c r="J26" i="18" l="1"/>
  <c r="K25" i="18" a="1"/>
  <c r="K25" i="18" l="1"/>
  <c r="J25" i="18" a="1"/>
  <c r="J25" i="18" l="1"/>
  <c r="K24" i="18" a="1"/>
  <c r="K24" i="18" l="1"/>
  <c r="J24" i="18" a="1"/>
  <c r="J24" i="18" l="1"/>
  <c r="H29" i="18" a="1"/>
  <c r="H29" i="18" l="1"/>
  <c r="H28" i="18" a="1"/>
  <c r="H28" i="18" l="1"/>
  <c r="H27" i="18" a="1"/>
  <c r="H27" i="18" l="1"/>
  <c r="H26" i="18" a="1"/>
  <c r="H26" i="18" l="1"/>
  <c r="H25" i="18" a="1"/>
  <c r="H25" i="18" l="1"/>
  <c r="H24" i="18" a="1"/>
  <c r="H24" i="18" l="1"/>
  <c r="H21" i="18" a="1"/>
  <c r="H21" i="18" l="1"/>
  <c r="H20" i="18" a="1"/>
  <c r="H20" i="18" l="1"/>
  <c r="H19" i="18" a="1"/>
  <c r="H19" i="18" l="1"/>
  <c r="H18" i="18" a="1"/>
  <c r="H18" i="18" l="1"/>
  <c r="H17" i="18" a="1"/>
  <c r="H17" i="18" l="1"/>
  <c r="H16" i="18" a="1"/>
  <c r="H16" i="18" l="1"/>
  <c r="H15" i="18" a="1"/>
  <c r="H15" i="18" l="1"/>
  <c r="H14" i="18" a="1"/>
  <c r="H14" i="18" l="1"/>
  <c r="H13" i="18" a="1"/>
  <c r="H13" i="18" l="1"/>
  <c r="H12" i="18" a="1"/>
  <c r="H12" i="18" l="1"/>
  <c r="F29" i="18" a="1"/>
  <c r="F29" i="18" l="1"/>
  <c r="F28" i="18" a="1"/>
  <c r="F28" i="18" l="1"/>
  <c r="F27" i="18" a="1"/>
  <c r="F27" i="18" l="1"/>
  <c r="F26" i="18" a="1"/>
  <c r="F26" i="18" l="1"/>
  <c r="F25" i="18" a="1"/>
  <c r="F25" i="18" l="1"/>
  <c r="F24" i="18" a="1"/>
  <c r="F24" i="18" l="1"/>
  <c r="F21" i="18" a="1"/>
  <c r="F21" i="18" l="1"/>
  <c r="F20" i="18" a="1"/>
  <c r="F20" i="18" l="1"/>
  <c r="F19" i="18" a="1"/>
  <c r="F19" i="18" l="1"/>
  <c r="F18" i="18" a="1"/>
  <c r="F18" i="18" l="1"/>
  <c r="F17" i="18" a="1"/>
  <c r="F17" i="18" l="1"/>
  <c r="F16" i="18" a="1"/>
  <c r="F16" i="18" l="1"/>
  <c r="F15" i="18" a="1"/>
  <c r="F15" i="18" l="1"/>
  <c r="F14" i="18" a="1"/>
  <c r="F14" i="18" l="1"/>
  <c r="F13" i="18" a="1"/>
  <c r="F13" i="18" l="1"/>
  <c r="F12" i="18" a="1"/>
  <c r="F12" i="18" l="1"/>
  <c r="B32" i="18" a="1"/>
  <c r="B32" i="18" l="1"/>
  <c r="B29" i="18" a="1"/>
  <c r="B29" i="18" l="1"/>
  <c r="B28" i="18" a="1"/>
  <c r="B28" i="18" l="1"/>
  <c r="B27" i="18" a="1"/>
  <c r="B27" i="18" l="1"/>
  <c r="B26" i="18" a="1"/>
  <c r="B26" i="18" l="1"/>
  <c r="B25" i="18" a="1"/>
  <c r="B25" i="18" l="1"/>
  <c r="B24" i="18" a="1"/>
  <c r="B24" i="18" l="1"/>
  <c r="B21" i="18" a="1"/>
  <c r="B21" i="18" l="1"/>
  <c r="B20" i="18" a="1"/>
  <c r="B20" i="18" l="1"/>
  <c r="B19" i="18" a="1"/>
  <c r="B19" i="18" l="1"/>
  <c r="B18" i="18" a="1"/>
  <c r="B18" i="18" l="1"/>
  <c r="B17" i="18" a="1"/>
  <c r="B17" i="18" l="1"/>
  <c r="B16" i="18" a="1"/>
  <c r="B16" i="18" l="1"/>
  <c r="B15" i="18" a="1"/>
  <c r="B15" i="18" l="1"/>
  <c r="B14" i="18" a="1"/>
  <c r="B14" i="18" l="1"/>
  <c r="B13" i="18" a="1"/>
  <c r="B13" i="18" l="1"/>
  <c r="B12" i="18" a="1"/>
  <c r="B12" i="18" l="1"/>
  <c r="U32" i="18"/>
  <c r="BR28" i="19"/>
  <c r="BR27" i="19"/>
  <c r="CB25" i="19"/>
  <c r="CA25" i="19"/>
  <c r="BZ25" i="19"/>
  <c r="BY25" i="19"/>
  <c r="BW25" i="19"/>
  <c r="BV25" i="19"/>
  <c r="BU25" i="19"/>
  <c r="BT25" i="19"/>
  <c r="BR25" i="19"/>
  <c r="X22" i="13"/>
  <c r="N18" i="13"/>
  <c r="S18" i="13"/>
  <c r="S22" i="13"/>
  <c r="AC22" i="13"/>
  <c r="N22" i="13"/>
  <c r="AM18" i="13"/>
  <c r="AH18" i="13"/>
  <c r="AM22" i="13"/>
  <c r="AC18" i="13"/>
  <c r="X18" i="13"/>
  <c r="AH22" i="13"/>
  <c r="CR80" i="22" a="1"/>
  <c r="CR80" i="22" l="1"/>
  <c r="CM80" i="22" a="1"/>
  <c r="CM80" i="22" l="1"/>
  <c r="CL79" i="22" a="1"/>
  <c r="CL79" i="22" l="1"/>
  <c r="CK79" i="22" a="1"/>
  <c r="CK79" i="22" l="1"/>
  <c r="CJ79" i="22" a="1"/>
  <c r="CJ79" i="22" l="1"/>
  <c r="CI79" i="22" a="1"/>
  <c r="BY136" i="11" a="1"/>
  <c r="CI79" i="22" l="1"/>
  <c r="BY136" i="11"/>
  <c r="BY113" i="11" a="1"/>
  <c r="BY113" i="11" l="1"/>
  <c r="BT136" i="11" a="1"/>
  <c r="BT136" i="11" l="1"/>
  <c r="BT113" i="11" a="1"/>
  <c r="BT113" i="11" l="1"/>
  <c r="BU121" i="11"/>
  <c r="BV121" i="11"/>
  <c r="BW121" i="11" s="1"/>
  <c r="BX121" i="11" s="1"/>
  <c r="BW32" i="19"/>
  <c r="BU140" i="11"/>
  <c r="BV140" i="11"/>
  <c r="BW140" i="11" s="1"/>
  <c r="BX140" i="11" s="1"/>
  <c r="BP148" i="11"/>
  <c r="BP147" i="11"/>
  <c r="BR32" i="19"/>
  <c r="BQ27" i="19"/>
  <c r="BS121" i="11" l="1"/>
  <c r="BR121" i="11"/>
  <c r="BQ121" i="11"/>
  <c r="BP121" i="11"/>
  <c r="BR140" i="11"/>
  <c r="BS140" i="11" s="1"/>
  <c r="BQ140" i="11"/>
  <c r="BP140" i="11"/>
  <c r="BU116" i="11"/>
  <c r="BV116" i="11" s="1"/>
  <c r="BW116" i="11" s="1"/>
  <c r="BX116" i="11" s="1"/>
  <c r="BW17" i="19" l="1"/>
  <c r="BV17" i="19"/>
  <c r="BU17" i="19"/>
  <c r="BT17" i="19"/>
  <c r="BY87" i="11" a="1"/>
  <c r="BY43" i="11" a="1"/>
  <c r="BY26" i="11" a="1"/>
  <c r="BY11" i="11" a="1"/>
  <c r="BY11" i="11" l="1"/>
  <c r="BY26" i="11"/>
  <c r="BY43" i="11"/>
  <c r="BY87" i="11"/>
  <c r="BN114" i="11" l="1"/>
  <c r="BO114" i="11" s="1"/>
  <c r="BN68" i="11"/>
  <c r="BO68" i="11" s="1"/>
  <c r="BN130" i="11"/>
  <c r="AM14" i="13"/>
  <c r="AL14" i="13"/>
  <c r="AK14" i="13"/>
  <c r="AJ14" i="13"/>
  <c r="AI14" i="13"/>
  <c r="BM13" i="19"/>
  <c r="BR13" i="19"/>
  <c r="BS13" i="19" s="1"/>
  <c r="BR38" i="19"/>
  <c r="BS38" i="19" s="1"/>
  <c r="BR37" i="19"/>
  <c r="BR39" i="19" s="1"/>
  <c r="BR33" i="19"/>
  <c r="BS32" i="19"/>
  <c r="BS29" i="19"/>
  <c r="BS37" i="19" s="1"/>
  <c r="BS28" i="19"/>
  <c r="BS27" i="19"/>
  <c r="BR26" i="19"/>
  <c r="BS26" i="19" s="1"/>
  <c r="BS25" i="19"/>
  <c r="BS20" i="19"/>
  <c r="BR18" i="19"/>
  <c r="BS18" i="19" s="1"/>
  <c r="BS17" i="19"/>
  <c r="BS16" i="19"/>
  <c r="BS14" i="19"/>
  <c r="BR12" i="19"/>
  <c r="BR42" i="19" s="1"/>
  <c r="BR11" i="19"/>
  <c r="BS11" i="19" s="1"/>
  <c r="BS9" i="19"/>
  <c r="BR9" i="19"/>
  <c r="BO140" i="11"/>
  <c r="BO137" i="11"/>
  <c r="BN134" i="11"/>
  <c r="BN128" i="11"/>
  <c r="BN135" i="11" s="1"/>
  <c r="BO129" i="11"/>
  <c r="BO124" i="11"/>
  <c r="BO121" i="11"/>
  <c r="BO120" i="11"/>
  <c r="BO104" i="11"/>
  <c r="BO102" i="11"/>
  <c r="BO100" i="11"/>
  <c r="BO96" i="11"/>
  <c r="BN94" i="11"/>
  <c r="BO94" i="11" s="1"/>
  <c r="BN93" i="11"/>
  <c r="BO88" i="11"/>
  <c r="BN85" i="11"/>
  <c r="BN110" i="11" s="1"/>
  <c r="BO84" i="11"/>
  <c r="BO83" i="11"/>
  <c r="BO82" i="11"/>
  <c r="BO81" i="11"/>
  <c r="BO80" i="11"/>
  <c r="BO79" i="11"/>
  <c r="BO78" i="11"/>
  <c r="BO75" i="11"/>
  <c r="BN73" i="11"/>
  <c r="BN72" i="11"/>
  <c r="BN71" i="11"/>
  <c r="BN63" i="11"/>
  <c r="BO51" i="11"/>
  <c r="BO42" i="11"/>
  <c r="BN41" i="11"/>
  <c r="BO40" i="11"/>
  <c r="BO48" i="11" s="1"/>
  <c r="BO37" i="11" s="1"/>
  <c r="BO36" i="11"/>
  <c r="BO25" i="11"/>
  <c r="BN24" i="11"/>
  <c r="BO23" i="11"/>
  <c r="BO21" i="11"/>
  <c r="BO10" i="11"/>
  <c r="BN9" i="11"/>
  <c r="BO8" i="11"/>
  <c r="BO18" i="11" s="1"/>
  <c r="BO33" i="11" s="1"/>
  <c r="CH79" i="22"/>
  <c r="CH74" i="22"/>
  <c r="CG71" i="22"/>
  <c r="CH69" i="22"/>
  <c r="CG67" i="22"/>
  <c r="CH66" i="22"/>
  <c r="CH62" i="22" s="1"/>
  <c r="CH64" i="22" s="1"/>
  <c r="CH65" i="22" s="1"/>
  <c r="CH60" i="22"/>
  <c r="CG58" i="22"/>
  <c r="CH57" i="22"/>
  <c r="CH43" i="22"/>
  <c r="CG40" i="22"/>
  <c r="CH37" i="22"/>
  <c r="CG35" i="22"/>
  <c r="CH34" i="22"/>
  <c r="CH30" i="22" s="1"/>
  <c r="CG21" i="22"/>
  <c r="CH19" i="22"/>
  <c r="CG17" i="22"/>
  <c r="CH16" i="22"/>
  <c r="CH14" i="22"/>
  <c r="CG12" i="22"/>
  <c r="CH11" i="22"/>
  <c r="CH9" i="22"/>
  <c r="CG7" i="22"/>
  <c r="CH6" i="22"/>
  <c r="AK26" i="13"/>
  <c r="AM20" i="13"/>
  <c r="AI24" i="13"/>
  <c r="AI22" i="13"/>
  <c r="AL26" i="13"/>
  <c r="AJ26" i="13"/>
  <c r="AK28" i="13"/>
  <c r="AM28" i="13"/>
  <c r="AL28" i="13"/>
  <c r="AI26" i="13"/>
  <c r="BT11" i="11" a="1"/>
  <c r="BT87" i="11" a="1"/>
  <c r="BT43" i="11" a="1"/>
  <c r="BT26" i="11" a="1"/>
  <c r="BS33" i="19" l="1"/>
  <c r="BS39" i="19"/>
  <c r="CH32" i="22"/>
  <c r="CH33" i="22" s="1"/>
  <c r="CH26" i="22"/>
  <c r="CH28" i="22" s="1"/>
  <c r="CH29" i="22" s="1"/>
  <c r="CH52" i="22"/>
  <c r="BO55" i="11"/>
  <c r="BT26" i="11"/>
  <c r="BT43" i="11"/>
  <c r="BT87" i="11"/>
  <c r="BT11" i="11"/>
  <c r="BN123" i="11"/>
  <c r="BO130" i="11"/>
  <c r="BN112" i="11"/>
  <c r="BT27" i="11"/>
  <c r="BO72" i="11"/>
  <c r="BT12" i="11"/>
  <c r="BN86" i="11"/>
  <c r="CG77" i="22"/>
  <c r="CG36" i="22" s="1"/>
  <c r="CH21" i="22"/>
  <c r="BR43" i="19"/>
  <c r="BS42" i="19"/>
  <c r="BS43" i="19" s="1"/>
  <c r="BS12" i="19"/>
  <c r="BO85" i="11"/>
  <c r="BT44" i="11"/>
  <c r="BY44" i="11"/>
  <c r="BY12" i="11"/>
  <c r="BY27" i="11"/>
  <c r="BO16" i="11"/>
  <c r="BO31" i="11" s="1"/>
  <c r="BO73" i="11"/>
  <c r="BO63" i="11"/>
  <c r="BN74" i="11"/>
  <c r="BO71" i="11"/>
  <c r="AK24" i="13"/>
  <c r="AJ24" i="13"/>
  <c r="AL24" i="13"/>
  <c r="AK22" i="13"/>
  <c r="AI28" i="13"/>
  <c r="AJ28" i="13"/>
  <c r="AJ22" i="13"/>
  <c r="AM24" i="13"/>
  <c r="AL22" i="13"/>
  <c r="CH48" i="22" l="1"/>
  <c r="CH50" i="22" s="1"/>
  <c r="CH51" i="22" s="1"/>
  <c r="CH55" i="22"/>
  <c r="CH56" i="22" s="1"/>
  <c r="BN125" i="11"/>
  <c r="BO60" i="11"/>
  <c r="BO53" i="11"/>
  <c r="BO58" i="11"/>
  <c r="CG68" i="22"/>
  <c r="CG8" i="22"/>
  <c r="CG23" i="22"/>
  <c r="CG42" i="22"/>
  <c r="BN91" i="11"/>
  <c r="CG73" i="22"/>
  <c r="CG18" i="22"/>
  <c r="CG13" i="22"/>
  <c r="CG59" i="22"/>
  <c r="BO74" i="11"/>
  <c r="BO86" i="11"/>
  <c r="BN101" i="11" l="1"/>
  <c r="BN97" i="11"/>
  <c r="BN107" i="11" s="1"/>
  <c r="BN105" i="11"/>
  <c r="BN111" i="11"/>
  <c r="BN103" i="11"/>
  <c r="BN108" i="11" l="1"/>
  <c r="BN98" i="11"/>
  <c r="D23" i="27"/>
  <c r="AU53" i="11" l="1"/>
  <c r="N24" i="27"/>
  <c r="C27" i="27"/>
  <c r="N25" i="27"/>
  <c r="M25" i="27"/>
  <c r="L25" i="27"/>
  <c r="K25" i="27"/>
  <c r="J25" i="27"/>
  <c r="I25" i="27"/>
  <c r="H25" i="27"/>
  <c r="G25" i="27"/>
  <c r="F25" i="27"/>
  <c r="E25" i="27"/>
  <c r="D25" i="27"/>
  <c r="E24" i="27"/>
  <c r="F24" i="27"/>
  <c r="G24" i="27"/>
  <c r="H24" i="27"/>
  <c r="I24" i="27"/>
  <c r="J24" i="27"/>
  <c r="K24" i="27"/>
  <c r="L24" i="27"/>
  <c r="M24" i="27"/>
  <c r="D24" i="27"/>
  <c r="E23" i="27"/>
  <c r="F23" i="27" s="1"/>
  <c r="G23" i="27" s="1"/>
  <c r="H23" i="27" s="1"/>
  <c r="I23" i="27" s="1"/>
  <c r="J23" i="27" s="1"/>
  <c r="K23" i="27" s="1"/>
  <c r="L23" i="27" s="1"/>
  <c r="M23" i="27" s="1"/>
  <c r="E22" i="27"/>
  <c r="F22" i="27"/>
  <c r="G22" i="27" s="1"/>
  <c r="H22" i="27" s="1"/>
  <c r="I22" i="27" s="1"/>
  <c r="J22" i="27" s="1"/>
  <c r="K22" i="27" s="1"/>
  <c r="L22" i="27" s="1"/>
  <c r="M22" i="27" s="1"/>
  <c r="D22" i="27"/>
  <c r="M21" i="27"/>
  <c r="L21" i="27"/>
  <c r="K21" i="27"/>
  <c r="J21" i="27"/>
  <c r="I21" i="27"/>
  <c r="H21" i="27"/>
  <c r="G21" i="27"/>
  <c r="F21" i="27"/>
  <c r="E21" i="27"/>
  <c r="K32" i="18"/>
  <c r="J32" i="18"/>
  <c r="H32" i="18"/>
  <c r="BP117" i="11" l="1"/>
  <c r="BU117" i="11" s="1"/>
  <c r="BQ28" i="19" l="1"/>
  <c r="BP27" i="19"/>
  <c r="BQ25" i="19"/>
  <c r="BQ13" i="19"/>
  <c r="BM128" i="11" l="1"/>
  <c r="BM130" i="11"/>
  <c r="BL85" i="11"/>
  <c r="BL110" i="11" s="1"/>
  <c r="BM85" i="11"/>
  <c r="BM110" i="11" s="1"/>
  <c r="BM114" i="11"/>
  <c r="BM68" i="11"/>
  <c r="BQ39" i="19"/>
  <c r="BQ38" i="19"/>
  <c r="BQ37" i="19"/>
  <c r="BQ26" i="19"/>
  <c r="BQ18" i="19"/>
  <c r="BQ12" i="19"/>
  <c r="BQ42" i="19" s="1"/>
  <c r="BQ43" i="19" s="1"/>
  <c r="BQ11" i="19"/>
  <c r="BQ9" i="19"/>
  <c r="BM63" i="11"/>
  <c r="BM138" i="11"/>
  <c r="BM94" i="11"/>
  <c r="BM73" i="11"/>
  <c r="BM72" i="11"/>
  <c r="BM71" i="11"/>
  <c r="BM41" i="11"/>
  <c r="BM24" i="11"/>
  <c r="BM9" i="11"/>
  <c r="CF71" i="22"/>
  <c r="CF67" i="22"/>
  <c r="CF58" i="22"/>
  <c r="CF40" i="22"/>
  <c r="CF35" i="22"/>
  <c r="CF21" i="22"/>
  <c r="CF17" i="22"/>
  <c r="CF12" i="22"/>
  <c r="CF7" i="22"/>
  <c r="BM132" i="11" l="1"/>
  <c r="BM134" i="11" s="1"/>
  <c r="BO134" i="11" s="1"/>
  <c r="BM123" i="11"/>
  <c r="BM125" i="11" s="1"/>
  <c r="BM112" i="11"/>
  <c r="CF77" i="22"/>
  <c r="BM91" i="11" s="1"/>
  <c r="BM101" i="11" s="1"/>
  <c r="BM93" i="11"/>
  <c r="BQ33" i="19"/>
  <c r="BM86" i="11"/>
  <c r="BM74" i="11"/>
  <c r="CF42" i="22" l="1"/>
  <c r="CF13" i="22"/>
  <c r="CF68" i="22"/>
  <c r="CF36" i="22"/>
  <c r="CF59" i="22"/>
  <c r="CF18" i="22"/>
  <c r="CF73" i="22"/>
  <c r="CF23" i="22"/>
  <c r="CF8" i="22"/>
  <c r="BM103" i="11"/>
  <c r="BM105" i="11"/>
  <c r="BM111" i="11"/>
  <c r="BM97" i="11"/>
  <c r="BM107" i="11" s="1"/>
  <c r="BM108" i="11" s="1"/>
  <c r="BP13" i="19"/>
  <c r="BP28" i="19"/>
  <c r="BP25" i="19"/>
  <c r="BL117" i="11"/>
  <c r="BL116" i="11"/>
  <c r="BP38" i="19"/>
  <c r="BM116" i="11" l="1"/>
  <c r="BN116" i="11" s="1"/>
  <c r="BO116" i="11"/>
  <c r="BM98" i="11"/>
  <c r="BQ117" i="11"/>
  <c r="BV117" i="11" s="1"/>
  <c r="BM117" i="11"/>
  <c r="BM118" i="11"/>
  <c r="BQ10" i="19" s="1"/>
  <c r="BR117" i="11" l="1"/>
  <c r="BW117" i="11" s="1"/>
  <c r="BN117" i="11"/>
  <c r="BS117" i="11" s="1"/>
  <c r="BX117" i="11" s="1"/>
  <c r="BO117" i="11"/>
  <c r="BN118" i="11"/>
  <c r="BR10" i="19" s="1"/>
  <c r="BL114" i="11"/>
  <c r="BL128" i="11"/>
  <c r="BL134" i="11"/>
  <c r="BL130" i="11"/>
  <c r="BP37" i="19" l="1"/>
  <c r="BP39" i="19" s="1"/>
  <c r="BP26" i="19"/>
  <c r="BP18" i="19"/>
  <c r="BP12" i="19"/>
  <c r="BP42" i="19" s="1"/>
  <c r="BP43" i="19" s="1"/>
  <c r="BP11" i="19"/>
  <c r="BP9" i="19"/>
  <c r="BL94" i="11"/>
  <c r="BL93" i="11"/>
  <c r="BL123" i="11"/>
  <c r="BL125" i="11" s="1"/>
  <c r="BL73" i="11"/>
  <c r="BL72" i="11"/>
  <c r="BL71" i="11"/>
  <c r="BL63" i="11"/>
  <c r="BL41" i="11"/>
  <c r="BL24" i="11"/>
  <c r="BL9" i="11"/>
  <c r="CE71" i="22"/>
  <c r="CE67" i="22"/>
  <c r="CE58" i="22"/>
  <c r="CE40" i="22"/>
  <c r="CE35" i="22"/>
  <c r="CE21" i="22"/>
  <c r="CE17" i="22"/>
  <c r="CE12" i="22"/>
  <c r="CE7" i="22"/>
  <c r="M17" i="27"/>
  <c r="H17" i="27"/>
  <c r="H14" i="27"/>
  <c r="BL112" i="11" l="1"/>
  <c r="BL118" i="11"/>
  <c r="BP10" i="19" s="1"/>
  <c r="BL74" i="11"/>
  <c r="CE77" i="22"/>
  <c r="BL91" i="11" s="1"/>
  <c r="BL101" i="11" s="1"/>
  <c r="BP33" i="19"/>
  <c r="BL86" i="11"/>
  <c r="CE8" i="22" l="1"/>
  <c r="CE68" i="22"/>
  <c r="CE59" i="22"/>
  <c r="CE73" i="22"/>
  <c r="CE36" i="22"/>
  <c r="CE42" i="22"/>
  <c r="CE13" i="22"/>
  <c r="CE18" i="22"/>
  <c r="BL111" i="11"/>
  <c r="BL105" i="11"/>
  <c r="CE23" i="22"/>
  <c r="BL97" i="11"/>
  <c r="BL107" i="11" s="1"/>
  <c r="BL108" i="11" s="1"/>
  <c r="BL103" i="11"/>
  <c r="L90" i="25"/>
  <c r="O90" i="25"/>
  <c r="BO13" i="19"/>
  <c r="BO38" i="19"/>
  <c r="BO32" i="19"/>
  <c r="BL98" i="11" l="1"/>
  <c r="AI18" i="18"/>
  <c r="AC18" i="18"/>
  <c r="AD18" i="18"/>
  <c r="U18" i="18" l="1"/>
  <c r="T18" i="18"/>
  <c r="I18" i="18"/>
  <c r="L18" i="18" s="1"/>
  <c r="AJ18" i="18"/>
  <c r="AF18" i="18"/>
  <c r="AA18" i="18"/>
  <c r="Z18" i="18"/>
  <c r="AK18" i="18"/>
  <c r="AG18" i="18"/>
  <c r="O18" i="18" l="1"/>
  <c r="N18" i="18"/>
  <c r="X18" i="18"/>
  <c r="W18" i="18"/>
  <c r="R18" i="18"/>
  <c r="Q18" i="18"/>
  <c r="BH128" i="11" l="1"/>
  <c r="BK130" i="11"/>
  <c r="BK128" i="11" s="1"/>
  <c r="BO37" i="19" l="1"/>
  <c r="BO39" i="19" s="1"/>
  <c r="BO33" i="19"/>
  <c r="BO18" i="19"/>
  <c r="BO12" i="19"/>
  <c r="BO42" i="19" s="1"/>
  <c r="BO43" i="19" s="1"/>
  <c r="BO11" i="19"/>
  <c r="BO9" i="19"/>
  <c r="CC7" i="19"/>
  <c r="BX7" i="19"/>
  <c r="BS7" i="19"/>
  <c r="BN7" i="19"/>
  <c r="BK93" i="11"/>
  <c r="BK94" i="11"/>
  <c r="BX5" i="11"/>
  <c r="CB7" i="19" s="1"/>
  <c r="BW5" i="11"/>
  <c r="CA7" i="19" s="1"/>
  <c r="BV5" i="11"/>
  <c r="BZ7" i="19" s="1"/>
  <c r="BU5" i="11"/>
  <c r="BY7" i="19" s="1"/>
  <c r="BN5" i="11"/>
  <c r="BR7" i="19" s="1"/>
  <c r="BM5" i="11"/>
  <c r="BQ7" i="19" s="1"/>
  <c r="BL5" i="11"/>
  <c r="BP7" i="19" s="1"/>
  <c r="BK5" i="11"/>
  <c r="BO7" i="19" s="1"/>
  <c r="BI5" i="11"/>
  <c r="BM7" i="19" s="1"/>
  <c r="BH5" i="11"/>
  <c r="BL7" i="19" s="1"/>
  <c r="BG5" i="11"/>
  <c r="BK7" i="19" s="1"/>
  <c r="BF5" i="11"/>
  <c r="BJ7" i="19" s="1"/>
  <c r="BK85" i="11"/>
  <c r="BK110" i="11" s="1"/>
  <c r="BO110" i="11" s="1"/>
  <c r="BO112" i="11" s="1"/>
  <c r="BK73" i="11"/>
  <c r="BK72" i="11"/>
  <c r="BK71" i="11"/>
  <c r="BK63" i="11"/>
  <c r="BK41" i="11"/>
  <c r="BK24" i="11"/>
  <c r="BK9" i="11"/>
  <c r="CD71" i="22"/>
  <c r="CH71" i="22" s="1"/>
  <c r="CD67" i="22"/>
  <c r="CD58" i="22"/>
  <c r="CD40" i="22"/>
  <c r="CH40" i="22" s="1"/>
  <c r="CD35" i="22"/>
  <c r="CD21" i="22"/>
  <c r="CD17" i="22"/>
  <c r="CD12" i="22"/>
  <c r="CD7" i="22"/>
  <c r="BK112" i="11" l="1"/>
  <c r="BK123" i="11"/>
  <c r="BO123" i="11" s="1"/>
  <c r="BK118" i="11"/>
  <c r="BK134" i="11"/>
  <c r="BK86" i="11"/>
  <c r="CD77" i="22"/>
  <c r="CD68" i="22" s="1"/>
  <c r="BO26" i="19"/>
  <c r="BK74" i="11"/>
  <c r="CD23" i="22" l="1"/>
  <c r="CD13" i="22"/>
  <c r="CD42" i="22"/>
  <c r="CD59" i="22"/>
  <c r="CD36" i="22"/>
  <c r="CD8" i="22"/>
  <c r="BK91" i="11"/>
  <c r="BK97" i="11" s="1"/>
  <c r="BO97" i="11" s="1"/>
  <c r="CH77" i="22"/>
  <c r="BO125" i="11"/>
  <c r="BO128" i="11"/>
  <c r="BO10" i="19"/>
  <c r="BS10" i="19" s="1"/>
  <c r="BS34" i="19" s="1"/>
  <c r="BO118" i="11"/>
  <c r="BK135" i="11"/>
  <c r="BO135" i="11" s="1"/>
  <c r="BK125" i="11"/>
  <c r="CD18" i="22"/>
  <c r="CD73" i="22"/>
  <c r="BY28" i="19"/>
  <c r="BZ28" i="19"/>
  <c r="CA28" i="19"/>
  <c r="CB28" i="19"/>
  <c r="BT28" i="19"/>
  <c r="BU28" i="19"/>
  <c r="BV28" i="19"/>
  <c r="BW28" i="19"/>
  <c r="BK107" i="11" l="1"/>
  <c r="BK108" i="11" s="1"/>
  <c r="BK103" i="11"/>
  <c r="BK105" i="11"/>
  <c r="BK101" i="11"/>
  <c r="BK111" i="11"/>
  <c r="BK98" i="11"/>
  <c r="CH73" i="22"/>
  <c r="CH18" i="22"/>
  <c r="CH13" i="22"/>
  <c r="CH59" i="22"/>
  <c r="CH8" i="22"/>
  <c r="CH36" i="22"/>
  <c r="CM81" i="22"/>
  <c r="CH23" i="22"/>
  <c r="BO91" i="11"/>
  <c r="BO98" i="11" s="1"/>
  <c r="CH68" i="22"/>
  <c r="CH42" i="22"/>
  <c r="BO107" i="11"/>
  <c r="BO132" i="11"/>
  <c r="BS23" i="19"/>
  <c r="BJ40" i="11"/>
  <c r="BM25" i="19"/>
  <c r="BM32" i="19"/>
  <c r="BI123" i="11"/>
  <c r="BI130" i="11"/>
  <c r="BI128" i="11" s="1"/>
  <c r="BI63" i="11"/>
  <c r="BJ48" i="11" l="1"/>
  <c r="BO49" i="11" s="1"/>
  <c r="BO46" i="11"/>
  <c r="BO44" i="11"/>
  <c r="BO45" i="11"/>
  <c r="BO41" i="11"/>
  <c r="BN66" i="11"/>
  <c r="BN65" i="11"/>
  <c r="BN67" i="11"/>
  <c r="BN64" i="11"/>
  <c r="BO108" i="11"/>
  <c r="BO105" i="11"/>
  <c r="BO103" i="11"/>
  <c r="BS22" i="19"/>
  <c r="BO111" i="11"/>
  <c r="BO101" i="11"/>
  <c r="AH14" i="13" l="1"/>
  <c r="AG14" i="13"/>
  <c r="AF14" i="13"/>
  <c r="AE14" i="13"/>
  <c r="AD14" i="13"/>
  <c r="BM18" i="19"/>
  <c r="BM37" i="19"/>
  <c r="BM33" i="19"/>
  <c r="BN32" i="19"/>
  <c r="BN29" i="19"/>
  <c r="BN37" i="19" s="1"/>
  <c r="BN20" i="19"/>
  <c r="BN14" i="19"/>
  <c r="BM12" i="19"/>
  <c r="BM42" i="19" s="1"/>
  <c r="BM11" i="19"/>
  <c r="BM9" i="19"/>
  <c r="BI94" i="11"/>
  <c r="BJ94" i="11" s="1"/>
  <c r="BJ140" i="11"/>
  <c r="BJ137" i="11"/>
  <c r="BI134" i="11"/>
  <c r="BJ129" i="11"/>
  <c r="BI135" i="11"/>
  <c r="BN138" i="11" s="1"/>
  <c r="BJ124" i="11"/>
  <c r="BI125" i="11"/>
  <c r="BJ121" i="11"/>
  <c r="BJ120" i="11"/>
  <c r="BJ114" i="11"/>
  <c r="BI112" i="11"/>
  <c r="BJ110" i="11"/>
  <c r="BJ104" i="11"/>
  <c r="BJ102" i="11"/>
  <c r="BJ100" i="11"/>
  <c r="BJ96" i="11"/>
  <c r="BI93" i="11"/>
  <c r="BJ88" i="11"/>
  <c r="BI85" i="11"/>
  <c r="BJ84" i="11"/>
  <c r="BJ83" i="11"/>
  <c r="BJ82" i="11"/>
  <c r="BJ81" i="11"/>
  <c r="BJ80" i="11"/>
  <c r="BJ79" i="11"/>
  <c r="BJ78" i="11"/>
  <c r="BJ75" i="11"/>
  <c r="BI73" i="11"/>
  <c r="BI72" i="11"/>
  <c r="BI71" i="11"/>
  <c r="BN76" i="11" s="1"/>
  <c r="BJ68" i="11"/>
  <c r="BJ51" i="11"/>
  <c r="BJ42" i="11"/>
  <c r="BI41" i="11"/>
  <c r="BJ37" i="11"/>
  <c r="BO38" i="11" s="1"/>
  <c r="BJ36" i="11"/>
  <c r="BJ25" i="11"/>
  <c r="BI24" i="11"/>
  <c r="BJ23" i="11"/>
  <c r="BJ21" i="11"/>
  <c r="BJ10" i="11"/>
  <c r="BI9" i="11"/>
  <c r="BJ8" i="11"/>
  <c r="CC79" i="22"/>
  <c r="CC74" i="22"/>
  <c r="CB71" i="22"/>
  <c r="CC69" i="22"/>
  <c r="CB67" i="22"/>
  <c r="CC66" i="22"/>
  <c r="CC62" i="22" s="1"/>
  <c r="CC64" i="22" s="1"/>
  <c r="CC65" i="22" s="1"/>
  <c r="CC60" i="22"/>
  <c r="CB58" i="22"/>
  <c r="CC57" i="22"/>
  <c r="CC52" i="22" s="1"/>
  <c r="CC43" i="22"/>
  <c r="CB40" i="22"/>
  <c r="CG41" i="22" s="1"/>
  <c r="CC37" i="22"/>
  <c r="CB35" i="22"/>
  <c r="CC34" i="22"/>
  <c r="CC30" i="22" s="1"/>
  <c r="CB21" i="22"/>
  <c r="CC19" i="22"/>
  <c r="CB17" i="22"/>
  <c r="CC16" i="22"/>
  <c r="CH17" i="22" s="1"/>
  <c r="CC14" i="22"/>
  <c r="CB12" i="22"/>
  <c r="CC11" i="22"/>
  <c r="CC9" i="22"/>
  <c r="CB7" i="22"/>
  <c r="CC6" i="22"/>
  <c r="CH7" i="22" s="1"/>
  <c r="AE22" i="13"/>
  <c r="AD24" i="13"/>
  <c r="AH28" i="13"/>
  <c r="AH20" i="13"/>
  <c r="AE26" i="13"/>
  <c r="AF26" i="13"/>
  <c r="AH24" i="13"/>
  <c r="AD26" i="13"/>
  <c r="AG28" i="13"/>
  <c r="AF28" i="13"/>
  <c r="AG26" i="13"/>
  <c r="AE24" i="13"/>
  <c r="CH54" i="22" l="1"/>
  <c r="CC32" i="22"/>
  <c r="CC33" i="22" s="1"/>
  <c r="CC26" i="22"/>
  <c r="CC28" i="22" s="1"/>
  <c r="CC29" i="22" s="1"/>
  <c r="BO29" i="11"/>
  <c r="BO28" i="11"/>
  <c r="BO27" i="11"/>
  <c r="BO24" i="11"/>
  <c r="BO14" i="11"/>
  <c r="BO13" i="11"/>
  <c r="BO12" i="11"/>
  <c r="BO9" i="11"/>
  <c r="CC55" i="22"/>
  <c r="CC56" i="22" s="1"/>
  <c r="CC48" i="22"/>
  <c r="CC50" i="22" s="1"/>
  <c r="CC51" i="22" s="1"/>
  <c r="CG72" i="22"/>
  <c r="CH58" i="22"/>
  <c r="BJ55" i="11"/>
  <c r="CG22" i="22"/>
  <c r="CH35" i="22"/>
  <c r="CH67" i="22"/>
  <c r="CH12" i="22"/>
  <c r="BJ18" i="11"/>
  <c r="BN33" i="19"/>
  <c r="CB77" i="22"/>
  <c r="CB59" i="22" s="1"/>
  <c r="CC21" i="22"/>
  <c r="BJ72" i="11"/>
  <c r="BJ63" i="11"/>
  <c r="BO64" i="11" s="1"/>
  <c r="BM43" i="19"/>
  <c r="BI86" i="11"/>
  <c r="BJ85" i="11"/>
  <c r="BJ73" i="11"/>
  <c r="BI74" i="11"/>
  <c r="BJ71" i="11"/>
  <c r="AE28" i="13"/>
  <c r="AG22" i="13"/>
  <c r="AF22" i="13"/>
  <c r="AF24" i="13"/>
  <c r="AG24" i="13"/>
  <c r="AD22" i="13"/>
  <c r="AD28" i="13"/>
  <c r="BJ33" i="11" l="1"/>
  <c r="BO34" i="11" s="1"/>
  <c r="BO19" i="11"/>
  <c r="CB8" i="22"/>
  <c r="BJ53" i="11"/>
  <c r="BO54" i="11" s="1"/>
  <c r="BO56" i="11"/>
  <c r="CB23" i="22"/>
  <c r="CB73" i="22"/>
  <c r="CB36" i="22"/>
  <c r="CH22" i="22"/>
  <c r="BI91" i="11"/>
  <c r="BI101" i="11" s="1"/>
  <c r="CG78" i="22"/>
  <c r="CB42" i="22"/>
  <c r="CB68" i="22"/>
  <c r="CB18" i="22"/>
  <c r="CB13" i="22"/>
  <c r="BJ16" i="11"/>
  <c r="BJ86" i="11"/>
  <c r="BJ74" i="11"/>
  <c r="BL17" i="19"/>
  <c r="BN17" i="19" s="1"/>
  <c r="BL16" i="19"/>
  <c r="BN16" i="19" s="1"/>
  <c r="BJ31" i="11" l="1"/>
  <c r="BO32" i="11" s="1"/>
  <c r="BO17" i="11"/>
  <c r="BI97" i="11"/>
  <c r="BI98" i="11" s="1"/>
  <c r="BI103" i="11"/>
  <c r="BN92" i="11"/>
  <c r="BI111" i="11"/>
  <c r="BI105" i="11"/>
  <c r="BI107" i="11" l="1"/>
  <c r="BI108" i="11" s="1"/>
  <c r="BL32" i="19"/>
  <c r="BM26" i="19" s="1"/>
  <c r="BH123" i="11"/>
  <c r="BG128" i="11"/>
  <c r="BH130" i="11"/>
  <c r="BH132" i="11" s="1"/>
  <c r="BG117" i="11"/>
  <c r="BG116" i="11"/>
  <c r="BH117" i="11" l="1"/>
  <c r="BI117" i="11" s="1"/>
  <c r="BI118" i="11" s="1"/>
  <c r="BG118" i="11"/>
  <c r="BH116" i="11"/>
  <c r="BJ116" i="11" s="1"/>
  <c r="BL38" i="19"/>
  <c r="BM38" i="19" s="1"/>
  <c r="BL37" i="19"/>
  <c r="BL39" i="19" s="1"/>
  <c r="BL33" i="19"/>
  <c r="BL18" i="19"/>
  <c r="BL12" i="19"/>
  <c r="BL42" i="19" s="1"/>
  <c r="BL43" i="19" s="1"/>
  <c r="BL9" i="19"/>
  <c r="BJ117" i="11" l="1"/>
  <c r="BM10" i="19"/>
  <c r="BN38" i="19"/>
  <c r="BN39" i="19" s="1"/>
  <c r="BM39" i="19"/>
  <c r="BH112" i="11"/>
  <c r="BH94" i="11"/>
  <c r="BH93" i="11"/>
  <c r="BH85" i="11"/>
  <c r="BH73" i="11"/>
  <c r="BH72" i="11"/>
  <c r="BH71" i="11"/>
  <c r="BH63" i="11"/>
  <c r="BH41" i="11"/>
  <c r="BH24" i="11"/>
  <c r="BH9" i="11"/>
  <c r="BM67" i="11" l="1"/>
  <c r="BM66" i="11"/>
  <c r="BM65" i="11"/>
  <c r="BM64" i="11"/>
  <c r="BH125" i="11"/>
  <c r="BL11" i="19"/>
  <c r="BH86" i="11"/>
  <c r="BH74" i="11"/>
  <c r="CA71" i="22"/>
  <c r="CF72" i="22" s="1"/>
  <c r="CA67" i="22"/>
  <c r="CA58" i="22"/>
  <c r="CA40" i="22"/>
  <c r="CF41" i="22" s="1"/>
  <c r="CA35" i="22"/>
  <c r="CA21" i="22"/>
  <c r="CF22" i="22" s="1"/>
  <c r="CA17" i="22"/>
  <c r="CA12" i="22"/>
  <c r="CA7" i="22"/>
  <c r="CA77" i="22" l="1"/>
  <c r="CA59" i="22" s="1"/>
  <c r="BK28" i="19"/>
  <c r="BK27" i="19"/>
  <c r="BK25" i="19"/>
  <c r="BK13" i="19"/>
  <c r="CA42" i="22" l="1"/>
  <c r="CF78" i="22"/>
  <c r="BL13" i="19"/>
  <c r="BN13" i="19" s="1"/>
  <c r="BL27" i="19"/>
  <c r="BN27" i="19" s="1"/>
  <c r="BL25" i="19"/>
  <c r="BN25" i="19" s="1"/>
  <c r="BL28" i="19"/>
  <c r="BN28" i="19" s="1"/>
  <c r="CA73" i="22"/>
  <c r="CA36" i="22"/>
  <c r="CA68" i="22"/>
  <c r="BH91" i="11"/>
  <c r="BH105" i="11" s="1"/>
  <c r="CA23" i="22"/>
  <c r="CA18" i="22"/>
  <c r="CA8" i="22"/>
  <c r="CA13" i="22"/>
  <c r="BK32" i="19"/>
  <c r="BL26" i="19" s="1"/>
  <c r="BH111" i="11" l="1"/>
  <c r="BH97" i="11"/>
  <c r="BH107" i="11" s="1"/>
  <c r="BH108" i="11" s="1"/>
  <c r="BM92" i="11"/>
  <c r="BH103" i="11"/>
  <c r="BH101" i="11"/>
  <c r="BG130" i="11"/>
  <c r="BH98" i="11" l="1"/>
  <c r="BK37" i="19"/>
  <c r="BK39" i="19" s="1"/>
  <c r="BK33" i="19"/>
  <c r="BK18" i="19"/>
  <c r="BK12" i="19"/>
  <c r="BK42" i="19" s="1"/>
  <c r="BK43" i="19" s="1"/>
  <c r="BK11" i="19"/>
  <c r="BK9" i="19"/>
  <c r="BG138" i="11"/>
  <c r="BG132" i="11"/>
  <c r="BG134" i="11" s="1"/>
  <c r="BG123" i="11"/>
  <c r="BG125" i="11" s="1"/>
  <c r="BG112" i="11"/>
  <c r="BG94" i="11"/>
  <c r="BG93" i="11"/>
  <c r="BG85" i="11"/>
  <c r="BG73" i="11"/>
  <c r="BG72" i="11"/>
  <c r="BG71" i="11"/>
  <c r="BG63" i="11"/>
  <c r="BG41" i="11"/>
  <c r="BG24" i="11"/>
  <c r="BG9" i="11"/>
  <c r="BZ71" i="22"/>
  <c r="CE72" i="22" s="1"/>
  <c r="BZ67" i="22"/>
  <c r="BZ58" i="22"/>
  <c r="BZ40" i="22"/>
  <c r="CE41" i="22" s="1"/>
  <c r="BZ35" i="22"/>
  <c r="BZ21" i="22"/>
  <c r="CE22" i="22" s="1"/>
  <c r="BZ17" i="22"/>
  <c r="BZ12" i="22"/>
  <c r="BZ7" i="22"/>
  <c r="C117" i="25"/>
  <c r="BL67" i="11" l="1"/>
  <c r="BL66" i="11"/>
  <c r="BL65" i="11"/>
  <c r="BL64" i="11"/>
  <c r="BH118" i="11"/>
  <c r="BL10" i="19" s="1"/>
  <c r="BK10" i="19"/>
  <c r="BG86" i="11"/>
  <c r="BZ77" i="22"/>
  <c r="BZ73" i="22" s="1"/>
  <c r="BG74" i="11"/>
  <c r="BZ13" i="22" l="1"/>
  <c r="CE78" i="22"/>
  <c r="BZ68" i="22"/>
  <c r="BZ42" i="22"/>
  <c r="BZ8" i="22"/>
  <c r="BZ59" i="22"/>
  <c r="BZ18" i="22"/>
  <c r="BZ36" i="22"/>
  <c r="BG91" i="11"/>
  <c r="BG111" i="11" s="1"/>
  <c r="BZ23" i="22"/>
  <c r="BL92" i="11" l="1"/>
  <c r="BG103" i="11"/>
  <c r="BG97" i="11"/>
  <c r="BG107" i="11" s="1"/>
  <c r="BG108" i="11" s="1"/>
  <c r="BG101" i="11"/>
  <c r="BG105" i="11"/>
  <c r="BG98" i="11" l="1"/>
  <c r="BE51" i="11"/>
  <c r="BE21" i="11"/>
  <c r="BE36" i="11"/>
  <c r="L212" i="15"/>
  <c r="T124" i="25"/>
  <c r="U124" i="25" s="1"/>
  <c r="V124" i="25" s="1"/>
  <c r="BE110" i="11"/>
  <c r="BJ112" i="11" s="1"/>
  <c r="CC26" i="19"/>
  <c r="CC27" i="19"/>
  <c r="CC28" i="19"/>
  <c r="BY12" i="19"/>
  <c r="BY42" i="19" s="1"/>
  <c r="BZ12" i="19"/>
  <c r="BZ42" i="19" s="1"/>
  <c r="CA12" i="19"/>
  <c r="CA42" i="19" s="1"/>
  <c r="CB12" i="19"/>
  <c r="CB42" i="19" s="1"/>
  <c r="CC13" i="19"/>
  <c r="CC14" i="19"/>
  <c r="BX26" i="19"/>
  <c r="BX27" i="19"/>
  <c r="BX28" i="19"/>
  <c r="BT12" i="19"/>
  <c r="BT42" i="19" s="1"/>
  <c r="BU12" i="19"/>
  <c r="BU42" i="19" s="1"/>
  <c r="BV12" i="19"/>
  <c r="BV42" i="19" s="1"/>
  <c r="BW12" i="19"/>
  <c r="BW42" i="19" s="1"/>
  <c r="BX13" i="19"/>
  <c r="BX14" i="19"/>
  <c r="BP5" i="11"/>
  <c r="BT7" i="19" s="1"/>
  <c r="BQ5" i="11"/>
  <c r="BU7" i="19" s="1"/>
  <c r="BR5" i="11"/>
  <c r="BV7" i="19" s="1"/>
  <c r="BS5" i="11"/>
  <c r="BW7" i="19" s="1"/>
  <c r="BY129" i="11"/>
  <c r="BY130" i="11"/>
  <c r="BY120" i="11"/>
  <c r="BY121" i="11"/>
  <c r="BY116" i="11"/>
  <c r="BT129" i="11"/>
  <c r="BT130" i="11"/>
  <c r="BT120" i="11"/>
  <c r="BT121" i="11"/>
  <c r="BT116" i="11"/>
  <c r="W54" i="25" a="1"/>
  <c r="V54" i="25" a="1"/>
  <c r="X54" i="25" a="1"/>
  <c r="CC42" i="19" l="1"/>
  <c r="CC12" i="19"/>
  <c r="BX42" i="19"/>
  <c r="BX12" i="19"/>
  <c r="X54" i="25"/>
  <c r="W54" i="25"/>
  <c r="V54" i="25"/>
  <c r="BT117" i="11"/>
  <c r="BY117" i="11"/>
  <c r="CR81" i="22" l="1"/>
  <c r="BY93" i="11"/>
  <c r="BT93" i="11"/>
  <c r="BT94" i="11" s="1"/>
  <c r="BJ32" i="19"/>
  <c r="BK26" i="19" s="1"/>
  <c r="BY94" i="11" l="1"/>
  <c r="BF130" i="11"/>
  <c r="BJ130" i="11" s="1"/>
  <c r="BF123" i="11"/>
  <c r="BF85" i="11"/>
  <c r="BF73" i="11"/>
  <c r="BF72" i="11"/>
  <c r="BF71" i="11"/>
  <c r="BF63" i="11"/>
  <c r="BF41" i="11"/>
  <c r="BF24" i="11"/>
  <c r="BF9" i="11"/>
  <c r="BJ37" i="19"/>
  <c r="BJ39" i="19" s="1"/>
  <c r="BJ33" i="19"/>
  <c r="BJ26" i="19"/>
  <c r="BN26" i="19" s="1"/>
  <c r="BJ18" i="19"/>
  <c r="BN18" i="19" s="1"/>
  <c r="BJ12" i="19"/>
  <c r="BJ11" i="19"/>
  <c r="BN11" i="19" s="1"/>
  <c r="BF118" i="11"/>
  <c r="BF112" i="11"/>
  <c r="BF94" i="11"/>
  <c r="BF93" i="11"/>
  <c r="BY71" i="22"/>
  <c r="BY67" i="22"/>
  <c r="BY58" i="22"/>
  <c r="BY40" i="22"/>
  <c r="BY35" i="22"/>
  <c r="BY21" i="22"/>
  <c r="CD22" i="22" s="1"/>
  <c r="BY17" i="22"/>
  <c r="BY12" i="22"/>
  <c r="BY7" i="22"/>
  <c r="CD72" i="22" l="1"/>
  <c r="CC71" i="22"/>
  <c r="CD41" i="22"/>
  <c r="CC40" i="22"/>
  <c r="BF128" i="11"/>
  <c r="BF135" i="11" s="1"/>
  <c r="BJ123" i="11"/>
  <c r="BK65" i="11"/>
  <c r="BO65" i="11" s="1"/>
  <c r="BK67" i="11"/>
  <c r="BO67" i="11" s="1"/>
  <c r="BK66" i="11"/>
  <c r="BO66" i="11" s="1"/>
  <c r="BK64" i="11"/>
  <c r="BJ10" i="19"/>
  <c r="BN10" i="19" s="1"/>
  <c r="BN34" i="19" s="1"/>
  <c r="BJ118" i="11"/>
  <c r="BJ42" i="19"/>
  <c r="BN12" i="19"/>
  <c r="BF132" i="11"/>
  <c r="BF134" i="11" s="1"/>
  <c r="BF86" i="11"/>
  <c r="BF74" i="11"/>
  <c r="BY77" i="22"/>
  <c r="BF125" i="11"/>
  <c r="CH72" i="22" l="1"/>
  <c r="CH41" i="22"/>
  <c r="BY59" i="22"/>
  <c r="CD78" i="22"/>
  <c r="CC77" i="22"/>
  <c r="CC42" i="22" s="1"/>
  <c r="BJ128" i="11"/>
  <c r="BJ125" i="11"/>
  <c r="BK138" i="11"/>
  <c r="BJ135" i="11"/>
  <c r="BO138" i="11" s="1"/>
  <c r="BJ43" i="19"/>
  <c r="BN42" i="19"/>
  <c r="BN43" i="19" s="1"/>
  <c r="BY68" i="22"/>
  <c r="BY18" i="22"/>
  <c r="BY13" i="22"/>
  <c r="BF91" i="11"/>
  <c r="BY36" i="22"/>
  <c r="BY8" i="22"/>
  <c r="BY73" i="22"/>
  <c r="BY23" i="22"/>
  <c r="BY42" i="22"/>
  <c r="O109" i="25"/>
  <c r="P106" i="25"/>
  <c r="P107" i="25" s="1"/>
  <c r="Q106" i="25"/>
  <c r="Q107" i="25" s="1"/>
  <c r="R106" i="25"/>
  <c r="R107" i="25" s="1"/>
  <c r="R109" i="25" s="1"/>
  <c r="S106" i="25"/>
  <c r="S107" i="25" s="1"/>
  <c r="S109" i="25" s="1"/>
  <c r="F106" i="25"/>
  <c r="F107" i="25" s="1"/>
  <c r="G106" i="25"/>
  <c r="G107" i="25" s="1"/>
  <c r="H106" i="25"/>
  <c r="H107" i="25" s="1"/>
  <c r="I106" i="25"/>
  <c r="I107" i="25" s="1"/>
  <c r="K106" i="25"/>
  <c r="K107" i="25" s="1"/>
  <c r="L106" i="25"/>
  <c r="L107" i="25" s="1"/>
  <c r="M106" i="25"/>
  <c r="M107" i="25" s="1"/>
  <c r="N106" i="25"/>
  <c r="N107" i="25" s="1"/>
  <c r="Q88" i="25"/>
  <c r="R88" i="25"/>
  <c r="S88" i="25"/>
  <c r="P88" i="25"/>
  <c r="Y92" i="25"/>
  <c r="T92" i="25"/>
  <c r="O92" i="25"/>
  <c r="U90" i="25"/>
  <c r="V90" i="25"/>
  <c r="W90" i="25"/>
  <c r="X90" i="25"/>
  <c r="K90" i="25"/>
  <c r="M90" i="25"/>
  <c r="N90" i="25"/>
  <c r="Q90" i="25"/>
  <c r="R90" i="25"/>
  <c r="S90" i="25"/>
  <c r="P90" i="25"/>
  <c r="O79" i="25"/>
  <c r="T79" i="25"/>
  <c r="Y79" i="25"/>
  <c r="CC73" i="22" l="1"/>
  <c r="CH78" i="22"/>
  <c r="CC68" i="22"/>
  <c r="CC36" i="22"/>
  <c r="CC59" i="22"/>
  <c r="CC18" i="22"/>
  <c r="CC13" i="22"/>
  <c r="CC23" i="22"/>
  <c r="CC8" i="22"/>
  <c r="BJ91" i="11"/>
  <c r="BF101" i="11"/>
  <c r="BK92" i="11"/>
  <c r="BJ132" i="11"/>
  <c r="BN23" i="19"/>
  <c r="BF111" i="11"/>
  <c r="BF105" i="11"/>
  <c r="BF103" i="11"/>
  <c r="BF97" i="11"/>
  <c r="J107" i="25"/>
  <c r="Q119" i="25"/>
  <c r="Q109" i="25"/>
  <c r="T109" i="25" s="1"/>
  <c r="T107" i="25"/>
  <c r="O107" i="25"/>
  <c r="R119" i="25"/>
  <c r="S119" i="25"/>
  <c r="U12" i="18"/>
  <c r="BA128" i="11"/>
  <c r="P12" i="25"/>
  <c r="Q12" i="25"/>
  <c r="R12" i="25"/>
  <c r="S12" i="25"/>
  <c r="P14" i="25"/>
  <c r="Q14" i="25"/>
  <c r="R14" i="25"/>
  <c r="S14" i="25"/>
  <c r="P15" i="25"/>
  <c r="Q15" i="25"/>
  <c r="R15" i="25"/>
  <c r="S15" i="25"/>
  <c r="P16" i="25"/>
  <c r="Q16" i="25"/>
  <c r="R16" i="25"/>
  <c r="S16" i="25"/>
  <c r="P17" i="25"/>
  <c r="Q17" i="25"/>
  <c r="R17" i="25"/>
  <c r="S17" i="25"/>
  <c r="P18" i="25"/>
  <c r="Q18" i="25"/>
  <c r="R18" i="25"/>
  <c r="S18" i="25"/>
  <c r="P19" i="25"/>
  <c r="Q19" i="25"/>
  <c r="R19" i="25"/>
  <c r="S19" i="25"/>
  <c r="P20" i="25"/>
  <c r="Q20" i="25"/>
  <c r="R20" i="25"/>
  <c r="S20" i="25"/>
  <c r="U12" i="25"/>
  <c r="V12" i="25"/>
  <c r="W12" i="25"/>
  <c r="X12" i="25"/>
  <c r="U14" i="25"/>
  <c r="V14" i="25"/>
  <c r="W14" i="25"/>
  <c r="W25" i="25" s="1"/>
  <c r="X14" i="25"/>
  <c r="U15" i="25"/>
  <c r="V15" i="25"/>
  <c r="W15" i="25"/>
  <c r="X15" i="25"/>
  <c r="U16" i="25"/>
  <c r="V16" i="25"/>
  <c r="W16" i="25"/>
  <c r="X16" i="25"/>
  <c r="U17" i="25"/>
  <c r="V17" i="25"/>
  <c r="W17" i="25"/>
  <c r="X17" i="25"/>
  <c r="U18" i="25"/>
  <c r="V18" i="25"/>
  <c r="W18" i="25"/>
  <c r="X18" i="25"/>
  <c r="U19" i="25"/>
  <c r="V19" i="25"/>
  <c r="W19" i="25"/>
  <c r="X19" i="25"/>
  <c r="U20" i="25"/>
  <c r="V20" i="25"/>
  <c r="W20" i="25"/>
  <c r="X20" i="25"/>
  <c r="AA12" i="25"/>
  <c r="AB12" i="25"/>
  <c r="AC12" i="25"/>
  <c r="AA14" i="25"/>
  <c r="AB14" i="25"/>
  <c r="AC14" i="25"/>
  <c r="AA15" i="25"/>
  <c r="AB15" i="25"/>
  <c r="AC15" i="25"/>
  <c r="AA16" i="25"/>
  <c r="AB16" i="25"/>
  <c r="AC16" i="25"/>
  <c r="AA17" i="25"/>
  <c r="AB17" i="25"/>
  <c r="AC17" i="25"/>
  <c r="AA18" i="25"/>
  <c r="AB18" i="25"/>
  <c r="AC18" i="25"/>
  <c r="AA19" i="25"/>
  <c r="AB19" i="25"/>
  <c r="AC19" i="25"/>
  <c r="AA20" i="25"/>
  <c r="AB20" i="25"/>
  <c r="AC20" i="25"/>
  <c r="Z20" i="25"/>
  <c r="Z19" i="25"/>
  <c r="Z18" i="25"/>
  <c r="Z17" i="25"/>
  <c r="Z16" i="25"/>
  <c r="Y12" i="25"/>
  <c r="Z12" i="25"/>
  <c r="AD12" i="25"/>
  <c r="BN22" i="19" l="1"/>
  <c r="BO92" i="11"/>
  <c r="BJ101" i="11"/>
  <c r="BJ105" i="11"/>
  <c r="BJ103" i="11"/>
  <c r="BJ111" i="11"/>
  <c r="BN5" i="19"/>
  <c r="BF98" i="11"/>
  <c r="BJ97" i="11"/>
  <c r="BF107" i="11"/>
  <c r="BF108" i="11" s="1"/>
  <c r="Q5" i="25"/>
  <c r="R5" i="25"/>
  <c r="S5" i="25"/>
  <c r="T5" i="25" s="1"/>
  <c r="P5" i="25"/>
  <c r="S3" i="25"/>
  <c r="S8" i="25" s="1"/>
  <c r="BJ107" i="11" l="1"/>
  <c r="BJ108" i="11" s="1"/>
  <c r="BJ98" i="11"/>
  <c r="S7" i="25"/>
  <c r="BH25" i="19" l="1"/>
  <c r="BH26" i="19"/>
  <c r="BC123" i="11"/>
  <c r="BD123" i="11"/>
  <c r="BD130" i="11" l="1"/>
  <c r="AY124" i="11"/>
  <c r="BD128" i="11" l="1"/>
  <c r="BD135" i="11" s="1"/>
  <c r="BI138" i="11" s="1"/>
  <c r="AC14" i="13"/>
  <c r="AB14" i="13"/>
  <c r="AA14" i="13"/>
  <c r="Z14" i="13"/>
  <c r="Y14" i="13"/>
  <c r="BD93" i="11"/>
  <c r="BH37" i="19"/>
  <c r="BI32" i="19"/>
  <c r="BH33" i="19"/>
  <c r="BI29" i="19"/>
  <c r="BI20" i="19"/>
  <c r="BH9" i="19"/>
  <c r="BH11" i="19"/>
  <c r="BH12" i="19"/>
  <c r="BH42" i="19" s="1"/>
  <c r="BI14" i="19"/>
  <c r="S60" i="25" a="1"/>
  <c r="T60" i="25" a="1"/>
  <c r="U60" i="25" a="1"/>
  <c r="AD54" i="25" a="1"/>
  <c r="AD60" i="25" a="1"/>
  <c r="U54" i="25" a="1"/>
  <c r="V60" i="25" a="1"/>
  <c r="W60" i="25" a="1"/>
  <c r="Y60" i="25" a="1"/>
  <c r="X60" i="25" a="1"/>
  <c r="Z28" i="13"/>
  <c r="AC24" i="13"/>
  <c r="Y26" i="13"/>
  <c r="AA28" i="13"/>
  <c r="AB28" i="13"/>
  <c r="BI37" i="19" l="1"/>
  <c r="BJ9" i="19"/>
  <c r="BN9" i="19" s="1"/>
  <c r="BI33" i="19"/>
  <c r="X60" i="25"/>
  <c r="T60" i="25"/>
  <c r="Y60" i="25"/>
  <c r="U60" i="25"/>
  <c r="AD54" i="25"/>
  <c r="V60" i="25"/>
  <c r="U54" i="25"/>
  <c r="S60" i="25"/>
  <c r="W60" i="25"/>
  <c r="AD60" i="25"/>
  <c r="BH43" i="19"/>
  <c r="Y24" i="13"/>
  <c r="Z26" i="13"/>
  <c r="AB22" i="13"/>
  <c r="Z22" i="13"/>
  <c r="Y28" i="13"/>
  <c r="AC28" i="13"/>
  <c r="AB24" i="13"/>
  <c r="Y22" i="13"/>
  <c r="AA22" i="13"/>
  <c r="AB26" i="13"/>
  <c r="Z24" i="13"/>
  <c r="AA24" i="13"/>
  <c r="AC20" i="13"/>
  <c r="AA26" i="13"/>
  <c r="BE96" i="11" l="1"/>
  <c r="BE100" i="11"/>
  <c r="BE102" i="11"/>
  <c r="BE104" i="11"/>
  <c r="BD112" i="11"/>
  <c r="BE112" i="11"/>
  <c r="BE114" i="11"/>
  <c r="BE120" i="11"/>
  <c r="BE121" i="11"/>
  <c r="BE129" i="11"/>
  <c r="BE137" i="11"/>
  <c r="BE140" i="11"/>
  <c r="BE94" i="11"/>
  <c r="BE78" i="11"/>
  <c r="BE79" i="11"/>
  <c r="BE80" i="11"/>
  <c r="BE81" i="11"/>
  <c r="BE82" i="11"/>
  <c r="BE83" i="11"/>
  <c r="BE84" i="11"/>
  <c r="BD85" i="11"/>
  <c r="BE88" i="11"/>
  <c r="BD71" i="11"/>
  <c r="BD72" i="11"/>
  <c r="BD73" i="11"/>
  <c r="BE75" i="11"/>
  <c r="BD63" i="11"/>
  <c r="BE68" i="11"/>
  <c r="BE40" i="11"/>
  <c r="BD41" i="11"/>
  <c r="BE42" i="11"/>
  <c r="BE23" i="11"/>
  <c r="BD24" i="11"/>
  <c r="BE25" i="11"/>
  <c r="BE8" i="11"/>
  <c r="BE18" i="11" s="1"/>
  <c r="BD9" i="11"/>
  <c r="BE10" i="11"/>
  <c r="BX79" i="22"/>
  <c r="BW71" i="22"/>
  <c r="CB72" i="22" s="1"/>
  <c r="BX74" i="22"/>
  <c r="BX66" i="22"/>
  <c r="BW67" i="22"/>
  <c r="BX69" i="22"/>
  <c r="BX57" i="22"/>
  <c r="BX52" i="22" s="1"/>
  <c r="BW58" i="22"/>
  <c r="BX60" i="22"/>
  <c r="BW40" i="22"/>
  <c r="CB41" i="22" s="1"/>
  <c r="BX43" i="22"/>
  <c r="BX34" i="22"/>
  <c r="BW35" i="22"/>
  <c r="BX37" i="22"/>
  <c r="BW21" i="22"/>
  <c r="CB22" i="22" s="1"/>
  <c r="BX16" i="22"/>
  <c r="CC17" i="22" s="1"/>
  <c r="BW17" i="22"/>
  <c r="BX19" i="22"/>
  <c r="BX11" i="22"/>
  <c r="CC12" i="22" s="1"/>
  <c r="BW12" i="22"/>
  <c r="BX14" i="22"/>
  <c r="BX6" i="22"/>
  <c r="CC7" i="22" s="1"/>
  <c r="BW7" i="22"/>
  <c r="BX9" i="22"/>
  <c r="T88" i="25" s="1"/>
  <c r="Y90" i="25"/>
  <c r="T90" i="25"/>
  <c r="CC54" i="22" l="1"/>
  <c r="CC67" i="22"/>
  <c r="BX62" i="22"/>
  <c r="BX64" i="22" s="1"/>
  <c r="BX65" i="22" s="1"/>
  <c r="CC35" i="22"/>
  <c r="BX30" i="22"/>
  <c r="BX55" i="22"/>
  <c r="BX56" i="22" s="1"/>
  <c r="BX48" i="22"/>
  <c r="BX50" i="22" s="1"/>
  <c r="BX51" i="22" s="1"/>
  <c r="BE55" i="11"/>
  <c r="CC58" i="22"/>
  <c r="BI67" i="11"/>
  <c r="BI66" i="11"/>
  <c r="BI65" i="11"/>
  <c r="BI64" i="11"/>
  <c r="BJ24" i="11"/>
  <c r="BJ29" i="11"/>
  <c r="BJ28" i="11"/>
  <c r="BJ27" i="11"/>
  <c r="BJ19" i="11"/>
  <c r="BJ9" i="11"/>
  <c r="BJ13" i="11"/>
  <c r="BJ12" i="11"/>
  <c r="BJ14" i="11"/>
  <c r="BE48" i="11"/>
  <c r="BJ49" i="11" s="1"/>
  <c r="BJ45" i="11"/>
  <c r="BJ44" i="11"/>
  <c r="BJ46" i="11"/>
  <c r="BJ41" i="11"/>
  <c r="BE16" i="11"/>
  <c r="BJ17" i="11" s="1"/>
  <c r="T106" i="25"/>
  <c r="BE85" i="11"/>
  <c r="BE72" i="11"/>
  <c r="BW77" i="22"/>
  <c r="BX21" i="22"/>
  <c r="BE73" i="11"/>
  <c r="BE71" i="11"/>
  <c r="BD86" i="11"/>
  <c r="BD134" i="11"/>
  <c r="BE63" i="11"/>
  <c r="BJ64" i="11" s="1"/>
  <c r="BD74" i="11"/>
  <c r="BD125" i="11"/>
  <c r="O73" i="25"/>
  <c r="T73" i="25"/>
  <c r="Y73" i="25"/>
  <c r="Y72" i="25"/>
  <c r="Y76" i="25"/>
  <c r="X76" i="25"/>
  <c r="W76" i="25"/>
  <c r="V76" i="25"/>
  <c r="U76" i="25"/>
  <c r="Y75" i="25"/>
  <c r="X75" i="25"/>
  <c r="W75" i="25"/>
  <c r="V75" i="25"/>
  <c r="U75" i="25"/>
  <c r="Y74" i="25"/>
  <c r="X74" i="25"/>
  <c r="W74" i="25"/>
  <c r="V74" i="25"/>
  <c r="U74" i="25"/>
  <c r="F63" i="25"/>
  <c r="G63" i="25"/>
  <c r="H63" i="25"/>
  <c r="I63" i="25"/>
  <c r="P63" i="25"/>
  <c r="Q63" i="25"/>
  <c r="R63" i="25"/>
  <c r="S63" i="25"/>
  <c r="L63" i="25"/>
  <c r="M63" i="25"/>
  <c r="N63" i="25"/>
  <c r="K63" i="25"/>
  <c r="K58" i="25"/>
  <c r="L58" i="25"/>
  <c r="M58" i="25"/>
  <c r="N58" i="25"/>
  <c r="O58" i="25"/>
  <c r="P58" i="25"/>
  <c r="Q58" i="25"/>
  <c r="R58" i="25"/>
  <c r="S58" i="25"/>
  <c r="T58" i="25"/>
  <c r="K61" i="25"/>
  <c r="L61" i="25"/>
  <c r="M61" i="25"/>
  <c r="N61" i="25"/>
  <c r="P61" i="25"/>
  <c r="Q61" i="25"/>
  <c r="R61" i="25"/>
  <c r="J60" i="25"/>
  <c r="O60" i="25"/>
  <c r="P97" i="25"/>
  <c r="Q97" i="25"/>
  <c r="R97" i="25"/>
  <c r="S97" i="25"/>
  <c r="T97" i="25"/>
  <c r="L97" i="25"/>
  <c r="M97" i="25"/>
  <c r="N97" i="25"/>
  <c r="K97" i="25"/>
  <c r="BX32" i="22" l="1"/>
  <c r="BX33" i="22" s="1"/>
  <c r="BX26" i="22"/>
  <c r="BX28" i="22" s="1"/>
  <c r="BX29" i="22" s="1"/>
  <c r="BE60" i="11"/>
  <c r="BE58" i="11"/>
  <c r="BW13" i="22"/>
  <c r="CB78" i="22"/>
  <c r="CC22" i="22"/>
  <c r="BT140" i="11"/>
  <c r="BX25" i="19"/>
  <c r="BE37" i="11"/>
  <c r="BJ38" i="11" s="1"/>
  <c r="BD91" i="11"/>
  <c r="BD97" i="11" s="1"/>
  <c r="BE31" i="11"/>
  <c r="BJ32" i="11" s="1"/>
  <c r="BE33" i="11"/>
  <c r="BJ34" i="11" s="1"/>
  <c r="BW36" i="22"/>
  <c r="BW8" i="22"/>
  <c r="BW18" i="22"/>
  <c r="BW68" i="22"/>
  <c r="BW59" i="22"/>
  <c r="BW23" i="22"/>
  <c r="BW42" i="22"/>
  <c r="N64" i="25"/>
  <c r="BW73" i="22"/>
  <c r="BE74" i="11"/>
  <c r="BE86" i="11"/>
  <c r="R64" i="25"/>
  <c r="O63" i="25"/>
  <c r="J63" i="25"/>
  <c r="Q64" i="25"/>
  <c r="T63" i="25"/>
  <c r="M64" i="25"/>
  <c r="X55" i="25"/>
  <c r="V55" i="25"/>
  <c r="P64" i="25"/>
  <c r="K64" i="25"/>
  <c r="L64" i="25"/>
  <c r="T61" i="25"/>
  <c r="W61" i="25"/>
  <c r="V61" i="25"/>
  <c r="U61" i="25"/>
  <c r="O61" i="25"/>
  <c r="S86" i="25"/>
  <c r="Z51" i="25"/>
  <c r="AA51" i="25"/>
  <c r="AB51" i="25"/>
  <c r="AC51" i="25"/>
  <c r="U51" i="25"/>
  <c r="U63" i="25" s="1"/>
  <c r="V51" i="25"/>
  <c r="V63" i="25" s="1"/>
  <c r="W51" i="25"/>
  <c r="X51" i="25"/>
  <c r="T17" i="25"/>
  <c r="U32" i="25"/>
  <c r="Y17" i="25"/>
  <c r="AD17" i="25"/>
  <c r="T18" i="25"/>
  <c r="U33" i="25"/>
  <c r="V33" i="25"/>
  <c r="W33" i="25"/>
  <c r="X33" i="25"/>
  <c r="Y18" i="25"/>
  <c r="Z33" i="25"/>
  <c r="AA33" i="25"/>
  <c r="AB33" i="25"/>
  <c r="AD18" i="25"/>
  <c r="T19" i="25"/>
  <c r="U34" i="25"/>
  <c r="V34" i="25"/>
  <c r="W34" i="25"/>
  <c r="X34" i="25"/>
  <c r="Y19" i="25"/>
  <c r="Z34" i="25"/>
  <c r="AA34" i="25"/>
  <c r="AB34" i="25"/>
  <c r="AC34" i="25"/>
  <c r="AD19" i="25"/>
  <c r="T20" i="25"/>
  <c r="U35" i="25"/>
  <c r="V35" i="25"/>
  <c r="W35" i="25"/>
  <c r="X35" i="25"/>
  <c r="Y20" i="25"/>
  <c r="Z35" i="25"/>
  <c r="AA35" i="25"/>
  <c r="AB35" i="25"/>
  <c r="AC35" i="25"/>
  <c r="AD20" i="25"/>
  <c r="Q32" i="25"/>
  <c r="R32" i="25"/>
  <c r="S32" i="25"/>
  <c r="Q33" i="25"/>
  <c r="R33" i="25"/>
  <c r="S33" i="25"/>
  <c r="Q34" i="25"/>
  <c r="R34" i="25"/>
  <c r="S34" i="25"/>
  <c r="Q35" i="25"/>
  <c r="R35" i="25"/>
  <c r="S35" i="25"/>
  <c r="P33" i="25"/>
  <c r="P34" i="25"/>
  <c r="P35" i="25"/>
  <c r="P32" i="25"/>
  <c r="AC23" i="25"/>
  <c r="AB23" i="25"/>
  <c r="AA23" i="25"/>
  <c r="Z23" i="25"/>
  <c r="V27" i="25"/>
  <c r="W27" i="25"/>
  <c r="X27" i="25"/>
  <c r="Z27" i="25"/>
  <c r="AA27" i="25"/>
  <c r="AB27" i="25"/>
  <c r="AC27" i="25"/>
  <c r="U27" i="25"/>
  <c r="AD16" i="25"/>
  <c r="Y16" i="25"/>
  <c r="V23" i="25"/>
  <c r="W23" i="25"/>
  <c r="U23" i="25"/>
  <c r="AC24" i="25"/>
  <c r="AB24" i="25"/>
  <c r="AA24" i="25"/>
  <c r="Z24" i="25"/>
  <c r="AD15" i="25"/>
  <c r="AB26" i="25"/>
  <c r="AA26" i="25"/>
  <c r="Z15" i="25"/>
  <c r="Z26" i="25" s="1"/>
  <c r="AC25" i="25"/>
  <c r="AB25" i="25"/>
  <c r="AA25" i="25"/>
  <c r="Z14" i="25"/>
  <c r="Z25" i="25" s="1"/>
  <c r="AD13" i="25"/>
  <c r="O20" i="25"/>
  <c r="O19" i="25"/>
  <c r="O18" i="25"/>
  <c r="O17" i="25"/>
  <c r="N34" i="25"/>
  <c r="M34" i="25"/>
  <c r="L34" i="25"/>
  <c r="K34" i="25"/>
  <c r="N32" i="25"/>
  <c r="M32" i="25"/>
  <c r="L32" i="25"/>
  <c r="K32" i="25"/>
  <c r="V25" i="25"/>
  <c r="Y14" i="25"/>
  <c r="V26" i="25"/>
  <c r="W26" i="25"/>
  <c r="Y15" i="25"/>
  <c r="U26" i="25"/>
  <c r="U25" i="25"/>
  <c r="X24" i="25"/>
  <c r="W24" i="25"/>
  <c r="V24" i="25"/>
  <c r="U24" i="25"/>
  <c r="Y13" i="25"/>
  <c r="O26" i="25"/>
  <c r="O27" i="25"/>
  <c r="L35" i="25"/>
  <c r="M35" i="25"/>
  <c r="N35" i="25"/>
  <c r="K35" i="25"/>
  <c r="N33" i="25"/>
  <c r="M18" i="25"/>
  <c r="M33" i="25" s="1"/>
  <c r="L18" i="25"/>
  <c r="L33" i="25" s="1"/>
  <c r="K18" i="25"/>
  <c r="K33" i="25" s="1"/>
  <c r="F33" i="25"/>
  <c r="J36" i="25"/>
  <c r="J35" i="25"/>
  <c r="H33" i="25"/>
  <c r="I33" i="25"/>
  <c r="J17" i="25"/>
  <c r="J18" i="25"/>
  <c r="J19" i="25"/>
  <c r="J20" i="25"/>
  <c r="P24" i="25"/>
  <c r="Q24" i="25"/>
  <c r="R24" i="25"/>
  <c r="T13" i="25"/>
  <c r="P25" i="25"/>
  <c r="Q25" i="25"/>
  <c r="R25" i="25"/>
  <c r="T14" i="25"/>
  <c r="P26" i="25"/>
  <c r="Q26" i="25"/>
  <c r="R26" i="25"/>
  <c r="T15" i="25"/>
  <c r="P27" i="25"/>
  <c r="Q27" i="25"/>
  <c r="R27" i="25"/>
  <c r="T16" i="25"/>
  <c r="Q23" i="25"/>
  <c r="R23" i="25"/>
  <c r="P23" i="25"/>
  <c r="K13" i="25"/>
  <c r="K24" i="25" s="1"/>
  <c r="L13" i="25"/>
  <c r="L24" i="25" s="1"/>
  <c r="M13" i="25"/>
  <c r="M24" i="25" s="1"/>
  <c r="N13" i="25"/>
  <c r="O13" i="25" s="1"/>
  <c r="K14" i="25"/>
  <c r="K25" i="25" s="1"/>
  <c r="L14" i="25"/>
  <c r="L25" i="25" s="1"/>
  <c r="M14" i="25"/>
  <c r="M25" i="25" s="1"/>
  <c r="N14" i="25"/>
  <c r="N25" i="25" s="1"/>
  <c r="K15" i="25"/>
  <c r="L15" i="25"/>
  <c r="M15" i="25"/>
  <c r="N15" i="25"/>
  <c r="K16" i="25"/>
  <c r="L16" i="25"/>
  <c r="M16" i="25"/>
  <c r="N16" i="25"/>
  <c r="O16" i="25" s="1"/>
  <c r="L12" i="25"/>
  <c r="L23" i="25" s="1"/>
  <c r="M12" i="25"/>
  <c r="M23" i="25" s="1"/>
  <c r="N12" i="25"/>
  <c r="N23" i="25" s="1"/>
  <c r="K12" i="25"/>
  <c r="K23" i="25" s="1"/>
  <c r="F14" i="25"/>
  <c r="F25" i="25" s="1"/>
  <c r="G14" i="25"/>
  <c r="G25" i="25" s="1"/>
  <c r="H14" i="25"/>
  <c r="H25" i="25" s="1"/>
  <c r="I14" i="25"/>
  <c r="J14" i="25" s="1"/>
  <c r="F15" i="25"/>
  <c r="G15" i="25"/>
  <c r="H15" i="25"/>
  <c r="I15" i="25"/>
  <c r="J15" i="25" s="1"/>
  <c r="F16" i="25"/>
  <c r="G16" i="25"/>
  <c r="H16" i="25"/>
  <c r="I16" i="25"/>
  <c r="J16" i="25" s="1"/>
  <c r="G12" i="25"/>
  <c r="H12" i="25"/>
  <c r="I12" i="25"/>
  <c r="J12" i="25" s="1"/>
  <c r="G13" i="25"/>
  <c r="G24" i="25" s="1"/>
  <c r="H13" i="25"/>
  <c r="H24" i="25" s="1"/>
  <c r="I13" i="25"/>
  <c r="J13" i="25" s="1"/>
  <c r="F13" i="25"/>
  <c r="F24" i="25" s="1"/>
  <c r="F12" i="25"/>
  <c r="BD103" i="11" l="1"/>
  <c r="BD101" i="11"/>
  <c r="BI92" i="11"/>
  <c r="BD111" i="11"/>
  <c r="BD105" i="11"/>
  <c r="O108" i="25"/>
  <c r="T108" i="25"/>
  <c r="N108" i="25"/>
  <c r="S108" i="25"/>
  <c r="M108" i="25"/>
  <c r="R108" i="25"/>
  <c r="L108" i="25"/>
  <c r="K108" i="25"/>
  <c r="P108" i="25"/>
  <c r="Q108" i="25"/>
  <c r="V64" i="25"/>
  <c r="V66" i="25"/>
  <c r="U64" i="25"/>
  <c r="U66" i="25"/>
  <c r="T12" i="25"/>
  <c r="BD98" i="11"/>
  <c r="BD107" i="11"/>
  <c r="BD108" i="11" s="1"/>
  <c r="X61" i="25"/>
  <c r="X63" i="25"/>
  <c r="Y54" i="25"/>
  <c r="AD55" i="25" s="1"/>
  <c r="U55" i="25"/>
  <c r="AA54" i="25"/>
  <c r="AA63" i="25" s="1"/>
  <c r="AB54" i="25"/>
  <c r="AB63" i="25" s="1"/>
  <c r="AB66" i="25" s="1"/>
  <c r="AC54" i="25"/>
  <c r="AC63" i="25" s="1"/>
  <c r="AC66" i="25" s="1"/>
  <c r="Z54" i="25"/>
  <c r="Z63" i="25" s="1"/>
  <c r="Z66" i="25" s="1"/>
  <c r="W63" i="25"/>
  <c r="W55" i="25"/>
  <c r="S61" i="25"/>
  <c r="S64" i="25"/>
  <c r="Y61" i="25"/>
  <c r="AD61" i="25"/>
  <c r="X52" i="25"/>
  <c r="V52" i="25"/>
  <c r="W52" i="25"/>
  <c r="Z52" i="25"/>
  <c r="Y51" i="25"/>
  <c r="AC52" i="25"/>
  <c r="AB52" i="25"/>
  <c r="AA52" i="25"/>
  <c r="S27" i="25"/>
  <c r="T27" i="25" s="1"/>
  <c r="U52" i="25"/>
  <c r="S37" i="25"/>
  <c r="S36" i="25" s="1"/>
  <c r="AD51" i="25"/>
  <c r="AD24" i="25"/>
  <c r="AD35" i="25"/>
  <c r="Y34" i="25"/>
  <c r="S23" i="25"/>
  <c r="T23" i="25" s="1"/>
  <c r="S24" i="25"/>
  <c r="T24" i="25" s="1"/>
  <c r="S25" i="25"/>
  <c r="T25" i="25" s="1"/>
  <c r="AD34" i="25"/>
  <c r="S26" i="25"/>
  <c r="T26" i="25" s="1"/>
  <c r="AD14" i="25"/>
  <c r="AA40" i="25"/>
  <c r="AA29" i="25"/>
  <c r="AA7" i="25" s="1"/>
  <c r="U37" i="25"/>
  <c r="U8" i="25" s="1"/>
  <c r="AC33" i="25"/>
  <c r="AD33" i="25" s="1"/>
  <c r="AD25" i="25"/>
  <c r="X23" i="25"/>
  <c r="Y23" i="25" s="1"/>
  <c r="AB29" i="25"/>
  <c r="Z29" i="25"/>
  <c r="AD23" i="25"/>
  <c r="Z40" i="25"/>
  <c r="AD27" i="25"/>
  <c r="AB40" i="25"/>
  <c r="AC26" i="25"/>
  <c r="O32" i="25"/>
  <c r="T32" i="25"/>
  <c r="T34" i="25"/>
  <c r="O35" i="25"/>
  <c r="O34" i="25"/>
  <c r="V29" i="25"/>
  <c r="U29" i="25"/>
  <c r="W29" i="25"/>
  <c r="X25" i="25"/>
  <c r="Y24" i="25"/>
  <c r="Y33" i="25"/>
  <c r="Y35" i="25"/>
  <c r="X26" i="25"/>
  <c r="Y26" i="25" s="1"/>
  <c r="O33" i="25"/>
  <c r="Y27" i="25"/>
  <c r="O25" i="25"/>
  <c r="T35" i="25"/>
  <c r="N24" i="25"/>
  <c r="O24" i="25" s="1"/>
  <c r="I25" i="25"/>
  <c r="J25" i="25" s="1"/>
  <c r="I24" i="25"/>
  <c r="J24" i="25" s="1"/>
  <c r="O23" i="25"/>
  <c r="J23" i="25"/>
  <c r="Z67" i="25" l="1"/>
  <c r="AA64" i="25"/>
  <c r="AA66" i="25"/>
  <c r="AA67" i="25" s="1"/>
  <c r="W64" i="25"/>
  <c r="W66" i="25"/>
  <c r="AB67" i="25" s="1"/>
  <c r="X64" i="25"/>
  <c r="X66" i="25"/>
  <c r="Y63" i="25"/>
  <c r="Y64" i="25" s="1"/>
  <c r="AD63" i="25"/>
  <c r="Z64" i="25"/>
  <c r="AC64" i="25"/>
  <c r="AB64" i="25"/>
  <c r="AD52" i="25"/>
  <c r="S29" i="25"/>
  <c r="S28" i="25" s="1"/>
  <c r="X29" i="25"/>
  <c r="X7" i="25" s="1"/>
  <c r="AA28" i="25"/>
  <c r="AC40" i="25"/>
  <c r="AD40" i="25" s="1"/>
  <c r="T33" i="25"/>
  <c r="V32" i="25"/>
  <c r="V37" i="25" s="1"/>
  <c r="AC29" i="25"/>
  <c r="AC28" i="25" s="1"/>
  <c r="U36" i="25"/>
  <c r="W28" i="25"/>
  <c r="W7" i="25"/>
  <c r="V28" i="25"/>
  <c r="V7" i="25"/>
  <c r="U28" i="25"/>
  <c r="U7" i="25"/>
  <c r="AD26" i="25"/>
  <c r="AB28" i="25"/>
  <c r="AB7" i="25"/>
  <c r="Z28" i="25"/>
  <c r="Z7" i="25"/>
  <c r="Y25" i="25"/>
  <c r="BY140" i="11" l="1"/>
  <c r="CC25" i="19"/>
  <c r="AC67" i="25"/>
  <c r="AD66" i="25"/>
  <c r="Y66" i="25"/>
  <c r="AD64" i="25"/>
  <c r="X28" i="25"/>
  <c r="W32" i="25"/>
  <c r="V8" i="25"/>
  <c r="V36" i="25"/>
  <c r="AD29" i="25"/>
  <c r="AC7" i="25"/>
  <c r="Y7" i="25"/>
  <c r="U3" i="25"/>
  <c r="AD28" i="25"/>
  <c r="AD67" i="25" l="1"/>
  <c r="AD7" i="25"/>
  <c r="V3" i="25"/>
  <c r="W37" i="25"/>
  <c r="X32" i="25"/>
  <c r="X37" i="25" s="1"/>
  <c r="U9" i="25"/>
  <c r="Y32" i="25" l="1"/>
  <c r="W8" i="25"/>
  <c r="Y37" i="25"/>
  <c r="X8" i="25"/>
  <c r="X3" i="25" s="1"/>
  <c r="X36" i="25"/>
  <c r="V9" i="25"/>
  <c r="Z32" i="25"/>
  <c r="W36" i="25"/>
  <c r="AA32" i="25" l="1"/>
  <c r="AA37" i="25" s="1"/>
  <c r="X9" i="25"/>
  <c r="W3" i="25"/>
  <c r="Y3" i="25" s="1"/>
  <c r="Y8" i="25"/>
  <c r="Z37" i="25"/>
  <c r="AB32" i="25" l="1"/>
  <c r="AB37" i="25" s="1"/>
  <c r="Z8" i="25"/>
  <c r="Z36" i="25"/>
  <c r="W9" i="25"/>
  <c r="Y9" i="25" s="1"/>
  <c r="AA36" i="25"/>
  <c r="AA41" i="25" s="1"/>
  <c r="AA42" i="25" s="1"/>
  <c r="AA8" i="25"/>
  <c r="AA3" i="25" s="1"/>
  <c r="AB8" i="25" l="1"/>
  <c r="AB3" i="25" s="1"/>
  <c r="AB36" i="25"/>
  <c r="AB41" i="25" s="1"/>
  <c r="AB42" i="25" s="1"/>
  <c r="Z41" i="25"/>
  <c r="Z3" i="25"/>
  <c r="AA4" i="25"/>
  <c r="AA9" i="25"/>
  <c r="AA47" i="25" s="1"/>
  <c r="AC32" i="25"/>
  <c r="Z9" i="25" l="1"/>
  <c r="Z4" i="25"/>
  <c r="AA45" i="25"/>
  <c r="AA46" i="25"/>
  <c r="Z42" i="25"/>
  <c r="AC37" i="25"/>
  <c r="AD32" i="25"/>
  <c r="AB4" i="25"/>
  <c r="AB9" i="25"/>
  <c r="AB47" i="25" s="1"/>
  <c r="AC36" i="25" l="1"/>
  <c r="AC8" i="25"/>
  <c r="AC3" i="25" s="1"/>
  <c r="AD37" i="25"/>
  <c r="AB45" i="25"/>
  <c r="AB46" i="25"/>
  <c r="Z47" i="25"/>
  <c r="AD3" i="25" l="1"/>
  <c r="AD4" i="25" s="1"/>
  <c r="AD8" i="25"/>
  <c r="Z46" i="25"/>
  <c r="Z45" i="25"/>
  <c r="AC41" i="25"/>
  <c r="AD36" i="25"/>
  <c r="AC42" i="25" l="1"/>
  <c r="AD42" i="25" s="1"/>
  <c r="AD41" i="25"/>
  <c r="AC4" i="25"/>
  <c r="AC9" i="25"/>
  <c r="AC47" i="25" l="1"/>
  <c r="AD9" i="25"/>
  <c r="AC45" i="25" l="1"/>
  <c r="AD45" i="25" s="1"/>
  <c r="AC46" i="25"/>
  <c r="AD46" i="25" s="1"/>
  <c r="AD47" i="25"/>
  <c r="O14" i="25" l="1"/>
  <c r="O15" i="25"/>
  <c r="O12" i="25"/>
  <c r="C9" i="25" l="1"/>
  <c r="S9" i="25" s="1"/>
  <c r="F69" i="25"/>
  <c r="F68" i="25"/>
  <c r="G90" i="25" l="1"/>
  <c r="H90" i="25"/>
  <c r="I90" i="25"/>
  <c r="F90" i="25"/>
  <c r="G86" i="25"/>
  <c r="H86" i="25"/>
  <c r="I86" i="25"/>
  <c r="K86" i="25"/>
  <c r="L86" i="25"/>
  <c r="M86" i="25"/>
  <c r="N86" i="25"/>
  <c r="P86" i="25"/>
  <c r="Q86" i="25"/>
  <c r="R86" i="25"/>
  <c r="T86" i="25"/>
  <c r="F86" i="25"/>
  <c r="G76" i="25"/>
  <c r="H76" i="25"/>
  <c r="I76" i="25"/>
  <c r="J76" i="25"/>
  <c r="K76" i="25"/>
  <c r="L76" i="25"/>
  <c r="M76" i="25"/>
  <c r="N76" i="25"/>
  <c r="O76" i="25"/>
  <c r="P76" i="25"/>
  <c r="Q76" i="25"/>
  <c r="R76" i="25"/>
  <c r="S76" i="25"/>
  <c r="T76" i="25"/>
  <c r="F76" i="25"/>
  <c r="G75" i="25"/>
  <c r="H75" i="25"/>
  <c r="I75" i="25"/>
  <c r="J75" i="25"/>
  <c r="K75" i="25"/>
  <c r="L75" i="25"/>
  <c r="M75" i="25"/>
  <c r="N75" i="25"/>
  <c r="O75" i="25"/>
  <c r="P75" i="25"/>
  <c r="Q75" i="25"/>
  <c r="R75" i="25"/>
  <c r="S75" i="25"/>
  <c r="T75" i="25"/>
  <c r="F75" i="25"/>
  <c r="G74" i="25"/>
  <c r="H74" i="25"/>
  <c r="I74" i="25"/>
  <c r="J74" i="25"/>
  <c r="K74" i="25"/>
  <c r="L74" i="25"/>
  <c r="M74" i="25"/>
  <c r="N74" i="25"/>
  <c r="O74" i="25"/>
  <c r="P74" i="25"/>
  <c r="Q74" i="25"/>
  <c r="R74" i="25"/>
  <c r="S74" i="25"/>
  <c r="T74" i="25"/>
  <c r="F74" i="25"/>
  <c r="J72" i="25"/>
  <c r="O72" i="25"/>
  <c r="T72" i="25"/>
  <c r="G12" i="26"/>
  <c r="H12" i="26" s="1"/>
  <c r="G11" i="26"/>
  <c r="H11" i="26" s="1"/>
  <c r="G10" i="26"/>
  <c r="H10" i="26" s="1"/>
  <c r="G9" i="26"/>
  <c r="H9" i="26" s="1"/>
  <c r="G8" i="26"/>
  <c r="H8" i="26" s="1"/>
  <c r="G7" i="26"/>
  <c r="H7" i="26" s="1"/>
  <c r="G6" i="26"/>
  <c r="H6" i="26" s="1"/>
  <c r="G5" i="26"/>
  <c r="H5" i="26" s="1"/>
  <c r="P87" i="25" l="1"/>
  <c r="N87" i="25"/>
  <c r="M87" i="25"/>
  <c r="L87" i="25"/>
  <c r="S87" i="25"/>
  <c r="K87" i="25"/>
  <c r="R87" i="25"/>
  <c r="Q87" i="25"/>
  <c r="H14" i="26"/>
  <c r="G66" i="25" l="1"/>
  <c r="H66" i="25"/>
  <c r="I66" i="25"/>
  <c r="K66" i="25"/>
  <c r="L66" i="25"/>
  <c r="M66" i="25"/>
  <c r="N66" i="25"/>
  <c r="P66" i="25"/>
  <c r="U67" i="25" s="1"/>
  <c r="Q66" i="25"/>
  <c r="V67" i="25" s="1"/>
  <c r="R66" i="25"/>
  <c r="W67" i="25" s="1"/>
  <c r="S66" i="25"/>
  <c r="X67" i="25" s="1"/>
  <c r="T66" i="25"/>
  <c r="Y67" i="25" s="1"/>
  <c r="F66" i="25"/>
  <c r="G3" i="25"/>
  <c r="H3" i="25"/>
  <c r="I3" i="25"/>
  <c r="K3" i="25"/>
  <c r="L3" i="25"/>
  <c r="M3" i="25"/>
  <c r="N3" i="25"/>
  <c r="P3" i="25"/>
  <c r="Q3" i="25"/>
  <c r="R3" i="25"/>
  <c r="T3" i="25"/>
  <c r="F3" i="25"/>
  <c r="S52" i="25"/>
  <c r="R52" i="25"/>
  <c r="Q52" i="25"/>
  <c r="P52" i="25"/>
  <c r="N52" i="25"/>
  <c r="M52" i="25"/>
  <c r="L52" i="25"/>
  <c r="K52" i="25"/>
  <c r="J51" i="25"/>
  <c r="T51" i="25"/>
  <c r="O51" i="25"/>
  <c r="N67" i="25" l="1"/>
  <c r="Y52" i="25"/>
  <c r="M67" i="25"/>
  <c r="Y4" i="25"/>
  <c r="R4" i="25"/>
  <c r="W4" i="25"/>
  <c r="Q4" i="25"/>
  <c r="V4" i="25"/>
  <c r="P4" i="25"/>
  <c r="U4" i="25"/>
  <c r="F7" i="25"/>
  <c r="N8" i="25"/>
  <c r="N37" i="25" s="1"/>
  <c r="N36" i="25" s="1"/>
  <c r="N7" i="25"/>
  <c r="N29" i="25" s="1"/>
  <c r="N28" i="25" s="1"/>
  <c r="N9" i="25"/>
  <c r="N47" i="25" s="1"/>
  <c r="M7" i="25"/>
  <c r="M29" i="25" s="1"/>
  <c r="M28" i="25" s="1"/>
  <c r="M8" i="25"/>
  <c r="M37" i="25" s="1"/>
  <c r="M9" i="25"/>
  <c r="M47" i="25" s="1"/>
  <c r="F8" i="25"/>
  <c r="F37" i="25" s="1"/>
  <c r="F9" i="25"/>
  <c r="L9" i="25"/>
  <c r="L47" i="25" s="1"/>
  <c r="L8" i="25"/>
  <c r="L37" i="25" s="1"/>
  <c r="L36" i="25" s="1"/>
  <c r="L7" i="25"/>
  <c r="L29" i="25" s="1"/>
  <c r="L28" i="25" s="1"/>
  <c r="K9" i="25"/>
  <c r="K7" i="25"/>
  <c r="K29" i="25" s="1"/>
  <c r="K8" i="25"/>
  <c r="R7" i="25"/>
  <c r="R29" i="25" s="1"/>
  <c r="R28" i="25" s="1"/>
  <c r="R8" i="25"/>
  <c r="R37" i="25" s="1"/>
  <c r="R36" i="25" s="1"/>
  <c r="R9" i="25"/>
  <c r="R47" i="25" s="1"/>
  <c r="Q8" i="25"/>
  <c r="Q37" i="25" s="1"/>
  <c r="Q36" i="25" s="1"/>
  <c r="Q7" i="25"/>
  <c r="Q29" i="25" s="1"/>
  <c r="Q28" i="25" s="1"/>
  <c r="Q9" i="25"/>
  <c r="Q47" i="25" s="1"/>
  <c r="I7" i="25"/>
  <c r="I29" i="25" s="1"/>
  <c r="I28" i="25" s="1"/>
  <c r="I8" i="25"/>
  <c r="I37" i="25" s="1"/>
  <c r="I9" i="25"/>
  <c r="G7" i="25"/>
  <c r="G29" i="25" s="1"/>
  <c r="G28" i="25" s="1"/>
  <c r="G8" i="25"/>
  <c r="G37" i="25" s="1"/>
  <c r="G9" i="25"/>
  <c r="P8" i="25"/>
  <c r="P37" i="25" s="1"/>
  <c r="P36" i="25" s="1"/>
  <c r="P7" i="25"/>
  <c r="P29" i="25" s="1"/>
  <c r="P28" i="25" s="1"/>
  <c r="P9" i="25"/>
  <c r="P47" i="25" s="1"/>
  <c r="H8" i="25"/>
  <c r="H37" i="25" s="1"/>
  <c r="H7" i="25"/>
  <c r="H29" i="25" s="1"/>
  <c r="H28" i="25" s="1"/>
  <c r="H9" i="25"/>
  <c r="L67" i="25"/>
  <c r="S67" i="25"/>
  <c r="K67" i="25"/>
  <c r="R67" i="25"/>
  <c r="Q67" i="25"/>
  <c r="P67" i="25"/>
  <c r="O52" i="25"/>
  <c r="T52" i="25"/>
  <c r="G17" i="25"/>
  <c r="G33" i="25" s="1"/>
  <c r="J33" i="25" s="1"/>
  <c r="K37" i="25" l="1"/>
  <c r="K36" i="25" s="1"/>
  <c r="O8" i="25"/>
  <c r="M42" i="25"/>
  <c r="M41" i="25" s="1"/>
  <c r="M36" i="25"/>
  <c r="K47" i="25"/>
  <c r="K46" i="25" s="1"/>
  <c r="O9" i="25"/>
  <c r="L42" i="25"/>
  <c r="N42" i="25"/>
  <c r="N41" i="25" s="1"/>
  <c r="P42" i="25"/>
  <c r="Q42" i="25"/>
  <c r="R42" i="25"/>
  <c r="L46" i="25"/>
  <c r="L45" i="25"/>
  <c r="Q45" i="25"/>
  <c r="Q46" i="25"/>
  <c r="M45" i="25"/>
  <c r="M46" i="25"/>
  <c r="P46" i="25"/>
  <c r="P45" i="25"/>
  <c r="R45" i="25"/>
  <c r="R46" i="25"/>
  <c r="N45" i="25"/>
  <c r="N46" i="25"/>
  <c r="J37" i="25"/>
  <c r="J9" i="25"/>
  <c r="J8" i="25"/>
  <c r="F29" i="25"/>
  <c r="J7" i="25"/>
  <c r="O29" i="25"/>
  <c r="K28" i="25"/>
  <c r="O28" i="25" s="1"/>
  <c r="O7" i="25"/>
  <c r="N55" i="25"/>
  <c r="M55" i="25"/>
  <c r="L55" i="25"/>
  <c r="K55" i="25"/>
  <c r="P55" i="25"/>
  <c r="Q55" i="25"/>
  <c r="R55" i="25"/>
  <c r="S55" i="25"/>
  <c r="J54" i="25"/>
  <c r="T54" i="25"/>
  <c r="O54" i="25"/>
  <c r="T64" i="25" l="1"/>
  <c r="Y55" i="25"/>
  <c r="O64" i="25"/>
  <c r="O37" i="25"/>
  <c r="K42" i="25"/>
  <c r="O42" i="25" s="1"/>
  <c r="K45" i="25"/>
  <c r="O45" i="25" s="1"/>
  <c r="O47" i="25"/>
  <c r="O36" i="25"/>
  <c r="Q41" i="25"/>
  <c r="P41" i="25"/>
  <c r="P40" i="25" s="1"/>
  <c r="R41" i="25"/>
  <c r="O46" i="25"/>
  <c r="L41" i="25"/>
  <c r="J29" i="25"/>
  <c r="F28" i="25"/>
  <c r="J28" i="25" s="1"/>
  <c r="T55" i="25"/>
  <c r="O55" i="25"/>
  <c r="AF105" i="11"/>
  <c r="AF103" i="11"/>
  <c r="AF101" i="11"/>
  <c r="AF97" i="11"/>
  <c r="AF98" i="11" s="1"/>
  <c r="AZ104" i="11"/>
  <c r="AZ102" i="11"/>
  <c r="AZ100" i="11"/>
  <c r="AZ96" i="11"/>
  <c r="BB117" i="11"/>
  <c r="BE13" i="19"/>
  <c r="BC117" i="11" l="1"/>
  <c r="BD117" i="11" s="1"/>
  <c r="BD118" i="11" s="1"/>
  <c r="BH10" i="19" s="1"/>
  <c r="BF13" i="19"/>
  <c r="BG13" i="19" s="1"/>
  <c r="K41" i="25"/>
  <c r="K40" i="25" s="1"/>
  <c r="Q40" i="25"/>
  <c r="R40" i="25"/>
  <c r="L40" i="25"/>
  <c r="AF107" i="11"/>
  <c r="AF108" i="11" s="1"/>
  <c r="BG25" i="19"/>
  <c r="BG26" i="19"/>
  <c r="BG38" i="19"/>
  <c r="BH38" i="19" s="1"/>
  <c r="BE117" i="11" l="1"/>
  <c r="BI38" i="19"/>
  <c r="BI39" i="19" s="1"/>
  <c r="BH39" i="19"/>
  <c r="BI13" i="19"/>
  <c r="BC130" i="11"/>
  <c r="BC124" i="11"/>
  <c r="BC128" i="11" s="1"/>
  <c r="BV21" i="22" l="1"/>
  <c r="CA22" i="22" s="1"/>
  <c r="BC93" i="11" l="1"/>
  <c r="BG37" i="19"/>
  <c r="BG39" i="19" s="1"/>
  <c r="BG33" i="19"/>
  <c r="BG18" i="19"/>
  <c r="BG12" i="19"/>
  <c r="BG42" i="19" s="1"/>
  <c r="BG43" i="19" s="1"/>
  <c r="BG11" i="19"/>
  <c r="BG9" i="19"/>
  <c r="BC94" i="11"/>
  <c r="BC112" i="11"/>
  <c r="BC85" i="11"/>
  <c r="BC73" i="11"/>
  <c r="BC72" i="11"/>
  <c r="BC71" i="11"/>
  <c r="BC63" i="11"/>
  <c r="BC41" i="11"/>
  <c r="BC24" i="11"/>
  <c r="BC9" i="11"/>
  <c r="BV71" i="22"/>
  <c r="CA72" i="22" s="1"/>
  <c r="BV67" i="22"/>
  <c r="BV58" i="22"/>
  <c r="BV40" i="22"/>
  <c r="CA41" i="22" s="1"/>
  <c r="BV35" i="22"/>
  <c r="BV17" i="22"/>
  <c r="BV12" i="22"/>
  <c r="BV7" i="22"/>
  <c r="BH67" i="11" l="1"/>
  <c r="BH65" i="11"/>
  <c r="BH66" i="11"/>
  <c r="BH64" i="11"/>
  <c r="BC125" i="11"/>
  <c r="BC74" i="11"/>
  <c r="BV77" i="22"/>
  <c r="BC86" i="11"/>
  <c r="BC91" i="11" l="1"/>
  <c r="BH92" i="11" s="1"/>
  <c r="CA78" i="22"/>
  <c r="BV42" i="22"/>
  <c r="BV68" i="22"/>
  <c r="BV23" i="22"/>
  <c r="BV59" i="22"/>
  <c r="BV8" i="22"/>
  <c r="BV36" i="22"/>
  <c r="BV13" i="22"/>
  <c r="BV18" i="22"/>
  <c r="BV73" i="22"/>
  <c r="BC101" i="11" l="1"/>
  <c r="BC111" i="11"/>
  <c r="BC105" i="11"/>
  <c r="BC103" i="11"/>
  <c r="BC97" i="11"/>
  <c r="BC107" i="11" s="1"/>
  <c r="BC108" i="11" s="1"/>
  <c r="BF37" i="19"/>
  <c r="BF28" i="19"/>
  <c r="BI28" i="19" s="1"/>
  <c r="BF27" i="19"/>
  <c r="BI27" i="19" s="1"/>
  <c r="BF25" i="19"/>
  <c r="BI25" i="19" s="1"/>
  <c r="BF17" i="19"/>
  <c r="BI17" i="19" s="1"/>
  <c r="BF16" i="19"/>
  <c r="BI16" i="19" s="1"/>
  <c r="BB116" i="11"/>
  <c r="BC98" i="11" l="1"/>
  <c r="BC116" i="11"/>
  <c r="BE116" i="11" s="1"/>
  <c r="BC118" i="11" l="1"/>
  <c r="BG10" i="19" s="1"/>
  <c r="BF26" i="19"/>
  <c r="BB123" i="11"/>
  <c r="BB94" i="11"/>
  <c r="BA94" i="11"/>
  <c r="BB130" i="11"/>
  <c r="AW123" i="11"/>
  <c r="BB93" i="11" l="1"/>
  <c r="BF39" i="19"/>
  <c r="BF33" i="19"/>
  <c r="BF18" i="19"/>
  <c r="BF12" i="19"/>
  <c r="BF42" i="19" s="1"/>
  <c r="BF43" i="19" s="1"/>
  <c r="BF11" i="19"/>
  <c r="BF9" i="19"/>
  <c r="BB118" i="11"/>
  <c r="BF10" i="19" s="1"/>
  <c r="BB112" i="11"/>
  <c r="BB85" i="11"/>
  <c r="BB73" i="11"/>
  <c r="BB72" i="11"/>
  <c r="BB71" i="11"/>
  <c r="BB63" i="11"/>
  <c r="BB41" i="11"/>
  <c r="BB24" i="11"/>
  <c r="BB9" i="11"/>
  <c r="BU40" i="22"/>
  <c r="BZ41" i="22" s="1"/>
  <c r="BU71" i="22"/>
  <c r="BZ72" i="22" s="1"/>
  <c r="BU67" i="22"/>
  <c r="BU58" i="22"/>
  <c r="BU35" i="22"/>
  <c r="BU21" i="22"/>
  <c r="BZ22" i="22" s="1"/>
  <c r="BU17" i="22"/>
  <c r="BU12" i="22"/>
  <c r="BU7" i="22"/>
  <c r="BG67" i="11" l="1"/>
  <c r="BG66" i="11"/>
  <c r="BG65" i="11"/>
  <c r="BG64" i="11"/>
  <c r="BB125" i="11"/>
  <c r="BU77" i="22"/>
  <c r="BB74" i="11"/>
  <c r="BB86" i="11"/>
  <c r="BU59" i="22" l="1"/>
  <c r="BZ78" i="22"/>
  <c r="BU18" i="22"/>
  <c r="BU42" i="22"/>
  <c r="BU68" i="22"/>
  <c r="BU8" i="22"/>
  <c r="BU73" i="22"/>
  <c r="BU23" i="22"/>
  <c r="BU13" i="22"/>
  <c r="BU36" i="22"/>
  <c r="BB91" i="11"/>
  <c r="BG92" i="11" s="1"/>
  <c r="BB97" i="11" l="1"/>
  <c r="BB101" i="11"/>
  <c r="BB103" i="11"/>
  <c r="BB105" i="11"/>
  <c r="BB111" i="11"/>
  <c r="BB98" i="11" l="1"/>
  <c r="BB107" i="11"/>
  <c r="BB108" i="11" s="1"/>
  <c r="AD20" i="18"/>
  <c r="AJ20" i="18"/>
  <c r="AF20" i="18"/>
  <c r="AA20" i="18"/>
  <c r="Z20" i="18"/>
  <c r="AI20" i="18"/>
  <c r="AC20" i="18"/>
  <c r="I20" i="18"/>
  <c r="L20" i="18" s="1"/>
  <c r="U20" i="18"/>
  <c r="T20" i="18"/>
  <c r="AK20" i="18"/>
  <c r="AG20" i="18"/>
  <c r="Q20" i="18" l="1"/>
  <c r="O20" i="18"/>
  <c r="N20" i="18"/>
  <c r="X20" i="18"/>
  <c r="W20" i="18"/>
  <c r="R20" i="18"/>
  <c r="BT21" i="22" l="1"/>
  <c r="BY22" i="22" s="1"/>
  <c r="BR21" i="22"/>
  <c r="BW22" i="22" s="1"/>
  <c r="BQ21" i="22"/>
  <c r="BV22" i="22" s="1"/>
  <c r="BP21" i="22"/>
  <c r="BU22" i="22" s="1"/>
  <c r="BO21" i="22"/>
  <c r="BM21" i="22"/>
  <c r="BL21" i="22"/>
  <c r="BK21" i="22"/>
  <c r="BJ21" i="22"/>
  <c r="BH21" i="22"/>
  <c r="BG21" i="22"/>
  <c r="BF21" i="22"/>
  <c r="BE21" i="22"/>
  <c r="BD21" i="22"/>
  <c r="BC21" i="22"/>
  <c r="BC23" i="22" s="1"/>
  <c r="BB21" i="22"/>
  <c r="BB23" i="22" s="1"/>
  <c r="BA21" i="22"/>
  <c r="BA23" i="22" s="1"/>
  <c r="AZ21" i="22"/>
  <c r="AZ23" i="22" s="1"/>
  <c r="AY21" i="22"/>
  <c r="AX21" i="22"/>
  <c r="AX23" i="22" s="1"/>
  <c r="AW21" i="22"/>
  <c r="AW23" i="22" s="1"/>
  <c r="AV21" i="22"/>
  <c r="AV23" i="22" s="1"/>
  <c r="AU21" i="22"/>
  <c r="AU23" i="22" s="1"/>
  <c r="AT21" i="22"/>
  <c r="BK22" i="22" l="1"/>
  <c r="BM22" i="22"/>
  <c r="BQ22" i="22"/>
  <c r="BL22" i="22"/>
  <c r="BD22" i="22"/>
  <c r="BR22" i="22"/>
  <c r="BO22" i="22"/>
  <c r="BJ22" i="22"/>
  <c r="BP22" i="22"/>
  <c r="AY22" i="22"/>
  <c r="BT22" i="22"/>
  <c r="AC14" i="18" l="1"/>
  <c r="AI14" i="18" l="1"/>
  <c r="AD14" i="18"/>
  <c r="AJ14" i="18"/>
  <c r="AF14" i="18"/>
  <c r="T14" i="18"/>
  <c r="U14" i="18"/>
  <c r="I14" i="18"/>
  <c r="L14" i="18" s="1"/>
  <c r="AG14" i="18"/>
  <c r="AK14" i="18"/>
  <c r="Z14" i="18"/>
  <c r="AA14" i="18"/>
  <c r="BA93" i="11"/>
  <c r="Q14" i="18" l="1"/>
  <c r="O14" i="18"/>
  <c r="X14" i="18"/>
  <c r="W14" i="18"/>
  <c r="N14" i="18"/>
  <c r="R14" i="18"/>
  <c r="BS79" i="22"/>
  <c r="BN79" i="22"/>
  <c r="BI79" i="22"/>
  <c r="BA124" i="11" l="1"/>
  <c r="BE124" i="11" s="1"/>
  <c r="AY130" i="11"/>
  <c r="BA123" i="11"/>
  <c r="BE123" i="11" s="1"/>
  <c r="BA130" i="11"/>
  <c r="BE130" i="11" s="1"/>
  <c r="BA85" i="11"/>
  <c r="BE37" i="19"/>
  <c r="BE39" i="19" s="1"/>
  <c r="BE33" i="19"/>
  <c r="BE18" i="19"/>
  <c r="BI18" i="19" s="1"/>
  <c r="BE12" i="19"/>
  <c r="BA72" i="11"/>
  <c r="BA63" i="11"/>
  <c r="BA118" i="11"/>
  <c r="BA112" i="11"/>
  <c r="BA73" i="11"/>
  <c r="BA71" i="11"/>
  <c r="BA41" i="11"/>
  <c r="BA24" i="11"/>
  <c r="BA9" i="11"/>
  <c r="BT71" i="22"/>
  <c r="BT67" i="22"/>
  <c r="BT58" i="22"/>
  <c r="BT40" i="22"/>
  <c r="BT35" i="22"/>
  <c r="BT17" i="22"/>
  <c r="BT12" i="22"/>
  <c r="BT7" i="22"/>
  <c r="BF66" i="11" l="1"/>
  <c r="BJ66" i="11" s="1"/>
  <c r="BF65" i="11"/>
  <c r="BJ65" i="11" s="1"/>
  <c r="BF67" i="11"/>
  <c r="BJ67" i="11" s="1"/>
  <c r="BF64" i="11"/>
  <c r="BE128" i="11"/>
  <c r="BE132" i="11" s="1"/>
  <c r="BE134" i="11" s="1"/>
  <c r="BY41" i="22"/>
  <c r="BX40" i="22"/>
  <c r="CC41" i="22" s="1"/>
  <c r="BE10" i="19"/>
  <c r="BI10" i="19" s="1"/>
  <c r="BI34" i="19" s="1"/>
  <c r="BE118" i="11"/>
  <c r="BY72" i="22"/>
  <c r="BX71" i="22"/>
  <c r="CC72" i="22" s="1"/>
  <c r="BE125" i="11"/>
  <c r="BE42" i="19"/>
  <c r="BI12" i="19"/>
  <c r="BE11" i="19"/>
  <c r="BI11" i="19" s="1"/>
  <c r="BA134" i="11"/>
  <c r="BA125" i="11"/>
  <c r="BT77" i="22"/>
  <c r="BA86" i="11"/>
  <c r="BA74" i="11"/>
  <c r="BI23" i="19" l="1"/>
  <c r="BE135" i="11"/>
  <c r="BJ138" i="11" s="1"/>
  <c r="BT23" i="22"/>
  <c r="BY78" i="22"/>
  <c r="BX77" i="22"/>
  <c r="CC78" i="22" s="1"/>
  <c r="BT68" i="22"/>
  <c r="BE43" i="19"/>
  <c r="BI42" i="19"/>
  <c r="BI43" i="19" s="1"/>
  <c r="BT73" i="22"/>
  <c r="BT42" i="22"/>
  <c r="BT59" i="22"/>
  <c r="BA91" i="11"/>
  <c r="BF92" i="11" s="1"/>
  <c r="BT8" i="22"/>
  <c r="BT18" i="22"/>
  <c r="BT13" i="22"/>
  <c r="BT36" i="22"/>
  <c r="BX42" i="22" l="1"/>
  <c r="BE91" i="11"/>
  <c r="BX13" i="22"/>
  <c r="BX8" i="22"/>
  <c r="BX68" i="22"/>
  <c r="BX23" i="22"/>
  <c r="BX36" i="22"/>
  <c r="BX18" i="22"/>
  <c r="BX59" i="22"/>
  <c r="BX73" i="22"/>
  <c r="BA111" i="11"/>
  <c r="BA103" i="11"/>
  <c r="BA97" i="11"/>
  <c r="BE97" i="11" s="1"/>
  <c r="BA105" i="11"/>
  <c r="BA101" i="11"/>
  <c r="AY123" i="11"/>
  <c r="AX123" i="11"/>
  <c r="AV123" i="11"/>
  <c r="AT123" i="11"/>
  <c r="AS123" i="11"/>
  <c r="AR123" i="11"/>
  <c r="AQ123" i="11"/>
  <c r="AO123" i="11"/>
  <c r="AN123" i="11"/>
  <c r="AL123" i="11"/>
  <c r="AJ123" i="11"/>
  <c r="AI123" i="11"/>
  <c r="AH123" i="11"/>
  <c r="AG123" i="11"/>
  <c r="AC123" i="11"/>
  <c r="AD123" i="11"/>
  <c r="AE123" i="11"/>
  <c r="AB123" i="11"/>
  <c r="AV118" i="11"/>
  <c r="AQ118" i="11"/>
  <c r="AL118" i="11"/>
  <c r="AG118" i="11"/>
  <c r="AB118" i="11"/>
  <c r="AA118" i="11"/>
  <c r="V118" i="11"/>
  <c r="Q118" i="11"/>
  <c r="L118" i="11"/>
  <c r="G111" i="11"/>
  <c r="F111" i="11"/>
  <c r="E111" i="11"/>
  <c r="D111" i="11"/>
  <c r="C111" i="11"/>
  <c r="L111" i="11"/>
  <c r="K111" i="11"/>
  <c r="J111" i="11"/>
  <c r="I111" i="11"/>
  <c r="H111" i="11"/>
  <c r="Q111" i="11"/>
  <c r="P111" i="11"/>
  <c r="O111" i="11"/>
  <c r="N111" i="11"/>
  <c r="M111" i="11"/>
  <c r="V111" i="11"/>
  <c r="U111" i="11"/>
  <c r="T111" i="11"/>
  <c r="S111" i="11"/>
  <c r="R111" i="11"/>
  <c r="AA111" i="11"/>
  <c r="Z111" i="11"/>
  <c r="Y111" i="11"/>
  <c r="X111" i="11"/>
  <c r="W111" i="11"/>
  <c r="AF111" i="11"/>
  <c r="AE111" i="11"/>
  <c r="AD111" i="11"/>
  <c r="AC111" i="11"/>
  <c r="AB111" i="11"/>
  <c r="AJ111" i="11"/>
  <c r="AI111" i="11"/>
  <c r="AH111" i="11"/>
  <c r="AG111" i="11"/>
  <c r="AO111" i="11"/>
  <c r="AN111" i="11"/>
  <c r="AM111" i="11"/>
  <c r="AL111" i="11"/>
  <c r="L112" i="11"/>
  <c r="K112" i="11"/>
  <c r="J112" i="11"/>
  <c r="I112" i="11"/>
  <c r="H112" i="11"/>
  <c r="Q112" i="11"/>
  <c r="P112" i="11"/>
  <c r="O112" i="11"/>
  <c r="N112" i="11"/>
  <c r="M112" i="11"/>
  <c r="V112" i="11"/>
  <c r="U112" i="11"/>
  <c r="T112" i="11"/>
  <c r="S112" i="11"/>
  <c r="R112" i="11"/>
  <c r="AA112" i="11"/>
  <c r="Z112" i="11"/>
  <c r="Y112" i="11"/>
  <c r="X112" i="11"/>
  <c r="W112" i="11"/>
  <c r="AF112" i="11"/>
  <c r="AE112" i="11"/>
  <c r="AD112" i="11"/>
  <c r="AC112" i="11"/>
  <c r="AB112" i="11"/>
  <c r="AK112" i="11"/>
  <c r="AJ112" i="11"/>
  <c r="AI112" i="11"/>
  <c r="AH112" i="11"/>
  <c r="AG112" i="11"/>
  <c r="AP112" i="11"/>
  <c r="AO112" i="11"/>
  <c r="AN112" i="11"/>
  <c r="AM112" i="11"/>
  <c r="AL112" i="11"/>
  <c r="AU112" i="11"/>
  <c r="AT112" i="11"/>
  <c r="AS112" i="11"/>
  <c r="AR112" i="11"/>
  <c r="AQ112" i="11"/>
  <c r="AZ112" i="11"/>
  <c r="AW112" i="11"/>
  <c r="AX112" i="11"/>
  <c r="AY112" i="11"/>
  <c r="AV112" i="11"/>
  <c r="AO92" i="11"/>
  <c r="AN92" i="11"/>
  <c r="AM92" i="11"/>
  <c r="AL92" i="11"/>
  <c r="AJ92" i="11"/>
  <c r="AI92" i="11"/>
  <c r="AH92" i="11"/>
  <c r="AG92" i="11"/>
  <c r="AK91" i="11"/>
  <c r="AF92" i="11"/>
  <c r="AE92" i="11"/>
  <c r="AD92" i="11"/>
  <c r="AC92" i="11"/>
  <c r="AB92" i="11"/>
  <c r="AA92" i="11"/>
  <c r="Z92" i="11"/>
  <c r="Y92" i="11"/>
  <c r="X92" i="11"/>
  <c r="W92" i="11"/>
  <c r="AC64" i="11"/>
  <c r="BE111" i="11" l="1"/>
  <c r="BI22" i="19"/>
  <c r="BJ92" i="11"/>
  <c r="BI5" i="19"/>
  <c r="BE105" i="11"/>
  <c r="BE101" i="11"/>
  <c r="BE103" i="11"/>
  <c r="BE107" i="11"/>
  <c r="BE108" i="11" s="1"/>
  <c r="BE98" i="11"/>
  <c r="AK92" i="11"/>
  <c r="AK101" i="11"/>
  <c r="AK97" i="11"/>
  <c r="AK105" i="11"/>
  <c r="AK103" i="11"/>
  <c r="BA98" i="11"/>
  <c r="BA107" i="11"/>
  <c r="BA108" i="11" s="1"/>
  <c r="AU123" i="11"/>
  <c r="AZ123" i="11"/>
  <c r="AK123" i="11"/>
  <c r="AF123" i="11"/>
  <c r="AK111" i="11"/>
  <c r="AK114" i="11"/>
  <c r="AP114" i="11"/>
  <c r="AU114" i="11"/>
  <c r="AZ114" i="11"/>
  <c r="H92" i="11"/>
  <c r="I92" i="11"/>
  <c r="J92" i="11"/>
  <c r="K92" i="11"/>
  <c r="L92" i="11"/>
  <c r="M92" i="11"/>
  <c r="N92" i="11"/>
  <c r="O92" i="11"/>
  <c r="P92" i="11"/>
  <c r="Q92" i="11"/>
  <c r="R92" i="11"/>
  <c r="S92" i="11"/>
  <c r="T92" i="11"/>
  <c r="U92" i="11"/>
  <c r="V92" i="11"/>
  <c r="AK94" i="11"/>
  <c r="AP94" i="11"/>
  <c r="AU94" i="11"/>
  <c r="AZ94" i="11"/>
  <c r="AY20" i="19"/>
  <c r="BD20" i="19"/>
  <c r="AK98" i="11" l="1"/>
  <c r="AK107" i="11"/>
  <c r="AK108" i="11" s="1"/>
  <c r="BB32" i="19"/>
  <c r="BB33" i="19" s="1"/>
  <c r="BA32" i="19"/>
  <c r="AZ32" i="19"/>
  <c r="AW33" i="19"/>
  <c r="AU33" i="19"/>
  <c r="AX33" i="19"/>
  <c r="AT32" i="19"/>
  <c r="AT33" i="19" s="1"/>
  <c r="BC32" i="19"/>
  <c r="AX26" i="19"/>
  <c r="AW25" i="19"/>
  <c r="AX25" i="19" s="1"/>
  <c r="BB25" i="19"/>
  <c r="BC25" i="19" s="1"/>
  <c r="AV29" i="19"/>
  <c r="AV33" i="19" s="1"/>
  <c r="AV28" i="19"/>
  <c r="AW28" i="19" s="1"/>
  <c r="AX28" i="19" s="1"/>
  <c r="BA28" i="19"/>
  <c r="BB28" i="19" s="1"/>
  <c r="BC28" i="19" s="1"/>
  <c r="AU27" i="19"/>
  <c r="AV27" i="19" s="1"/>
  <c r="AW27" i="19" s="1"/>
  <c r="AX27" i="19" s="1"/>
  <c r="AZ27" i="19"/>
  <c r="BA27" i="19" s="1"/>
  <c r="BB27" i="19" s="1"/>
  <c r="BC27" i="19" s="1"/>
  <c r="AZ26" i="19"/>
  <c r="BA26" i="19" s="1"/>
  <c r="BB26" i="19" s="1"/>
  <c r="BC26" i="19" s="1"/>
  <c r="AT27" i="19"/>
  <c r="AT18" i="19"/>
  <c r="AY13" i="19"/>
  <c r="BD13" i="19"/>
  <c r="BC33" i="19" l="1"/>
  <c r="BE26" i="19"/>
  <c r="BI26" i="19" s="1"/>
  <c r="BA33" i="19"/>
  <c r="AZ33" i="19"/>
  <c r="AW31" i="19"/>
  <c r="AX12" i="19"/>
  <c r="AX42" i="19" s="1"/>
  <c r="AX43" i="19" s="1"/>
  <c r="AW12" i="19"/>
  <c r="AW42" i="19" s="1"/>
  <c r="AW43" i="19" s="1"/>
  <c r="AV12" i="19"/>
  <c r="AV42" i="19" s="1"/>
  <c r="AV43" i="19" s="1"/>
  <c r="AU12" i="19"/>
  <c r="AU42" i="19" s="1"/>
  <c r="AU43" i="19" s="1"/>
  <c r="BA12" i="19"/>
  <c r="BA42" i="19" s="1"/>
  <c r="BA43" i="19" s="1"/>
  <c r="BB12" i="19"/>
  <c r="BB42" i="19" s="1"/>
  <c r="BB43" i="19" s="1"/>
  <c r="BC12" i="19"/>
  <c r="BC42" i="19" s="1"/>
  <c r="AZ12" i="19"/>
  <c r="AZ42" i="19" s="1"/>
  <c r="AZ43" i="19" s="1"/>
  <c r="AC116" i="11"/>
  <c r="AC117" i="11"/>
  <c r="AD117" i="11" s="1"/>
  <c r="AH117" i="11"/>
  <c r="AI117" i="11" s="1"/>
  <c r="AJ117" i="11" s="1"/>
  <c r="AK117" i="11" s="1"/>
  <c r="AH116" i="11"/>
  <c r="AR85" i="11"/>
  <c r="AM117" i="11"/>
  <c r="AN117" i="11" s="1"/>
  <c r="AM116" i="11"/>
  <c r="AR117" i="11"/>
  <c r="AS117" i="11" s="1"/>
  <c r="AT117" i="11" s="1"/>
  <c r="AR116" i="11"/>
  <c r="AW117" i="11"/>
  <c r="AX117" i="11" s="1"/>
  <c r="AY117" i="11" s="1"/>
  <c r="AW116" i="11"/>
  <c r="AI116" i="11" l="1"/>
  <c r="AH118" i="11"/>
  <c r="AX116" i="11"/>
  <c r="AW118" i="11"/>
  <c r="AS116" i="11"/>
  <c r="AR118" i="11"/>
  <c r="AV10" i="19" s="1"/>
  <c r="AN116" i="11"/>
  <c r="AN118" i="11" s="1"/>
  <c r="AM118" i="11"/>
  <c r="AD116" i="11"/>
  <c r="AC118" i="11"/>
  <c r="AZ117" i="11"/>
  <c r="AE117" i="11"/>
  <c r="AU117" i="11"/>
  <c r="AO117" i="11"/>
  <c r="AP117" i="11" s="1"/>
  <c r="AO116" i="11" l="1"/>
  <c r="AP116" i="11" s="1"/>
  <c r="AT116" i="11"/>
  <c r="AS118" i="11"/>
  <c r="AY116" i="11"/>
  <c r="AX118" i="11"/>
  <c r="AE116" i="11"/>
  <c r="AD118" i="11"/>
  <c r="AJ116" i="11"/>
  <c r="AI118" i="11"/>
  <c r="AF117" i="11"/>
  <c r="C71" i="11"/>
  <c r="AO118" i="11" l="1"/>
  <c r="AE118" i="11"/>
  <c r="AF118" i="11" s="1"/>
  <c r="AF116" i="11"/>
  <c r="AZ116" i="11"/>
  <c r="AY118" i="11"/>
  <c r="AJ118" i="11"/>
  <c r="AK116" i="11"/>
  <c r="AU116" i="11"/>
  <c r="AT118" i="11"/>
  <c r="AD74" i="11"/>
  <c r="CL66" i="22" l="1"/>
  <c r="CQ66" i="22" s="1"/>
  <c r="CK66" i="22"/>
  <c r="CP66" i="22" s="1"/>
  <c r="CJ66" i="22"/>
  <c r="CO66" i="22" s="1"/>
  <c r="CI66" i="22"/>
  <c r="CK57" i="22"/>
  <c r="CL34" i="22"/>
  <c r="CQ34" i="22" s="1"/>
  <c r="CK34" i="22"/>
  <c r="CP34" i="22" s="1"/>
  <c r="CJ34" i="22"/>
  <c r="CO34" i="22" s="1"/>
  <c r="CI34" i="22"/>
  <c r="CJ16" i="22"/>
  <c r="BI74" i="22"/>
  <c r="BI69" i="22"/>
  <c r="BI60" i="22"/>
  <c r="BI37" i="22"/>
  <c r="BI19" i="22"/>
  <c r="BI14" i="22"/>
  <c r="BI9" i="22"/>
  <c r="BN74" i="22"/>
  <c r="BN60" i="22"/>
  <c r="BN43" i="22"/>
  <c r="BN37" i="22"/>
  <c r="BN19" i="22"/>
  <c r="BN14" i="22"/>
  <c r="BN9" i="22"/>
  <c r="BS74" i="22"/>
  <c r="BS43" i="22"/>
  <c r="BS69" i="22"/>
  <c r="BS60" i="22"/>
  <c r="BS37" i="22"/>
  <c r="BS19" i="22"/>
  <c r="BS14" i="22"/>
  <c r="BS9" i="22"/>
  <c r="AY7" i="22"/>
  <c r="AY12" i="22"/>
  <c r="AY17" i="22"/>
  <c r="AY35" i="22"/>
  <c r="AY67" i="22"/>
  <c r="AT71" i="22"/>
  <c r="AY71" i="22"/>
  <c r="AT40" i="22"/>
  <c r="AY40" i="22"/>
  <c r="BD71" i="22"/>
  <c r="BD40" i="22"/>
  <c r="BD17" i="22"/>
  <c r="BI66" i="22"/>
  <c r="BI62" i="22" s="1"/>
  <c r="BI64" i="22" s="1"/>
  <c r="BI65" i="22" s="1"/>
  <c r="BI57" i="22"/>
  <c r="BI52" i="22" s="1"/>
  <c r="BI55" i="22" s="1"/>
  <c r="BI56" i="22" s="1"/>
  <c r="BI34" i="22"/>
  <c r="BI30" i="22" s="1"/>
  <c r="BI16" i="22"/>
  <c r="BI11" i="22"/>
  <c r="BI12" i="22" s="1"/>
  <c r="BI6" i="22"/>
  <c r="BD58" i="22"/>
  <c r="BM67" i="22"/>
  <c r="BL67" i="22"/>
  <c r="BK67" i="22"/>
  <c r="BJ67" i="22"/>
  <c r="BM58" i="22"/>
  <c r="BL58" i="22"/>
  <c r="BK58" i="22"/>
  <c r="BJ58" i="22"/>
  <c r="BM35" i="22"/>
  <c r="BL35" i="22"/>
  <c r="BK35" i="22"/>
  <c r="BJ35" i="22"/>
  <c r="BM17" i="22"/>
  <c r="BL17" i="22"/>
  <c r="BK17" i="22"/>
  <c r="BJ17" i="22"/>
  <c r="BM12" i="22"/>
  <c r="BL12" i="22"/>
  <c r="BK12" i="22"/>
  <c r="BJ12" i="22"/>
  <c r="BM7" i="22"/>
  <c r="BL7" i="22"/>
  <c r="BK7" i="22"/>
  <c r="BJ7" i="22"/>
  <c r="BR67" i="22"/>
  <c r="BQ67" i="22"/>
  <c r="BP67" i="22"/>
  <c r="BO67" i="22"/>
  <c r="BR58" i="22"/>
  <c r="BQ58" i="22"/>
  <c r="BP58" i="22"/>
  <c r="BO58" i="22"/>
  <c r="BR35" i="22"/>
  <c r="BQ35" i="22"/>
  <c r="BP35" i="22"/>
  <c r="BO35" i="22"/>
  <c r="BR17" i="22"/>
  <c r="BQ17" i="22"/>
  <c r="BP17" i="22"/>
  <c r="BO17" i="22"/>
  <c r="BR12" i="22"/>
  <c r="BQ12" i="22"/>
  <c r="BP12" i="22"/>
  <c r="BO12" i="22"/>
  <c r="BP7" i="22"/>
  <c r="BQ7" i="22"/>
  <c r="BR7" i="22"/>
  <c r="BO7" i="22"/>
  <c r="BH71" i="22"/>
  <c r="BG71" i="22"/>
  <c r="BF71" i="22"/>
  <c r="BE71" i="22"/>
  <c r="BH40" i="22"/>
  <c r="BG40" i="22"/>
  <c r="BF40" i="22"/>
  <c r="BE40" i="22"/>
  <c r="BM71" i="22"/>
  <c r="BL71" i="22"/>
  <c r="BL72" i="22" s="1"/>
  <c r="BK71" i="22"/>
  <c r="BJ71" i="22"/>
  <c r="BM40" i="22"/>
  <c r="BL40" i="22"/>
  <c r="BK40" i="22"/>
  <c r="BJ40" i="22"/>
  <c r="BN66" i="22"/>
  <c r="BN62" i="22" s="1"/>
  <c r="BN64" i="22" s="1"/>
  <c r="BN65" i="22" s="1"/>
  <c r="BN57" i="22"/>
  <c r="BN34" i="22"/>
  <c r="BN16" i="22"/>
  <c r="J66" i="25" s="1"/>
  <c r="BN11" i="22"/>
  <c r="BN6" i="22"/>
  <c r="J86" i="25" s="1"/>
  <c r="BS66" i="22"/>
  <c r="BS57" i="22"/>
  <c r="BS52" i="22" s="1"/>
  <c r="BS34" i="22"/>
  <c r="BS30" i="22" s="1"/>
  <c r="BS16" i="22"/>
  <c r="BS11" i="22"/>
  <c r="BS6" i="22"/>
  <c r="BO71" i="22"/>
  <c r="BT72" i="22" s="1"/>
  <c r="BP71" i="22"/>
  <c r="BQ71" i="22"/>
  <c r="BV72" i="22" s="1"/>
  <c r="BO40" i="22"/>
  <c r="BP40" i="22"/>
  <c r="BQ40" i="22"/>
  <c r="BV41" i="22" s="1"/>
  <c r="BR71" i="22"/>
  <c r="BW72" i="22" s="1"/>
  <c r="BR40" i="22"/>
  <c r="BW41" i="22" s="1"/>
  <c r="BS48" i="22" l="1"/>
  <c r="BX54" i="22"/>
  <c r="BS32" i="22"/>
  <c r="BS33" i="22" s="1"/>
  <c r="BS26" i="22"/>
  <c r="BS28" i="22" s="1"/>
  <c r="BS29" i="22" s="1"/>
  <c r="J3" i="25"/>
  <c r="BN30" i="22"/>
  <c r="AU55" i="11"/>
  <c r="BN52" i="22"/>
  <c r="BN54" i="22" s="1"/>
  <c r="BN55" i="22"/>
  <c r="BN56" i="22" s="1"/>
  <c r="BK41" i="22"/>
  <c r="BI32" i="22"/>
  <c r="BI33" i="22" s="1"/>
  <c r="BI26" i="22"/>
  <c r="BI28" i="22" s="1"/>
  <c r="BI29" i="22" s="1"/>
  <c r="BX67" i="22"/>
  <c r="BS62" i="22"/>
  <c r="BS64" i="22" s="1"/>
  <c r="BS65" i="22" s="1"/>
  <c r="BJ41" i="22"/>
  <c r="AZ55" i="11"/>
  <c r="AZ58" i="11" s="1"/>
  <c r="AU60" i="11"/>
  <c r="AU58" i="11"/>
  <c r="CP57" i="22"/>
  <c r="CP71" i="22" s="1"/>
  <c r="CK71" i="22"/>
  <c r="CM66" i="22"/>
  <c r="CM62" i="22" s="1"/>
  <c r="CM64" i="22" s="1"/>
  <c r="CM65" i="22" s="1"/>
  <c r="CN66" i="22"/>
  <c r="CR66" i="22" s="1"/>
  <c r="CO16" i="22"/>
  <c r="CM34" i="22"/>
  <c r="CM30" i="22" s="1"/>
  <c r="CN34" i="22"/>
  <c r="CR34" i="22" s="1"/>
  <c r="O106" i="25"/>
  <c r="BX58" i="22"/>
  <c r="BX35" i="22"/>
  <c r="O3" i="25"/>
  <c r="T4" i="25" s="1"/>
  <c r="BX7" i="22"/>
  <c r="O86" i="25"/>
  <c r="O97" i="25"/>
  <c r="BX12" i="22"/>
  <c r="BX17" i="22"/>
  <c r="O66" i="25"/>
  <c r="BN58" i="22"/>
  <c r="J106" i="25"/>
  <c r="CK11" i="22"/>
  <c r="CP11" i="22" s="1"/>
  <c r="W97" i="25"/>
  <c r="CJ11" i="22"/>
  <c r="CO11" i="22" s="1"/>
  <c r="V97" i="25"/>
  <c r="CL11" i="22"/>
  <c r="CQ11" i="22" s="1"/>
  <c r="X97" i="25"/>
  <c r="BR72" i="22"/>
  <c r="BG77" i="22"/>
  <c r="BG23" i="22" s="1"/>
  <c r="BN21" i="22"/>
  <c r="BI21" i="22"/>
  <c r="BI22" i="22" s="1"/>
  <c r="BN35" i="22"/>
  <c r="BS21" i="22"/>
  <c r="BX22" i="22" s="1"/>
  <c r="BP41" i="22"/>
  <c r="BU41" i="22"/>
  <c r="CK16" i="22"/>
  <c r="CL16" i="22"/>
  <c r="BP72" i="22"/>
  <c r="BU72" i="22"/>
  <c r="BI71" i="22"/>
  <c r="BI72" i="22" s="1"/>
  <c r="BR41" i="22"/>
  <c r="BS12" i="22"/>
  <c r="AT77" i="22"/>
  <c r="AT42" i="22" s="1"/>
  <c r="BO41" i="22"/>
  <c r="BT41" i="22"/>
  <c r="BQ41" i="22"/>
  <c r="AY77" i="22"/>
  <c r="AY73" i="22" s="1"/>
  <c r="BS58" i="22"/>
  <c r="BD77" i="22"/>
  <c r="BD36" i="22" s="1"/>
  <c r="BS67" i="22"/>
  <c r="BN17" i="22"/>
  <c r="BL41" i="22"/>
  <c r="BM72" i="22"/>
  <c r="BI17" i="22"/>
  <c r="AY72" i="22"/>
  <c r="BS35" i="22"/>
  <c r="BO72" i="22"/>
  <c r="BM41" i="22"/>
  <c r="BI40" i="22"/>
  <c r="BI41" i="22" s="1"/>
  <c r="AY41" i="22"/>
  <c r="BS7" i="22"/>
  <c r="BQ72" i="22"/>
  <c r="BN12" i="22"/>
  <c r="BN7" i="22"/>
  <c r="BS17" i="22"/>
  <c r="BN67" i="22"/>
  <c r="BJ72" i="22"/>
  <c r="BK72" i="22"/>
  <c r="CI16" i="22"/>
  <c r="BD12" i="22"/>
  <c r="BD35" i="22"/>
  <c r="BD41" i="22"/>
  <c r="BI58" i="22"/>
  <c r="BI7" i="22"/>
  <c r="BI35" i="22"/>
  <c r="BI67" i="22"/>
  <c r="BD7" i="22"/>
  <c r="BD67" i="22"/>
  <c r="BD72" i="22"/>
  <c r="BF77" i="22"/>
  <c r="BH77" i="22"/>
  <c r="BE77" i="22"/>
  <c r="BS71" i="22"/>
  <c r="BX72" i="22" s="1"/>
  <c r="BS40" i="22"/>
  <c r="BX41" i="22" s="1"/>
  <c r="BJ77" i="22"/>
  <c r="BK77" i="22"/>
  <c r="BK23" i="22" s="1"/>
  <c r="BL77" i="22"/>
  <c r="BL23" i="22" s="1"/>
  <c r="BN71" i="22"/>
  <c r="BM77" i="22"/>
  <c r="BN40" i="22"/>
  <c r="BR77" i="22"/>
  <c r="BQ77" i="22"/>
  <c r="BO77" i="22"/>
  <c r="BO23" i="22" s="1"/>
  <c r="BP77" i="22"/>
  <c r="BC43" i="19"/>
  <c r="BD38" i="19"/>
  <c r="BT38" i="19" s="1"/>
  <c r="BU38" i="19" s="1"/>
  <c r="BV38" i="19" s="1"/>
  <c r="BW38" i="19" s="1"/>
  <c r="BX38" i="19" s="1"/>
  <c r="BY38" i="19" s="1"/>
  <c r="BZ38" i="19" s="1"/>
  <c r="CA38" i="19" s="1"/>
  <c r="CB38" i="19" s="1"/>
  <c r="CC38" i="19" s="1"/>
  <c r="AY38" i="19"/>
  <c r="BC37" i="19"/>
  <c r="BC39" i="19" s="1"/>
  <c r="BB37" i="19"/>
  <c r="BB39" i="19" s="1"/>
  <c r="BA37" i="19"/>
  <c r="BA39" i="19" s="1"/>
  <c r="AZ37" i="19"/>
  <c r="AZ39" i="19" s="1"/>
  <c r="AX37" i="19"/>
  <c r="AX39" i="19" s="1"/>
  <c r="AW37" i="19"/>
  <c r="AW39" i="19" s="1"/>
  <c r="AV37" i="19"/>
  <c r="AV39" i="19" s="1"/>
  <c r="AU37" i="19"/>
  <c r="AU39" i="19" s="1"/>
  <c r="BD32" i="19"/>
  <c r="AY32" i="19"/>
  <c r="AO32" i="19"/>
  <c r="BD26" i="19"/>
  <c r="AY26" i="19"/>
  <c r="BD29" i="19"/>
  <c r="AY29" i="19"/>
  <c r="AY37" i="19" s="1"/>
  <c r="AT37" i="19"/>
  <c r="AO37" i="19"/>
  <c r="BD27" i="19"/>
  <c r="AY27" i="19"/>
  <c r="AO27" i="19"/>
  <c r="AO26" i="19"/>
  <c r="BC18" i="19"/>
  <c r="AZ18" i="19"/>
  <c r="AV18" i="19"/>
  <c r="AU18" i="19"/>
  <c r="BD17" i="19"/>
  <c r="AY17" i="19"/>
  <c r="BD14" i="19"/>
  <c r="AT14" i="19"/>
  <c r="AO12" i="19"/>
  <c r="AO11" i="19"/>
  <c r="AO10" i="19"/>
  <c r="BC9" i="19"/>
  <c r="BB9" i="19"/>
  <c r="BA9" i="19"/>
  <c r="AX9" i="19"/>
  <c r="AW9" i="19"/>
  <c r="AV9" i="19"/>
  <c r="AU9" i="19"/>
  <c r="AY9" i="19" s="1"/>
  <c r="AT9" i="19"/>
  <c r="AO9" i="19"/>
  <c r="P7" i="19"/>
  <c r="O7" i="19"/>
  <c r="N7" i="19"/>
  <c r="M7" i="19"/>
  <c r="L7" i="19"/>
  <c r="K7" i="19"/>
  <c r="J7" i="19"/>
  <c r="I7" i="19"/>
  <c r="H7" i="19"/>
  <c r="G7" i="19"/>
  <c r="F7" i="19"/>
  <c r="E7" i="19"/>
  <c r="D7" i="19"/>
  <c r="C7" i="19"/>
  <c r="B7" i="19"/>
  <c r="BS54" i="22" l="1"/>
  <c r="BN32" i="22"/>
  <c r="BN33" i="22" s="1"/>
  <c r="BN26" i="22"/>
  <c r="BN28" i="22" s="1"/>
  <c r="BN29" i="22" s="1"/>
  <c r="CM32" i="22"/>
  <c r="CM33" i="22" s="1"/>
  <c r="CM26" i="22"/>
  <c r="CM28" i="22" s="1"/>
  <c r="CM29" i="22" s="1"/>
  <c r="BE56" i="11"/>
  <c r="AZ60" i="11"/>
  <c r="BE61" i="11" s="1"/>
  <c r="AZ56" i="11"/>
  <c r="BS55" i="22"/>
  <c r="BS56" i="22" s="1"/>
  <c r="BS50" i="22"/>
  <c r="BS51" i="22" s="1"/>
  <c r="AZ61" i="11"/>
  <c r="AZ59" i="11"/>
  <c r="BE59" i="11"/>
  <c r="BG18" i="22"/>
  <c r="BN22" i="22"/>
  <c r="BG13" i="22"/>
  <c r="CP72" i="22"/>
  <c r="CQ16" i="22"/>
  <c r="CM35" i="22"/>
  <c r="CP16" i="22"/>
  <c r="CR67" i="22"/>
  <c r="CM67" i="22"/>
  <c r="CJ57" i="22"/>
  <c r="CR35" i="22"/>
  <c r="CK72" i="22"/>
  <c r="CN16" i="22"/>
  <c r="CM16" i="22"/>
  <c r="BG8" i="22"/>
  <c r="BG42" i="22"/>
  <c r="BG36" i="22"/>
  <c r="BD18" i="22"/>
  <c r="O87" i="25"/>
  <c r="T87" i="25"/>
  <c r="BD13" i="22"/>
  <c r="BR23" i="22"/>
  <c r="BW78" i="22"/>
  <c r="BD73" i="22"/>
  <c r="BG73" i="22"/>
  <c r="BD42" i="22"/>
  <c r="BG68" i="22"/>
  <c r="T67" i="25"/>
  <c r="O67" i="25"/>
  <c r="BD8" i="22"/>
  <c r="BG59" i="22"/>
  <c r="Y97" i="25"/>
  <c r="U97" i="25"/>
  <c r="CK6" i="22"/>
  <c r="CK21" i="22" s="1"/>
  <c r="W86" i="25"/>
  <c r="W87" i="25" s="1"/>
  <c r="CJ6" i="22"/>
  <c r="V86" i="25"/>
  <c r="V87" i="25" s="1"/>
  <c r="CI6" i="22"/>
  <c r="U86" i="25"/>
  <c r="U87" i="25" s="1"/>
  <c r="CL6" i="22"/>
  <c r="X86" i="25"/>
  <c r="X87" i="25" s="1"/>
  <c r="CL57" i="22"/>
  <c r="AT36" i="22"/>
  <c r="BQ23" i="22"/>
  <c r="BV78" i="22"/>
  <c r="BD37" i="19"/>
  <c r="BE9" i="19"/>
  <c r="BI9" i="19" s="1"/>
  <c r="BJ73" i="22"/>
  <c r="BJ23" i="22"/>
  <c r="AT8" i="22"/>
  <c r="AT23" i="22"/>
  <c r="BU78" i="22"/>
  <c r="BP23" i="22"/>
  <c r="BD68" i="22"/>
  <c r="BD23" i="22"/>
  <c r="BE73" i="22"/>
  <c r="BE23" i="22"/>
  <c r="BM42" i="22"/>
  <c r="BM23" i="22"/>
  <c r="BH42" i="22"/>
  <c r="BH23" i="22"/>
  <c r="BF42" i="22"/>
  <c r="BF23" i="22"/>
  <c r="BD59" i="22"/>
  <c r="BS22" i="22"/>
  <c r="AY36" i="22"/>
  <c r="AY23" i="22"/>
  <c r="AY18" i="22"/>
  <c r="AY13" i="22"/>
  <c r="AT73" i="22"/>
  <c r="AT18" i="22"/>
  <c r="AT59" i="22"/>
  <c r="AT13" i="22"/>
  <c r="BD78" i="22"/>
  <c r="AT68" i="22"/>
  <c r="AY68" i="22"/>
  <c r="AY8" i="22"/>
  <c r="AY59" i="22"/>
  <c r="AY42" i="22"/>
  <c r="AY78" i="22"/>
  <c r="BO42" i="22"/>
  <c r="BT78" i="22"/>
  <c r="AW91" i="11"/>
  <c r="BP59" i="22"/>
  <c r="BP78" i="22"/>
  <c r="BP68" i="22"/>
  <c r="BP18" i="22"/>
  <c r="BP8" i="22"/>
  <c r="BP36" i="22"/>
  <c r="BP42" i="22"/>
  <c r="BP13" i="22"/>
  <c r="AR91" i="11"/>
  <c r="BK36" i="22"/>
  <c r="BK18" i="22"/>
  <c r="BK8" i="22"/>
  <c r="BK42" i="22"/>
  <c r="BK59" i="22"/>
  <c r="BK13" i="22"/>
  <c r="BK78" i="22"/>
  <c r="BK68" i="22"/>
  <c r="BE42" i="22"/>
  <c r="AV91" i="11"/>
  <c r="BO8" i="22"/>
  <c r="BO78" i="22"/>
  <c r="BO13" i="22"/>
  <c r="BO59" i="22"/>
  <c r="BO68" i="22"/>
  <c r="BO18" i="22"/>
  <c r="BO36" i="22"/>
  <c r="AQ91" i="11"/>
  <c r="BJ36" i="22"/>
  <c r="BJ18" i="22"/>
  <c r="BJ78" i="22"/>
  <c r="BJ8" i="22"/>
  <c r="BJ68" i="22"/>
  <c r="BJ59" i="22"/>
  <c r="BJ13" i="22"/>
  <c r="AS91" i="11"/>
  <c r="BL18" i="22"/>
  <c r="BL8" i="22"/>
  <c r="BL68" i="22"/>
  <c r="BL59" i="22"/>
  <c r="BL13" i="22"/>
  <c r="BL78" i="22"/>
  <c r="BL36" i="22"/>
  <c r="AX91" i="11"/>
  <c r="BQ13" i="22"/>
  <c r="BQ36" i="22"/>
  <c r="BQ59" i="22"/>
  <c r="BQ68" i="22"/>
  <c r="BQ18" i="22"/>
  <c r="BQ8" i="22"/>
  <c r="BQ78" i="22"/>
  <c r="BS41" i="22"/>
  <c r="BL73" i="22"/>
  <c r="BO73" i="22"/>
  <c r="AY91" i="11"/>
  <c r="BD92" i="11" s="1"/>
  <c r="BR73" i="22"/>
  <c r="BR13" i="22"/>
  <c r="BR59" i="22"/>
  <c r="BR68" i="22"/>
  <c r="BR18" i="22"/>
  <c r="BR36" i="22"/>
  <c r="BR78" i="22"/>
  <c r="BR8" i="22"/>
  <c r="BS72" i="22"/>
  <c r="Y86" i="25"/>
  <c r="Y87" i="25" s="1"/>
  <c r="BL42" i="22"/>
  <c r="BN41" i="22"/>
  <c r="BI77" i="22"/>
  <c r="BI23" i="22" s="1"/>
  <c r="BE59" i="22"/>
  <c r="BE13" i="22"/>
  <c r="BE68" i="22"/>
  <c r="BE18" i="22"/>
  <c r="BE36" i="22"/>
  <c r="BE8" i="22"/>
  <c r="BJ42" i="22"/>
  <c r="BF73" i="22"/>
  <c r="AT91" i="11"/>
  <c r="BM8" i="22"/>
  <c r="BM59" i="22"/>
  <c r="BM13" i="22"/>
  <c r="BM78" i="22"/>
  <c r="BM68" i="22"/>
  <c r="BM36" i="22"/>
  <c r="BM18" i="22"/>
  <c r="BH36" i="22"/>
  <c r="BH18" i="22"/>
  <c r="BH8" i="22"/>
  <c r="BH59" i="22"/>
  <c r="BH13" i="22"/>
  <c r="BH68" i="22"/>
  <c r="BQ42" i="22"/>
  <c r="BR42" i="22"/>
  <c r="BP73" i="22"/>
  <c r="BH73" i="22"/>
  <c r="BK73" i="22"/>
  <c r="BN72" i="22"/>
  <c r="BF68" i="22"/>
  <c r="BF36" i="22"/>
  <c r="BF18" i="22"/>
  <c r="BF8" i="22"/>
  <c r="BF59" i="22"/>
  <c r="BF13" i="22"/>
  <c r="BQ73" i="22"/>
  <c r="BM73" i="22"/>
  <c r="AZ9" i="19"/>
  <c r="BD9" i="19" s="1"/>
  <c r="AY33" i="19"/>
  <c r="AY39" i="19"/>
  <c r="AW18" i="19"/>
  <c r="AY16" i="19"/>
  <c r="BA18" i="19"/>
  <c r="BB18" i="19"/>
  <c r="BN77" i="22"/>
  <c r="BS77" i="22"/>
  <c r="BS13" i="22" s="1"/>
  <c r="AY12" i="19"/>
  <c r="BD12" i="19"/>
  <c r="BD39" i="19"/>
  <c r="BD16" i="19"/>
  <c r="AT39" i="19"/>
  <c r="BD25" i="19"/>
  <c r="BD33" i="19"/>
  <c r="AO28" i="19"/>
  <c r="AO16" i="19"/>
  <c r="BD28" i="19"/>
  <c r="AO17" i="19"/>
  <c r="AO25" i="19"/>
  <c r="AY25" i="19"/>
  <c r="AY28" i="19"/>
  <c r="AO13" i="19"/>
  <c r="AX18" i="19"/>
  <c r="AO14" i="19"/>
  <c r="AY14" i="19"/>
  <c r="BD42" i="19"/>
  <c r="BD43" i="19" s="1"/>
  <c r="AY42" i="19"/>
  <c r="AY43" i="19" s="1"/>
  <c r="CL71" i="22" l="1"/>
  <c r="CQ57" i="22"/>
  <c r="CQ71" i="22" s="1"/>
  <c r="CO6" i="22"/>
  <c r="CJ40" i="22"/>
  <c r="CI57" i="22"/>
  <c r="CJ21" i="22"/>
  <c r="CO57" i="22"/>
  <c r="CO71" i="22" s="1"/>
  <c r="CJ71" i="22"/>
  <c r="CJ72" i="22" s="1"/>
  <c r="CQ6" i="22"/>
  <c r="CL40" i="22"/>
  <c r="CP6" i="22"/>
  <c r="CP40" i="22" s="1"/>
  <c r="CK40" i="22"/>
  <c r="CM17" i="22"/>
  <c r="CI11" i="22"/>
  <c r="CR16" i="22"/>
  <c r="CL21" i="22"/>
  <c r="CN6" i="22"/>
  <c r="CM6" i="22"/>
  <c r="BS83" i="22"/>
  <c r="BX78" i="22"/>
  <c r="AY18" i="19"/>
  <c r="CK22" i="22"/>
  <c r="AX105" i="11"/>
  <c r="AX103" i="11"/>
  <c r="AX101" i="11"/>
  <c r="BA92" i="11"/>
  <c r="AV105" i="11"/>
  <c r="AV101" i="11"/>
  <c r="AV97" i="11"/>
  <c r="AV103" i="11"/>
  <c r="BB92" i="11"/>
  <c r="AW105" i="11"/>
  <c r="AW97" i="11"/>
  <c r="AW103" i="11"/>
  <c r="AW101" i="11"/>
  <c r="AY97" i="11"/>
  <c r="AY101" i="11"/>
  <c r="AY105" i="11"/>
  <c r="AY103" i="11"/>
  <c r="BC92" i="11"/>
  <c r="AX97" i="11"/>
  <c r="BN42" i="22"/>
  <c r="BN23" i="22"/>
  <c r="BS23" i="22"/>
  <c r="AT92" i="11"/>
  <c r="AT111" i="11"/>
  <c r="AP91" i="11"/>
  <c r="AT22" i="19" s="1"/>
  <c r="BI78" i="22"/>
  <c r="BI8" i="22"/>
  <c r="BI59" i="22"/>
  <c r="BI18" i="22"/>
  <c r="BI68" i="22"/>
  <c r="BI73" i="22"/>
  <c r="BI36" i="22"/>
  <c r="BI13" i="22"/>
  <c r="BI42" i="22"/>
  <c r="BN73" i="22"/>
  <c r="AV111" i="11"/>
  <c r="AV92" i="11"/>
  <c r="AZ91" i="11"/>
  <c r="BS78" i="22"/>
  <c r="BS8" i="22"/>
  <c r="BS59" i="22"/>
  <c r="BS68" i="22"/>
  <c r="BS18" i="22"/>
  <c r="BS36" i="22"/>
  <c r="BS73" i="22"/>
  <c r="BS42" i="22"/>
  <c r="AR92" i="11"/>
  <c r="AR111" i="11"/>
  <c r="AQ92" i="11"/>
  <c r="AQ111" i="11"/>
  <c r="AU91" i="11"/>
  <c r="AY22" i="19" s="1"/>
  <c r="BN78" i="22"/>
  <c r="BN36" i="22"/>
  <c r="BN68" i="22"/>
  <c r="BN8" i="22"/>
  <c r="BN59" i="22"/>
  <c r="BN18" i="22"/>
  <c r="BN13" i="22"/>
  <c r="AY111" i="11"/>
  <c r="AY92" i="11"/>
  <c r="AX92" i="11"/>
  <c r="AX111" i="11"/>
  <c r="AS92" i="11"/>
  <c r="AS111" i="11"/>
  <c r="AW111" i="11"/>
  <c r="AW92" i="11"/>
  <c r="BD18" i="19"/>
  <c r="AO18" i="19"/>
  <c r="BE92" i="11" l="1"/>
  <c r="BD22" i="19"/>
  <c r="BD5" i="19"/>
  <c r="CQ72" i="22"/>
  <c r="CP77" i="22"/>
  <c r="CP41" i="22"/>
  <c r="CL22" i="22"/>
  <c r="CR17" i="22"/>
  <c r="CL77" i="22"/>
  <c r="CL23" i="22" s="1"/>
  <c r="CL41" i="22"/>
  <c r="CJ41" i="22"/>
  <c r="CJ77" i="22"/>
  <c r="CJ23" i="22" s="1"/>
  <c r="CN11" i="22"/>
  <c r="CN40" i="22" s="1"/>
  <c r="CM11" i="22"/>
  <c r="CI21" i="22"/>
  <c r="CQ21" i="22"/>
  <c r="CQ40" i="22"/>
  <c r="CO40" i="22"/>
  <c r="CO21" i="22"/>
  <c r="CP21" i="22"/>
  <c r="CM57" i="22"/>
  <c r="CM52" i="22" s="1"/>
  <c r="CM54" i="22" s="1"/>
  <c r="CN57" i="22"/>
  <c r="CI71" i="22"/>
  <c r="CI40" i="22"/>
  <c r="CL72" i="22"/>
  <c r="CK77" i="22"/>
  <c r="CK41" i="22"/>
  <c r="CM7" i="22"/>
  <c r="CO72" i="22"/>
  <c r="CR6" i="22"/>
  <c r="CJ22" i="22"/>
  <c r="AZ101" i="11"/>
  <c r="AZ103" i="11"/>
  <c r="AZ105" i="11"/>
  <c r="AV98" i="11"/>
  <c r="AV107" i="11"/>
  <c r="AV108" i="11" s="1"/>
  <c r="AU105" i="11"/>
  <c r="AU103" i="11"/>
  <c r="AU101" i="11"/>
  <c r="AU97" i="11"/>
  <c r="AY98" i="11"/>
  <c r="AY107" i="11"/>
  <c r="AY108" i="11" s="1"/>
  <c r="AP105" i="11"/>
  <c r="AP101" i="11"/>
  <c r="AP103" i="11"/>
  <c r="AP97" i="11"/>
  <c r="AW98" i="11"/>
  <c r="AW107" i="11"/>
  <c r="AW108" i="11" s="1"/>
  <c r="AX107" i="11"/>
  <c r="AX108" i="11" s="1"/>
  <c r="AX98" i="11"/>
  <c r="AZ97" i="11"/>
  <c r="N21" i="13"/>
  <c r="AZ92" i="11"/>
  <c r="S21" i="13"/>
  <c r="AU111" i="11"/>
  <c r="AU92" i="11"/>
  <c r="AZ111" i="11"/>
  <c r="AP111" i="11"/>
  <c r="AP92" i="11"/>
  <c r="CM55" i="22" l="1"/>
  <c r="CM56" i="22" s="1"/>
  <c r="CM48" i="22"/>
  <c r="CM50" i="22" s="1"/>
  <c r="CM51" i="22" s="1"/>
  <c r="CR7" i="22"/>
  <c r="CI41" i="22"/>
  <c r="CM40" i="22"/>
  <c r="CI77" i="22"/>
  <c r="CI23" i="22" s="1"/>
  <c r="CQ22" i="22"/>
  <c r="CN41" i="22"/>
  <c r="CR40" i="22"/>
  <c r="CI72" i="22"/>
  <c r="CM71" i="22"/>
  <c r="CI22" i="22"/>
  <c r="CR57" i="22"/>
  <c r="CN71" i="22"/>
  <c r="CN77" i="22" s="1"/>
  <c r="CM12" i="22"/>
  <c r="CM21" i="22"/>
  <c r="CQ41" i="22"/>
  <c r="CQ77" i="22"/>
  <c r="CQ23" i="22" s="1"/>
  <c r="CM58" i="22"/>
  <c r="CR11" i="22"/>
  <c r="CN21" i="22"/>
  <c r="CL78" i="22"/>
  <c r="BS91" i="11"/>
  <c r="CP22" i="22"/>
  <c r="CP23" i="22"/>
  <c r="CJ78" i="22"/>
  <c r="BQ91" i="11"/>
  <c r="CO22" i="22"/>
  <c r="BR91" i="11"/>
  <c r="CK78" i="22"/>
  <c r="CK23" i="22"/>
  <c r="CO77" i="22"/>
  <c r="CO41" i="22"/>
  <c r="BW91" i="11"/>
  <c r="CA17" i="19" s="1"/>
  <c r="CP78" i="22"/>
  <c r="AP98" i="11"/>
  <c r="AP107" i="11"/>
  <c r="AP108" i="11" s="1"/>
  <c r="AU107" i="11"/>
  <c r="AU108" i="11" s="1"/>
  <c r="AU98" i="11"/>
  <c r="AZ107" i="11"/>
  <c r="AZ108" i="11" s="1"/>
  <c r="AZ98" i="11"/>
  <c r="BV91" i="11" l="1"/>
  <c r="BZ17" i="19" s="1"/>
  <c r="CO78" i="22"/>
  <c r="BX91" i="11"/>
  <c r="CB17" i="19" s="1"/>
  <c r="CQ78" i="22"/>
  <c r="CM77" i="22"/>
  <c r="CM42" i="22" s="1"/>
  <c r="BP91" i="11"/>
  <c r="CI78" i="22"/>
  <c r="BQ110" i="11"/>
  <c r="CM72" i="22"/>
  <c r="CM41" i="22"/>
  <c r="BQ92" i="11"/>
  <c r="BS110" i="11"/>
  <c r="BS112" i="11" s="1"/>
  <c r="CM22" i="22"/>
  <c r="CR58" i="22"/>
  <c r="BR110" i="11"/>
  <c r="CR77" i="22"/>
  <c r="CR13" i="22" s="1"/>
  <c r="BU91" i="11"/>
  <c r="BY17" i="19" s="1"/>
  <c r="CN78" i="22"/>
  <c r="BR92" i="11"/>
  <c r="CO23" i="22"/>
  <c r="CN22" i="22"/>
  <c r="CN23" i="22"/>
  <c r="CR41" i="22"/>
  <c r="BW110" i="11"/>
  <c r="BW92" i="11"/>
  <c r="CR12" i="22"/>
  <c r="CR21" i="22"/>
  <c r="CN72" i="22"/>
  <c r="CR71" i="22"/>
  <c r="BS92" i="11"/>
  <c r="AC21" i="13"/>
  <c r="X21" i="13"/>
  <c r="BQ112" i="11" l="1"/>
  <c r="CR42" i="22"/>
  <c r="CR59" i="22"/>
  <c r="BP110" i="11"/>
  <c r="BP112" i="11" s="1"/>
  <c r="BX17" i="19"/>
  <c r="BR123" i="11"/>
  <c r="BR118" i="11"/>
  <c r="BV10" i="19" s="1"/>
  <c r="BT91" i="11"/>
  <c r="CM78" i="22"/>
  <c r="CM36" i="22"/>
  <c r="CM68" i="22"/>
  <c r="CM18" i="22"/>
  <c r="CM8" i="22"/>
  <c r="CM13" i="22"/>
  <c r="CM59" i="22"/>
  <c r="BR112" i="11"/>
  <c r="BP92" i="11"/>
  <c r="CM23" i="22"/>
  <c r="CR72" i="22"/>
  <c r="CR73" i="22"/>
  <c r="CM73" i="22"/>
  <c r="BX110" i="11"/>
  <c r="BX92" i="11"/>
  <c r="BU110" i="11"/>
  <c r="BU92" i="11"/>
  <c r="BW112" i="11"/>
  <c r="BW118" i="11"/>
  <c r="CA10" i="19" s="1"/>
  <c r="BW123" i="11"/>
  <c r="CR22" i="22"/>
  <c r="CR23" i="22"/>
  <c r="BY91" i="11"/>
  <c r="AM21" i="13" s="1"/>
  <c r="CR78" i="22"/>
  <c r="CR68" i="22"/>
  <c r="CR36" i="22"/>
  <c r="CR18" i="22"/>
  <c r="CR8" i="22"/>
  <c r="BS118" i="11"/>
  <c r="BW10" i="19" s="1"/>
  <c r="BS123" i="11"/>
  <c r="BQ123" i="11"/>
  <c r="BQ118" i="11"/>
  <c r="BU10" i="19" s="1"/>
  <c r="BV110" i="11"/>
  <c r="BV112" i="11" s="1"/>
  <c r="BV92" i="11"/>
  <c r="BX5" i="19" l="1"/>
  <c r="BX22" i="19"/>
  <c r="BS5" i="19"/>
  <c r="BT92" i="11"/>
  <c r="AH21" i="13"/>
  <c r="BY92" i="11"/>
  <c r="BY110" i="11"/>
  <c r="BU112" i="11"/>
  <c r="BU123" i="11"/>
  <c r="BU118" i="11"/>
  <c r="BS124" i="11"/>
  <c r="BW11" i="19" s="1"/>
  <c r="BW16" i="19" s="1"/>
  <c r="BW18" i="19" s="1"/>
  <c r="BQ124" i="11"/>
  <c r="BU11" i="19" s="1"/>
  <c r="BU16" i="19" s="1"/>
  <c r="BU18" i="19" s="1"/>
  <c r="BX123" i="11"/>
  <c r="BX118" i="11"/>
  <c r="CB10" i="19" s="1"/>
  <c r="BX112" i="11"/>
  <c r="BW124" i="11"/>
  <c r="CA11" i="19" s="1"/>
  <c r="CA16" i="19" s="1"/>
  <c r="CA18" i="19" s="1"/>
  <c r="CC17" i="19"/>
  <c r="BV123" i="11"/>
  <c r="BV118" i="11"/>
  <c r="BZ10" i="19" s="1"/>
  <c r="BR124" i="11"/>
  <c r="BV11" i="19" s="1"/>
  <c r="BV16" i="19" s="1"/>
  <c r="BV18" i="19" s="1"/>
  <c r="BP123" i="11"/>
  <c r="BP118" i="11"/>
  <c r="BT110" i="11"/>
  <c r="BT111" i="11" s="1"/>
  <c r="AC25" i="13"/>
  <c r="AC26" i="13"/>
  <c r="CC5" i="19" l="1"/>
  <c r="CC22" i="19"/>
  <c r="BT112" i="11"/>
  <c r="BS128" i="11"/>
  <c r="BS135" i="11" s="1"/>
  <c r="BS138" i="11" s="1"/>
  <c r="BW128" i="11"/>
  <c r="BW135" i="11" s="1"/>
  <c r="BQ128" i="11"/>
  <c r="BQ135" i="11" s="1"/>
  <c r="BR128" i="11"/>
  <c r="BR135" i="11" s="1"/>
  <c r="BT10" i="19"/>
  <c r="BX10" i="19" s="1"/>
  <c r="BT118" i="11"/>
  <c r="AH25" i="13" s="1"/>
  <c r="BP124" i="11"/>
  <c r="BT123" i="11"/>
  <c r="BY118" i="11"/>
  <c r="AM25" i="13" s="1"/>
  <c r="BY10" i="19"/>
  <c r="BY123" i="11"/>
  <c r="BU124" i="11"/>
  <c r="BU128" i="11" s="1"/>
  <c r="BX124" i="11"/>
  <c r="CB11" i="19" s="1"/>
  <c r="CB16" i="19" s="1"/>
  <c r="CB18" i="19" s="1"/>
  <c r="BV124" i="11"/>
  <c r="BZ11" i="19" s="1"/>
  <c r="BZ16" i="19" s="1"/>
  <c r="BZ18" i="19" s="1"/>
  <c r="BY111" i="11"/>
  <c r="BY112" i="11"/>
  <c r="AH26" i="13"/>
  <c r="AM26" i="13"/>
  <c r="BS132" i="11" l="1"/>
  <c r="BS134" i="11" s="1"/>
  <c r="BQ132" i="11"/>
  <c r="BQ134" i="11" s="1"/>
  <c r="BW132" i="11"/>
  <c r="BW134" i="11" s="1"/>
  <c r="BX128" i="11"/>
  <c r="BX132" i="11" s="1"/>
  <c r="BX134" i="11" s="1"/>
  <c r="BR132" i="11"/>
  <c r="BR134" i="11" s="1"/>
  <c r="BR138" i="11"/>
  <c r="CC10" i="19"/>
  <c r="BT124" i="11"/>
  <c r="BT11" i="19"/>
  <c r="BY11" i="19"/>
  <c r="CC11" i="19" s="1"/>
  <c r="BY124" i="11"/>
  <c r="BY125" i="11" s="1"/>
  <c r="BW138" i="11"/>
  <c r="BU132" i="11"/>
  <c r="BU134" i="11" s="1"/>
  <c r="BU135" i="11"/>
  <c r="BV128" i="11"/>
  <c r="BP128" i="11"/>
  <c r="BX135" i="11" l="1"/>
  <c r="BX138" i="11" s="1"/>
  <c r="BY128" i="11"/>
  <c r="BT16" i="19"/>
  <c r="BT18" i="19" s="1"/>
  <c r="BX11" i="19"/>
  <c r="BP132" i="11"/>
  <c r="BP134" i="11" s="1"/>
  <c r="BT134" i="11" s="1"/>
  <c r="BP135" i="11"/>
  <c r="BT128" i="11"/>
  <c r="BT125" i="11"/>
  <c r="BV132" i="11"/>
  <c r="BV134" i="11" s="1"/>
  <c r="BY134" i="11" s="1"/>
  <c r="BV135" i="11"/>
  <c r="BV138" i="11" s="1"/>
  <c r="BY16" i="19"/>
  <c r="BY135" i="11" l="1"/>
  <c r="AM17" i="13" s="1"/>
  <c r="BP138" i="11"/>
  <c r="BT135" i="11"/>
  <c r="BY132" i="11"/>
  <c r="BU138" i="11"/>
  <c r="BT132" i="11"/>
  <c r="BY18" i="19"/>
  <c r="CC18" i="19" s="1"/>
  <c r="CC23" i="19" s="1"/>
  <c r="CC16" i="19"/>
  <c r="BX18" i="19"/>
  <c r="BX23" i="19" s="1"/>
  <c r="BX16" i="19"/>
  <c r="AU83" i="11"/>
  <c r="AU81" i="11"/>
  <c r="AU79" i="11"/>
  <c r="AZ83" i="11"/>
  <c r="AZ81" i="11"/>
  <c r="AZ79" i="11"/>
  <c r="AH17" i="13" l="1"/>
  <c r="BY138" i="11"/>
  <c r="AZ42" i="11"/>
  <c r="AZ25" i="11"/>
  <c r="AZ10" i="11"/>
  <c r="AK137" i="11"/>
  <c r="AK88" i="11"/>
  <c r="AK75" i="11"/>
  <c r="AK68" i="11"/>
  <c r="AP137" i="11" l="1"/>
  <c r="AP88" i="11"/>
  <c r="AP75" i="11"/>
  <c r="AP68" i="11"/>
  <c r="AU137" i="11"/>
  <c r="AU88" i="11"/>
  <c r="AU75" i="11"/>
  <c r="AU68" i="11"/>
  <c r="AZ88" i="11"/>
  <c r="AZ68" i="11"/>
  <c r="AM22" i="18"/>
  <c r="BT32" i="19" l="1"/>
  <c r="BU32" i="19" l="1"/>
  <c r="BT43" i="19"/>
  <c r="BV32" i="19" l="1"/>
  <c r="BU43" i="19"/>
  <c r="BV43" i="19" l="1"/>
  <c r="V22" i="18"/>
  <c r="AB22" i="18"/>
  <c r="AH22" i="18"/>
  <c r="BW43" i="19" l="1"/>
  <c r="BX32" i="19"/>
  <c r="I24" i="18"/>
  <c r="L24" i="18" s="1"/>
  <c r="AC24" i="18"/>
  <c r="BY32" i="19" l="1"/>
  <c r="BX43" i="19"/>
  <c r="N24" i="18"/>
  <c r="X24" i="18"/>
  <c r="W24" i="18"/>
  <c r="AD24" i="18"/>
  <c r="O24" i="18"/>
  <c r="AI24" i="18"/>
  <c r="BZ32" i="19" l="1"/>
  <c r="BY43" i="19"/>
  <c r="AJ24" i="18"/>
  <c r="AF24" i="18"/>
  <c r="Q24" i="18"/>
  <c r="Z24" i="18"/>
  <c r="BZ43" i="19" l="1"/>
  <c r="CA32" i="19"/>
  <c r="AK24" i="18"/>
  <c r="AA24" i="18"/>
  <c r="AG24" i="18"/>
  <c r="R24" i="18"/>
  <c r="T24" i="18"/>
  <c r="U24" i="18"/>
  <c r="CA43" i="19" l="1"/>
  <c r="CB32" i="19"/>
  <c r="AH30" i="18"/>
  <c r="AB30" i="18"/>
  <c r="V30" i="18"/>
  <c r="F9" i="18"/>
  <c r="CC32" i="19" l="1"/>
  <c r="CC43" i="19" s="1"/>
  <c r="CB43" i="19"/>
  <c r="AC26" i="18"/>
  <c r="AD17" i="18"/>
  <c r="AI21" i="18"/>
  <c r="AI28" i="18"/>
  <c r="AI32" i="18"/>
  <c r="AI12" i="18" l="1"/>
  <c r="AI25" i="18"/>
  <c r="AD32" i="18"/>
  <c r="AC12" i="18"/>
  <c r="AI16" i="18"/>
  <c r="AC21" i="18"/>
  <c r="AC25" i="18"/>
  <c r="AD27" i="18"/>
  <c r="AC32" i="18"/>
  <c r="AC13" i="18"/>
  <c r="AI17" i="18"/>
  <c r="AD19" i="18"/>
  <c r="AC17" i="18"/>
  <c r="AC16" i="18"/>
  <c r="AD28" i="18"/>
  <c r="AM30" i="18"/>
  <c r="AC15" i="18"/>
  <c r="AD29" i="18"/>
  <c r="U25" i="18"/>
  <c r="T25" i="18"/>
  <c r="I25" i="18"/>
  <c r="L25" i="18" s="1"/>
  <c r="AK17" i="18"/>
  <c r="AG17" i="18"/>
  <c r="AJ32" i="18"/>
  <c r="AF32" i="18"/>
  <c r="T13" i="18"/>
  <c r="U13" i="18"/>
  <c r="I13" i="18"/>
  <c r="L13" i="18" s="1"/>
  <c r="AA27" i="18"/>
  <c r="Z27" i="18"/>
  <c r="AJ19" i="18"/>
  <c r="AF19" i="18"/>
  <c r="AF29" i="18"/>
  <c r="AJ29" i="18"/>
  <c r="I26" i="18"/>
  <c r="L26" i="18" s="1"/>
  <c r="U26" i="18"/>
  <c r="T26" i="18"/>
  <c r="I27" i="18"/>
  <c r="L27" i="18" s="1"/>
  <c r="U27" i="18"/>
  <c r="T27" i="18"/>
  <c r="AA16" i="18"/>
  <c r="Z16" i="18"/>
  <c r="AG29" i="18"/>
  <c r="AK29" i="18"/>
  <c r="AC29" i="18"/>
  <c r="AA19" i="18"/>
  <c r="Z19" i="18"/>
  <c r="AA29" i="18"/>
  <c r="Z29" i="18"/>
  <c r="AD25" i="18"/>
  <c r="AI29" i="18"/>
  <c r="AG25" i="18"/>
  <c r="AK25" i="18"/>
  <c r="I17" i="18"/>
  <c r="L17" i="18" s="1"/>
  <c r="U17" i="18"/>
  <c r="T17" i="18"/>
  <c r="AK26" i="18"/>
  <c r="AG26" i="18"/>
  <c r="AK28" i="18"/>
  <c r="AG28" i="18"/>
  <c r="AI26" i="18"/>
  <c r="AK27" i="18"/>
  <c r="AG27" i="18"/>
  <c r="AF16" i="18"/>
  <c r="AJ16" i="18"/>
  <c r="Z26" i="18"/>
  <c r="AA26" i="18"/>
  <c r="AD16" i="18"/>
  <c r="AD15" i="18"/>
  <c r="AC27" i="18"/>
  <c r="AG13" i="18"/>
  <c r="AK13" i="18"/>
  <c r="Z15" i="18"/>
  <c r="AA15" i="18"/>
  <c r="I19" i="18"/>
  <c r="L19" i="18" s="1"/>
  <c r="U19" i="18"/>
  <c r="T19" i="18"/>
  <c r="AF21" i="18"/>
  <c r="AJ21" i="18"/>
  <c r="AA13" i="18"/>
  <c r="Z13" i="18"/>
  <c r="AK16" i="18"/>
  <c r="AG16" i="18"/>
  <c r="AI13" i="18"/>
  <c r="U15" i="18"/>
  <c r="I15" i="18"/>
  <c r="L15" i="18" s="1"/>
  <c r="T15" i="18"/>
  <c r="AJ12" i="18"/>
  <c r="AF12" i="18"/>
  <c r="AJ15" i="18"/>
  <c r="AF15" i="18"/>
  <c r="AJ17" i="18"/>
  <c r="AF17" i="18"/>
  <c r="AF13" i="18"/>
  <c r="AJ13" i="18"/>
  <c r="AJ25" i="18"/>
  <c r="AF25" i="18"/>
  <c r="T16" i="18"/>
  <c r="I16" i="18"/>
  <c r="L16" i="18" s="1"/>
  <c r="AA12" i="18"/>
  <c r="Z12" i="18"/>
  <c r="AD21" i="18"/>
  <c r="AK15" i="18"/>
  <c r="AG15" i="18"/>
  <c r="AI27" i="18"/>
  <c r="AK32" i="18"/>
  <c r="AG32" i="18"/>
  <c r="AJ27" i="18"/>
  <c r="AF27" i="18"/>
  <c r="AI19" i="18"/>
  <c r="I32" i="18"/>
  <c r="L32" i="18" s="1"/>
  <c r="T32" i="18"/>
  <c r="AD26" i="18"/>
  <c r="AK21" i="18"/>
  <c r="AG21" i="18"/>
  <c r="AA32" i="18"/>
  <c r="Z32" i="18"/>
  <c r="AA21" i="18"/>
  <c r="Z21" i="18"/>
  <c r="T21" i="18"/>
  <c r="I21" i="18"/>
  <c r="L21" i="18" s="1"/>
  <c r="U21" i="18"/>
  <c r="I12" i="18"/>
  <c r="L12" i="18" s="1"/>
  <c r="T12" i="18"/>
  <c r="AJ26" i="18"/>
  <c r="AF26" i="18"/>
  <c r="AK19" i="18"/>
  <c r="AG19" i="18"/>
  <c r="T28" i="18"/>
  <c r="I28" i="18"/>
  <c r="L28" i="18" s="1"/>
  <c r="U28" i="18"/>
  <c r="Z17" i="18"/>
  <c r="AA17" i="18"/>
  <c r="AG12" i="18"/>
  <c r="AK12" i="18"/>
  <c r="AC19" i="18"/>
  <c r="U29" i="18"/>
  <c r="T29" i="18"/>
  <c r="I29" i="18"/>
  <c r="L29" i="18" s="1"/>
  <c r="AF28" i="18"/>
  <c r="AJ28" i="18"/>
  <c r="AC28" i="18"/>
  <c r="AA25" i="18"/>
  <c r="Z25" i="18"/>
  <c r="AA28" i="18"/>
  <c r="Z28" i="18"/>
  <c r="AI15" i="18"/>
  <c r="AD12" i="18"/>
  <c r="AD13" i="18"/>
  <c r="T22" i="18" l="1"/>
  <c r="AK22" i="18"/>
  <c r="U22" i="18"/>
  <c r="AI30" i="18"/>
  <c r="AF22" i="18"/>
  <c r="T30" i="18"/>
  <c r="Z30" i="18"/>
  <c r="X16" i="18"/>
  <c r="W16" i="18"/>
  <c r="X17" i="18"/>
  <c r="W17" i="18"/>
  <c r="X27" i="18"/>
  <c r="W27" i="18"/>
  <c r="X19" i="18"/>
  <c r="W19" i="18"/>
  <c r="W25" i="18"/>
  <c r="X25" i="18"/>
  <c r="X32" i="18"/>
  <c r="W32" i="18"/>
  <c r="W13" i="18"/>
  <c r="X13" i="18"/>
  <c r="AF30" i="18"/>
  <c r="W26" i="18"/>
  <c r="X26" i="18"/>
  <c r="AC22" i="18"/>
  <c r="AJ22" i="18"/>
  <c r="W29" i="18"/>
  <c r="X29" i="18"/>
  <c r="X21" i="18"/>
  <c r="W21" i="18"/>
  <c r="AD22" i="18"/>
  <c r="X28" i="18"/>
  <c r="W28" i="18"/>
  <c r="X12" i="18"/>
  <c r="W12" i="18"/>
  <c r="W15" i="18"/>
  <c r="X15" i="18"/>
  <c r="U30" i="18"/>
  <c r="AG30" i="18"/>
  <c r="AD30" i="18"/>
  <c r="AI22" i="18"/>
  <c r="AA30" i="18"/>
  <c r="AG22" i="18"/>
  <c r="AA22" i="18"/>
  <c r="Z22" i="18"/>
  <c r="AJ30" i="18"/>
  <c r="AK30" i="18"/>
  <c r="AC30" i="18"/>
  <c r="Q26" i="18"/>
  <c r="N26" i="18"/>
  <c r="R26" i="18"/>
  <c r="O26" i="18"/>
  <c r="R29" i="18"/>
  <c r="Q29" i="18"/>
  <c r="O29" i="18"/>
  <c r="N29" i="18"/>
  <c r="Q21" i="18"/>
  <c r="O21" i="18"/>
  <c r="N21" i="18"/>
  <c r="R21" i="18"/>
  <c r="Q12" i="18"/>
  <c r="O12" i="18"/>
  <c r="R12" i="18"/>
  <c r="N12" i="18"/>
  <c r="Q32" i="18"/>
  <c r="O32" i="18"/>
  <c r="N32" i="18"/>
  <c r="R32" i="18"/>
  <c r="R27" i="18"/>
  <c r="O27" i="18"/>
  <c r="N27" i="18"/>
  <c r="Q27" i="18"/>
  <c r="O16" i="18"/>
  <c r="R16" i="18"/>
  <c r="Q16" i="18"/>
  <c r="N16" i="18"/>
  <c r="R15" i="18"/>
  <c r="N15" i="18"/>
  <c r="Q15" i="18"/>
  <c r="O15" i="18"/>
  <c r="R13" i="18"/>
  <c r="O13" i="18"/>
  <c r="N13" i="18"/>
  <c r="Q13" i="18"/>
  <c r="O25" i="18"/>
  <c r="Q25" i="18"/>
  <c r="N25" i="18"/>
  <c r="R25" i="18"/>
  <c r="Q17" i="18"/>
  <c r="N17" i="18"/>
  <c r="R17" i="18"/>
  <c r="O17" i="18"/>
  <c r="Q28" i="18"/>
  <c r="O28" i="18"/>
  <c r="N28" i="18"/>
  <c r="R28" i="18"/>
  <c r="R19" i="18"/>
  <c r="O19" i="18"/>
  <c r="N19" i="18"/>
  <c r="Q19" i="18"/>
  <c r="W30" i="18" l="1"/>
  <c r="Q22" i="18"/>
  <c r="W22" i="18"/>
  <c r="X22" i="18"/>
  <c r="R22" i="18"/>
  <c r="Q30" i="18"/>
  <c r="R30" i="18"/>
  <c r="X30" i="18"/>
  <c r="N22" i="18"/>
  <c r="N30" i="18" s="1"/>
  <c r="O22" i="18"/>
  <c r="O30" i="18" s="1"/>
  <c r="AZ137" i="11" l="1"/>
  <c r="AZ75" i="11"/>
  <c r="W63" i="4" l="1"/>
  <c r="Y63" i="4" s="1"/>
  <c r="U65" i="4"/>
  <c r="U55" i="4"/>
  <c r="U64" i="4"/>
  <c r="U47" i="4"/>
  <c r="U50" i="4"/>
  <c r="E8" i="13"/>
  <c r="I12" i="13" l="1"/>
  <c r="F12" i="13"/>
  <c r="H12" i="13"/>
  <c r="G12" i="13"/>
  <c r="E12" i="13"/>
  <c r="W55" i="4"/>
  <c r="F13" i="13" l="1"/>
  <c r="F14" i="13" s="1"/>
  <c r="Q14" i="13"/>
  <c r="G13" i="13"/>
  <c r="E13" i="13"/>
  <c r="E14" i="13" s="1"/>
  <c r="H13" i="13"/>
  <c r="H14" i="13" s="1"/>
  <c r="T14" i="13"/>
  <c r="V14" i="13"/>
  <c r="J14" i="13"/>
  <c r="K14" i="13"/>
  <c r="R14" i="13"/>
  <c r="M14" i="13" l="1"/>
  <c r="I13" i="13"/>
  <c r="W14" i="13"/>
  <c r="G14" i="13"/>
  <c r="U14" i="13"/>
  <c r="N14" i="13"/>
  <c r="X14" i="13"/>
  <c r="P14" i="13"/>
  <c r="L14" i="13"/>
  <c r="O14" i="13"/>
  <c r="AZ21" i="11"/>
  <c r="AZ36" i="11"/>
  <c r="BC11" i="19"/>
  <c r="AY73" i="11"/>
  <c r="AY72" i="11"/>
  <c r="AY71" i="11"/>
  <c r="AY41" i="11"/>
  <c r="AY24" i="11"/>
  <c r="AY9" i="11"/>
  <c r="Q22" i="13"/>
  <c r="J20" i="13"/>
  <c r="J26" i="13"/>
  <c r="T22" i="13"/>
  <c r="Q18" i="13"/>
  <c r="F28" i="13"/>
  <c r="Q24" i="13"/>
  <c r="T28" i="13"/>
  <c r="H18" i="13"/>
  <c r="Q28" i="13"/>
  <c r="E20" i="13"/>
  <c r="J28" i="13"/>
  <c r="H20" i="13"/>
  <c r="J18" i="13"/>
  <c r="K22" i="13"/>
  <c r="M20" i="13"/>
  <c r="T24" i="13"/>
  <c r="R22" i="13"/>
  <c r="F24" i="13"/>
  <c r="M28" i="13"/>
  <c r="R28" i="13"/>
  <c r="J24" i="13"/>
  <c r="R20" i="13"/>
  <c r="V28" i="13"/>
  <c r="Q26" i="13"/>
  <c r="R24" i="13"/>
  <c r="E28" i="13"/>
  <c r="E22" i="13"/>
  <c r="E24" i="13"/>
  <c r="H22" i="13"/>
  <c r="F20" i="13"/>
  <c r="E18" i="13"/>
  <c r="Q20" i="13"/>
  <c r="K28" i="13"/>
  <c r="K26" i="13"/>
  <c r="F18" i="13"/>
  <c r="T26" i="13"/>
  <c r="K24" i="13"/>
  <c r="K18" i="13"/>
  <c r="F22" i="13"/>
  <c r="V26" i="13"/>
  <c r="F26" i="13"/>
  <c r="E26" i="13"/>
  <c r="J22" i="13"/>
  <c r="K20" i="13"/>
  <c r="V22" i="13"/>
  <c r="V24" i="13"/>
  <c r="H24" i="13"/>
  <c r="H28" i="13"/>
  <c r="H26" i="13"/>
  <c r="R26" i="13"/>
  <c r="R18" i="13"/>
  <c r="S14" i="13" l="1"/>
  <c r="I17" i="13"/>
  <c r="I21" i="13"/>
  <c r="I14" i="13"/>
  <c r="W101" i="4"/>
  <c r="W84" i="4"/>
  <c r="W77" i="4"/>
  <c r="W68" i="4"/>
  <c r="W102" i="4"/>
  <c r="W41" i="4"/>
  <c r="W74" i="4" s="1"/>
  <c r="W98" i="4" s="1"/>
  <c r="U22" i="13"/>
  <c r="U26" i="13"/>
  <c r="W24" i="13"/>
  <c r="N28" i="13"/>
  <c r="M24" i="13"/>
  <c r="O22" i="13"/>
  <c r="N20" i="13"/>
  <c r="W26" i="13"/>
  <c r="M18" i="13"/>
  <c r="G28" i="13"/>
  <c r="X24" i="13"/>
  <c r="O24" i="13"/>
  <c r="N24" i="13"/>
  <c r="O28" i="13"/>
  <c r="L28" i="13"/>
  <c r="W22" i="13"/>
  <c r="G26" i="13"/>
  <c r="P22" i="13"/>
  <c r="W28" i="13"/>
  <c r="O26" i="13"/>
  <c r="U24" i="13"/>
  <c r="L24" i="13"/>
  <c r="U28" i="13"/>
  <c r="L26" i="13"/>
  <c r="M22" i="13"/>
  <c r="X20" i="13"/>
  <c r="X28" i="13"/>
  <c r="P28" i="13"/>
  <c r="G18" i="13"/>
  <c r="L20" i="13"/>
  <c r="G22" i="13"/>
  <c r="O20" i="13"/>
  <c r="L22" i="13"/>
  <c r="P18" i="13"/>
  <c r="G24" i="13"/>
  <c r="P24" i="13"/>
  <c r="P20" i="13"/>
  <c r="M26" i="13"/>
  <c r="G20" i="13"/>
  <c r="L18" i="13"/>
  <c r="O18" i="13"/>
  <c r="P26" i="13"/>
  <c r="AX124" i="11" l="1"/>
  <c r="AX130" i="11"/>
  <c r="AX73" i="11"/>
  <c r="AX72" i="11"/>
  <c r="AX71" i="11"/>
  <c r="AX41" i="11"/>
  <c r="AX24" i="11"/>
  <c r="AX9" i="11"/>
  <c r="S20" i="13"/>
  <c r="I24" i="13"/>
  <c r="S24" i="13"/>
  <c r="I28" i="13"/>
  <c r="I20" i="13"/>
  <c r="I26" i="13"/>
  <c r="S28" i="13"/>
  <c r="I18" i="13"/>
  <c r="I22" i="13"/>
  <c r="BB11" i="19" l="1"/>
  <c r="AX128" i="11"/>
  <c r="BE53" i="11" l="1"/>
  <c r="AZ53" i="11"/>
  <c r="BE54" i="11" l="1"/>
  <c r="AZ54" i="11"/>
  <c r="AZ51" i="11"/>
  <c r="AW124" i="11" l="1"/>
  <c r="AW73" i="11"/>
  <c r="AW72" i="11"/>
  <c r="AW71" i="11"/>
  <c r="AW41" i="11"/>
  <c r="AW24" i="11"/>
  <c r="AW9" i="11"/>
  <c r="BA11" i="19" l="1"/>
  <c r="AW128" i="11"/>
  <c r="AW135" i="11" l="1"/>
  <c r="AW132" i="11"/>
  <c r="AU36" i="11" l="1"/>
  <c r="AU21" i="11"/>
  <c r="AU51" i="11"/>
  <c r="Q6" i="11" l="1"/>
  <c r="V6" i="11" s="1"/>
  <c r="AA6" i="11" s="1"/>
  <c r="AF6" i="11" s="1"/>
  <c r="AK6" i="11" s="1"/>
  <c r="AP6" i="11" s="1"/>
  <c r="AU6" i="11" s="1"/>
  <c r="AZ6" i="11" s="1"/>
  <c r="BE6" i="11" s="1"/>
  <c r="BJ6" i="11" s="1"/>
  <c r="BO6" i="11" s="1"/>
  <c r="BT6" i="11" s="1"/>
  <c r="BY6" i="11" s="1"/>
  <c r="N6" i="11"/>
  <c r="S6" i="11" s="1"/>
  <c r="X6" i="11" s="1"/>
  <c r="AC6" i="11" s="1"/>
  <c r="AH6" i="11" s="1"/>
  <c r="AM6" i="11" s="1"/>
  <c r="AR6" i="11" s="1"/>
  <c r="AW6" i="11" s="1"/>
  <c r="BB6" i="11" s="1"/>
  <c r="BG6" i="11" s="1"/>
  <c r="BL6" i="11" s="1"/>
  <c r="BQ6" i="11" s="1"/>
  <c r="BV6" i="11" s="1"/>
  <c r="O6" i="11"/>
  <c r="T6" i="11" s="1"/>
  <c r="Y6" i="11" s="1"/>
  <c r="AD6" i="11" s="1"/>
  <c r="AI6" i="11" s="1"/>
  <c r="AN6" i="11" s="1"/>
  <c r="AS6" i="11" s="1"/>
  <c r="AX6" i="11" s="1"/>
  <c r="BC6" i="11" s="1"/>
  <c r="BH6" i="11" s="1"/>
  <c r="BM6" i="11" s="1"/>
  <c r="BR6" i="11" s="1"/>
  <c r="BW6" i="11" s="1"/>
  <c r="P6" i="11"/>
  <c r="U6" i="11" s="1"/>
  <c r="Z6" i="11" s="1"/>
  <c r="AE6" i="11" s="1"/>
  <c r="AJ6" i="11" s="1"/>
  <c r="AO6" i="11" s="1"/>
  <c r="AT6" i="11" s="1"/>
  <c r="AY6" i="11" s="1"/>
  <c r="BD6" i="11" s="1"/>
  <c r="BI6" i="11" s="1"/>
  <c r="BN6" i="11" s="1"/>
  <c r="BS6" i="11" s="1"/>
  <c r="BX6" i="11" s="1"/>
  <c r="M6" i="11"/>
  <c r="R6" i="11" s="1"/>
  <c r="W6" i="11" s="1"/>
  <c r="AB6" i="11" s="1"/>
  <c r="AG6" i="11" s="1"/>
  <c r="AL6" i="11" s="1"/>
  <c r="AQ6" i="11" s="1"/>
  <c r="AV6" i="11" s="1"/>
  <c r="BA6" i="11" l="1"/>
  <c r="BF6" i="11" s="1"/>
  <c r="BK6" i="11" s="1"/>
  <c r="BP6" i="11" s="1"/>
  <c r="BU6" i="11" s="1"/>
  <c r="AV124" i="11"/>
  <c r="AZ11" i="19" s="1"/>
  <c r="BD11" i="19" s="1"/>
  <c r="AV130" i="11"/>
  <c r="AV73" i="11"/>
  <c r="AV72" i="11"/>
  <c r="AV71" i="11"/>
  <c r="AV41" i="11"/>
  <c r="AV24" i="11"/>
  <c r="AV9" i="11"/>
  <c r="S65" i="4" l="1"/>
  <c r="S55" i="4"/>
  <c r="S50" i="4"/>
  <c r="AZ121" i="11" l="1"/>
  <c r="W36" i="4" l="1"/>
  <c r="AO130" i="11"/>
  <c r="AO124" i="11"/>
  <c r="AT124" i="11"/>
  <c r="AX11" i="19" s="1"/>
  <c r="AT130" i="11"/>
  <c r="AT73" i="11"/>
  <c r="AT72" i="11"/>
  <c r="AT71" i="11"/>
  <c r="AT41" i="11"/>
  <c r="AT44" i="11" s="1"/>
  <c r="AT24" i="11"/>
  <c r="AT9" i="11"/>
  <c r="AT12" i="11" s="1"/>
  <c r="Y101" i="4" l="1"/>
  <c r="Y84" i="4"/>
  <c r="Y41" i="4"/>
  <c r="Y74" i="4" s="1"/>
  <c r="Y98" i="4" s="1"/>
  <c r="AN124" i="11" l="1"/>
  <c r="AS124" i="11"/>
  <c r="AW11" i="19" s="1"/>
  <c r="AS73" i="11"/>
  <c r="AS41" i="11"/>
  <c r="AS72" i="11"/>
  <c r="AS24" i="11"/>
  <c r="AS71" i="11"/>
  <c r="AS9" i="11"/>
  <c r="AZ130" i="11" l="1"/>
  <c r="AZ129" i="11"/>
  <c r="AZ120" i="11"/>
  <c r="AZ84" i="11"/>
  <c r="AW63" i="11" l="1"/>
  <c r="BB65" i="11" l="1"/>
  <c r="BB67" i="11"/>
  <c r="BB66" i="11"/>
  <c r="BB64" i="11"/>
  <c r="AW85" i="11"/>
  <c r="AV63" i="11"/>
  <c r="BA67" i="11" l="1"/>
  <c r="BA66" i="11"/>
  <c r="BA65" i="11"/>
  <c r="BA64" i="11"/>
  <c r="BA10" i="19"/>
  <c r="AV85" i="11"/>
  <c r="AW125" i="11"/>
  <c r="AW74" i="11"/>
  <c r="AW86" i="11"/>
  <c r="AZ10" i="19" l="1"/>
  <c r="AV86" i="11"/>
  <c r="AV74" i="11"/>
  <c r="AV125" i="11"/>
  <c r="AM124" i="11"/>
  <c r="AR124" i="11"/>
  <c r="AV11" i="19" s="1"/>
  <c r="AR73" i="11"/>
  <c r="AR41" i="11"/>
  <c r="AR71" i="11"/>
  <c r="AR72" i="11"/>
  <c r="AR24" i="11"/>
  <c r="AR9" i="11"/>
  <c r="AV128" i="11" l="1"/>
  <c r="AV132" i="11" s="1"/>
  <c r="AQ84" i="11" l="1"/>
  <c r="AQ85" i="11" s="1"/>
  <c r="AQ124" i="11"/>
  <c r="AU11" i="19" s="1"/>
  <c r="AY11" i="19" s="1"/>
  <c r="AQ73" i="11"/>
  <c r="AQ41" i="11"/>
  <c r="AQ72" i="11"/>
  <c r="AQ24" i="11"/>
  <c r="AQ71" i="11"/>
  <c r="AQ9" i="11"/>
  <c r="AU10" i="19" l="1"/>
  <c r="Q55" i="4"/>
  <c r="Q49" i="4"/>
  <c r="AL124" i="11"/>
  <c r="Q50" i="4"/>
  <c r="AJ124" i="11" l="1"/>
  <c r="AI124" i="11"/>
  <c r="AH124" i="11"/>
  <c r="AG124" i="11"/>
  <c r="AP78" i="11" l="1"/>
  <c r="AO71" i="11"/>
  <c r="AO41" i="11"/>
  <c r="AO24" i="11"/>
  <c r="AO9" i="11"/>
  <c r="U101" i="4" l="1"/>
  <c r="U84" i="4"/>
  <c r="Y85" i="4" s="1"/>
  <c r="U41" i="4"/>
  <c r="U74" i="4" s="1"/>
  <c r="U98" i="4" s="1"/>
  <c r="AM71" i="11" l="1"/>
  <c r="AL71" i="11"/>
  <c r="AN71" i="11" l="1"/>
  <c r="AI72" i="11" l="1"/>
  <c r="S101" i="4" l="1"/>
  <c r="S84" i="4"/>
  <c r="S41" i="4"/>
  <c r="S74" i="4" s="1"/>
  <c r="S98" i="4" s="1"/>
  <c r="AU130" i="11"/>
  <c r="AU129" i="11"/>
  <c r="AU121" i="11"/>
  <c r="AU120" i="11"/>
  <c r="AU84" i="11"/>
  <c r="U85" i="4" l="1"/>
  <c r="W85" i="4"/>
  <c r="S102" i="4"/>
  <c r="AS63" i="11"/>
  <c r="S68" i="4"/>
  <c r="AR63" i="11"/>
  <c r="AQ63" i="11"/>
  <c r="AN85" i="11"/>
  <c r="AN72" i="11"/>
  <c r="AN73" i="11"/>
  <c r="AN9" i="11"/>
  <c r="AN24" i="11"/>
  <c r="AN41" i="11"/>
  <c r="AX65" i="11" l="1"/>
  <c r="AX66" i="11"/>
  <c r="AX67" i="11"/>
  <c r="Y102" i="4"/>
  <c r="Y68" i="4"/>
  <c r="AW67" i="11"/>
  <c r="AW65" i="11"/>
  <c r="AW66" i="11"/>
  <c r="AW64" i="11"/>
  <c r="AV66" i="11"/>
  <c r="AV67" i="11"/>
  <c r="AV65" i="11"/>
  <c r="AV64" i="11"/>
  <c r="U102" i="4"/>
  <c r="U68" i="4"/>
  <c r="AM120" i="11"/>
  <c r="AM123" i="11" s="1"/>
  <c r="AP123" i="11" s="1"/>
  <c r="AX63" i="11" l="1"/>
  <c r="AX85" i="11"/>
  <c r="BC67" i="11" l="1"/>
  <c r="BC66" i="11"/>
  <c r="BC65" i="11"/>
  <c r="BC64" i="11"/>
  <c r="BB10" i="19"/>
  <c r="AX74" i="11"/>
  <c r="AX64" i="11"/>
  <c r="AX86" i="11"/>
  <c r="AX125" i="11"/>
  <c r="AU40" i="11"/>
  <c r="AU48" i="11" s="1"/>
  <c r="AZ46" i="11" l="1"/>
  <c r="AZ44" i="11"/>
  <c r="AZ45" i="11"/>
  <c r="AM41" i="11"/>
  <c r="AM24" i="11"/>
  <c r="AM9" i="11"/>
  <c r="AX132" i="11" l="1"/>
  <c r="AX135" i="11"/>
  <c r="AU37" i="11"/>
  <c r="AZ40" i="11"/>
  <c r="AM72" i="11"/>
  <c r="AM73" i="11"/>
  <c r="AZ48" i="11" l="1"/>
  <c r="BE45" i="11"/>
  <c r="BE46" i="11"/>
  <c r="BE41" i="11"/>
  <c r="BE44" i="11"/>
  <c r="AZ41" i="11"/>
  <c r="AZ82" i="11"/>
  <c r="Q101" i="4"/>
  <c r="AL85" i="11"/>
  <c r="AL63" i="11"/>
  <c r="AZ49" i="11" l="1"/>
  <c r="BE49" i="11"/>
  <c r="AZ37" i="11"/>
  <c r="BE38" i="11" s="1"/>
  <c r="AZ73" i="11"/>
  <c r="AQ64" i="11"/>
  <c r="AL73" i="11"/>
  <c r="AL41" i="11"/>
  <c r="AL72" i="11"/>
  <c r="AL24" i="11"/>
  <c r="AL9" i="11"/>
  <c r="AZ38" i="11" l="1"/>
  <c r="O61" i="4"/>
  <c r="O101" i="4" s="1"/>
  <c r="O66" i="4"/>
  <c r="O55" i="4"/>
  <c r="O50" i="4"/>
  <c r="O47" i="4"/>
  <c r="AP84" i="11"/>
  <c r="AJ72" i="11"/>
  <c r="AJ71" i="11"/>
  <c r="AJ73" i="11" l="1"/>
  <c r="AI130" i="11" l="1"/>
  <c r="AI71" i="11"/>
  <c r="AI73" i="11" l="1"/>
  <c r="Q84" i="4"/>
  <c r="S85" i="4" s="1"/>
  <c r="Y77" i="4"/>
  <c r="Q41" i="4"/>
  <c r="Q74" i="4" s="1"/>
  <c r="Q98" i="4" s="1"/>
  <c r="AP130" i="11" l="1"/>
  <c r="AP129" i="11"/>
  <c r="AP121" i="11"/>
  <c r="AT12" i="19" s="1"/>
  <c r="AT42" i="19" s="1"/>
  <c r="AT43" i="19" s="1"/>
  <c r="AP120" i="11"/>
  <c r="AN63" i="11" l="1"/>
  <c r="AM85" i="11"/>
  <c r="AM63" i="11"/>
  <c r="AL125" i="11"/>
  <c r="AP140" i="11"/>
  <c r="AH130" i="11"/>
  <c r="AH72" i="11"/>
  <c r="AH71" i="11"/>
  <c r="AR65" i="11" l="1"/>
  <c r="AR66" i="11"/>
  <c r="AS67" i="11"/>
  <c r="AS65" i="11"/>
  <c r="AS66" i="11"/>
  <c r="AR64" i="11"/>
  <c r="AS64" i="11"/>
  <c r="AM125" i="11"/>
  <c r="AH73" i="11"/>
  <c r="AL86" i="11"/>
  <c r="AL74" i="11"/>
  <c r="AM86" i="11"/>
  <c r="AM128" i="11"/>
  <c r="AM74" i="11"/>
  <c r="AN86" i="11" l="1"/>
  <c r="AN74" i="11"/>
  <c r="AL128" i="11"/>
  <c r="AL135" i="11" s="1"/>
  <c r="AM132" i="11"/>
  <c r="AM134" i="11" s="1"/>
  <c r="AM135" i="11"/>
  <c r="AN128" i="11" l="1"/>
  <c r="AN132" i="11" s="1"/>
  <c r="AN134" i="11" s="1"/>
  <c r="AN125" i="11"/>
  <c r="Q37" i="4"/>
  <c r="Q36" i="4"/>
  <c r="AL132" i="11"/>
  <c r="AL134" i="11" s="1"/>
  <c r="AG73" i="11"/>
  <c r="AG72" i="11"/>
  <c r="AG71" i="11"/>
  <c r="AN135" i="11" l="1"/>
  <c r="M54" i="4"/>
  <c r="M55" i="4"/>
  <c r="M57" i="4"/>
  <c r="M64" i="4"/>
  <c r="M68" i="4" s="1"/>
  <c r="M50" i="4"/>
  <c r="M47" i="4"/>
  <c r="X130" i="11"/>
  <c r="W130" i="11"/>
  <c r="AE124" i="11"/>
  <c r="AD124" i="11"/>
  <c r="AF129" i="11"/>
  <c r="AF121" i="11"/>
  <c r="AF120" i="11"/>
  <c r="AE130" i="11"/>
  <c r="AD130" i="11"/>
  <c r="AK130" i="11"/>
  <c r="AK129" i="11"/>
  <c r="AK121" i="11"/>
  <c r="AK120" i="11"/>
  <c r="AK84" i="11"/>
  <c r="O84" i="4"/>
  <c r="Q85" i="4" s="1"/>
  <c r="O41" i="4"/>
  <c r="O74" i="4" s="1"/>
  <c r="O98" i="4" s="1"/>
  <c r="AH63" i="11"/>
  <c r="AC130" i="11"/>
  <c r="X124" i="11"/>
  <c r="AC124" i="11"/>
  <c r="Z124" i="11"/>
  <c r="K64" i="4"/>
  <c r="K68" i="4" s="1"/>
  <c r="K55" i="4"/>
  <c r="K54" i="4"/>
  <c r="K47" i="4"/>
  <c r="K50" i="4"/>
  <c r="Y124" i="11"/>
  <c r="Q129" i="11"/>
  <c r="AA120" i="11"/>
  <c r="AA121" i="11"/>
  <c r="I57" i="4"/>
  <c r="I55" i="4"/>
  <c r="I64" i="4"/>
  <c r="I68" i="4" s="1"/>
  <c r="I54" i="4"/>
  <c r="I50" i="4"/>
  <c r="I47" i="4"/>
  <c r="B82" i="11"/>
  <c r="K73" i="11"/>
  <c r="J73" i="11"/>
  <c r="I73" i="11"/>
  <c r="H73" i="11"/>
  <c r="F73" i="11"/>
  <c r="E73" i="11"/>
  <c r="D73" i="11"/>
  <c r="C73" i="11"/>
  <c r="B73" i="11"/>
  <c r="G40" i="11"/>
  <c r="H41" i="11"/>
  <c r="I41" i="11"/>
  <c r="J41" i="11"/>
  <c r="K41" i="11"/>
  <c r="F85" i="11"/>
  <c r="F128" i="11" s="1"/>
  <c r="E85" i="11"/>
  <c r="E125" i="11" s="1"/>
  <c r="D85" i="11"/>
  <c r="D125" i="11" s="1"/>
  <c r="C85" i="11"/>
  <c r="K85" i="11"/>
  <c r="J85" i="11"/>
  <c r="I85" i="11"/>
  <c r="H85" i="11"/>
  <c r="H128" i="11" s="1"/>
  <c r="E67" i="4"/>
  <c r="G67" i="4"/>
  <c r="C55" i="4"/>
  <c r="E55" i="4"/>
  <c r="G55" i="4"/>
  <c r="E54" i="4"/>
  <c r="G54" i="4"/>
  <c r="C64" i="4"/>
  <c r="C68" i="4" s="1"/>
  <c r="E64" i="4"/>
  <c r="E68" i="4" s="1"/>
  <c r="G64" i="4"/>
  <c r="G68" i="4" s="1"/>
  <c r="E47" i="4"/>
  <c r="G47" i="4"/>
  <c r="E49" i="4"/>
  <c r="C50" i="4"/>
  <c r="C51" i="4" s="1"/>
  <c r="E50" i="4"/>
  <c r="G50" i="4"/>
  <c r="E82" i="4"/>
  <c r="V120" i="11"/>
  <c r="Q120" i="11"/>
  <c r="L120" i="11"/>
  <c r="V129" i="11"/>
  <c r="B9" i="4"/>
  <c r="B10" i="4"/>
  <c r="B11" i="4"/>
  <c r="C41" i="4"/>
  <c r="C74" i="4" s="1"/>
  <c r="C98" i="4" s="1"/>
  <c r="E41" i="4"/>
  <c r="E74" i="4" s="1"/>
  <c r="E98" i="4" s="1"/>
  <c r="G41" i="4"/>
  <c r="G74" i="4" s="1"/>
  <c r="G98" i="4" s="1"/>
  <c r="I74" i="4"/>
  <c r="I98" i="4" s="1"/>
  <c r="K74" i="4"/>
  <c r="K98" i="4" s="1"/>
  <c r="M41" i="4"/>
  <c r="M74" i="4" s="1"/>
  <c r="M98" i="4" s="1"/>
  <c r="C79" i="4"/>
  <c r="C88" i="4" s="1"/>
  <c r="E79" i="4"/>
  <c r="C82" i="4"/>
  <c r="C84" i="4"/>
  <c r="C85" i="4" s="1"/>
  <c r="E84" i="4"/>
  <c r="G85" i="4" s="1"/>
  <c r="G84" i="4"/>
  <c r="I85" i="4" s="1"/>
  <c r="I84" i="4"/>
  <c r="K85" i="4" s="1"/>
  <c r="K84" i="4"/>
  <c r="M85" i="4" s="1"/>
  <c r="M84" i="4"/>
  <c r="O85" i="4" s="1"/>
  <c r="E93" i="4"/>
  <c r="C101" i="4"/>
  <c r="E101" i="4"/>
  <c r="G101" i="4"/>
  <c r="C102" i="4"/>
  <c r="E102" i="4"/>
  <c r="G102" i="4"/>
  <c r="G8" i="11"/>
  <c r="H9" i="11"/>
  <c r="I9" i="11"/>
  <c r="J9" i="11"/>
  <c r="K9" i="11"/>
  <c r="G23" i="11"/>
  <c r="H24" i="11"/>
  <c r="I24" i="11"/>
  <c r="J24" i="11"/>
  <c r="K24" i="11"/>
  <c r="B71" i="11"/>
  <c r="D71" i="11"/>
  <c r="E71" i="11"/>
  <c r="F71" i="11"/>
  <c r="H71" i="11"/>
  <c r="I71" i="11"/>
  <c r="J71" i="11"/>
  <c r="K71" i="11"/>
  <c r="B72" i="11"/>
  <c r="C72" i="11"/>
  <c r="D72" i="11"/>
  <c r="E72" i="11"/>
  <c r="F72" i="11"/>
  <c r="H72" i="11"/>
  <c r="I72" i="11"/>
  <c r="J72" i="11"/>
  <c r="K72" i="11"/>
  <c r="G78" i="11"/>
  <c r="B80" i="11"/>
  <c r="G80" i="11"/>
  <c r="G82" i="11"/>
  <c r="L121" i="11"/>
  <c r="Q121" i="11"/>
  <c r="L124" i="11"/>
  <c r="Q124" i="11"/>
  <c r="G127" i="11"/>
  <c r="L127" i="11"/>
  <c r="AA129" i="11"/>
  <c r="G140" i="11"/>
  <c r="G89" i="4"/>
  <c r="G79" i="4"/>
  <c r="G88" i="4" s="1"/>
  <c r="V121" i="11"/>
  <c r="L129" i="11"/>
  <c r="C89" i="4"/>
  <c r="E89" i="4"/>
  <c r="C36" i="4"/>
  <c r="C37" i="4"/>
  <c r="I102" i="4"/>
  <c r="G93" i="4"/>
  <c r="G82" i="4"/>
  <c r="K102" i="4"/>
  <c r="M102" i="4"/>
  <c r="V124" i="11"/>
  <c r="I79" i="4"/>
  <c r="I89" i="4"/>
  <c r="I101" i="4"/>
  <c r="I82" i="4"/>
  <c r="I93" i="4"/>
  <c r="K101" i="4"/>
  <c r="K82" i="4"/>
  <c r="K93" i="4"/>
  <c r="K79" i="4"/>
  <c r="K89" i="4"/>
  <c r="E91" i="4"/>
  <c r="E87" i="4"/>
  <c r="E88" i="4"/>
  <c r="AK140" i="11"/>
  <c r="M101" i="4"/>
  <c r="AG63" i="11"/>
  <c r="M82" i="4"/>
  <c r="M93" i="4"/>
  <c r="AG85" i="11"/>
  <c r="M79" i="4"/>
  <c r="M87" i="4" s="1"/>
  <c r="M51" i="4" l="1"/>
  <c r="M100" i="4" s="1"/>
  <c r="AA124" i="11"/>
  <c r="W16" i="4"/>
  <c r="W25" i="4"/>
  <c r="W24" i="4"/>
  <c r="W23" i="4"/>
  <c r="W15" i="4"/>
  <c r="W33" i="4"/>
  <c r="W109" i="4" s="1"/>
  <c r="W11" i="4"/>
  <c r="X11" i="4"/>
  <c r="C87" i="4"/>
  <c r="Y25" i="4"/>
  <c r="Y16" i="4"/>
  <c r="Y24" i="4"/>
  <c r="Y23" i="4"/>
  <c r="Y15" i="4"/>
  <c r="Z11" i="4"/>
  <c r="Y11" i="4"/>
  <c r="AV135" i="11"/>
  <c r="BA138" i="11" s="1"/>
  <c r="AV134" i="11"/>
  <c r="Q38" i="4"/>
  <c r="K94" i="4"/>
  <c r="U24" i="4"/>
  <c r="U23" i="4"/>
  <c r="U16" i="4"/>
  <c r="U15" i="4"/>
  <c r="U25" i="4"/>
  <c r="V11" i="4"/>
  <c r="U11" i="4"/>
  <c r="S64" i="11"/>
  <c r="I83" i="4"/>
  <c r="S25" i="4"/>
  <c r="S24" i="4"/>
  <c r="S23" i="4"/>
  <c r="S15" i="4"/>
  <c r="S16" i="4"/>
  <c r="S33" i="4"/>
  <c r="S109" i="4" s="1"/>
  <c r="G72" i="11"/>
  <c r="R125" i="11"/>
  <c r="T74" i="11"/>
  <c r="U128" i="11"/>
  <c r="U135" i="11" s="1"/>
  <c r="I39" i="4" s="1"/>
  <c r="S128" i="11"/>
  <c r="AC128" i="11"/>
  <c r="AC135" i="11" s="1"/>
  <c r="T125" i="11"/>
  <c r="AB128" i="11"/>
  <c r="AB132" i="11" s="1"/>
  <c r="AB134" i="11" s="1"/>
  <c r="O128" i="11"/>
  <c r="Z74" i="11"/>
  <c r="W128" i="11"/>
  <c r="Z64" i="11"/>
  <c r="S86" i="11"/>
  <c r="O86" i="11"/>
  <c r="O24" i="4"/>
  <c r="I24" i="4"/>
  <c r="G24" i="4"/>
  <c r="C24" i="4"/>
  <c r="E24" i="4"/>
  <c r="Q24" i="4"/>
  <c r="C74" i="11"/>
  <c r="G83" i="4"/>
  <c r="T86" i="11"/>
  <c r="U86" i="11"/>
  <c r="E74" i="11"/>
  <c r="K74" i="11"/>
  <c r="H125" i="11"/>
  <c r="N86" i="11"/>
  <c r="K86" i="11"/>
  <c r="K125" i="11"/>
  <c r="G9" i="4"/>
  <c r="U74" i="11"/>
  <c r="C15" i="4"/>
  <c r="R74" i="11"/>
  <c r="C128" i="11"/>
  <c r="C132" i="11" s="1"/>
  <c r="U64" i="11"/>
  <c r="N74" i="11"/>
  <c r="K64" i="11"/>
  <c r="AC86" i="11"/>
  <c r="Y64" i="11"/>
  <c r="X86" i="11"/>
  <c r="C16" i="4"/>
  <c r="W64" i="11"/>
  <c r="I125" i="11"/>
  <c r="I74" i="11"/>
  <c r="F74" i="11"/>
  <c r="J74" i="11"/>
  <c r="W74" i="11"/>
  <c r="K19" i="4"/>
  <c r="D74" i="11"/>
  <c r="AC74" i="11"/>
  <c r="G15" i="4"/>
  <c r="AA130" i="11"/>
  <c r="K24" i="4" s="1"/>
  <c r="K51" i="4"/>
  <c r="K100" i="4" s="1"/>
  <c r="G51" i="4"/>
  <c r="G100" i="4" s="1"/>
  <c r="H9" i="4"/>
  <c r="C91" i="4"/>
  <c r="E94" i="4"/>
  <c r="I51" i="4"/>
  <c r="I100" i="4" s="1"/>
  <c r="I103" i="4" s="1"/>
  <c r="M103" i="4"/>
  <c r="O102" i="4"/>
  <c r="M83" i="4"/>
  <c r="M58" i="4"/>
  <c r="M70" i="4" s="1"/>
  <c r="M81" i="4" s="1"/>
  <c r="M91" i="4" s="1"/>
  <c r="G95" i="4"/>
  <c r="G96" i="4" s="1"/>
  <c r="K83" i="4"/>
  <c r="I94" i="4"/>
  <c r="E85" i="4"/>
  <c r="F9" i="4"/>
  <c r="K88" i="4"/>
  <c r="K91" i="4"/>
  <c r="K87" i="4"/>
  <c r="E95" i="4"/>
  <c r="E96" i="4" s="1"/>
  <c r="M94" i="4"/>
  <c r="E51" i="4"/>
  <c r="E58" i="4" s="1"/>
  <c r="E70" i="4" s="1"/>
  <c r="C100" i="4"/>
  <c r="C58" i="4"/>
  <c r="C70" i="4" s="1"/>
  <c r="I91" i="4"/>
  <c r="G87" i="4"/>
  <c r="I88" i="4"/>
  <c r="G91" i="4"/>
  <c r="I87" i="4"/>
  <c r="Q102" i="4"/>
  <c r="Q68" i="4"/>
  <c r="G94" i="4"/>
  <c r="F135" i="11"/>
  <c r="C39" i="4" s="1"/>
  <c r="F132" i="11"/>
  <c r="F134" i="11" s="1"/>
  <c r="N11" i="4"/>
  <c r="D128" i="11"/>
  <c r="D132" i="11" s="1"/>
  <c r="M128" i="11"/>
  <c r="O74" i="11"/>
  <c r="M64" i="11"/>
  <c r="AF124" i="11"/>
  <c r="M19" i="4" s="1"/>
  <c r="F125" i="11"/>
  <c r="X64" i="11"/>
  <c r="J64" i="11"/>
  <c r="AF130" i="11"/>
  <c r="M24" i="4" s="1"/>
  <c r="G71" i="11"/>
  <c r="S74" i="11"/>
  <c r="P64" i="11"/>
  <c r="Z86" i="11"/>
  <c r="M11" i="4"/>
  <c r="F11" i="4"/>
  <c r="C11" i="4"/>
  <c r="G11" i="4"/>
  <c r="J11" i="4"/>
  <c r="J86" i="11"/>
  <c r="P74" i="11"/>
  <c r="P86" i="11"/>
  <c r="M33" i="4"/>
  <c r="M109" i="4" s="1"/>
  <c r="I25" i="4"/>
  <c r="M23" i="4"/>
  <c r="C33" i="4"/>
  <c r="C109" i="4" s="1"/>
  <c r="C23" i="4"/>
  <c r="K25" i="4"/>
  <c r="E25" i="4"/>
  <c r="G23" i="4"/>
  <c r="E23" i="4"/>
  <c r="L10" i="4"/>
  <c r="I15" i="4"/>
  <c r="E15" i="4"/>
  <c r="K33" i="4"/>
  <c r="K109" i="4" s="1"/>
  <c r="G19" i="4"/>
  <c r="M15" i="4"/>
  <c r="G25" i="4"/>
  <c r="M25" i="4"/>
  <c r="I23" i="4"/>
  <c r="C25" i="4"/>
  <c r="I33" i="4"/>
  <c r="I109" i="4" s="1"/>
  <c r="O25" i="4"/>
  <c r="C19" i="4"/>
  <c r="G16" i="4"/>
  <c r="M16" i="4"/>
  <c r="K16" i="4"/>
  <c r="I19" i="4"/>
  <c r="T64" i="11"/>
  <c r="O64" i="11"/>
  <c r="G73" i="11"/>
  <c r="H74" i="11"/>
  <c r="H86" i="11"/>
  <c r="H64" i="11"/>
  <c r="I16" i="4"/>
  <c r="E33" i="4"/>
  <c r="E109" i="4" s="1"/>
  <c r="J9" i="4"/>
  <c r="K23" i="4"/>
  <c r="E128" i="11"/>
  <c r="E19" i="4"/>
  <c r="H132" i="11"/>
  <c r="H134" i="11" s="1"/>
  <c r="H135" i="11"/>
  <c r="E36" i="4" s="1"/>
  <c r="X74" i="11"/>
  <c r="AE64" i="11"/>
  <c r="G33" i="4"/>
  <c r="AB64" i="11"/>
  <c r="AB86" i="11"/>
  <c r="AB74" i="11"/>
  <c r="Y74" i="11"/>
  <c r="Y86" i="11"/>
  <c r="M86" i="11"/>
  <c r="R64" i="11"/>
  <c r="E16" i="4"/>
  <c r="K15" i="4"/>
  <c r="G85" i="11"/>
  <c r="C14" i="4" s="1"/>
  <c r="C106" i="4" s="1"/>
  <c r="AP8" i="11"/>
  <c r="AP18" i="11" s="1"/>
  <c r="AD64" i="11"/>
  <c r="R86" i="11"/>
  <c r="O15" i="4"/>
  <c r="W86" i="11"/>
  <c r="F10" i="4"/>
  <c r="AM64" i="11"/>
  <c r="O16" i="4"/>
  <c r="AL64" i="11"/>
  <c r="M74" i="11"/>
  <c r="N9" i="4"/>
  <c r="AP40" i="11"/>
  <c r="AP48" i="11" s="1"/>
  <c r="I9" i="4"/>
  <c r="O23" i="4"/>
  <c r="C10" i="4"/>
  <c r="N64" i="11"/>
  <c r="Q16" i="4"/>
  <c r="Q25" i="4"/>
  <c r="Q23" i="4"/>
  <c r="Q15" i="4"/>
  <c r="Q33" i="4"/>
  <c r="I64" i="11"/>
  <c r="I86" i="11"/>
  <c r="AJ63" i="11"/>
  <c r="H11" i="4"/>
  <c r="L11" i="4"/>
  <c r="E11" i="4"/>
  <c r="D11" i="4"/>
  <c r="K11" i="4"/>
  <c r="I11" i="4"/>
  <c r="C9" i="4"/>
  <c r="D10" i="4"/>
  <c r="M9" i="4"/>
  <c r="L9" i="4"/>
  <c r="K10" i="4"/>
  <c r="H10" i="4"/>
  <c r="K9" i="4"/>
  <c r="E9" i="4"/>
  <c r="I10" i="4"/>
  <c r="M10" i="4"/>
  <c r="E10" i="4"/>
  <c r="D9" i="4"/>
  <c r="G10" i="4"/>
  <c r="N10" i="4"/>
  <c r="J10" i="4"/>
  <c r="AI63" i="11"/>
  <c r="AK8" i="11"/>
  <c r="AI85" i="11"/>
  <c r="AH85" i="11"/>
  <c r="AK82" i="11"/>
  <c r="AK40" i="11"/>
  <c r="AH64" i="11"/>
  <c r="AK23" i="11"/>
  <c r="AJ85" i="11"/>
  <c r="AK80" i="11"/>
  <c r="O33" i="4"/>
  <c r="O109" i="4" s="1"/>
  <c r="AG86" i="11"/>
  <c r="AG74" i="11"/>
  <c r="AG64" i="11"/>
  <c r="AH74" i="11" l="1"/>
  <c r="AK118" i="11"/>
  <c r="K58" i="4"/>
  <c r="K70" i="4" s="1"/>
  <c r="AP16" i="11"/>
  <c r="AP37" i="11"/>
  <c r="AU38" i="11" s="1"/>
  <c r="AU49" i="11"/>
  <c r="AP41" i="11"/>
  <c r="AU8" i="11"/>
  <c r="AU18" i="11" s="1"/>
  <c r="U36" i="4"/>
  <c r="AW134" i="11"/>
  <c r="S125" i="11"/>
  <c r="AU13" i="11"/>
  <c r="AU14" i="11"/>
  <c r="AU12" i="11"/>
  <c r="AU46" i="11"/>
  <c r="AU45" i="11"/>
  <c r="AU44" i="11"/>
  <c r="AB135" i="11"/>
  <c r="T128" i="11"/>
  <c r="T132" i="11" s="1"/>
  <c r="T134" i="11" s="1"/>
  <c r="AC125" i="11"/>
  <c r="O135" i="11"/>
  <c r="G38" i="4" s="1"/>
  <c r="O132" i="11"/>
  <c r="O134" i="11" s="1"/>
  <c r="O125" i="11"/>
  <c r="U125" i="11"/>
  <c r="U132" i="11"/>
  <c r="U134" i="11" s="1"/>
  <c r="V64" i="11"/>
  <c r="AB125" i="11"/>
  <c r="Q11" i="4"/>
  <c r="S11" i="4"/>
  <c r="AU41" i="11"/>
  <c r="Q109" i="4"/>
  <c r="C125" i="11"/>
  <c r="W125" i="11"/>
  <c r="R128" i="11"/>
  <c r="R135" i="11" s="1"/>
  <c r="I36" i="4" s="1"/>
  <c r="P11" i="4"/>
  <c r="P10" i="4"/>
  <c r="G18" i="4"/>
  <c r="G21" i="4" s="1"/>
  <c r="AF74" i="11"/>
  <c r="AH125" i="11"/>
  <c r="L125" i="11"/>
  <c r="V128" i="11"/>
  <c r="K14" i="4"/>
  <c r="K106" i="4" s="1"/>
  <c r="AE128" i="11"/>
  <c r="AE132" i="11" s="1"/>
  <c r="AE134" i="11" s="1"/>
  <c r="AD86" i="11"/>
  <c r="E14" i="4"/>
  <c r="E106" i="4" s="1"/>
  <c r="AO63" i="11"/>
  <c r="V86" i="11"/>
  <c r="M88" i="4"/>
  <c r="M95" i="4" s="1"/>
  <c r="M96" i="4" s="1"/>
  <c r="Q86" i="11"/>
  <c r="M125" i="11"/>
  <c r="K128" i="11"/>
  <c r="K132" i="11" s="1"/>
  <c r="K134" i="11" s="1"/>
  <c r="I14" i="4"/>
  <c r="I106" i="4" s="1"/>
  <c r="Q74" i="11"/>
  <c r="AE74" i="11"/>
  <c r="AD125" i="11"/>
  <c r="AC132" i="11"/>
  <c r="AC134" i="11" s="1"/>
  <c r="N125" i="11"/>
  <c r="N128" i="11"/>
  <c r="AE86" i="11"/>
  <c r="V74" i="11"/>
  <c r="I128" i="11"/>
  <c r="I135" i="11" s="1"/>
  <c r="E37" i="4" s="1"/>
  <c r="I104" i="4"/>
  <c r="M104" i="4"/>
  <c r="I58" i="4"/>
  <c r="I70" i="4" s="1"/>
  <c r="G58" i="4"/>
  <c r="G70" i="4" s="1"/>
  <c r="E100" i="4"/>
  <c r="E103" i="4" s="1"/>
  <c r="M89" i="4"/>
  <c r="K103" i="4"/>
  <c r="G103" i="4"/>
  <c r="C103" i="4"/>
  <c r="I95" i="4"/>
  <c r="I96" i="4" s="1"/>
  <c r="K95" i="4"/>
  <c r="K96" i="4" s="1"/>
  <c r="AJ74" i="11"/>
  <c r="G14" i="4"/>
  <c r="G106" i="4" s="1"/>
  <c r="Q64" i="11"/>
  <c r="G12" i="4"/>
  <c r="AJ64" i="11"/>
  <c r="AP9" i="11"/>
  <c r="F12" i="4"/>
  <c r="E90" i="4" s="1"/>
  <c r="M37" i="4"/>
  <c r="AI74" i="11"/>
  <c r="Z128" i="11"/>
  <c r="Z125" i="11"/>
  <c r="E132" i="11"/>
  <c r="E134" i="11" s="1"/>
  <c r="E135" i="11"/>
  <c r="C38" i="4" s="1"/>
  <c r="Q9" i="4"/>
  <c r="S135" i="11"/>
  <c r="S132" i="11"/>
  <c r="S134" i="11" s="1"/>
  <c r="AA64" i="11"/>
  <c r="AF64" i="11"/>
  <c r="P125" i="11"/>
  <c r="P128" i="11"/>
  <c r="G109" i="4"/>
  <c r="W132" i="11"/>
  <c r="W134" i="11" s="1"/>
  <c r="W135" i="11"/>
  <c r="G74" i="11"/>
  <c r="AP23" i="11"/>
  <c r="X125" i="11"/>
  <c r="X128" i="11"/>
  <c r="C12" i="4"/>
  <c r="M132" i="11"/>
  <c r="M134" i="11" s="1"/>
  <c r="M135" i="11"/>
  <c r="J12" i="4"/>
  <c r="I90" i="4" s="1"/>
  <c r="L74" i="11"/>
  <c r="L64" i="11"/>
  <c r="L86" i="11"/>
  <c r="Y125" i="11"/>
  <c r="Y128" i="11"/>
  <c r="AA86" i="11"/>
  <c r="AA74" i="11"/>
  <c r="J125" i="11"/>
  <c r="J128" i="11"/>
  <c r="O11" i="4"/>
  <c r="L12" i="4"/>
  <c r="K90" i="4" s="1"/>
  <c r="H12" i="4"/>
  <c r="G90" i="4" s="1"/>
  <c r="AN64" i="11"/>
  <c r="N12" i="4"/>
  <c r="M90" i="4" s="1"/>
  <c r="I12" i="4"/>
  <c r="M12" i="4"/>
  <c r="D12" i="4"/>
  <c r="C90" i="4" s="1"/>
  <c r="E12" i="4"/>
  <c r="K12" i="4"/>
  <c r="AK78" i="11"/>
  <c r="AI64" i="11"/>
  <c r="O9" i="4"/>
  <c r="AH86" i="11"/>
  <c r="O10" i="4"/>
  <c r="AK73" i="11"/>
  <c r="AK63" i="11"/>
  <c r="AK72" i="11"/>
  <c r="AJ86" i="11"/>
  <c r="AI86" i="11"/>
  <c r="AG125" i="11"/>
  <c r="AU16" i="11" l="1"/>
  <c r="AP24" i="11"/>
  <c r="AP33" i="11"/>
  <c r="AP31" i="11"/>
  <c r="S9" i="4"/>
  <c r="AT63" i="11"/>
  <c r="AZ14" i="11"/>
  <c r="AU9" i="11"/>
  <c r="AZ13" i="11"/>
  <c r="AZ12" i="11"/>
  <c r="AZ8" i="11"/>
  <c r="AZ18" i="11" s="1"/>
  <c r="U37" i="4"/>
  <c r="AZ140" i="11"/>
  <c r="AX134" i="11"/>
  <c r="M36" i="4"/>
  <c r="T135" i="11"/>
  <c r="I38" i="4" s="1"/>
  <c r="AU29" i="11"/>
  <c r="AU28" i="11"/>
  <c r="AU27" i="11"/>
  <c r="AP66" i="11"/>
  <c r="AP67" i="11"/>
  <c r="AP65" i="11"/>
  <c r="AT67" i="11"/>
  <c r="AT65" i="11"/>
  <c r="AT66" i="11"/>
  <c r="E18" i="4"/>
  <c r="E21" i="4" s="1"/>
  <c r="E105" i="4" s="1"/>
  <c r="M14" i="4"/>
  <c r="M106" i="4" s="1"/>
  <c r="AF86" i="11"/>
  <c r="R132" i="11"/>
  <c r="R134" i="11" s="1"/>
  <c r="AH128" i="11"/>
  <c r="AH132" i="11" s="1"/>
  <c r="AH134" i="11" s="1"/>
  <c r="R138" i="11"/>
  <c r="AU23" i="11"/>
  <c r="AT85" i="11"/>
  <c r="AX10" i="19" s="1"/>
  <c r="G105" i="4"/>
  <c r="I18" i="4"/>
  <c r="I21" i="4" s="1"/>
  <c r="I105" i="4" s="1"/>
  <c r="K135" i="11"/>
  <c r="K138" i="11" s="1"/>
  <c r="AE135" i="11"/>
  <c r="AK71" i="11"/>
  <c r="Q128" i="11"/>
  <c r="Q135" i="11" s="1"/>
  <c r="V125" i="11"/>
  <c r="Q125" i="11"/>
  <c r="AE125" i="11"/>
  <c r="AO64" i="11"/>
  <c r="G31" i="4"/>
  <c r="G27" i="4"/>
  <c r="G29" i="4" s="1"/>
  <c r="I132" i="11"/>
  <c r="I134" i="11" s="1"/>
  <c r="AD128" i="11"/>
  <c r="AD132" i="11" s="1"/>
  <c r="AD134" i="11" s="1"/>
  <c r="N132" i="11"/>
  <c r="N134" i="11" s="1"/>
  <c r="N135" i="11"/>
  <c r="G37" i="4" s="1"/>
  <c r="V135" i="11"/>
  <c r="V132" i="11"/>
  <c r="V134" i="11" s="1"/>
  <c r="E104" i="4"/>
  <c r="C104" i="4"/>
  <c r="G104" i="4"/>
  <c r="K104" i="4"/>
  <c r="AJ128" i="11"/>
  <c r="AJ135" i="11" s="1"/>
  <c r="AJ125" i="11"/>
  <c r="Z135" i="11"/>
  <c r="Z132" i="11"/>
  <c r="Z134" i="11" s="1"/>
  <c r="G36" i="4"/>
  <c r="M138" i="11"/>
  <c r="X132" i="11"/>
  <c r="X134" i="11" s="1"/>
  <c r="X135" i="11"/>
  <c r="G128" i="11"/>
  <c r="G125" i="11"/>
  <c r="C18" i="4"/>
  <c r="C21" i="4" s="1"/>
  <c r="AA128" i="11"/>
  <c r="K18" i="4"/>
  <c r="K21" i="4" s="1"/>
  <c r="AA125" i="11"/>
  <c r="W138" i="11"/>
  <c r="K36" i="4"/>
  <c r="AB138" i="11"/>
  <c r="Y132" i="11"/>
  <c r="Y134" i="11" s="1"/>
  <c r="Y135" i="11"/>
  <c r="Q10" i="4"/>
  <c r="Q12" i="4" s="1"/>
  <c r="P135" i="11"/>
  <c r="P132" i="11"/>
  <c r="P134" i="11" s="1"/>
  <c r="AI125" i="11"/>
  <c r="I37" i="4"/>
  <c r="J132" i="11"/>
  <c r="J134" i="11" s="1"/>
  <c r="J135" i="11"/>
  <c r="L128" i="11"/>
  <c r="R9" i="4"/>
  <c r="AP71" i="11"/>
  <c r="AP63" i="11"/>
  <c r="P9" i="4"/>
  <c r="P12" i="4" s="1"/>
  <c r="AK85" i="11"/>
  <c r="O12" i="4"/>
  <c r="O68" i="4"/>
  <c r="AK64" i="11"/>
  <c r="AK124" i="11"/>
  <c r="O19" i="4" s="1"/>
  <c r="AG128" i="11"/>
  <c r="AG135" i="11" s="1"/>
  <c r="BE19" i="11" l="1"/>
  <c r="BE14" i="11"/>
  <c r="BE13" i="11"/>
  <c r="BE12" i="11"/>
  <c r="BE9" i="11"/>
  <c r="AU31" i="11"/>
  <c r="AU33" i="11"/>
  <c r="AU17" i="11"/>
  <c r="AU19" i="11"/>
  <c r="X9" i="4"/>
  <c r="AT74" i="11"/>
  <c r="Y33" i="4"/>
  <c r="AY63" i="11"/>
  <c r="U38" i="4"/>
  <c r="AT64" i="11"/>
  <c r="AY66" i="11"/>
  <c r="AY67" i="11"/>
  <c r="AY65" i="11"/>
  <c r="AZ28" i="11"/>
  <c r="AZ27" i="11"/>
  <c r="AZ29" i="11"/>
  <c r="AZ23" i="11"/>
  <c r="AZ9" i="11"/>
  <c r="U9" i="4"/>
  <c r="AZ78" i="11"/>
  <c r="U33" i="4"/>
  <c r="U109" i="4" s="1"/>
  <c r="AH135" i="11"/>
  <c r="AM138" i="11" s="1"/>
  <c r="T138" i="11"/>
  <c r="AU66" i="11"/>
  <c r="AU65" i="11"/>
  <c r="AU67" i="11"/>
  <c r="AU63" i="11"/>
  <c r="E39" i="4"/>
  <c r="E31" i="4"/>
  <c r="AU24" i="11"/>
  <c r="S10" i="4"/>
  <c r="S12" i="4" s="1"/>
  <c r="E27" i="4"/>
  <c r="E29" i="4" s="1"/>
  <c r="Q132" i="11"/>
  <c r="Q134" i="11" s="1"/>
  <c r="AT125" i="11"/>
  <c r="AT86" i="11"/>
  <c r="M39" i="4"/>
  <c r="N138" i="11"/>
  <c r="S138" i="11"/>
  <c r="I31" i="4"/>
  <c r="I27" i="4"/>
  <c r="I29" i="4" s="1"/>
  <c r="C27" i="4"/>
  <c r="C29" i="4" s="1"/>
  <c r="C105" i="4"/>
  <c r="K27" i="4"/>
  <c r="K29" i="4" s="1"/>
  <c r="K105" i="4"/>
  <c r="AF125" i="11"/>
  <c r="M18" i="4"/>
  <c r="M21" i="4" s="1"/>
  <c r="M105" i="4" s="1"/>
  <c r="AF128" i="11"/>
  <c r="AJ132" i="11"/>
  <c r="AJ134" i="11" s="1"/>
  <c r="AD135" i="11"/>
  <c r="AD138" i="11"/>
  <c r="AP64" i="11"/>
  <c r="AA132" i="11"/>
  <c r="AA134" i="11" s="1"/>
  <c r="AA135" i="11"/>
  <c r="G132" i="11"/>
  <c r="G134" i="11" s="1"/>
  <c r="G135" i="11"/>
  <c r="K37" i="4"/>
  <c r="X138" i="11"/>
  <c r="AC138" i="11"/>
  <c r="AL138" i="11"/>
  <c r="V138" i="11"/>
  <c r="P138" i="11"/>
  <c r="G39" i="4"/>
  <c r="U138" i="11"/>
  <c r="E38" i="4"/>
  <c r="J138" i="11"/>
  <c r="O138" i="11"/>
  <c r="L135" i="11"/>
  <c r="L132" i="11"/>
  <c r="L134" i="11" s="1"/>
  <c r="K38" i="4"/>
  <c r="Y138" i="11"/>
  <c r="K31" i="4"/>
  <c r="C31" i="4"/>
  <c r="Z138" i="11"/>
  <c r="K39" i="4"/>
  <c r="AE138" i="11"/>
  <c r="O14" i="4"/>
  <c r="O106" i="4" s="1"/>
  <c r="AK74" i="11"/>
  <c r="AK86" i="11"/>
  <c r="O18" i="4"/>
  <c r="O21" i="4" s="1"/>
  <c r="O39" i="4"/>
  <c r="AJ138" i="11"/>
  <c r="AI128" i="11"/>
  <c r="AG132" i="11"/>
  <c r="AG134" i="11" s="1"/>
  <c r="O36" i="4"/>
  <c r="AG138" i="11"/>
  <c r="AZ16" i="11" l="1"/>
  <c r="BE17" i="11" s="1"/>
  <c r="BE29" i="11"/>
  <c r="BE27" i="11"/>
  <c r="BE28" i="11"/>
  <c r="BE24" i="11"/>
  <c r="BD65" i="11"/>
  <c r="BD66" i="11"/>
  <c r="BD67" i="11"/>
  <c r="BD64" i="11"/>
  <c r="AZ33" i="11"/>
  <c r="BE34" i="11" s="1"/>
  <c r="AZ19" i="11"/>
  <c r="W9" i="4"/>
  <c r="AH138" i="11"/>
  <c r="AU32" i="11"/>
  <c r="AU34" i="11"/>
  <c r="X10" i="4"/>
  <c r="X12" i="4" s="1"/>
  <c r="AY64" i="11"/>
  <c r="Y109" i="4"/>
  <c r="O37" i="4"/>
  <c r="AZ24" i="11"/>
  <c r="AZ63" i="11"/>
  <c r="BE64" i="11" s="1"/>
  <c r="U10" i="4"/>
  <c r="U12" i="4" s="1"/>
  <c r="AZ80" i="11"/>
  <c r="AY85" i="11"/>
  <c r="AZ66" i="11"/>
  <c r="AZ65" i="11"/>
  <c r="AZ71" i="11"/>
  <c r="V9" i="4"/>
  <c r="AZ67" i="11"/>
  <c r="AU64" i="11"/>
  <c r="AT128" i="11"/>
  <c r="AF135" i="11"/>
  <c r="AF138" i="11" s="1"/>
  <c r="AF132" i="11"/>
  <c r="AF134" i="11" s="1"/>
  <c r="M31" i="4"/>
  <c r="M27" i="4"/>
  <c r="M29" i="4" s="1"/>
  <c r="M38" i="4"/>
  <c r="O31" i="4"/>
  <c r="O27" i="4"/>
  <c r="O29" i="4" s="1"/>
  <c r="L138" i="11"/>
  <c r="AA138" i="11"/>
  <c r="Q138" i="11"/>
  <c r="AK128" i="11"/>
  <c r="AK132" i="11" s="1"/>
  <c r="AK134" i="11" s="1"/>
  <c r="AK125" i="11"/>
  <c r="AI135" i="11"/>
  <c r="AI132" i="11"/>
  <c r="AI134" i="11" s="1"/>
  <c r="O82" i="4"/>
  <c r="AZ17" i="11" l="1"/>
  <c r="AZ31" i="11"/>
  <c r="BE32" i="11" s="1"/>
  <c r="BE65" i="11"/>
  <c r="BE66" i="11"/>
  <c r="BE67" i="11"/>
  <c r="AZ34" i="11"/>
  <c r="AY74" i="11"/>
  <c r="S25" i="13"/>
  <c r="W10" i="4"/>
  <c r="W12" i="4" s="1"/>
  <c r="W50" i="4" s="1"/>
  <c r="Y10" i="4"/>
  <c r="Y9" i="4"/>
  <c r="W14" i="4"/>
  <c r="W106" i="4" s="1"/>
  <c r="AT135" i="11"/>
  <c r="AT132" i="11"/>
  <c r="AT134" i="11" s="1"/>
  <c r="AZ85" i="11"/>
  <c r="U14" i="4" s="1"/>
  <c r="U106" i="4" s="1"/>
  <c r="AZ64" i="11"/>
  <c r="V10" i="4"/>
  <c r="V12" i="4" s="1"/>
  <c r="AY86" i="11"/>
  <c r="AZ72" i="11"/>
  <c r="AN138" i="11"/>
  <c r="O83" i="4"/>
  <c r="AK135" i="11"/>
  <c r="AI138" i="11"/>
  <c r="O38" i="4"/>
  <c r="O51" i="4"/>
  <c r="O100" i="4" s="1"/>
  <c r="S26" i="13"/>
  <c r="AZ32" i="11" l="1"/>
  <c r="BC10" i="19"/>
  <c r="BD10" i="19" s="1"/>
  <c r="BD34" i="19" s="1"/>
  <c r="AZ118" i="11"/>
  <c r="N25" i="13" s="1"/>
  <c r="Y14" i="4"/>
  <c r="Y106" i="4" s="1"/>
  <c r="Z9" i="4"/>
  <c r="Y12" i="4"/>
  <c r="Y50" i="4" s="1"/>
  <c r="Z10" i="4"/>
  <c r="AZ124" i="11"/>
  <c r="AY125" i="11"/>
  <c r="W18" i="4"/>
  <c r="S39" i="4"/>
  <c r="AZ86" i="11"/>
  <c r="AZ74" i="11"/>
  <c r="AY128" i="11"/>
  <c r="O79" i="4"/>
  <c r="O94" i="4" s="1"/>
  <c r="AK138" i="11"/>
  <c r="O93" i="4"/>
  <c r="O58" i="4"/>
  <c r="O70" i="4" s="1"/>
  <c r="O103" i="4"/>
  <c r="N26" i="13"/>
  <c r="AY132" i="11" l="1"/>
  <c r="AY134" i="11" s="1"/>
  <c r="W19" i="4"/>
  <c r="W21" i="4" s="1"/>
  <c r="W27" i="4" s="1"/>
  <c r="Z12" i="4"/>
  <c r="AZ128" i="11"/>
  <c r="Y18" i="4"/>
  <c r="W39" i="4"/>
  <c r="U18" i="4"/>
  <c r="AZ125" i="11"/>
  <c r="AY135" i="11"/>
  <c r="BD138" i="11" s="1"/>
  <c r="O104" i="4"/>
  <c r="O105" i="4"/>
  <c r="O81" i="4"/>
  <c r="O89" i="4" s="1"/>
  <c r="O87" i="4"/>
  <c r="AZ132" i="11" l="1"/>
  <c r="AZ134" i="11" s="1"/>
  <c r="BD23" i="19"/>
  <c r="S17" i="13"/>
  <c r="X25" i="13"/>
  <c r="AZ135" i="11"/>
  <c r="W31" i="4"/>
  <c r="W44" i="4"/>
  <c r="W29" i="4"/>
  <c r="U39" i="4"/>
  <c r="AY138" i="11"/>
  <c r="O91" i="4"/>
  <c r="O90" i="4"/>
  <c r="U19" i="4"/>
  <c r="U21" i="4" s="1"/>
  <c r="O88" i="4"/>
  <c r="O95" i="4" s="1"/>
  <c r="O96" i="4" s="1"/>
  <c r="X26" i="13"/>
  <c r="N17" i="13" l="1"/>
  <c r="BE138" i="11"/>
  <c r="Y19" i="4"/>
  <c r="Y21" i="4" s="1"/>
  <c r="Y27" i="4" s="1"/>
  <c r="Y44" i="4" s="1"/>
  <c r="Y51" i="4" s="1"/>
  <c r="W82" i="4"/>
  <c r="W78" i="4"/>
  <c r="W79" i="4" s="1"/>
  <c r="W51" i="4"/>
  <c r="U31" i="4"/>
  <c r="U27" i="4"/>
  <c r="Y82" i="4" l="1"/>
  <c r="Y31" i="4"/>
  <c r="Y29" i="4"/>
  <c r="W93" i="4"/>
  <c r="W58" i="4"/>
  <c r="W70" i="4" s="1"/>
  <c r="W81" i="4" s="1"/>
  <c r="W88" i="4" s="1"/>
  <c r="W100" i="4"/>
  <c r="W103" i="4" s="1"/>
  <c r="W87" i="4"/>
  <c r="Y58" i="4"/>
  <c r="Y70" i="4" s="1"/>
  <c r="Y100" i="4"/>
  <c r="Y103" i="4" s="1"/>
  <c r="U29" i="4"/>
  <c r="X17" i="13" l="1"/>
  <c r="W104" i="4"/>
  <c r="W105" i="4"/>
  <c r="W90" i="4"/>
  <c r="W91" i="4"/>
  <c r="W89" i="4"/>
  <c r="Y104" i="4"/>
  <c r="Y105" i="4"/>
  <c r="U51" i="4"/>
  <c r="U82" i="4"/>
  <c r="AU80" i="11"/>
  <c r="AU82" i="11"/>
  <c r="AS85" i="11"/>
  <c r="AR74" i="11" l="1"/>
  <c r="U58" i="4"/>
  <c r="U70" i="4" s="1"/>
  <c r="U100" i="4"/>
  <c r="U103" i="4" s="1"/>
  <c r="AR86" i="11"/>
  <c r="AS125" i="11"/>
  <c r="AS86" i="11"/>
  <c r="AS74" i="11"/>
  <c r="T11" i="4"/>
  <c r="AU73" i="11"/>
  <c r="T10" i="4"/>
  <c r="AU72" i="11"/>
  <c r="AW10" i="19" l="1"/>
  <c r="AY10" i="19" s="1"/>
  <c r="AY34" i="19" s="1"/>
  <c r="AU118" i="11"/>
  <c r="AR128" i="11"/>
  <c r="AR135" i="11" s="1"/>
  <c r="AR125" i="11"/>
  <c r="U105" i="4"/>
  <c r="U104" i="4"/>
  <c r="AU78" i="11"/>
  <c r="AS128" i="11"/>
  <c r="AR132" i="11" l="1"/>
  <c r="AR134" i="11" s="1"/>
  <c r="AW138" i="11"/>
  <c r="AU85" i="11"/>
  <c r="AS135" i="11"/>
  <c r="AS132" i="11"/>
  <c r="AS134" i="11" s="1"/>
  <c r="AQ86" i="11"/>
  <c r="AQ74" i="11"/>
  <c r="T9" i="4"/>
  <c r="T12" i="4" s="1"/>
  <c r="AU71" i="11"/>
  <c r="S37" i="4"/>
  <c r="AR138" i="11"/>
  <c r="AX138" i="11" l="1"/>
  <c r="AQ128" i="11"/>
  <c r="AQ125" i="11"/>
  <c r="AU124" i="11"/>
  <c r="AU74" i="11"/>
  <c r="AU86" i="11"/>
  <c r="S14" i="4"/>
  <c r="S106" i="4" s="1"/>
  <c r="AS138" i="11"/>
  <c r="S38" i="4"/>
  <c r="AU128" i="11" l="1"/>
  <c r="AY23" i="19" s="1"/>
  <c r="S18" i="4"/>
  <c r="S19" i="4"/>
  <c r="AU125" i="11"/>
  <c r="AU132" i="11" l="1"/>
  <c r="AU134" i="11" s="1"/>
  <c r="AU135" i="11"/>
  <c r="AQ135" i="11"/>
  <c r="AQ132" i="11"/>
  <c r="AQ134" i="11" s="1"/>
  <c r="S21" i="4"/>
  <c r="AZ138" i="11" l="1"/>
  <c r="AV138" i="11"/>
  <c r="S31" i="4"/>
  <c r="S27" i="4"/>
  <c r="S36" i="4"/>
  <c r="AQ138" i="11"/>
  <c r="BT9" i="19" l="1"/>
  <c r="S29" i="4"/>
  <c r="BX9" i="19" l="1"/>
  <c r="BT29" i="19"/>
  <c r="S51" i="4"/>
  <c r="S82" i="4"/>
  <c r="BT37" i="19" l="1"/>
  <c r="BT39" i="19" s="1"/>
  <c r="BU9" i="19"/>
  <c r="BU29" i="19" s="1"/>
  <c r="BT33" i="19"/>
  <c r="Y83" i="4"/>
  <c r="S58" i="4"/>
  <c r="S70" i="4" s="1"/>
  <c r="S100" i="4"/>
  <c r="S103" i="4" s="1"/>
  <c r="S105" i="4" s="1"/>
  <c r="BV9" i="19" l="1"/>
  <c r="BV29" i="19" s="1"/>
  <c r="BU33" i="19"/>
  <c r="BU37" i="19"/>
  <c r="BU39" i="19" s="1"/>
  <c r="S104" i="4"/>
  <c r="AP80" i="11"/>
  <c r="AO72" i="11"/>
  <c r="BV37" i="19" l="1"/>
  <c r="BV39" i="19" s="1"/>
  <c r="BW9" i="19"/>
  <c r="BW29" i="19" s="1"/>
  <c r="BV33" i="19"/>
  <c r="R10" i="4"/>
  <c r="AP72" i="11"/>
  <c r="BW33" i="19" l="1"/>
  <c r="BY9" i="19"/>
  <c r="BW37" i="19"/>
  <c r="BW39" i="19" s="1"/>
  <c r="BX29" i="19"/>
  <c r="AO73" i="11"/>
  <c r="AP82" i="11"/>
  <c r="AP73" i="11" s="1"/>
  <c r="AO85" i="11"/>
  <c r="AP118" i="11" s="1"/>
  <c r="AT10" i="19" s="1"/>
  <c r="AT34" i="19" s="1"/>
  <c r="BX37" i="19" l="1"/>
  <c r="BX39" i="19" s="1"/>
  <c r="BX33" i="19"/>
  <c r="BX34" i="19" s="1"/>
  <c r="CC9" i="19"/>
  <c r="BY29" i="19"/>
  <c r="AO74" i="11"/>
  <c r="R11" i="4"/>
  <c r="R12" i="4" s="1"/>
  <c r="AO86" i="11"/>
  <c r="AP85" i="11"/>
  <c r="BY33" i="19" l="1"/>
  <c r="BZ9" i="19"/>
  <c r="BZ29" i="19" s="1"/>
  <c r="BY37" i="19"/>
  <c r="BY39" i="19" s="1"/>
  <c r="AO125" i="11"/>
  <c r="Q14" i="4"/>
  <c r="Q106" i="4" s="1"/>
  <c r="AP86" i="11"/>
  <c r="AP74" i="11"/>
  <c r="AP124" i="11"/>
  <c r="AT11" i="19" s="1"/>
  <c r="BZ37" i="19" l="1"/>
  <c r="BZ39" i="19" s="1"/>
  <c r="CA9" i="19"/>
  <c r="CA29" i="19" s="1"/>
  <c r="BZ33" i="19"/>
  <c r="AO128" i="11"/>
  <c r="Q19" i="4"/>
  <c r="AP125" i="11"/>
  <c r="Q18" i="4"/>
  <c r="AP128" i="11"/>
  <c r="AT23" i="19" s="1"/>
  <c r="CA33" i="19" l="1"/>
  <c r="CA37" i="19"/>
  <c r="CA39" i="19" s="1"/>
  <c r="CB9" i="19"/>
  <c r="CB29" i="19" s="1"/>
  <c r="Q21" i="4"/>
  <c r="Q31" i="4" s="1"/>
  <c r="AO132" i="11"/>
  <c r="AO134" i="11" s="1"/>
  <c r="AO135" i="11"/>
  <c r="AP132" i="11"/>
  <c r="AP134" i="11" s="1"/>
  <c r="AP135" i="11"/>
  <c r="CC29" i="19" l="1"/>
  <c r="CB33" i="19"/>
  <c r="CB37" i="19"/>
  <c r="CB39" i="19" s="1"/>
  <c r="Q27" i="4"/>
  <c r="Q29" i="4" s="1"/>
  <c r="Q39" i="4"/>
  <c r="AO138" i="11"/>
  <c r="AT138" i="11"/>
  <c r="AU138" i="11"/>
  <c r="AP138" i="11"/>
  <c r="CC33" i="19" l="1"/>
  <c r="CC34" i="19" s="1"/>
  <c r="CC37" i="19"/>
  <c r="CC39" i="19" s="1"/>
  <c r="Q82" i="4"/>
  <c r="W83" i="4" s="1"/>
  <c r="Q51" i="4" l="1"/>
  <c r="Q58" i="4" s="1"/>
  <c r="Q70" i="4" s="1"/>
  <c r="Q93" i="4"/>
  <c r="Q83" i="4"/>
  <c r="S83" i="4"/>
  <c r="U83" i="4"/>
  <c r="Q100" i="4" l="1"/>
  <c r="Q103" i="4" s="1"/>
  <c r="Q104" i="4" s="1"/>
  <c r="Q79" i="4"/>
  <c r="Q91" i="4" s="1"/>
  <c r="S93" i="4"/>
  <c r="Q89" i="4"/>
  <c r="Q90" i="4"/>
  <c r="Q94" i="4" l="1"/>
  <c r="Q88" i="4"/>
  <c r="Q95" i="4" s="1"/>
  <c r="Q96" i="4" s="1"/>
  <c r="Q87" i="4"/>
  <c r="S79" i="4"/>
  <c r="Q105" i="4"/>
  <c r="S90" i="4"/>
  <c r="S89" i="4"/>
  <c r="Y81" i="4"/>
  <c r="S88" i="4" l="1"/>
  <c r="W95" i="4" s="1"/>
  <c r="W96" i="4" s="1"/>
  <c r="W94" i="4"/>
  <c r="U79" i="4"/>
  <c r="U91" i="4" s="1"/>
  <c r="Y78" i="4"/>
  <c r="Y90" i="4"/>
  <c r="Y89" i="4"/>
  <c r="U93" i="4"/>
  <c r="S91" i="4"/>
  <c r="S87" i="4"/>
  <c r="S94" i="4"/>
  <c r="U89" i="4"/>
  <c r="U90" i="4"/>
  <c r="S95" i="4" l="1"/>
  <c r="S96" i="4" s="1"/>
  <c r="U94" i="4"/>
  <c r="U87" i="4"/>
  <c r="U88" i="4"/>
  <c r="U95" i="4" s="1"/>
  <c r="U96" i="4" s="1"/>
  <c r="Y79" i="4"/>
  <c r="Y93" i="4"/>
  <c r="Y88" i="4" l="1"/>
  <c r="Y95" i="4" s="1"/>
  <c r="Y96" i="4" s="1"/>
  <c r="Y87" i="4"/>
  <c r="Y94" i="4"/>
  <c r="Y91" i="4"/>
  <c r="BB138" i="11"/>
  <c r="BB128" i="11"/>
  <c r="BB132" i="11" s="1"/>
  <c r="BB134" i="11" s="1"/>
  <c r="W37" i="4"/>
  <c r="M40" i="25"/>
  <c r="N40" i="25"/>
  <c r="O41" i="25"/>
  <c r="O40" i="25" l="1"/>
  <c r="X41" i="25"/>
  <c r="X40" i="25"/>
  <c r="W41" i="25"/>
  <c r="W40" i="25"/>
  <c r="U40" i="25"/>
  <c r="V41" i="25"/>
  <c r="V40" i="25"/>
  <c r="Y36" i="25"/>
  <c r="V42" i="25" l="1"/>
  <c r="W42" i="25"/>
  <c r="X42" i="25"/>
  <c r="Y40" i="25"/>
  <c r="U41" i="25"/>
  <c r="U42" i="25" s="1"/>
  <c r="Y29" i="25"/>
  <c r="Y28" i="25"/>
  <c r="Y42" i="25" l="1"/>
  <c r="Y41" i="25"/>
  <c r="X47" i="25"/>
  <c r="X45" i="25" s="1"/>
  <c r="W47" i="25"/>
  <c r="W45" i="25" s="1"/>
  <c r="V47" i="25"/>
  <c r="V45" i="25" s="1"/>
  <c r="U47" i="25"/>
  <c r="U45" i="25" s="1"/>
  <c r="W46" i="25" l="1"/>
  <c r="Y47" i="25"/>
  <c r="V46" i="25"/>
  <c r="X46" i="25"/>
  <c r="Y45" i="25"/>
  <c r="U46" i="25"/>
  <c r="T28" i="25"/>
  <c r="T29" i="25"/>
  <c r="T37" i="25"/>
  <c r="T36" i="25"/>
  <c r="T8" i="25"/>
  <c r="S42" i="25"/>
  <c r="S41" i="25" s="1"/>
  <c r="Y46" i="25" l="1"/>
  <c r="T42" i="25"/>
  <c r="T7" i="25"/>
  <c r="S47" i="25"/>
  <c r="T41" i="25"/>
  <c r="S40" i="25"/>
  <c r="T40" i="25" s="1"/>
  <c r="X4" i="25"/>
  <c r="S4" i="25" l="1"/>
  <c r="T9" i="25"/>
  <c r="T47" i="25"/>
  <c r="S46" i="25"/>
  <c r="T46" i="25" s="1"/>
  <c r="S45" i="25"/>
  <c r="T45" i="25" s="1"/>
  <c r="BF138" i="11" l="1"/>
  <c r="BC135" i="11" l="1"/>
  <c r="BH138" i="11" s="1"/>
  <c r="BC132" i="11"/>
  <c r="BC134" i="11" s="1"/>
  <c r="BH134" i="11"/>
  <c r="BJ134" i="11" s="1"/>
  <c r="BC138" i="11" l="1"/>
  <c r="W38" i="4"/>
  <c r="BJ60" i="11"/>
  <c r="BJ54" i="11"/>
  <c r="BJ58" i="11"/>
  <c r="BJ56" i="11"/>
  <c r="BJ59" i="11" l="1"/>
  <c r="BO59" i="11"/>
  <c r="BJ61" i="11"/>
  <c r="BO61" i="11"/>
  <c r="AC17" i="13"/>
  <c r="BQ138" i="11"/>
  <c r="BL138" i="11"/>
  <c r="BT138"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Sandberg, Bryce</author>
  </authors>
  <commentList>
    <comment ref="A1" authorId="0" shapeId="0" xr:uid="{EA8567E9-DDEE-409E-A9F6-F052F7AC4C7E}">
      <text>
        <r>
          <rPr>
            <b/>
            <sz val="9"/>
            <color indexed="81"/>
            <rFont val="Tahoma"/>
            <family val="2"/>
          </rPr>
          <t>&lt;?xml version="1.0" encoding="utf-8"?&gt;&lt;Schema xmlns:xsd="http://www.w3.org/2001/XMLSchema" xmlns:xsi="http://www.w3.org/2001/XMLSchema-instance" Version="2" Timestamp="1770930941"&gt;&lt;FQL&gt;&lt;Q&gt;CW-US^FG_PRICE(NOW)&lt;/Q&gt;&lt;R&gt;1&lt;/R&gt;&lt;C&gt;1&lt;/C&gt;&lt;D xsi:type="xsd:double"&gt;90.86&lt;/D&gt;&lt;/FQL&gt;&lt;FQL&gt;&lt;Q&gt;^AVG(FG_PE_FY1(-1AY,0,D,90))&lt;/Q&gt;&lt;R&gt;0&lt;/R&gt;&lt;C&gt;0&lt;/C&gt;&lt;/FQL&gt;&lt;FQL&gt;&lt;Q&gt;^AVG(FG_PE_FY1(-2AY,0,D,90,0))&lt;/Q&gt;&lt;R&gt;0&lt;/R&gt;&lt;C&gt;0&lt;/C&gt;&lt;/FQL&gt;&lt;FQL&gt;&lt;Q&gt;^AVG(FG_PE_FY1(-5AY,0,WTD,90,0))&lt;/Q&gt;&lt;R&gt;0&lt;/R&gt;&lt;C&gt;0&lt;/C&gt;&lt;/FQL&gt;&lt;FQL&gt;&lt;Q&gt;^AVG(FG_PE_FY1(-10AY,0,MTD,90,0))&lt;/Q&gt;&lt;R&gt;0&lt;/R&gt;&lt;C&gt;0&lt;/C&gt;&lt;/FQL&gt;&lt;FQL&gt;&lt;Q&gt;^AVG(FG_PE_FY2(-1AY,0,D,90))&lt;/Q&gt;&lt;R&gt;0&lt;/R&gt;&lt;C&gt;0&lt;/C&gt;&lt;/FQL&gt;&lt;FQL&gt;&lt;Q&gt;^AVG(FG_PE_FY2(-2AY,0,D,90,0))&lt;/Q&gt;&lt;R&gt;0&lt;/R&gt;&lt;C&gt;0&lt;/C&gt;&lt;/FQL&gt;&lt;FQL&gt;&lt;Q&gt;^AVG(FG_PE_FY2(-5AY,0,WTD,90,0))&lt;/Q&gt;&lt;R&gt;0&lt;/R&gt;&lt;C&gt;0&lt;/C&gt;&lt;/FQL&gt;&lt;FQL&gt;&lt;Q&gt;^AVG(FG_PE_FY2(-10AY,0,MTD,90,0))&lt;/Q&gt;&lt;R&gt;0&lt;/R&gt;&lt;C&gt;0&lt;/C&gt;&lt;/FQL&gt;&lt;FQL&gt;&lt;Q&gt;CW^FG_FCF_YIELD_FY1(NOW-0/0/-2, NOW, D)&lt;/Q&gt;&lt;R&gt;505&lt;/R&gt;&lt;C&gt;1&lt;/C&gt;&lt;D xsi:type="xsd:double"&gt;6.03697186457188&lt;/D&gt;&lt;D xsi:type="xsd:double"&gt;5.90015474925876&lt;/D&gt;&lt;D xsi:type="xsd:double"&gt;5.71898443189496&lt;/D&gt;&lt;D xsi:type="xsd:double"&gt;5.64268997413617&lt;/D&gt;&lt;D xsi:type="xsd:double"&gt;5.66362058272992&lt;/D&gt;&lt;D xsi:type="xsd:double"&gt;5.69194402086894&lt;/D&gt;&lt;D xsi:type="xsd:double"&gt;5.64625224643203&lt;/D&gt;&lt;D xsi:type="xsd:double"&gt;5.47681568078051&lt;/D&gt;&lt;D xsi:type="xsd:double"&gt;5.58181022012706&lt;/D&gt;&lt;D xsi:type="xsd:double"&gt;5.65288121137174&lt;/D&gt;&lt;D xsi:type="xsd:double"&gt;5.83247940974375&lt;/D&gt;&lt;D xsi:type="xsd:double"&gt;5.79415063111337&lt;/D&gt;&lt;D xsi:type="xsd:double"&gt;5.80651170093399&lt;/D&gt;&lt;D xsi:type="xsd:double"&gt;5.68109642434063&lt;/D&gt;&lt;D xsi:type="xsd:double"&gt;5.7499773019646&lt;/D&gt;&lt;D xsi:type="xsd:double"&gt;5.88069562278066&lt;/D&gt;&lt;D xsi:type="xsd:double"&gt;5.9269079487185&lt;/D&gt;&lt;D xsi:type="xsd:double"&gt;5.8411870039664&lt;/D&gt;&lt;D xsi:type="xsd:double"&gt;5.81838493271038&lt;/D&gt;&lt;D xsi:type="xsd:double"&gt;5.80435807456441&lt;/D&gt;&lt;D xsi:type="xsd:double"&gt;5.9269079487185&lt;/D&gt;&lt;D xsi:type="xsd:double"&gt;5.7637419134701&lt;/D&gt;&lt;D xsi:type="xsd:double"&gt;5.77118065140124&lt;/D&gt;&lt;D xsi:type="xsd:double"&gt;5.67029009544346&lt;/D&gt;&lt;D xsi:type="xsd:double"&gt;5.65799032709974&lt;/D&gt;&lt;D xsi:type="xsd:double"&gt;5.81244225338621&lt;/D&gt;&lt;D xsi:type="xsd:double"&gt;5.96360886597803&lt;/D&gt;&lt;D xsi:type="xsd:double"&gt;6.04363772356474&lt;/D&gt;&lt;D xsi:type="xsd:double"&gt;6.07000905645351&lt;/D&gt;&lt;D xsi:type="xsd:double"&gt;6.11447607714292&lt;/D&gt;&lt;D xsi:type="xsd:double"&gt;5.92634735507118&lt;/D&gt;&lt;D xsi:type="xsd:double"&gt;6.00767769193674&lt;/D&gt;&lt;D xsi:type="xsd:double"&gt;6.05767414631924&lt;/D&gt;&lt;D xsi:type="xsd:double"&gt;6.16627356672679&lt;/D&gt;&lt;D xsi:type="xsd:double"&gt;6.02908599900327&lt;/D&gt;&lt;D xsi:type="xsd:double"&gt;6.16384485849045&lt;/D&gt;&lt;D xsi:type="xsd:double"&gt;6.25749726390932&lt;/D&gt;&lt;D xsi:type="xsd:double"&gt;6.32067861839573&lt;/D&gt;&lt;D xsi:type="xsd:double"&gt;6.44364398635004&lt;/D&gt;&lt;D xsi:type="xsd:double"&gt;6.29525342927635&lt;/D&gt;&lt;D xsi:type="xsd:double"&gt;6.17296144121365&lt;/D&gt;&lt;D xsi:type="xsd:double"&gt;6.22266461219172&lt;/D&gt;&lt;D xsi:type="xsd:double"&gt;6.13004310217206&lt;/D&gt;&lt;D xsi:type="xsd:double"&gt;6.07649074395509&lt;/D&gt;&lt;D xsi:type="xsd:double"&gt;6.2946209945753&lt;/D&gt;&lt;D xsi:type="xsd:double"&gt;6.08416764510223&lt;/D&gt;&lt;D xsi:type="xsd:double"&gt;6.1061263070545&lt;/D&gt;&lt;D xsi:type="xsd:double"&gt;5.97841660081939&lt;/D&gt;&lt;D xsi:type="xsd:double"&gt;5.94266222353621&lt;/D&gt;&lt;D xsi:type="xsd:double"&gt;5.82542347624689&lt;/D&gt;&lt;D xsi:type="xsd:double"&gt;5.8259658169612&lt;/D&gt;&lt;D xsi:type="xsd:double"&gt;5.88511825438918&lt;/D&gt;&lt;D xsi:type="xsd:double"&gt;5.79683361875976&lt;/D&gt;&lt;D xsi:type="xsd:double"&gt;5.74944901592718&lt;/D&gt;&lt;D xsi:type="xsd:double"&gt;5.64523449626669&lt;/D&gt;&lt;D xsi:type="xsd:double"&gt;5.58878679231079&lt;/D&gt;&lt;D xsi:type="xsd:double"&gt;5.75844011688712&lt;/D&gt;&lt;D xsi:type="xsd:double"&gt;5.70699250397949&lt;/D&gt;&lt;D xsi:type="xsd:double"&gt;5.66669679460462&lt;/D&gt;&lt;D xsi:type="xsd:double"&gt;5.58629351492214&lt;/D&gt;&lt;D xsi:type="xsd:double"&gt;5.57534741941142&lt;/D&gt;&lt;D xsi:type="xsd:double"&gt;5.55161390967968&lt;/D&gt;&lt;D xsi:type="xsd:double"&gt;5.50620163490139&lt;/D&gt;&lt;D xsi:type="xsd:double"&gt;5.51444718990389&lt;/D&gt;&lt;D xsi:type="xsd:double"&gt;5.53982338045895&lt;/D&gt;&lt;D xsi:type="xsd:double"&gt;5.48353180245555&lt;/D&gt;&lt;D xsi:type="xsd:double"&gt;5.3886548446405&lt;/D&gt;&lt;D xsi:type="xsd:double"&gt;5.38911861503963&lt;/D&gt;&lt;D xsi:type="xsd:double"&gt;5.41007737276255&lt;/D&gt;&lt;D xsi:type="xsd:double"&gt;5.37754507108738&lt;/D&gt;&lt;D xsi:type="xsd:double"&gt;5.4072736915371&lt;/D&gt;&lt;D xsi:type="xsd:double"&gt;5.32720661954433&lt;/D&gt;&lt;D xsi:type="xsd:double"&gt;5.30598416853504&lt;/D&gt;&lt;D xsi:type="xsd:double"&gt;5.2996953894081&lt;/D&gt;&lt;D xsi:type="xsd:double"&gt;5.21102189494226&lt;/D&gt;&lt;D xsi:type="xsd:double"&gt;5.21319137604689&lt;/D&gt;&lt;D xsi:type="xsd:double"&gt;5.16544267198018&lt;/D&gt;&lt;D xsi:type="xsd:double"&gt;5.17526473937393&lt;/D&gt;&lt;D xsi:type="xsd:double"&gt;5.15565808211788&lt;/D&gt;&lt;D xsi:type="xsd:double"&gt;5.1471800093411&lt;/D&gt;&lt;D xsi:type="xsd:double"&gt;5.25167800302633&lt;/D&gt;&lt;D xsi:type="xsd:double"&gt;5.77418346405507&lt;/D&gt;&lt;D xsi:type="xsd:double"&gt;5.81961238471712&lt;/D&gt;&lt;D xsi:type="xsd:double"&gt;5.85284359235366&lt;/D&gt;&lt;D xsi:type="xsd:double"&gt;5.9258342730225&lt;/D&gt;&lt;D xsi:type="xsd:double"&gt;5.95930261142004&lt;/D&gt;&lt;D xsi:type="xsd:double"&gt;6.10950244517562&lt;/D&gt;&lt;D xsi:type="xsd:double"&gt;6.19121556902503&lt;/D&gt;&lt;D xsi:type="xsd:double"&gt;6.26254701294043&lt;/D&gt;&lt;D xsi:type="xsd:double"&gt;6.27788952421131&lt;/D&gt;&lt;D xsi:type="xsd:double"&gt;6.27734017044485&lt;/D&gt;&lt;D xsi:type="xsd:double"&gt;6.23750355147858&lt;/D&gt;&lt;D xsi:type="xsd:double"&gt;6.25926919526955&lt;/D&gt;&lt;D xsi:type="xsd:double"&gt;6.39198230648162&lt;/D&gt;&lt;D xsi:type="xsd:double"&gt;6.23262655348217&lt;/D&gt;&lt;D xsi:type="xsd:double"&gt;6.29275573554795&lt;/D&gt;&lt;D xsi:type="xsd:double"&gt;6.21158329841906&lt;/D&gt;&lt;D xsi:type="xsd:double"&gt;6.16992060052578&lt;/D&gt;&lt;D xsi:type="xsd:double"&gt;6.35574489743321&lt;/D&gt;&lt;D xsi:type="xsd:double"&gt;6.38004648119063&lt;/D&gt;&lt;D xsi:type="xsd:double"&gt;6.40911139785476&lt;/D&gt;&lt;D xsi:type="xsd:double"&gt;6.37777798470124&lt;/D&gt;&lt;D xsi:type="xsd:double"&gt;6.34282164480275&lt;/D&gt;&lt;D xsi:type="xsd:double"&gt;6.33051044266759&lt;/D&gt;&lt;D xsi:type="xsd:double"&gt;6.37551069434539&lt;/D&gt;&lt;D xsi:type="xsd:double"&gt;6.40625024523927&lt;/D&gt;&lt;D xsi:type="xsd:double"&gt;6.52094910327494&lt;/D&gt;&lt;D xsi:type="xsd:double"&gt;6.37891182781021&lt;/D&gt;&lt;D xsi:type="xsd:double"&gt;6.35630765647768&lt;/D&gt;&lt;D xsi:type="xsd:double"&gt;6.33777943348744&lt;/D&gt;&lt;D xsi:type="xsd:double"&gt;6.483238559191&lt;/D&gt;&lt;D xsi:type="xsd:double"&gt;6.51325306964732&lt;/D&gt;&lt;D xsi:type="xsd:double"&gt;6.41484137700985&lt;/D&gt;&lt;D xsi:type="xsd:double"&gt;6.39597084537401&lt;/D&gt;&lt;D xsi:type="xsd:double"&gt;6.38742994666049&lt;/D&gt;&lt;D xsi:type="xsd:double"&gt;6.36646006230472&lt;/D&gt;&lt;D xsi:type="xsd:double"&gt;6.49145030554607&lt;/D&gt;&lt;D xsi:type="xsd:double"&gt;6.38402013366734&lt;/D&gt;&lt;D xsi:type="xsd:double"&gt;6.39711116695078&lt;/D&gt;&lt;D xsi:type="xsd:double"&gt;6.2570857585537&lt;/D&gt;&lt;D xsi:type="xsd:double"&gt;6.28724129495291&lt;/D&gt;&lt;D xsi:type="xsd:double"&gt;6.31991564682188&lt;/D&gt;&lt;D xsi:type="xsd:double"&gt;6.25381326263689&lt;/D&gt;&lt;D xsi:type="xsd:double"&gt;6.2342518900849&lt;/D&gt;&lt;D xsi:type="xsd:double"&gt;6.29717409904284&lt;/D&gt;&lt;D xsi:type="xsd:double"&gt;6.2767917007758&lt;/D&gt;&lt;D xsi:type="xsd:double"&gt;6.26254701294043&lt;/D&gt;&lt;D xsi:type="xsd:double"&gt;6.19335365207511&lt;/D&gt;&lt;D xsi:type="xsd:double"&gt;6.19495779994747&lt;/D&gt;&lt;D xsi:type="xsd:double"&gt;6.33274483135616&lt;/D&gt;&lt;D xsi:type="xsd:double"&gt;6.32995164106845&lt;/D&gt;&lt;D xsi:type="xsd:double"&gt;5.91121112617616&lt;/D&gt;&lt;D xsi:type="xsd:double"&gt;5.83673712386607&lt;/D&gt;&lt;D xsi:type="xsd:double"&gt;6.14536630469845&lt;/D&gt;&lt;D xsi:type="xsd:double"&gt;5.95153710944079&lt;/D&gt;&lt;D xsi:type="xsd:double"&gt;5.88737972451184&lt;/D&gt;&lt;D xsi:type="xsd:double"&gt;5.71216013789612&lt;/D&gt;&lt;D xsi:type="xsd:double"&gt;5.78546210568604&lt;/D&gt;&lt;D xsi:type="xsd:double"&gt;5.83116321734897&lt;/D&gt;&lt;D xsi:type="xsd:double"&gt;5.70827701880209&lt;/D&gt;&lt;D xsi:type="xsd:double"&gt;5.74243447178819&lt;/D&gt;&lt;D xsi:type="xsd:double"&gt;5.80395718444001&lt;/D&gt;&lt;D xsi:type="xsd:double"&gt;5.828127698241&lt;/D&gt;&lt;D xsi:type="xsd:double"&gt;5.88016448231297&lt;/D&gt;&lt;D xsi:type="xsd:double"&gt;5.92633436011027&lt;/D&gt;&lt;D xsi:type="xsd:double"&gt;5.93471176113877&lt;/D&gt;&lt;D xsi:type="xsd:double"&gt;6.02520451502315&lt;/D&gt;&lt;D xsi:type="xsd:double"&gt;5.95787176956&lt;/D&gt;&lt;D xsi:type="xsd:double"&gt;5.72237879286419&lt;/D&gt;&lt;D xsi:type="xsd:double"&gt;5.73263374564155&lt;/D&gt;&lt;D xsi:type="xsd:double"&gt;5.70536806099586&lt;/D&gt;&lt;D xsi:type="xsd:double"&gt;5.68990366424106&lt;/D&gt;&lt;D xsi:type="xsd:double"&gt;5.6754816355603&lt;/D&gt;&lt;D xsi:type="xsd:double"&gt;5.82711667390977&lt;/D&gt;&lt;D xsi:type="xsd:double"&gt;5.81299806130702&lt;/D&gt;&lt;D xsi:type="xsd:double"&gt;5.69762520702321&lt;/D&gt;&lt;D xsi:type="xsd:double"&gt;5.71458940389404&lt;/D&gt;&lt;D xsi:type="xsd:double"&gt;5.75128454940411&lt;/D&gt;&lt;D xsi:type="xsd:double"&gt;5.61710876963804&lt;/D&gt;&lt;D xsi:type="xsd:double"&gt;5.62510466210362&lt;/D&gt;&lt;D xsi:type="xsd:double"&gt;5.54752705112878&lt;/D&gt;&lt;D xsi:type="xsd:double"&gt;5.62133896246722&lt;/D&gt;&lt;D xsi:type="xsd:double"&gt;5.61194689212626&lt;/D&gt;&lt;D xsi:type="xsd:double"&gt;5.60866714063643&lt;/D&gt;&lt;D xsi:type="xsd:double"&gt;5.55027724189851&lt;/D&gt;&lt;D xsi:type="xsd:double"&gt;5.47786062372455&lt;/D&gt;&lt;D xsi:type="xsd:double"&gt;5.28396168620517&lt;/D&gt;&lt;D xsi:type="xsd:double"&gt;5.27607595016852&lt;/D&gt;&lt;D xsi:type="xsd:double"&gt;5.35131031114016&lt;/D&gt;&lt;D xsi:type="xsd:double"&gt;5.31027681942032&lt;/D&gt;&lt;D xsi:type="xsd:double"&gt;5.27607595016852&lt;/D&gt;&lt;D xsi:type="xsd:double"&gt;5.31910706234866&lt;/D&gt;&lt;D xsi:type="xsd:double"&gt;5.29353806691741&lt;/D&gt;&lt;D xsi:type="xsd:double"&gt;5.33219579822971&lt;/D&gt;&lt;D xsi:type="xsd:double"&gt;5.36713022391506&lt;/D&gt;&lt;D xsi:type="xsd:double"&gt;5.28437717220929&lt;/D&gt;&lt;D xsi:type="xsd:double"&gt;5.31868553154784&lt;/D&gt;&lt;D xsi:type="xsd:double"&gt;5.28313007282848&lt;/D&gt;&lt;D xsi:type="xsd:double"&gt;5.32543209624078&lt;/D&gt;&lt;D xsi:type="xsd:double"&gt;5.34711777518835&lt;/D&gt;&lt;D xsi:type="xsd:double"&gt;5.31935803221201&lt;/D&gt;&lt;D xsi:type="xsd:double"&gt;5.31142025465498&lt;/D&gt;&lt;D xsi:type="xsd:double"&gt;5.27331541038892&lt;/D&gt;&lt;D xsi:type="xsd:double"&gt;5.203523597225&lt;/D&gt;&lt;D xsi:type="xsd:double"&gt;5.25038812181594&lt;/D&gt;&lt;D xsi:type="xsd:double"&gt;5.24468721052605&lt;/D&gt;&lt;D xsi:type="xsd:double"&gt;5.29519970554454&lt;/D&gt;&lt;D xsi:type="xsd:double"&gt;5.28692009623886&lt;/D&gt;&lt;D xsi:type="xsd:double"&gt;5.32857882007148&lt;/D&gt;&lt;D xsi:type="xsd:double"&gt;5.98951953871116&lt;/D&gt;&lt;D xsi:type="xsd:double"&gt;6.0196059770594&lt;/D&gt;&lt;D xsi:type="xsd:double"&gt;6.26475506436535&lt;/D&gt;&lt;D xsi:type="xsd:double"&gt;6.10869033894129&lt;/D&gt;&lt;D xsi:type="xsd:double"&gt;6.14811724361214&lt;/D&gt;&lt;D xsi:type="xsd:double"&gt;6.02253379198542&lt;/D&gt;&lt;D xsi:type="xsd:double"&gt;6.15626774544178&lt;/D&gt;&lt;D xsi:type="xsd:double"&gt;6.24894822390206&lt;/D&gt;&lt;D xsi:type="xsd:double"&gt;6.16699874927098&lt;/D&gt;&lt;D xsi:type="xsd:double"&gt;6.36075708020641&lt;/D&gt;&lt;D xsi:type="xsd:double"&gt;6.31158648858483&lt;/D&gt;&lt;D xsi:type="xsd:double"&gt;6.19424789751741&lt;/D&gt;&lt;D xsi:type="xsd:double"&gt;6.11371647138539&lt;/D&gt;&lt;D xsi:type="xsd:double"&gt;6.13948127891043&lt;/D&gt;&lt;D xsi:type="xsd:double"&gt;6.09916274963187&lt;/D&gt;&lt;D xsi:type="xsd:double"&gt;6.04212375332861&lt;/D&gt;&lt;D xsi:type="xsd:double"&gt;6.15984072130256&lt;/D&gt;&lt;D xsi:type="xsd:double"&gt;6.12480402923908&lt;/D&gt;&lt;D xsi:type="xsd:double"&gt;6.15015303425795&lt;/D&gt;&lt;D xsi:type="xsd:double"&gt;6.1051764386833&lt;/D&gt;&lt;D xsi:type="xsd:double"&gt;6.0475334922988&lt;/D&gt;&lt;D xsi:type="xsd:double"&gt;6.05838171657945&lt;/D&gt;&lt;D xsi:type="xsd:double"&gt;6.07323839647072&lt;/D&gt;&lt;D xsi:type="xsd:double"&gt;6.00792421171829&lt;/D&gt;&lt;D xsi:type="xsd:double"&gt;5.83798221587154&lt;/D&gt;&lt;D xsi:type="xsd:double"&gt;5.81058875209472&lt;/D&gt;&lt;D xsi:type="xsd:double"&gt;5.77580863775647&lt;/D&gt;&lt;D xsi:type="xsd:double"&gt;5.65750377355502&lt;/D&gt;&lt;D xsi:type="xsd:double"&gt;5.64503882939959&lt;/D&gt;&lt;D xsi:type="xsd:double"&gt;5.63476374252668&lt;/D&gt;&lt;D xsi:type="xsd:double"&gt;5.60839347681025&lt;/D&gt;&lt;D xsi:type="xsd:double"&gt;5.5726394104415&lt;/D&gt;&lt;D xsi:type="xsd:double"&gt;5.56762802899843&lt;/D&gt;&lt;D xsi:type="xsd:double"&gt;5.64118116405096&lt;/D&gt;&lt;D xsi:type="xsd:double"&gt;5.68607918740925&lt;/D&gt;&lt;D xsi:type="xsd:double"&gt;5.78570344578562&lt;/D&gt;&lt;D xsi:type="xsd:double"&gt;5.7628175290848&lt;/D&gt;&lt;D xsi:type="xsd:double"&gt;5.74854936793837&lt;/D&gt;&lt;D xsi:type="xsd:double"&gt;5.69217794567932&lt;/D&gt;&lt;D xsi:type="xsd:double"&gt;5.73656522239459&lt;/D&gt;&lt;D xsi:type="xsd:double"&gt;5.73302451441282&lt;/D&gt;&lt;D xsi:type="xsd:double"&gt;5.74321708832218&lt;/D&gt;&lt;D xsi:type="xsd:double"&gt;5.86470844833538&lt;/D&gt;&lt;D xsi:type="xsd:double"&gt;5.99145199543811&lt;/D&gt;&lt;D xsi:type="xsd:double"&gt;5.93924849619713&lt;/D&gt;&lt;D xsi:type="xsd:double"&gt;5.9085483163562&lt;/D&gt;&lt;D xsi:type="xsd:double"&gt;5.86332060250075&lt;/D&gt;&lt;D xsi:type="xsd:double"&gt;5.98324953393478&lt;/D&gt;&lt;D xsi:type="xsd:double"&gt;5.92929552261107&lt;/D&gt;&lt;D xsi:type="xsd:double"&gt;5.88841315744722&lt;/D&gt;&lt;D xsi:type="xsd:double"&gt;5.79834515229353&lt;/D&gt;&lt;D xsi:type="xsd:double"&gt;5.87212508096192&lt;/D&gt;&lt;D xsi:type="xsd:double"&gt;5.86980536899358&lt;/D&gt;&lt;D xsi:type="xsd:double"&gt;5.85315910507773&lt;/D&gt;&lt;D xsi:type="xsd:double"&gt;5.80604781164252&lt;/D&gt;&lt;D xsi:type="xsd:double"&gt;5.94896914775365&lt;/D&gt;&lt;D xsi:type="xsd:double"&gt;5.94281867414289&lt;/D&gt;&lt;D xsi:type="xsd:double"&gt;5.95038969697164&lt;/D&gt;&lt;D xsi:type="xsd:double"&gt;5.89779023364863&lt;/D&gt;&lt;D xsi:type="xsd:double"&gt;5.79847930241511&lt;/D&gt;&lt;D xsi:type="xsd:double"&gt;5.81653271482651&lt;/D&gt;&lt;D xsi:type="xsd:double"&gt;5.79128900947125&lt;/D&gt;&lt;D xsi:type="xsd:double"&gt;5.74851863549023&lt;/D&gt;&lt;D xsi:type="xsd:double"&gt;5.70245751398285&lt;/D&gt;&lt;D xsi:type="xsd:double"&gt;5.72828072241639&lt;/D&gt;&lt;D xsi:type="xsd:double"&gt;5.53155811988756&lt;/D&gt;&lt;D xsi:type="xsd:double"&gt;5.55695065889042&lt;/D&gt;&lt;D xsi:type="xsd:double"&gt;5.61779416076363&lt;/D&gt;&lt;D xsi:type="xsd:double"&gt;5.5817722093274&lt;/D&gt;&lt;D xsi:type="xsd:double"&gt;5.55018236234188&lt;/D&gt;&lt;D xsi:type="xsd:double"&gt;5.55455974642768&lt;/D&gt;&lt;D xsi:type="xsd:double"&gt;5.5653326082076&lt;/D&gt;&lt;D xsi:type="xsd:double"&gt;5.52130810831702&lt;/D&gt;&lt;D xsi:type="xsd:double"&gt;5.50444070754081&lt;/D&gt;&lt;D xsi:type="xsd:double"&gt;5.50248561031232&lt;/D&gt;&lt;D xsi:type="xsd:double"&gt;5.49000881530715&lt;/D&gt;&lt;D xsi:type="xsd:double"&gt;5.52445776894552&lt;/D&gt;&lt;D xsi:type="xsd:double"&gt;5.5426387438873&lt;/D&gt;&lt;D xsi:type="xsd:double"&gt;5.54660672189941&lt;/D&gt;&lt;D xsi:type="xsd:double"&gt;5.60559985972547&lt;/D&gt;&lt;D xsi:type="xsd:double"&gt;5.67291460680774&lt;/D&gt;&lt;D xsi:type="xsd:double"&gt;5.62023920075253&lt;/D&gt;&lt;D xsi:type="xsd:double"&gt;5.59467069572471&lt;/D&gt;&lt;D xsi:type="xsd:double"&gt;5.60073732586748&lt;/D&gt;&lt;D xsi:type="xsd:double"&gt;5.64234198494318&lt;/D&gt;&lt;D xsi:type="xsd:double"&gt;5.73761386868484&lt;/D&gt;&lt;D xsi:type="xsd:double"&gt;5.69459770030505&lt;/D&gt;&lt;D xsi:type="xsd:double"&gt;5.64810062565705&lt;/D&gt;&lt;D xsi:type="xsd:double"&gt;5.59305512582249&lt;/D&gt;&lt;D xsi:type="xsd:double"&gt;5.55018236234188&lt;/D&gt;&lt;D xsi:type="xsd:double"&gt;5.49780024765391&lt;/D&gt;&lt;D xsi:type="xsd:double"&gt;5.48107505367617&lt;/D&gt;&lt;D xsi:type="xsd:double"&gt;5.44869514103893&lt;/D&gt;&lt;D xsi:type="xsd:double"&gt;5.40988742402963&lt;/D&gt;&lt;D xsi:type="xsd:double"&gt;5.40272010749252&lt;/D&gt;&lt;D xsi:type="xsd:double"&gt;5.42580054974211&lt;/D&gt;&lt;D xsi:type="xsd:double"&gt;5.48030037526357&lt;/D&gt;&lt;D xsi:type="xsd:double"&gt;5.55018236234188&lt;/D&gt;&lt;D xsi:type="xsd:double"&gt;5.50092344001788&lt;/D&gt;&lt;D xsi:type="xsd:double"&gt;5.42276234863308&lt;/D&gt;&lt;D xsi:type="xsd:double"&gt;5.4046034791054&lt;/D&gt;&lt;D xsi:type="xsd:double"&gt;5.39970740065537&lt;/D&gt;&lt;D xsi:type="xsd:double"&gt;5.4418066798177&lt;/D&gt;&lt;D xsi:type="xsd:double"&gt;5.46676526524499&lt;/D&gt;&lt;D xsi:type="xsd:double"&gt;5.46946735482776&lt;/D&gt;&lt;D xsi:type="xsd:double"&gt;5.49897114249924&lt;/D&gt;&lt;D xsi:type="xsd:double"&gt;5.41366753996342&lt;/D&gt;&lt;D xsi:type="xsd:double"&gt;5.40196625089173&lt;/D&gt;&lt;D xsi:type="xsd:double"&gt;5.39745043872096&lt;/D&gt;&lt;D xsi:type="xsd:double"&gt;5.33390683499623&lt;/D&gt;&lt;D xsi:type="xsd:double"&gt;5.34273512241943&lt;/D&gt;&lt;D xsi:type="xsd:double"&gt;5.30432701006279&lt;/D&gt;&lt;D xsi:type="xsd:double"&gt;5.39031543586899&lt;/D&gt;&lt;D xsi:type="xsd:double"&gt;5.32693845026256&lt;/D&gt;&lt;D xsi:type="xsd:double"&gt;5.34199819686193&lt;/D&gt;&lt;D xsi:type="xsd:double"&gt;5.25574922465873&lt;/D&gt;&lt;D xsi:type="xsd:double"&gt;5.19687422566574&lt;/D&gt;&lt;D xsi:type="xsd:double"&gt;5.2112062822134&lt;/D&gt;&lt;D xsi:type="xsd:double"&gt;5.23762831600141&lt;/D&gt;&lt;D xsi:type="xsd:double"&gt;5.25503637431077&lt;/D&gt;&lt;D xsi:type="xsd:double"&gt;5.23656633527755&lt;/D&gt;&lt;D xsi:type="xsd:double"&gt;5.2528981552347&lt;/D&gt;&lt;D xsi:type="xsd:double"&gt;5.27615111107828&lt;/D&gt;&lt;D xsi:type="xsd:double"&gt;5.2126082150497&lt;/D&gt;&lt;D xsi:type="xsd:double"&gt;5.21225800072482&lt;/D&gt;&lt;D xsi:type="xsd:double"&gt;5.21225800072482&lt;/D&gt;&lt;D xsi:type="xsd:double"&gt;5.32730566455075&lt;/D&gt;&lt;D xsi:type="xsd:double"&gt;5.3302372472608&lt;/D&gt;&lt;D xsi:type="xsd:double"&gt;5.2486283103558&lt;/D&gt;&lt;D xsi:type="xsd:double"&gt;5.19095498933311&lt;/D&gt;&lt;D xsi:type="xsd:double"&gt;5.22526455122528&lt;/D&gt;&lt;D xsi:type="xsd:double"&gt;5.25895986083109&lt;/D&gt;&lt;D xsi:type="xsd:double"&gt;5.25610586049496&lt;/D&gt;&lt;D xsi:type="xsd:double"&gt;5.22737978163457&lt;/D&gt;&lt;D xsi:type="xsd:double"&gt;5.20875328906726&lt;/D&gt;&lt;D xsi:type="xsd:double"&gt;5.23126233760527&lt;/D&gt;&lt;D xsi:type="xsd:double"&gt;5.28695252020568&lt;/D&gt;&lt;D xsi:type="xsd:double"&gt;5.30469026921409&lt;/D&gt;&lt;D xsi:type="xsd:double"&gt;5.2898401267488&lt;/D&gt;&lt;D xsi:type="xsd:double"&gt;5.35085331127926&lt;/D&gt;&lt;D xsi:type="xsd:double"&gt;5.35418123003961&lt;/D&gt;&lt;D xsi:type="xsd:double"&gt;5.51659064988637&lt;/D&gt;&lt;D xsi:type="xsd:double"&gt;5.80293634381934&lt;/D&gt;&lt;D xsi:type="xsd:double"&gt;5.93223536357366&lt;/D&gt;&lt;D xsi:type="xsd:double"&gt;7.15301442333828&lt;/D&gt;&lt;D xsi:type="xsd:double"&gt;7.41412350491419&lt;/D&gt;&lt;D xsi:type="xsd:double"&gt;7.04021879873591&lt;/D&gt;&lt;D xsi:type="xsd:double"&gt;7.12140594214385&lt;/D&gt;&lt;D xsi:type="xsd:double"&gt;6.90036500860786&lt;/D&gt;&lt;D xsi:type="xsd:double"&gt;7.21618075551392&lt;/D&gt;&lt;D xsi:type="xsd:double"&gt;7.3057012231205&lt;/D&gt;&lt;D xsi:type="xsd:double"&gt;8.15227337963988&lt;/D&gt;&lt;D xsi:type="xsd:double"&gt;7.96604870043873&lt;/D&gt;&lt;D xsi:type="xsd:double"&gt;8.5414463863233&lt;/D&gt;&lt;D xsi:type="xsd:double"&gt;10.4042357724677&lt;/D&gt;&lt;D xsi:type="xsd:double"&gt;9.21489381171042&lt;/D&gt;&lt;D xsi:type="xsd:double"&gt;10.6970874719028&lt;/D&gt;&lt;D xsi:type="xsd:double"&gt;10.5222641639672&lt;/D&gt;&lt;D xsi:type="xsd:double"&gt;10.9935654661327&lt;/D&gt;&lt;D xsi:type="xsd:double"&gt;10.7605665266107&lt;/D&gt;&lt;D xsi:type="xsd:double"&gt;11.3910266048817&lt;/D&gt;&lt;D xsi:type="xsd:double"&gt;11.6113439346839&lt;/D&gt;&lt;D xsi:type="xsd:double"&gt;10.5222641639672&lt;/D&gt;&lt;D xsi:type="xsd:double"&gt;10.040682838726&lt;/D&gt;&lt;D xsi:type="xsd:double"&gt;9.03038988076183&lt;/D&gt;&lt;D xsi:type="xsd:double"&gt;9.30331735829699&lt;/D&gt;&lt;D xsi:type="xsd:double"&gt;9.53735165484019&lt;/D&gt;&lt;D xsi:type="xsd:double"&gt;9.43620825975843&lt;/D&gt;&lt;D xsi:type="xsd:double"&gt;10.0646350865257&lt;/D&gt;&lt;D xsi:type="xsd:double"&gt;10.0774309484354&lt;/D&gt;&lt;D xsi:type="xsd:double"&gt;10.4231409572425&lt;/D&gt;&lt;D xsi:type="xsd:double"&gt;9.53109672805074&lt;/D&gt;&lt;D xsi:type="xsd:double"&gt;9.27067936280025&lt;/D&gt;&lt;D xsi:type="xsd:double"&gt;8.924368210508&lt;/D&gt;&lt;D xsi:type="xsd:double"&gt;8.63109980321956&lt;/D&gt;&lt;D xsi:type="xsd:double"&gt;8.95185263961488&lt;/D&gt;&lt;D xsi:type="xsd:double"&gt;8.95369213105662&lt;/D&gt;&lt;D xsi:type="xsd:double"&gt;8.3907554683812&lt;/D&gt;&lt;D xsi:type="xsd:double"&gt;8.71312236308243&lt;/D&gt;&lt;D xsi:type="xsd:double"&gt;8.11794859763656&lt;/D&gt;&lt;D xsi:type="xsd:double"&gt;8.32807207380071&lt;/D&gt;&lt;D xsi:type="xsd:double"&gt;8.69589187806307&lt;/D&gt;&lt;D xsi:type="xsd:double"&gt;8.50526586525516&lt;/D&gt;&lt;D xsi:type="xsd:double"&gt;8.49157813771879&lt;/D&gt;&lt;D xsi:type="xsd:double"&gt;8.37743353972537&lt;/D&gt;&lt;D xsi:type="xsd:double"&gt;8.05434037932399&lt;/D&gt;&lt;D xsi:type="xsd:double"&gt;7.7880546350724&lt;/D&gt;&lt;D xsi:type="xsd:double"&gt;7.45291879404023&lt;/D&gt;&lt;D xsi:type="xsd:double"&gt;7.6362762218271&lt;/D&gt;&lt;D xsi:type="xsd:double"&gt;7.98607611656924&lt;/D&gt;&lt;D xsi:type="xsd:double"&gt;8.18934284782105&lt;/D&gt;&lt;D xsi:type="xsd:double"&gt;8.13714407724949&lt;/D&gt;&lt;D xsi:type="xsd:double"&gt;8.35179916127892&lt;/D&gt;&lt;D xsi:type="xsd:double"&gt;6.97980661677989&lt;/D&gt;&lt;D xsi:type="xsd:double"&gt;6.4838415697951&lt;/D&gt;&lt;D xsi:type="xsd:double"&gt;6.6996732770333&lt;/D&gt;&lt;D xsi:type="xsd:double"&gt;7.12525166388877&lt;/D&gt;&lt;D xsi:type="xsd:double"&gt;7.38676004516265&lt;/D&gt;&lt;D xsi:type="xsd:double"&gt;7.41172377572776&lt;/D&gt;&lt;D xsi:type="xsd:double"&gt;7.39706904453834&lt;/D&gt;&lt;D xsi:type="xsd:double"&gt;6.72446614295179&lt;/D&gt;&lt;D xsi:type="xsd:double"&gt;6.90253979642063&lt;/D&gt;&lt;D xsi:type="xsd:double"&gt;6.91605069437495&lt;/D&gt;&lt;D xsi:type="xsd:double"&gt;6.81672040628199&lt;/D&gt;&lt;D xsi:type="xsd:double"&gt;6.87047660702337&lt;/D&gt;&lt;D xsi:type="xsd:double"&gt;6.47921729500064&lt;/D&gt;&lt;D xsi:type="xsd:double"&gt;6.04046021058252&lt;/D&gt;&lt;D xsi:type="xsd:double"&gt;6.23284992388132&lt;/D&gt;&lt;D xsi:type="xsd:double"&gt;6.3409771699458&lt;/D&gt;&lt;D xsi:type="xsd:double"&gt;6.3101499266382&lt;/D&gt;&lt;D xsi:type="xsd:double"&gt;6.31077632582942&lt;/D&gt;&lt;D xsi:type="xsd:double"&gt;6.01361566777804&lt;/D&gt;&lt;D xsi:type="xsd:double"&gt;5.98137853309562&lt;/D&gt;&lt;D xsi:type="xsd:double"&gt;5.68415385231022&lt;/D&gt;&lt;D xsi:type="xsd:double"&gt;5.48559622314506&lt;/D&gt;&lt;D xsi:type="xsd:double"&gt;5.78234423636743&lt;/D&gt;&lt;D xsi:type="xsd:double"&gt;6.23529444775088&lt;/D&gt;&lt;D xsi:type="xsd:double"&gt;6.86391122272136&lt;/D&gt;&lt;D xsi:type="xsd:double"&gt;6.58058472180381&lt;/D&gt;&lt;D xsi:type="xsd:double"&gt;6.61695699778603&lt;/D&gt;&lt;D xsi:type="xsd:double"&gt;6.51725851520558&lt;/D&gt;&lt;D xsi:type="xsd:double"&gt;6.74378908826602&lt;/D&gt;&lt;D xsi:type="xsd:double"&gt;6.88023465453103&lt;/D&gt;&lt;D xsi:type="xsd:double"&gt;7.12194558448988&lt;/D&gt;&lt;D xsi:type="xsd:double"&gt;7.05678901562804&lt;/D&gt;&lt;D xsi:type="xsd:double"&gt;7.10993711829414&lt;/D&gt;&lt;D xsi:type="xsd:double"&gt;7.62231781116912&lt;/D&gt;&lt;D xsi:type="xsd:double"&gt;7.49851773050762&lt;/D&gt;&lt;D xsi:type="xsd:double"&gt;7.49674022992952&lt;/D&gt;&lt;D xsi:type="xsd:double"&gt;7.03168420649975&lt;/D&gt;&lt;D xsi:type="xsd:double"&gt;7.08445291304202&lt;/D&gt;&lt;D xsi:type="xsd:double"&gt;7.25760137580898&lt;/D&gt;&lt;D xsi:type="xsd:double"&gt;7.19404016936209&lt;/D&gt;&lt;D xsi:type="xsd:double"&gt;7.11793825786468&lt;/D&gt;&lt;D xsi:type="xsd:double"&gt;7.32738637769995&lt;/D&gt;&lt;D xsi:type="xsd:double"&gt;7.26010050592736&lt;/D&gt;&lt;D xsi:type="xsd:double"&gt;7.53783768382148&lt;/D&gt;&lt;D xsi:type="xsd:double"&gt;7.38470463729174&lt;/D&gt;&lt;D xsi:type="xsd:double"&gt;7.46841383735766&lt;/D&gt;&lt;D xsi:type="xsd:double"&gt;6.44886693407968&lt;/D&gt;&lt;D xsi:type="xsd:double"&gt;6.06838978189964&lt;/D&gt;&lt;D xsi:type="xsd:double"&gt;5.97920730659133&lt;/D&gt;&lt;D xsi:type="xsd:double"&gt;5.96233130254342&lt;/D&gt;&lt;D xsi:type="xsd:double"&gt;6.14854969854276&lt;/D&gt;&lt;D xsi:type="xsd:double"&gt;6.03239929271325&lt;/D&gt;&lt;D xsi:type="xsd:double"&gt;6.00995741764871&lt;/D&gt;&lt;D xsi:type="xsd:double"&gt;5.97400435899202&lt;/D&gt;&lt;D xsi:type="xsd:double"&gt;6.02115726281322&lt;/D&gt;&lt;D xsi:type="xsd:double"&gt;6.10277810664971&lt;/D&gt;&lt;D xsi:type="xsd:double"&gt;6.10074415046924&lt;/D&gt;&lt;D xsi:type="xsd:double"&gt;6.02710376508953&lt;/D&gt;&lt;D xsi:type="xsd:double"&gt;6.10345564841557&lt;/D&gt;&lt;D xsi:type="xsd:double"&gt;6.16303837298745&lt;/D&gt;&lt;D xsi:type="xsd:double"&gt;5.99225405287601&lt;/D&gt;&lt;D xsi:type="xsd:double"&gt;7.81362687150037&lt;/D&gt;&lt;D xsi:type="xsd:double"&gt;7.8998994263804&lt;/D&gt;&lt;D xsi:type="xsd:double"&gt;7.87691842348204&lt;/D&gt;&lt;D xsi:type="xsd:double"&gt;7.62156665570685&lt;/D&gt;&lt;D xsi:type="xsd:double"&gt;7.34702520051685&lt;/D&gt;&lt;D xsi:type="xsd:double"&gt;7.22933130565049&lt;/D&gt;&lt;D xsi:type="xsd:double"&gt;7.28094600457724&lt;/D&gt;&lt;D xsi:type="xsd:double"&gt;7.34496271072606&lt;/D&gt;&lt;D xsi:type="xsd:double"&gt;7.26007731401533&lt;/D&gt;&lt;D xsi:type="xsd:double"&gt;7.39476400424104&lt;/D&gt;&lt;D xsi:type="xsd:double"&gt;7.6134383277235&lt;/D&gt;&lt;D xsi:type="xsd:double"&gt;7.66396634476475&lt;/D&gt;&lt;D xsi:type="xsd:double"&gt;7.71365374565384&lt;/D&gt;&lt;D xsi:type="xsd:double"&gt;7.80178808400919&lt;/D&gt;&lt;D xsi:type="xsd:double"&gt;7.60017428719675&lt;/D&gt;&lt;D xsi:type="xsd:double"&gt;7.65425485867222&lt;/D&gt;&lt;D xsi:type="xsd:double"&gt;7.69098898350429&lt;/D&gt;&lt;D xsi:type="xsd:double"&gt;7.62822997374134&lt;/D&gt;&lt;D xsi:type="xsd:double"&gt;7.6119619698768&lt;/D&gt;&lt;D xsi:type="xsd:double"&gt;7.67445278273739&lt;/D&gt;&lt;D xsi:type="xsd:double"&gt;7.6707043336603&lt;/D&gt;&lt;D xsi:type="xsd:double"&gt;7.51219755517033&lt;/D&gt;&lt;D xsi:type="xsd:double"&gt;7.8580005859711&lt;/D&gt;&lt;D xsi:type="xsd:double"&gt;7.86902480355963&lt;/D&gt;&lt;D xsi:type="xsd:double"&gt;8.13477698508895&lt;/D&gt;&lt;D xsi:type="xsd:double"&gt;8.10622461586425&lt;/D&gt;&lt;D xsi:type="xsd:double"&gt;8.41549734032414&lt;/D&gt;&lt;D xsi:type="xsd:double"&gt;8.31040285425772&lt;/D&gt;&lt;D xsi:type="xsd:double"&gt;8.22337380521574&lt;/D&gt;&lt;D xsi:type="xsd:double"&gt;8.40109163784742&lt;/D&gt;&lt;D xsi:type="xsd:double"&gt;8.20532917257502&lt;/D&gt;&lt;D xsi:type="xsd:double"&gt;7.93422212489576&lt;/D&gt;&lt;D xsi:type="xsd:double"&gt;7.9559273448803&lt;/D&gt;&lt;D xsi:type="xsd:double"&gt;8.15420515213668&lt;/D&gt;&lt;D xsi:type="xsd:double"&gt;8.02914064188001&lt;/D&gt;&lt;D xsi:type="xsd:double"&gt;8.44173363493959&lt;/D&gt;&lt;D xsi:type="xsd:double"&gt;8.4381043528552&lt;/D&gt;&lt;D xsi:type="xsd:double"&gt;8.41459518266109&lt;/D&gt;&lt;D xsi:type="xsd:double"&gt;8.24842405609984&lt;/D&gt;&lt;D xsi:type="xsd:double"&gt;8.34395936558541&lt;/D&gt;&lt;D xsi:type="xsd:double"&gt;8.42000890500142&lt;/D&gt;&lt;D xsi:type="xsd:double"&gt;8.35994862309974&lt;/D&gt;&lt;D xsi:type="xsd:double"&gt;8.22423542367354&lt;/D&gt;&lt;D xsi:type="xsd:double"&gt;8.27973447222737&lt;/D&gt;&lt;D xsi:type="xsd:double"&gt;8.32538189983716&lt;/D&gt;&lt;D xsi:type="xsd:double"&gt;8.22509722270545&lt;/D&gt;&lt;D xsi:type="xsd:double"&gt;7.92564539917473&lt;/D&gt;&lt;D xsi:type="xsd:double"&gt;7.93212763935598&lt;/D&gt;&lt;D xsi:type="xsd:double"&gt;7.87497500679807&lt;/D&gt;&lt;D xsi:type="xsd:double"&gt;8.14698131937918&lt;/D&gt;&lt;D xsi:type="xsd:double"&gt;8.11885352045667&lt;/D&gt;&lt;D xsi:type="xsd:double"&gt;8.0469322840992&lt;/D&gt;&lt;D xsi:type="xsd:double"&gt;7.99876179167465&lt;/D&gt;&lt;D xsi:type="xsd:double"&gt;8.26754845031418&lt;/D&gt;&lt;D xsi:type="xsd:double"&gt;8.2114858322308&lt;/D&gt;&lt;D xsi:type="xsd:double"&gt;8.35399345531445&lt;/D&gt;&lt;D xsi:type="xsd:double"&gt;8.2569783026427&lt;/D&gt;&lt;D xsi:type="xsd:double"&gt;8.21932377815026&lt;/D&gt;&lt;D xsi:type="xsd:double"&gt;8.50993722389509&lt;/D&gt;&lt;D xsi:type="xsd:double"&gt;8.84602224456138&lt;/D&gt;&lt;D xsi:type="xsd:double"&gt;9.25262649682052&lt;/D&gt;&lt;D xsi:type="xsd:double"&gt;7.98978234674369&lt;/D&gt;&lt;/FQL&gt;&lt;FQL&gt;&lt;Q&gt;CW^AVG(FG_PE_FY2(-1AY,0,D,90))&lt;/Q&gt;&lt;R&gt;1&lt;/R&gt;&lt;C&gt;1&lt;/C&gt;&lt;D xsi:type="xsd:double"&gt;14.7312472283465&lt;/D&gt;&lt;/FQL&gt;&lt;FQL&gt;&lt;Q&gt;B^FE_ESTIMATE(SALES,MEAN,ANN_ROLL,+2,NOW,,,'')&lt;/Q&gt;&lt;R&gt;1&lt;/R&gt;&lt;C&gt;1&lt;/C&gt;&lt;D xsi:type="xsd:double"&gt;1424.4993&lt;/D&gt;&lt;/FQL&gt;&lt;FQL&gt;&lt;Q&gt;CW^AVG(FG_PE_FY1(-5AY,0,WTD,90,0))&lt;/Q&gt;&lt;R&gt;1&lt;/R&gt;&lt;C&gt;1&lt;/C&gt;&lt;D xsi:type="xsd:double"&gt;19.6038586846154&lt;/D&gt;&lt;/FQL&gt;&lt;FQL&gt;&lt;Q&gt;CW^AVG(FG_PE_FY1(-1AY,0,D,90))&lt;/Q&gt;&lt;R&gt;1&lt;/R&gt;&lt;C&gt;1&lt;/C&gt;&lt;D xsi:type="xsd:double"&gt;15.9766326377953&lt;/D&gt;&lt;/FQL&gt;&lt;FQL&gt;&lt;Q&gt;CW^FG_FCF_YIELD_FY1(NOW-0/0/-10, NOW, MTD)&lt;/Q&gt;&lt;R&gt;121&lt;/R&gt;&lt;C&gt;1&lt;/C&gt;&lt;D xsi:type="xsd:double"&gt;5.58613967025018&lt;/D&gt;&lt;D xsi:type="xsd:double"&gt;5.55197977213898&lt;/D&gt;&lt;D xsi:type="xsd:double"&gt;5.19578335162942&lt;/D&gt;&lt;D xsi:type="xsd:double"&gt;4.97118156335905&lt;/D&gt;&lt;D xsi:type="xsd:double"&gt;4.24119218894545&lt;/D&gt;&lt;D xsi:type="xsd:double"&gt;4.45361453574275&lt;/D&gt;&lt;D xsi:type="xsd:double"&gt;5.56390976606931&lt;/D&gt;&lt;D xsi:type="xsd:double"&gt;5.4236293864823&lt;/D&gt;&lt;D xsi:type="xsd:double"&gt;5.71516846287744&lt;/D&gt;&lt;D xsi:type="xsd:double"&gt;5.49123941392002&lt;/D&gt;&lt;D xsi:type="xsd:double"&gt;5.69990241767061&lt;/D&gt;&lt;D xsi:type="xsd:double"&gt;6.08740873680729&lt;/D&gt;&lt;D xsi:type="xsd:double"&gt;9.94508918457628&lt;/D&gt;&lt;D xsi:type="xsd:double"&gt;9.89377841616833&lt;/D&gt;&lt;D xsi:type="xsd:double"&gt;9.22728500795023&lt;/D&gt;&lt;D xsi:type="xsd:double"&gt;11.22858708443&lt;/D&gt;&lt;D xsi:type="xsd:double"&gt;6.25841169647079&lt;/D&gt;&lt;D xsi:type="xsd:double"&gt;6.36314547588629&lt;/D&gt;&lt;D xsi:type="xsd:double"&gt;6.54576336266861&lt;/D&gt;&lt;D xsi:type="xsd:double"&gt;6.46045873004049&lt;/D&gt;&lt;D xsi:type="xsd:double"&gt;5.36231845200591&lt;/D&gt;&lt;D xsi:type="xsd:double"&gt;5.55555555555556&lt;/D&gt;&lt;D xsi:type="xsd:double"&gt;5.53337777742364&lt;/D&gt;&lt;D xsi:type="xsd:double"&gt;5.08664618545536&lt;/D&gt;&lt;D xsi:type="xsd:double"&gt;4.70791484285969&lt;/D&gt;&lt;D xsi:type="xsd:double"&gt;4.06555314147527&lt;/D&gt;&lt;D xsi:type="xsd:double"&gt;4.08163265306122&lt;/D&gt;&lt;D xsi:type="xsd:double"&gt;3.75876558229161&lt;/D&gt;&lt;D xsi:type="xsd:string"&gt;@NA&lt;/D&gt;&lt;D xsi:type="xsd:string"&gt;@NA&lt;/D&gt;&lt;D xsi:type="xsd:string"&gt;@NA&lt;/D&gt;&lt;D xsi:type="xsd:double"&gt;4.67546761104878&lt;/D&gt;&lt;D xsi:type="xsd:double"&gt;4.58715575288276&lt;/D&gt;&lt;D xsi:type="xsd:double"&gt;4.18307092789967&lt;/D&gt;&lt;D xsi:type="xsd:double"&gt;5.19636059375279&lt;/D&gt;&lt;D xsi:type="xsd:double"&gt;4.62095400242314&lt;/D&gt;&lt;D xsi:type="xsd:double"&gt;4.96183234514307&lt;/D&gt;&lt;D xsi:type="xsd:double"&gt;4.68068988875498&lt;/D&gt;&lt;D xsi:type="xsd:double"&gt;3.96914671125236&lt;/D&gt;&lt;D xsi:type="xsd:double"&gt;4.02149149398248&lt;/D&gt;&lt;D xsi:type="xsd:double"&gt;5.06161939527517&lt;/D&gt;&lt;D xsi:type="xsd:double"&gt;5.42965099832278&lt;/D&gt;&lt;D xsi:type="xsd:double"&gt;5.39568355028208&lt;/D&gt;&lt;D xsi:type="xsd:double"&gt;4.15728644268981&lt;/D&gt;&lt;D xsi:type="xsd:double"&gt;4.22513728527324&lt;/D&gt;&lt;D xsi:type="xsd:double"&gt;6.62887764483932&lt;/D&gt;&lt;D xsi:type="xsd:double"&gt;5.86024499457429&lt;/D&gt;&lt;D xsi:type="xsd:double"&gt;6.38652922600311&lt;/D&gt;&lt;D xsi:type="xsd:double"&gt;7.06545258639724&lt;/D&gt;&lt;D xsi:type="xsd:double"&gt;6.89703737070038&lt;/D&gt;&lt;D xsi:type="xsd:double"&gt;6.927327211331&lt;/D&gt;&lt;D xsi:type="xsd:double"&gt;7.35006762429718&lt;/D&gt;&lt;D xsi:type="xsd:double"&gt;3.01736020087412&lt;/D&gt;&lt;D xsi:type="xsd:double"&gt;2.96186088743631&lt;/D&gt;&lt;D xsi:type="xsd:double"&gt;2.92909979214522&lt;/D&gt;&lt;D xsi:type="xsd:double"&gt;2.96851183722296&lt;/D&gt;&lt;D xsi:type="xsd:double"&gt;2.95416890543434&lt;/D&gt;&lt;D xsi:type="xsd:double"&gt;3.7553805214421&lt;/D&gt;&lt;D xsi:type="xsd:double"&gt;3.85025110567661&lt;/D&gt;&lt;D xsi:type="xsd:double"&gt;4.05318820541688&lt;/D&gt;&lt;D xsi:type="xsd:double"&gt;3.14117311507625&lt;/D&gt;&lt;D xsi:type="xsd:double"&gt;3.10325202192385&lt;/D&gt;&lt;D xsi:type="xsd:double"&gt;3.18978096252597&lt;/D&gt;&lt;D xsi:type="xsd:double"&gt;3.46376846231888&lt;/D&gt;&lt;D xsi:type="xsd:double"&gt;8.99560879356742&lt;/D&gt;&lt;D xsi:type="xsd:double"&gt;8.39170111110319&lt;/D&gt;&lt;D xsi:type="xsd:double"&gt;8.29198191054394&lt;/D&gt;&lt;D xsi:type="xsd:double"&gt;7.63037662089229&lt;/D&gt;&lt;D xsi:type="xsd:double"&gt;7.89317565504675&lt;/D&gt;&lt;D xsi:type="xsd:double"&gt;7.68063843924511&lt;/D&gt;&lt;D xsi:type="xsd:double"&gt;7.6028924139784&lt;/D&gt;&lt;D xsi:type="xsd:double"&gt;7.61716581636879&lt;/D&gt;&lt;D xsi:type="xsd:double"&gt;7.65454136284516&lt;/D&gt;&lt;D xsi:type="xsd:double"&gt;6.82451263937276&lt;/D&gt;&lt;D xsi:type="xsd:double"&gt;6.97438003341007&lt;/D&gt;&lt;D xsi:type="xsd:double"&gt;6.94472802083863&lt;/D&gt;&lt;D xsi:type="xsd:double"&gt;6.01553692877965&lt;/D&gt;&lt;D xsi:type="xsd:double"&gt;6.44860868365776&lt;/D&gt;&lt;D xsi:type="xsd:double"&gt;6.29681167867143&lt;/D&gt;&lt;D xsi:type="xsd:double"&gt;6.51449501198146&lt;/D&gt;&lt;D xsi:type="xsd:double"&gt;6.40117658746619&lt;/D&gt;&lt;D xsi:type="xsd:double"&gt;6.2175896481609&lt;/D&gt;&lt;D xsi:type="xsd:double"&gt;6.19190215605748&lt;/D&gt;&lt;D xsi:type="xsd:double"&gt;5.73624076608643&lt;/D&gt;&lt;D xsi:type="xsd:double"&gt;5.2966878804313&lt;/D&gt;&lt;D xsi:type="xsd:double"&gt;5.04294140248336&lt;/D&gt;&lt;D xsi:type="xsd:double"&gt;5.06770658708611&lt;/D&gt;&lt;D xsi:type="xsd:double"&gt;4.72600669022959&lt;/D&gt;&lt;D xsi:type="xsd:double"&gt;4.47288483538173&lt;/D&gt;&lt;D xsi:type="xsd:double"&gt;4.46990442405661&lt;/D&gt;&lt;D xsi:type="xsd:double"&gt;4.71532342898508&lt;/D&gt;&lt;D xsi:type="xsd:double"&gt;4.35952857801769&lt;/D&gt;&lt;D xsi:type="xsd:double"&gt;4.65047884585532&lt;/D&gt;&lt;D xsi:type="xsd:double"&gt;4.85980625313215&lt;/D&gt;&lt;D xsi:type="xsd:double"&gt;4.82642789748686&lt;/D&gt;&lt;D xsi:type="xsd:double"&gt;4.70455555757851&lt;/D&gt;&lt;D xsi:type="xsd:double"&gt;5.71898443189496&lt;/D&gt;&lt;D xsi:type="xsd:double"&gt;5.67029009544346&lt;/D&gt;&lt;D xsi:type="xsd:double"&gt;6.13004310217206&lt;/D&gt;&lt;D xsi:type="xsd:double"&gt;5.51444718990389&lt;/D&gt;&lt;D xsi:type="xsd:double"&gt;5.81961238471712&lt;/D&gt;&lt;D xsi:type="xsd:double"&gt;6.33051044266759&lt;/D&gt;&lt;D xsi:type="xsd:double"&gt;6.29717409904284&lt;/D&gt;&lt;D xsi:type="xsd:double"&gt;6.02520451502315&lt;/D&gt;&lt;D xsi:type="xsd:double"&gt;5.28396168620517&lt;/D&gt;&lt;D xsi:type="xsd:double"&gt;5.32857882007148&lt;/D&gt;&lt;D xsi:type="xsd:double"&gt;6.05838171657945&lt;/D&gt;&lt;D xsi:type="xsd:double"&gt;5.74321708832218&lt;/D&gt;&lt;D xsi:type="xsd:double"&gt;5.72828072241639&lt;/D&gt;&lt;D xsi:type="xsd:double"&gt;5.64234198494318&lt;/D&gt;&lt;D xsi:type="xsd:double"&gt;5.49897114249924&lt;/D&gt;&lt;D xsi:type="xsd:double"&gt;5.32730566455075&lt;/D&gt;&lt;D xsi:type="xsd:double"&gt;7.41412350491419&lt;/D&gt;&lt;D xsi:type="xsd:double"&gt;9.43620825975843&lt;/D&gt;&lt;D xsi:type="xsd:double"&gt;7.6362762218271&lt;/D&gt;&lt;D xsi:type="xsd:double"&gt;6.3409771699458&lt;/D&gt;&lt;D xsi:type="xsd:double"&gt;7.08445291304202&lt;/D&gt;&lt;D xsi:type="xsd:double"&gt;6.16303837298745&lt;/D&gt;&lt;D xsi:type="xsd:double"&gt;7.67445278273739&lt;/D&gt;&lt;D xsi:type="xsd:double"&gt;8.42000890500142&lt;/D&gt;&lt;D xsi:type="xsd:double"&gt;7.98978234674369&lt;/D&gt;&lt;/FQL&gt;&lt;FQL&gt;&lt;Q&gt;CW^AVG(FG_PE_FY2(-10AY,0,MTD,90,0))&lt;/Q&gt;&lt;R&gt;1&lt;/R&gt;&lt;C&gt;1&lt;/C&gt;&lt;D xsi:type="xsd:double"&gt;15.6414389834711&lt;/D&gt;&lt;/FQL&gt;&lt;FQL&gt;&lt;Q&gt;CW^AVG(FG_PE_FY1(-2AY,0,D,90,0))&lt;/Q&gt;&lt;R&gt;1&lt;/R&gt;&lt;C&gt;1&lt;/C&gt;&lt;D xsi:type="xsd:double"&gt;16.6159997871287&lt;/D&gt;&lt;/FQL&gt;&lt;FQL&gt;&lt;Q&gt;CW^FG_FCF_YIELD_FY2(NOW-0/0/-5, NOW, WTD)&lt;/Q&gt;&lt;R&gt;262&lt;/R&gt;&lt;C&gt;1&lt;/C&gt;&lt;D xsi:type="xsd:double"&gt;7.47556015119769&lt;/D&gt;&lt;D xsi:type="xsd:double"&gt;7.41797444938045&lt;/D&gt;&lt;D xsi:type="xsd:double"&gt;7.70598641095532&lt;/D&gt;&lt;D xsi:type="xsd:double"&gt;7.28801673678467&lt;/D&gt;&lt;D xsi:type="xsd:double"&gt;7.35606101175852&lt;/D&gt;&lt;D xsi:type="xsd:double"&gt;7.36022617680632&lt;/D&gt;&lt;D xsi:type="xsd:double"&gt;7.80195030032827&lt;/D&gt;&lt;D xsi:type="xsd:double"&gt;7.97790726009904&lt;/D&gt;&lt;D xsi:type="xsd:double"&gt;7.53513974745527&lt;/D&gt;&lt;D xsi:type="xsd:double"&gt;7.59124025531467&lt;/D&gt;&lt;D xsi:type="xsd:double"&gt;7.46911725416129&lt;/D&gt;&lt;D xsi:type="xsd:double"&gt;7.65268620382149&lt;/D&gt;&lt;D xsi:type="xsd:double"&gt;7.79610199577872&lt;/D&gt;&lt;D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xsi:type="xsd:double"&gt;5.95373826294923&lt;/D&gt;&lt;D xsi:type="xsd:double"&gt;5.86312533896193&lt;/D&gt;&lt;D xsi:type="xsd:double"&gt;5.81678105269661&lt;/D&gt;&lt;D xsi:type="xsd:double"&gt;5.75553977898152&lt;/D&gt;&lt;D xsi:type="xsd:double"&gt;6.43554190190986&lt;/D&gt;&lt;D xsi:type="xsd:double"&gt;6.40396574544339&lt;/D&gt;&lt;D xsi:type="xsd:double"&gt;6.48617879618857&lt;/D&gt;&lt;D xsi:type="xsd:double"&gt;6.54992130597047&lt;/D&gt;&lt;D xsi:type="xsd:double"&gt;6.54171468285244&lt;/D&gt;&lt;D xsi:type="xsd:double"&gt;6.86801111189254&lt;/D&gt;&lt;D xsi:type="xsd:double"&gt;6.86500065457781&lt;/D&gt;&lt;D xsi:type="xsd:double"&gt;7.0023465563545&lt;/D&gt;&lt;D xsi:type="xsd:double"&gt;7.14204294996085&lt;/D&gt;&lt;D xsi:type="xsd:double"&gt;6.82016074982484&lt;/D&gt;&lt;D xsi:type="xsd:double"&gt;6.70340265389052&lt;/D&gt;&lt;D xsi:type="xsd:double"&gt;6.97426086260309&lt;/D&gt;&lt;D xsi:type="xsd:double"&gt;7.18753640936412&lt;/D&gt;&lt;D xsi:type="xsd:double"&gt;7.30687669163329&lt;/D&gt;&lt;D</t>
        </r>
      </text>
    </comment>
    <comment ref="A2" authorId="0" shapeId="0" xr:uid="{3764EDAC-E764-4B3C-A488-A614CA60B047}">
      <text>
        <r>
          <rPr>
            <b/>
            <sz val="9"/>
            <color indexed="81"/>
            <rFont val="Tahoma"/>
            <family val="2"/>
          </rPr>
          <t xml:space="preserve"> xsi:type="xsd:double"&gt;6.94615445260656&lt;/D&gt;&lt;D xsi:type="xsd:double"&gt;6.84743108693998&lt;/D&gt;&lt;D xsi:type="xsd:double"&gt;6.60407369644336&lt;/D&gt;&lt;D xsi:type="xsd:double"&gt;6.6957081849676&lt;/D&gt;&lt;D xsi:type="xsd:double"&gt;6.85119961764825&lt;/D&gt;&lt;D xsi:type="xsd:double"&gt;6.78252347177029&lt;/D&gt;&lt;D xsi:type="xsd:double"&gt;6.68851402889064&lt;/D&gt;&lt;D xsi:type="xsd:double"&gt;6.65775370985017&lt;/D&gt;&lt;D xsi:type="xsd:double"&gt;6.5320039616604&lt;/D&gt;&lt;D xsi:type="xsd:double"&gt;6.46244646509348&lt;/D&gt;&lt;D xsi:type="xsd:double"&gt;6.54639156023489&lt;/D&gt;&lt;D xsi:type="xsd:double"&gt;6.66456755004065&lt;/D&gt;&lt;D xsi:type="xsd:double"&gt;6.78636272267244&lt;/D&gt;&lt;D xsi:type="xsd:double"&gt;6.62217141397995&lt;/D&gt;&lt;D xsi:type="xsd:double"&gt;6.55585351181339&lt;/D&gt;&lt;D xsi:type="xsd:double"&gt;6.55788490898869&lt;/D&gt;&lt;D xsi:type="xsd:double"&gt;6.06390703108807&lt;/D&gt;&lt;D xsi:type="xsd:double"&gt;5.86863483464358&lt;/D&gt;&lt;D xsi:type="xsd:double"&gt;5.85740693415062&lt;/D&gt;&lt;D xsi:type="xsd:double"&gt;5.58392624392846&lt;/D&gt;&lt;D xsi:type="xsd:double"&gt;5.40882700012878&lt;/D&gt;&lt;D xsi:type="xsd:double"&gt;5.36757848406165&lt;/D&gt;&lt;D xsi:type="xsd:double"&gt;5.60825634038616&lt;/D&gt;&lt;D xsi:type="xsd:double"&gt;5.4284920485077&lt;/D&gt;&lt;D xsi:type="xsd:double"&gt;5.50057819327679&lt;/D&gt;&lt;D xsi:type="xsd:double"&gt;5.49778815735747&lt;/D&gt;&lt;D xsi:type="xsd:double"&gt;5.37598886611202&lt;/D&gt;&lt;D xsi:type="xsd:double"&gt;5.2560685647837&lt;/D&gt;&lt;D xsi:type="xsd:double"&gt;5.45335662280168&lt;/D&gt;&lt;D xsi:type="xsd:double"&gt;5.44801120895618&lt;/D&gt;&lt;D xsi:type="xsd:double"&gt;5.42496960525154&lt;/D&gt;&lt;D xsi:type="xsd:double"&gt;5.47394331819277&lt;/D&gt;&lt;D xsi:type="xsd:double"&gt;5.40956989699854&lt;/D&gt;&lt;D xsi:type="xsd:double"&gt;5.26642834674017&lt;/D&gt;&lt;D xsi:type="xsd:double"&gt;5.08589026042352&lt;/D&gt;&lt;D xsi:type="xsd:double"&gt;5.07865155300594&lt;/D&gt;&lt;D xsi:type="xsd:double"&gt;5.26152405305721&lt;/D&gt;&lt;D xsi:type="xsd:double"&gt;5.73167693219558&lt;/D&gt;&lt;D xsi:type="xsd:double"&gt;5.32809446668865&lt;/D&gt;&lt;D xsi:type="xsd:double"&gt;5.5085887160967&lt;/D&gt;&lt;D xsi:type="xsd:double"&gt;5.66946583313424&lt;/D&gt;&lt;D xsi:type="xsd:double"&gt;5.35697229497139&lt;/D&gt;&lt;D xsi:type="xsd:double"&gt;5.45922569836599&lt;/D&gt;&lt;D xsi:type="xsd:double"&gt;5.60123581185964&lt;/D&gt;&lt;D xsi:type="xsd:double"&gt;5.54774063824315&lt;/D&gt;&lt;D xsi:type="xsd:double"&gt;5.58204234648965&lt;/D&gt;&lt;D xsi:type="xsd:double"&gt;5.44732032694817&lt;/D&gt;&lt;D xsi:type="xsd:double"&gt;5.27588054182449&lt;/D&gt;&lt;D xsi:type="xsd:double"&gt;5.69878566855703&lt;/D&gt;&lt;D xsi:type="xsd:double"&gt;6.52597448787741&lt;/D&gt;&lt;D xsi:type="xsd:double"&gt;5.97103688846879&lt;/D&gt;&lt;D xsi:type="xsd:double"&gt;6.09598939980595&lt;/D&gt;&lt;D xsi:type="xsd:double"&gt;6.1529044754812&lt;/D&gt;&lt;D xsi:type="xsd:double"&gt;6.23836077837774&lt;/D&gt;&lt;D xsi:type="xsd:double"&gt;6.15055059421392&lt;/D&gt;&lt;D xsi:type="xsd:double"&gt;6.27536699444373&lt;/D&gt;&lt;D xsi:type="xsd:double"&gt;6.86651286135625&lt;/D&gt;&lt;D xsi:type="xsd:double"&gt;6.75516746668115&lt;/D&gt;&lt;D xsi:type="xsd:double"&gt;6.75176341712958&lt;/D&gt;&lt;D xsi:type="xsd:double"&gt;6.52332656777391&lt;/D&gt;&lt;D xsi:type="xsd:double"&gt;6.39109663996402&lt;/D&gt;&lt;D xsi:type="xsd:double"&gt;6.04264439170693&lt;/D&gt;&lt;D xsi:type="xsd:double"&gt;5.95283272986492&lt;/D&gt;&lt;D xsi:type="xsd:double"&gt;6.02502118999953&lt;/D&gt;&lt;D xsi:type="xsd:double"&gt;5.94291756365102&lt;/D&gt;&lt;D xsi:type="xsd:double"&gt;5.90891909383889&lt;/D&gt;&lt;D xsi:type="xsd:double"&gt;5.86039576190243&lt;/D&gt;&lt;D xsi:type="xsd:double"&gt;5.82992952897784&lt;/D&gt;&lt;D xsi:type="xsd:double"&gt;5.65398995003286&lt;/D&gt;&lt;D xsi:type="xsd:double"&gt;5.71615800100924&lt;/D&gt;&lt;D xsi:type="xsd:double"&gt;5.71241465366887&lt;/D&gt;&lt;D xsi:type="xsd:double"&gt;5.94651938327458&lt;/D&gt;&lt;D xsi:type="xsd:double"&gt;6.64747231194833&lt;/D&gt;&lt;D xsi:type="xsd:double"&gt;6.62894795281515&lt;/D&gt;&lt;D xsi:type="xsd:double"&gt;7.01143235079093&lt;/D&gt;&lt;D xsi:type="xsd:double"&gt;6.81715351254857&lt;/D&gt;&lt;D xsi:type="xsd:double"&gt;6.80422588696316&lt;/D&gt;&lt;D xsi:type="xsd:double"&gt;6.92109823433094&lt;/D&gt;&lt;D xsi:type="xsd:double"&gt;7.00343917887757&lt;/D&gt;&lt;D xsi:type="xsd:double"&gt;6.82518057550878&lt;/D&gt;&lt;D xsi:type="xsd:double"&gt;7.27456998743754&lt;/D&gt;&lt;D xsi:type="xsd:double"&gt;7.29146554374208&lt;/D&gt;&lt;D xsi:type="xsd:double"&gt;7.60046484442989&lt;/D&gt;&lt;D xsi:type="xsd:double"&gt;7.48260481445759&lt;/D&gt;&lt;D xsi:type="xsd:double"&gt;7.31606551653727&lt;/D&gt;&lt;D xsi:type="xsd:double"&gt;7.00558471202073&lt;/D&gt;&lt;D xsi:type="xsd:double"&gt;6.72038223383624&lt;/D&gt;&lt;D xsi:type="xsd:double"&gt;6.71738381008397&lt;/D&gt;&lt;D xsi:type="xsd:double"&gt;6.66150488857867&lt;/D&gt;&lt;D xsi:type="xsd:double"&gt;6.46636873950428&lt;/D&gt;&lt;D xsi:type="xsd:double"&gt;6.2661286234437&lt;/D&gt;&lt;D xsi:type="xsd:double"&gt;6.19955576463213&lt;/D&gt;&lt;D xsi:type="xsd:double"&gt;6.811322816106&lt;/D&gt;&lt;D xsi:type="xsd:double"&gt;7.28812084404019&lt;/D&gt;&lt;D xsi:type="xsd:double"&gt;7.43875321140275&lt;/D&gt;&lt;D xsi:type="xsd:double"&gt;7.39658100439653&lt;/D&gt;&lt;D xsi:type="xsd:double"&gt;7.36721461307647&lt;/D&gt;&lt;D xsi:type="xsd:double"&gt;7.39723648121745&lt;/D&gt;&lt;D xsi:type="xsd:double"&gt;7.44339484306718&lt;/D&gt;&lt;D xsi:type="xsd:double"&gt;7.42948674133796&lt;/D&gt;&lt;D xsi:type="xsd:double"&gt;7.27795681551544&lt;/D&gt;&lt;D xsi:type="xsd:double"&gt;7.20759680703461&lt;/D&gt;&lt;D xsi:type="xsd:double"&gt;7.28125825967734&lt;/D&gt;&lt;D xsi:type="xsd:double"&gt;7.21729373281247&lt;/D&gt;&lt;D xsi:type="xsd:double"&gt;7.27051862136135&lt;/D&gt;&lt;D xsi:type="xsd:double"&gt;7.51636914873211&lt;/D&gt;&lt;D xsi:type="xsd:double"&gt;7.09808596562894&lt;/D&gt;&lt;D xsi:type="xsd:double"&gt;7.1288809717121&lt;/D&gt;&lt;D xsi:type="xsd:double"&gt;7.01255239866809&lt;/D&gt;&lt;D xsi:type="xsd:double"&gt;6.59167798018331&lt;/D&gt;&lt;D xsi:type="xsd:double"&gt;6.58184121347564&lt;/D&gt;&lt;D xsi:type="xsd:double"&gt;6.5921963820576&lt;/D&gt;&lt;D xsi:type="xsd:double"&gt;6.59167798018331&lt;/D&gt;&lt;D xsi:type="xsd:double"&gt;6.49914682450061&lt;/D&gt;&lt;D xsi:type="xsd:double"&gt;6.92700330840605&lt;/D&gt;&lt;D xsi:type="xsd:double"&gt;7.08426571125426&lt;/D&gt;&lt;D xsi:type="xsd:double"&gt;7.12797037672535&lt;/D&gt;&lt;D xsi:type="xsd:double"&gt;7.08837689070049&lt;/D&gt;&lt;D xsi:type="xsd:double"&gt;6.97162409560606&lt;/D&gt;&lt;D xsi:type="xsd:double"&gt;6.6864782559739&lt;/D&gt;&lt;D xsi:type="xsd:double"&gt;6.45380469857634&lt;/D&gt;&lt;D xsi:type="xsd:double"&gt;6.65784191913092&lt;/D&gt;&lt;D xsi:type="xsd:double"&gt;6.59722210768712&lt;/D&gt;&lt;D xsi:type="xsd:double"&gt;6.79920492817252&lt;/D&gt;&lt;D xsi:type="xsd:double"&gt;6.67238979780924&lt;/D&gt;&lt;D xsi:type="xsd:double"&gt;6.78024526723625&lt;/D&gt;&lt;D xsi:type="xsd:double"&gt;6.62930390983086&lt;/D&gt;&lt;D xsi:type="xsd:double"&gt;6.01349416062656&lt;/D&gt;&lt;D xsi:type="xsd:double"&gt;6.03850002693171&lt;/D&gt;&lt;D xsi:type="xsd:double"&gt;5.96832454984957&lt;/D&gt;&lt;D xsi:type="xsd:double"&gt;6.16716609405557&lt;/D&gt;&lt;D xsi:type="xsd:double"&gt;6.13393032014639&lt;/D&gt;&lt;D xsi:type="xsd:double"&gt;6.03374201275859&lt;/D&gt;&lt;D xsi:type="xsd:double"&gt;5.87343085421299&lt;/D&gt;&lt;D xsi:type="xsd:double"&gt;5.89521977850952&lt;/D&gt;&lt;D xsi:type="xsd:double"&gt;5.94305636769072&lt;/D&gt;&lt;D xsi:type="xsd:double"&gt;5.87261200509884&lt;/D&gt;&lt;D xsi:type="xsd:double"&gt;5.8599458869157&lt;/D&gt;&lt;D xsi:type="xsd:double"&gt;5.73249473814308&lt;/D&gt;&lt;D xsi:type="xsd:double"&gt;5.7698826550115&lt;/D&gt;&lt;D xsi:type="xsd:double"&gt;5.85161269860812&lt;/D&gt;&lt;D xsi:type="xsd:double"&gt;5.77654031447486&lt;/D&gt;&lt;D xsi:type="xsd:double"&gt;5.80728861179089&lt;/D&gt;&lt;D xsi:type="xsd:double"&gt;5.88113347085384&lt;/D&gt;&lt;D xsi:type="xsd:double"&gt;8.06514377933444&lt;/D&gt;&lt;D xsi:type="xsd:double"&gt;7.94720070583858&lt;/D&gt;&lt;D xsi:type="xsd:double"&gt;9.86309919683797&lt;/D&gt;&lt;D xsi:type="xsd:double"&gt;12.1923073124704&lt;/D&gt;&lt;D xsi:type="xsd:double"&gt;9.80831415480972&lt;/D&gt;&lt;D xsi:type="xsd:double"&gt;10.9889228361135&lt;/D&gt;&lt;D xsi:type="xsd:double"&gt;9.09960748843099&lt;/D&gt;&lt;D xsi:type="xsd:double"&gt;8.74188075969741&lt;/D&gt;&lt;D xsi:type="xsd:double"&gt;9.02130887283617&lt;/D&gt;&lt;D xsi:type="xsd:double"&gt;8.59987277348219&lt;/D&gt;&lt;D xsi:type="xsd:double"&gt;7.99266081912944&lt;/D&gt;&lt;D xsi:type="xsd:double"&gt;9.11839940723109&lt;/D&gt;&lt;D xsi:type="xsd:double"&gt;8.46926647174932&lt;/D&gt;&lt;D xsi:type="xsd:double"&gt;7.81655056092739&lt;/D&gt;&lt;D xsi:type="xsd:double"&gt;7.00688159855557&lt;/D&gt;&lt;D xsi:type="xsd:double"&gt;8.13109339056756&lt;/D&gt;&lt;D xsi:type="xsd:double"&gt;8.8466013480805&lt;/D&gt;&lt;D xsi:type="xsd:double"&gt;9.31215662004473&lt;/D&gt;&lt;D xsi:type="xsd:double"&gt;8.93615439387137&lt;/D&gt;&lt;D xsi:type="xsd:double"&gt;9.17299067932417&lt;/D&gt;&lt;D xsi:type="xsd:double"&gt;8.52873009341092&lt;/D&gt;&lt;D xsi:type="xsd:double"&gt;8.61287718157719&lt;/D&gt;&lt;D xsi:type="xsd:double"&gt;8.81582878532073&lt;/D&gt;&lt;D xsi:type="xsd:double"&gt;8.39884855145899&lt;/D&gt;&lt;D xsi:type="xsd:double"&gt;8.00049347043726&lt;/D&gt;&lt;D xsi:type="xsd:double"&gt;8.59745059797418&lt;/D&gt;&lt;D xsi:type="xsd:double"&gt;8.38826458297701&lt;/D&gt;&lt;D xsi:type="xsd:double"&gt;8.6715437741264&lt;/D&gt;&lt;D xsi:type="xsd:double"&gt;9.15793602467368&lt;/D&gt;&lt;D xsi:type="xsd:double"&gt;8.76730853009146&lt;/D&gt;&lt;D xsi:type="xsd:double"&gt;9.27275369164552&lt;/D&gt;&lt;D xsi:type="xsd:double"&gt;9.06298028131128&lt;/D&gt;&lt;D xsi:type="xsd:double"&gt;8.91342179488505&lt;/D&gt;&lt;D xsi:type="xsd:double"&gt;8.999896816183&lt;/D&gt;&lt;D xsi:type="xsd:double"&gt;9.2480648193164&lt;/D&gt;&lt;D xsi:type="xsd:double"&gt;11.9995252987792&lt;/D&gt;&lt;/FQL&gt;&lt;FQL&gt;&lt;Q&gt;CW^AVG(FG_PE_FY2(-2AY,0,D,90,0))&lt;/Q&gt;&lt;R&gt;1&lt;/R&gt;&lt;C&gt;1&lt;/C&gt;&lt;D xsi:type="xsd:double"&gt;15.3499899821782&lt;/D&gt;&lt;/FQL&gt;&lt;FQL&gt;&lt;Q&gt;CW^AVG(FG_PE_FY1(-10AY,0,MTD,90,0))&lt;/Q&gt;&lt;R&gt;1&lt;/R&gt;&lt;C&gt;1&lt;/C&gt;&lt;D xsi:type="xsd:double"&gt;17.5625230165289&lt;/D&gt;&lt;/FQL&gt;&lt;FQL&gt;&lt;Q&gt;CW^FG_FCF_YIELD_FY2(NOW-0/0/-1, NOW, D)&lt;/Q&gt;&lt;R&gt;254&lt;/R&gt;&lt;C&gt;1&lt;/C&gt;&lt;D xsi:type="xsd:double"&gt;6.55178547619851&lt;/D&gt;&lt;D xsi:type="xsd:double"&gt;6.49928790552063&lt;/D&gt;&lt;D xsi:type="xsd:double"&gt;6.22735655315317&lt;/D&gt;&lt;D xsi:type="xsd:double"&gt;6.01349416062656&lt;/D&gt;&lt;D xsi:type="xsd:double"&gt;6.04109880337915&lt;/D&gt;&lt;D xsi:type="xsd:double"&gt;6.10724356340806&lt;/D&gt;&lt;D xsi:type="xsd:double"&gt;6.06808341041822&lt;/D&gt;&lt;D xsi:type="xsd:double"&gt;6.03374201275859&lt;/D&gt;&lt;D xsi:type="xsd:double"&gt;6.03850002693171&lt;/D&gt;&lt;D xsi:type="xsd:double"&gt;6.0502110646381&lt;/D&gt;&lt;D xsi:type="xsd:double"&gt;6.00235160131036&lt;/D&gt;&lt;D xsi:type="xsd:double"&gt;5.98401394610354&lt;/D&gt;&lt;D xsi:type="xsd:double"&gt;5.98188911288405&lt;/D&gt;&lt;D xsi:type="xsd:double"&gt;5.96832454984957&lt;/D&gt;&lt;D xsi:type="xsd:double"&gt;6.00577551408087&lt;/D&gt;&lt;D xsi:type="xsd:double"&gt;6.02553961117434&lt;/D&gt;&lt;D xsi:type="xsd:double"&gt;6.02985380619447&lt;/D&gt;&lt;D xsi:type="xsd:double"&gt;6.09398707514093&lt;/D&gt;&lt;D xsi:type="xsd:double"&gt;6.16716609405557&lt;/D&gt;&lt;D xsi:type="xsd:double"&gt;6.10990111308346&lt;/D&gt;&lt;D xsi:type="xsd:double"&gt;6.08210538159889&lt;/D&gt;&lt;D xsi:type="xsd:double"&gt;6.08870043143313&lt;/D&gt;&lt;D xsi:type="xsd:double"&gt;6.13393032014639&lt;/D&gt;&lt;D xsi:type="xsd:double"&gt;6.23750277334967&lt;/D&gt;&lt;D xsi:type="xsd:double"&gt;6.19073838298656&lt;/D&gt;&lt;D xsi:type="xsd:double"&gt;6.14019074748165&lt;/D&gt;&lt;D xsi:type="xsd:double"&gt;6.08034913851181&lt;/D&gt;&lt;D xsi:type="xsd:double"&gt;6.03374201275859&lt;/D&gt;&lt;D xsi:type="xsd:double"&gt;5.97679509305123&lt;/D&gt;&lt;D xsi:type="xsd:double"&gt;5.95861302318037&lt;/D&gt;&lt;D xsi:type="xsd:double"&gt;5.92341194214343&lt;/D&gt;&lt;D xsi:type="xsd:double"&gt;5.8812227085536&lt;/D&gt;&lt;D xsi:type="xsd:double"&gt;5.87343085421299&lt;/D&gt;&lt;D xsi:type="xsd:double"&gt;5.89852252628057&lt;/D&gt;&lt;D xsi:type="xsd:double"&gt;5.95777025205479&lt;/D&gt;&lt;D xsi:type="xsd:double"&gt;6.03374201275859&lt;/D&gt;&lt;D xsi:type="xsd:double"&gt;5.98019026094919&lt;/D&gt;&lt;D xsi:type="xsd:double"&gt;5.89521977850952&lt;/D&gt;&lt;D xsi:type="xsd:double"&gt;5.87547932160306&lt;/D&gt;&lt;D xsi:type="xsd:double"&gt;5.87015613793505&lt;/D&gt;&lt;D xsi:type="xsd:double"&gt;5.91592337033467&lt;/D&gt;&lt;D xsi:type="xsd:double"&gt;5.94305636769072&lt;/D&gt;&lt;D xsi:type="xsd:double"&gt;5.94599361031635&lt;/D&gt;&lt;D xsi:type="xsd:double"&gt;5.97806742710076&lt;/D&gt;&lt;D xsi:type="xsd:double"&gt;5.88533299684923&lt;/D&gt;&lt;D xsi:type="xsd:double"&gt;5.87261200509884&lt;/D&gt;&lt;D xsi:type="xsd:double"&gt;5.86770232395045&lt;/D&gt;&lt;D xsi:type="xsd:double"&gt;5.79862287345654&lt;/D&gt;&lt;D xsi:type="xsd:double"&gt;5.80822023470089&lt;/D&gt;&lt;D xsi:type="xsd:double"&gt;5.76646597058503&lt;/D&gt;&lt;D xsi:type="xsd:double"&gt;5.8599458869157&lt;/D&gt;&lt;D xsi:type="xsd:double"&gt;5.79104720317322&lt;/D&gt;&lt;D xsi:type="xsd:double"&gt;5.80741912893011&lt;/D&gt;&lt;D xsi:type="xsd:double"&gt;5.71365557969892&lt;/D&gt;&lt;D xsi:type="xsd:double"&gt;5.7167292076842&lt;/D&gt;&lt;D xsi:type="xsd:double"&gt;5.73249473814308&lt;/D&gt;&lt;D xsi:type="xsd:double"&gt;5.76156013830049&lt;/D&gt;&lt;D xsi:type="xsd:double"&gt;5.77223099729606&lt;/D&gt;&lt;D xsi:type="xsd:double"&gt;5.75194385504595&lt;/D&gt;&lt;D xsi:type="xsd:double"&gt;5.7698826550115&lt;/D&gt;&lt;D xsi:type="xsd:double"&gt;5.79542396800741&lt;/D&gt;&lt;D xsi:type="xsd:double"&gt;5.72562703631926&lt;/D&gt;&lt;D xsi:type="xsd:double"&gt;5.72524251984183&lt;/D&gt;&lt;D xsi:type="xsd:double"&gt;5.72524251984183&lt;/D&gt;&lt;D xsi:type="xsd:double"&gt;5.85161269860812&lt;/D&gt;&lt;D xsi:type="xsd:double"&gt;5.85483315891785&lt;/D&gt;&lt;D xsi:type="xsd:double"&gt;5.76519203047527&lt;/D&gt;&lt;D xsi:type="xsd:double"&gt;5.70184266449388&lt;/D&gt;&lt;D xsi:type="xsd:double"&gt;5.73952980623921&lt;/D&gt;&lt;D xsi:type="xsd:double"&gt;5.77654031447486&lt;/D&gt;&lt;D xsi:type="xsd:double"&gt;5.77340638539901&lt;/D&gt;&lt;D xsi:type="xsd:double"&gt;5.74185284193868&lt;/D&gt;&lt;D xsi:type="xsd:double"&gt;5.72139266478555&lt;/D&gt;&lt;D xsi:type="xsd:double"&gt;5.74611756384152&lt;/D&gt;&lt;D xsi:type="xsd:double"&gt;5.80728861179089&lt;/D&gt;&lt;D xsi:type="xsd:double"&gt;5.82677136908675&lt;/D&gt;&lt;D xsi:type="xsd:double"&gt;5.81046045574928&lt;/D&gt;&lt;D xsi:type="xsd:double"&gt;5.87747809170041&lt;/D&gt;&lt;D xsi:type="xsd:double"&gt;5.88113347085384&lt;/D&gt;&lt;D xsi:type="xsd:double"&gt;6.05952746471734&lt;/D&gt;&lt;D xsi:type="xsd:double"&gt;6.37405464005363&lt;/D&gt;&lt;D xsi:type="xsd:double"&gt;6.51607963196661&lt;/D&gt;&lt;D xsi:type="xsd:double"&gt;7.58166725563585&lt;/D&gt;&lt;D xsi:type="xsd:double"&gt;8.06514377933444&lt;/D&gt;&lt;D xsi:type="xsd:double"&gt;7.65840628412059&lt;/D&gt;&lt;D xsi:type="xsd:double"&gt;7.74672305867895&lt;/D&gt;&lt;D xsi:type="xsd:double"&gt;7.50627280452592&lt;/D&gt;&lt;D xsi:type="xsd:double"&gt;7.84981976028848&lt;/D&gt;&lt;D xsi:type="xsd:double"&gt;7.94720070583858&lt;/D&gt;&lt;D xsi:type="xsd:double"&gt;8.86810913556244&lt;/D&gt;&lt;D xsi:type="xsd:double"&gt;8.6655322907196&lt;/D&gt;&lt;D xsi:type="xsd:double"&gt;9.29145414788167&lt;/D&gt;&lt;D xsi:type="xsd:double"&gt;11.3178120858388&lt;/D&gt;&lt;D xsi:type="xsd:double"&gt;9.86309919683797&lt;/D&gt;&lt;D xsi:type="xsd:double"&gt;11.449554864206&lt;/D&gt;&lt;D xsi:type="xsd:double"&gt;11.2624344315145&lt;/D&gt;&lt;D xsi:type="xsd:double"&gt;11.7668889863449&lt;/D&gt;&lt;D xsi:type="xsd:double"&gt;11.5175010155557&lt;/D&gt;&lt;D xsi:type="xsd:double"&gt;12.1923073124704&lt;/D&gt;&lt;D xsi:type="xsd:double"&gt;12.428123501246&lt;/D&gt;&lt;D xsi:type="xsd:double"&gt;11.2624344315145&lt;/D&gt;&lt;D xsi:type="xsd:double"&gt;10.7469772514434&lt;/D&gt;&lt;D xsi:type="xsd:double"&gt;9.66561701287779&lt;/D&gt;&lt;D xsi:type="xsd:double"&gt;9.80831415480972&lt;/D&gt;&lt;D xsi:type="xsd:double"&gt;10.0550514064503&lt;/D&gt;&lt;D xsi:type="xsd:double"&gt;9.94841844520346&lt;/D&gt;&lt;D xsi:type="xsd:double"&gt;10.6109577238222&lt;/D&gt;&lt;D xsi:type="xsd:double"&gt;10.6244465327384&lt;/D&gt;&lt;D xsi:type="xsd:double"&gt;10.9889228361135&lt;/D&gt;&lt;D xsi:type="xsd:double"&gt;10.0484571774698&lt;/D&gt;&lt;D xsi:type="xsd:double"&gt;9.77390418407155&lt;/D&gt;&lt;D xsi:type="xsd:double"&gt;9.40879551140238&lt;/D&gt;&lt;D xsi:type="xsd:double"&gt;9.09960748843099&lt;/D&gt;&lt;D xsi:type="xsd:double"&gt;9.43777209686816&lt;/D&gt;&lt;D xsi:type="xsd:double"&gt;9.43970980066542&lt;/D&gt;&lt;D xsi:type="xsd:double"&gt;9.03565523770731&lt;/D&gt;&lt;D xsi:type="xsd:double"&gt;9.38279769130633&lt;/D&gt;&lt;D xsi:type="xsd:double"&gt;8.74188075969741&lt;/D&gt;&lt;D xsi:type="xsd:double"&gt;8.9681538167521&lt;/D&gt;&lt;D xsi:type="xsd:double"&gt;9.36424282605357&lt;/D&gt;&lt;D xsi:type="xsd:double"&gt;9.15896603699691&lt;/D&gt;&lt;D xsi:type="xsd:double"&gt;9.1442265822301&lt;/D&gt;&lt;D xsi:type="xsd:double"&gt;9.02130887283617&lt;/D&gt;&lt;D xsi:type="xsd:double"&gt;8.67338345045581&lt;/D&gt;&lt;D xsi:type="xsd:double"&gt;8.3866314243641&lt;/D&gt;&lt;D xsi:type="xsd:double"&gt;8.02573822144665&lt;/D&gt;&lt;D xsi:type="xsd:double"&gt;8.22318716755196&lt;/D&gt;&lt;D xsi:type="xsd:double"&gt;8.59987277348219&lt;/D&gt;&lt;D xsi:type="xsd:double"&gt;8.81876209272752&lt;/D&gt;&lt;D xsi:type="xsd:double"&gt;8.76255158842716&lt;/D&gt;&lt;D xsi:type="xsd:double"&gt;8.99370431704103&lt;/D&gt;&lt;D xsi:type="xsd:double"&gt;8.60403861526947&lt;/D&gt;&lt;D xsi:type="xsd:double"&gt;7.99266081912944&lt;/D&gt;&lt;D xsi:type="xsd:double"&gt;8.25871719988524&lt;/D&gt;&lt;D xsi:type="xsd:double"&gt;8.78332966190153&lt;/D&gt;&lt;D xsi:type="xsd:double"&gt;9.10569176759871&lt;/D&gt;&lt;D xsi:type="xsd:double"&gt;9.13646516740928&lt;/D&gt;&lt;D xsi:type="xsd:double"&gt;9.11839940723109&lt;/D&gt;&lt;D xsi:type="xsd:double"&gt;8.28927926789085&lt;/D&gt;&lt;D xsi:type="xsd:double"&gt;8.50879098503806&lt;/D&gt;&lt;D xsi:type="xsd:double"&gt;8.52544645418583&lt;/D&gt;&lt;D xsi:type="xsd:double"&gt;8.40300050981004&lt;/D&gt;&lt;D xsi:type="xsd:double"&gt;8.46926647174932&lt;/D&gt;&lt;D xsi:type="xsd:double"&gt;7.98695953143384&lt;/D&gt;&lt;D xsi:type="xsd:double"&gt;7.44610121023717&lt;/D&gt;&lt;D xsi:type="xsd:double"&gt;7.68326183353898&lt;/D&gt;&lt;D xsi:type="xsd:double"&gt;7.81655056092739&lt;/D&gt;&lt;D xsi:type="xsd:double"&gt;7.77854966918995&lt;/D&gt;&lt;D xsi:type="xsd:double"&gt;7.77932180028132&lt;/D&gt;&lt;D xsi:type="xsd:double"&gt;7.41301054515576&lt;/D&gt;&lt;D xsi:type="xsd:double"&gt;7.37327188940092&lt;/D&gt;&lt;D xsi:type="xsd:double"&gt;7.00688159855557&lt;/D&gt;&lt;D xsi:type="xsd:double"&gt;6.7621184770492&lt;/D&gt;&lt;D xsi:type="xsd:double"&gt;7.12792109334326&lt;/D&gt;&lt;D xsi:type="xsd:double"&gt;7.68627514881974&lt;/D&gt;&lt;D xsi:type="xsd:double"&gt;8.48117721453715&lt;/D&gt;&lt;D xsi:type="xsd:double"&gt;8.13109339056756&lt;/D&gt;&lt;D xsi:type="xsd:double"&gt;8.17603527207025&lt;/D&gt;&lt;D xsi:type="xsd:double"&gt;8.09548265591414&lt;/D&gt;&lt;D xsi:type="xsd:double"&gt;8.37687002105024&lt;/D&gt;&lt;D xsi:type="xsd:double"&gt;8.54635734379727&lt;/D&gt;&lt;D xsi:type="xsd:double"&gt;8.8466013480805&lt;/D&gt;&lt;D xsi:type="xsd:double"&gt;8.76566621780612&lt;/D&gt;&lt;D xsi:type="xsd:double"&gt;8.83168469331268&lt;/D&gt;&lt;D xsi:type="xsd:double"&gt;9.46814494707354&lt;/D&gt;&lt;D xsi:type="xsd:double"&gt;9.31436493961264&lt;/D&gt;&lt;D xsi:type="xsd:double"&gt;9.31215662004473&lt;/D&gt;&lt;D xsi:type="xsd:double"&gt;8.7344826456748&lt;/D&gt;&lt;D xsi:type="xsd:double"&gt;8.8000297089003&lt;/D&gt;&lt;D xsi:type="xsd:double"&gt;9.01510760747969&lt;/D&gt;&lt;D xsi:type="xsd:double"&gt;8.93615439387137&lt;/D&gt;&lt;D xsi:type="xsd:double"&gt;8.84162275253686&lt;/D&gt;&lt;D xsi:type="xsd:double"&gt;9.10179152382922&lt;/D&gt;&lt;D xsi:type="xsd:double"&gt;9.0182116471466&lt;/D&gt;&lt;D xsi:type="xsd:double"&gt;9.36320645626793&lt;/D&gt;&lt;D xsi:type="xsd:double"&gt;9.17299067932417&lt;/D&gt;&lt;D xsi:type="xsd:double"&gt;9.27697054218605&lt;/D&gt;&lt;D xsi:type="xsd:double"&gt;9.2246880325816&lt;/D&gt;&lt;D xsi:type="xsd:double"&gt;8.68044026845824&lt;/D&gt;&lt;D xsi:type="xsd:double"&gt;8.55287055290288&lt;/D&gt;&lt;D xsi:type="xsd:double"&gt;8.52873009341092&lt;/D&gt;&lt;D xsi:type="xsd:double"&gt;8.79510415250289&lt;/D&gt;&lt;D xsi:type="xsd:double"&gt;8.6289585778924&lt;/D&gt;&lt;D xsi:type="xsd:double"&gt;8.59685635314992&lt;/D&gt;&lt;D xsi:type="xsd:double"&gt;8.54542727777296&lt;/D&gt;&lt;D xsi:type="xsd:double"&gt;8.61287718157719&lt;/D&gt;&lt;D xsi:type="xsd:double"&gt;8.7296294097723&lt;/D&gt;&lt;D xsi:type="xsd:double"&gt;8.72672081771468&lt;/D&gt;&lt;D xsi:type="xsd:double"&gt;8.62138308193236&lt;/D&gt;&lt;D xsi:type="xsd:double"&gt;8.73059962543982&lt;/D&gt;&lt;D xsi:type="xsd:double"&gt;8.81582878532073&lt;/D&gt;&lt;D xsi:type="xsd:double"&gt;8.57153191961343&lt;/D&gt;&lt;D xsi:type="xsd:double"&gt;8.72074973331947&lt;/D&gt;&lt;D xsi:type="xsd:double"&gt;8.70556743672054&lt;/D&gt;&lt;D xsi:type="xsd:double"&gt;8.68024210236853&lt;/D&gt;&lt;D xsi:type="xsd:double"&gt;8.39884855145899&lt;/D&gt;&lt;D xsi:type="xsd:double"&gt;8.09630784882801&lt;/D&gt;&lt;D xsi:type="xsd:double"&gt;7.96661161206935&lt;/D&gt;&lt;D xsi:type="xsd:double"&gt;8.02348956805945&lt;/D&gt;&lt;D xsi:type="xsd:double"&gt;8.09403586111153&lt;/D&gt;&lt;D xsi:type="xsd:double"&gt;8.00049347043726&lt;/D&gt;&lt;D xsi:type="xsd:double"&gt;8.1489158967503&lt;/D&gt;&lt;D xsi:type="xsd:double"&gt;8.38989098679045&lt;/D&gt;&lt;D xsi:type="xsd:double"&gt;8.44557217231264&lt;/D&gt;&lt;D xsi:type="xsd:double"&gt;8.50032722009634&lt;/D&gt;&lt;D xsi:type="xsd:double"&gt;8.59745059797418&lt;/D&gt;&lt;D xsi:type="xsd:double"&gt;8.37527461478553&lt;/D&gt;&lt;D xsi:type="xsd:double"&gt;8.43487090345734&lt;/D&gt;&lt;D xsi:type="xsd:double"&gt;8.47535126305194&lt;/D&gt;&lt;D xsi:type="xsd:double"&gt;8.40619190007929&lt;/D&gt;&lt;D xsi:type="xsd:double"&gt;8.38826458297701&lt;/D&gt;&lt;D xsi:type="xsd:double"&gt;8.45712806925035&lt;/D&gt;&lt;D xsi:type="xsd:double"&gt;8.45299748785368&lt;/D&gt;&lt;D xsi:type="xsd:double"&gt;8.2783252418223&lt;/D&gt;&lt;D xsi:type="xsd:double"&gt;8.65939491092557&lt;/D&gt;&lt;D xsi:type="xsd:double"&gt;8.6715437741264&lt;/D&gt;&lt;D xsi:type="xsd:double"&gt;8.9643986080799&lt;/D&gt;&lt;D xsi:type="xsd:double"&gt;8.93293420983284&lt;/D&gt;&lt;D xsi:type="xsd:double"&gt;9.27374777279355&lt;/D&gt;&lt;D xsi:type="xsd:double"&gt;9.15793602467368&lt;/D&gt;&lt;D xsi:type="xsd:double"&gt;9.06203169119351&lt;/D&gt;&lt;D xsi:type="xsd:double"&gt;9.25787229283613&lt;/D&gt;&lt;D xsi:type="xsd:double"&gt;9.04214643918917&lt;/D&gt;&lt;D xsi:type="xsd:double"&gt;8.74339032479159&lt;/D&gt;&lt;D xsi:type="xsd:double"&gt;8.76730853009146&lt;/D&gt;&lt;D xsi:type="xsd:double"&gt;8.98580862258427&lt;/D&gt;&lt;D xsi:type="xsd:double"&gt;8.84798915732017&lt;/D&gt;&lt;D xsi:type="xsd:double"&gt;9.30265961177769&lt;/D&gt;&lt;D xsi:type="xsd:double"&gt;9.29866147627781&lt;/D&gt;&lt;D xsi:type="xsd:double"&gt;9.27275369164552&lt;/D&gt;&lt;D xsi:type="xsd:double"&gt;9.08963654179324&lt;/D&gt;&lt;D xsi:type="xsd:double"&gt;9.19491359447746&lt;/D&gt;&lt;D xsi:type="xsd:double"&gt;9.27871965545516&lt;/D&gt;&lt;D xsi:type="xsd:double"&gt;9.21253464834281&lt;/D&gt;&lt;D xsi:type="xsd:double"&gt;9.06298028131128&lt;/D&gt;&lt;D xsi:type="xsd:double"&gt;9.12414003839621&lt;/D&gt;&lt;D xsi:type="xsd:double"&gt;9.17444238885966&lt;/D&gt;&lt;D xsi:type="xsd:double"&gt;9.06392948081585&lt;/D&gt;&lt;D xsi:type="xsd:double"&gt;8.90613829754357&lt;/D&gt;&lt;D xsi:type="xsd:double"&gt;8.91342179488505&lt;/D&gt;&lt;D xsi:type="xsd:double"&gt;8.84919807239688&lt;/D&gt;&lt;D xsi:type="xsd:double"&gt;9.1548565964953&lt;/D&gt;&lt;D xsi:type="xsd:double"&gt;9.12324768641281&lt;/D&gt;&lt;D xsi:type="xsd:double"&gt;9.05409677960264&lt;/D&gt;&lt;D xsi:type="xsd:double"&gt;8.999896816183&lt;/D&gt;&lt;D xsi:type="xsd:double"&gt;9.30232644672804&lt;/D&gt;&lt;D xsi:type="xsd:double"&gt;9.23924602578452&lt;/D&gt;&lt;D xsi:type="xsd:double"&gt;9.39959079821419&lt;/D&gt;&lt;D xsi:type="xsd:double"&gt;9.29043253141571&lt;/D&gt;&lt;D xsi:type="xsd:double"&gt;9.2480648193164&lt;/D&gt;&lt;D xsi:type="xsd:double"&gt;9.57505246889377&lt;/D&gt;&lt;D xsi:type="xsd:double"&gt;9.95320203467337&lt;/D&gt;&lt;D xsi:type="xsd:double"&gt;10.4106967827303&lt;/D&gt;&lt;D xsi:type="xsd:double"&gt;11.9995252987792&lt;/D&gt;&lt;/FQL&gt;&lt;FQL&gt;&lt;Q&gt;CW^FG_FCF_YIELD_FY2(NOW-0/0/-10, NOW, MTD)&lt;/Q&gt;&lt;R&gt;121&lt;/R&gt;&lt;C&gt;1&lt;/C&gt;&lt;D xsi:type="xsd:double"&gt;6.68717623618304&lt;/D&gt;&lt;D xsi:type="xsd:double"&gt;6.64628295991414&lt;/D&gt;&lt;D xsi:type="xsd:double"&gt;6.21987945624819&lt;/D&gt;&lt;D xsi:type="xsd:double"&gt;5.95100903226298&lt;/D&gt;&lt;D xsi:type="xsd:double"&gt;7.154471405116&lt;/D&gt;&lt;D xsi:type="xsd:double"&gt;7.51280651781042&lt;/D&gt;&lt;D xsi:type="xsd:double"&gt;9.38345801446779&lt;/D&gt;&lt;D xsi:type="xsd:double"&gt;9.14687716923909&lt;/D&gt;&lt;D xsi:type="xsd:double"&gt;9.63855421686747&lt;/D&gt;&lt;D xsi:type="xsd:double"&gt;9.23028811975154&lt;/D&gt;&lt;D xsi:type="xsd:double"&gt;9.58103292732748&lt;/D&gt;&lt;D xsi:type="xsd:double"&gt;10.2323966580379&lt;/D&gt;&lt;D xsi:type="xsd:double"&gt;14.2007336468221&lt;/D&gt;&lt;D xsi:type="xsd:double"&gt;14.1274664790539&lt;/D&gt;&lt;D xsi:type="xsd:double"&gt;13.1757704432948&lt;/D&gt;&lt;D xsi:type="xsd:double"&gt;12.4598496918492&lt;/D&gt;&lt;D xsi:type="xsd:double"&gt;8.06191031157026&lt;/D&gt;&lt;D xsi:type="xsd:double"&gt;7.93028958245439&lt;/D&gt;&lt;D xsi:type="xsd:double"&gt;8.3168036860074&lt;/D&gt;&lt;D xsi:type="xsd:double"&gt;10.2171773433275&lt;/D&gt;&lt;D xsi:type="xsd:double"&gt;9.33977503844251&lt;/D&gt;&lt;D xsi:type="xsd:double"&gt;9.67634371998519&lt;/D&gt;&lt;D xsi:type="xsd:double"&gt;10.7285426063417&lt;/D&gt;&lt;D xsi:type="xsd:double"&gt;9.86238520800017&lt;/D&gt;&lt;D xsi:type="xsd:double"&gt;10.4470348912161&lt;/D&gt;&lt;D xsi:type="xsd:double"&gt;9.92751425466953&lt;/D&gt;&lt;D xsi:type="xsd:double"&gt;10.6609808102345&lt;/D&gt;&lt;D xsi:type="xsd:double"&gt;9.81767112078043&lt;/D&gt;&lt;D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xsi:type="xsd:double"&gt;7.47556015119769&lt;/D&gt;&lt;D xsi:type="xsd:double"&gt;7.38531383078739&lt;/D&gt;&lt;D xsi:type="xsd:double"&gt;7.59124025531467&lt;/D&gt;&lt;D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xsi:type="xsd:string"&gt;@NA&lt;/D&gt;&lt;D xsi:type="xsd:double"&gt;5.85355894042154&lt;/D&gt;&lt;D xsi:type="xsd:double"&gt;6.40396574544339&lt;/D&gt;&lt;D xsi:type="xsd:double"&gt;6.86500065457781&lt;/D&gt;&lt;D xsi:type="xsd:double"&gt;6.70340265389052&lt;/D&gt;&lt;D xsi:type="xsd:double"&gt;6.89214692926941&lt;/D&gt;&lt;D xsi:type="xsd:double"&gt;6.78252347177029&lt;/D&gt;&lt;D xsi:type="xsd:double"&gt;6.58577057335455&lt;/D&gt;&lt;D xsi:type="xsd:double"&gt;6.5585623211644&lt;/D&gt;&lt;D xsi:type="xsd:double"&gt;5.85740693415062&lt;/D&gt;&lt;D xsi:type="xsd:double"&gt;5.49964826999489&lt;/D&gt;&lt;D xsi:type="xsd:double"&gt;5.23617862218023&lt;/D&gt;&lt;D xsi:type="xsd:double"&gt;5.47394331819277&lt;/D&gt;&lt;D xsi:type="xsd:double"&gt;5.18904010385967&lt;/D&gt;&lt;D xsi:type="xsd:double"&gt;5.55144008797034&lt;/D&gt;&lt;D xsi:type="xsd:double"&gt;5.54774063824315&lt;/D&gt;&lt;D xsi:type="xsd:double"&gt;5.85233836324259&lt;/D&gt;&lt;D xsi:type="xsd:double"&gt;6.31827129064718&lt;/D&gt;&lt;D xsi:type="xsd:double"&gt;6.75516746668115&lt;/D&gt;&lt;D xsi:type="xsd:double"&gt;5.90092453915402&lt;/D&gt;&lt;D xsi:type="xsd:double"&gt;5.86039576190243&lt;/D&gt;&lt;D xsi:type="xsd:double"&gt;5.71241465366887&lt;/D&gt;&lt;D xsi:type="xsd:double"&gt;6.88379296992643&lt;/D&gt;&lt;D xsi:type="xsd:double"&gt;6.82518057550878&lt;/D&gt;&lt;D xsi:type="xsd:double"&gt;7.37122995679648&lt;/D&gt;&lt;D xsi:type="xsd:double"&gt;6.63099017128113&lt;/D&gt;&lt;D xsi:type="xsd:double"&gt;6.77265006143809&lt;/D&gt;&lt;D xsi:type="xsd:double"&gt;7.36721461307647&lt;/D&gt;&lt;D xsi:type="xsd:double"&gt;7.32841845621149&lt;/D&gt;&lt;D xsi:type="xsd:double"&gt;7.51636914873211&lt;/D&gt;&lt;D xsi:type="xsd:double"&gt;6.59167798018331&lt;/D&gt;&lt;D xsi:type="xsd:double"&gt;6.60310430422034&lt;/D&gt;&lt;D xsi:type="xsd:double"&gt;6.97162409560606&lt;/D&gt;&lt;D xsi:type="xsd:double"&gt;6.60895157376651&lt;/D&gt;&lt;D xsi:type="xsd:double"&gt;6.22735655315317&lt;/D&gt;&lt;D xsi:type="xsd:double"&gt;6.13393032014639&lt;/D&gt;&lt;D xsi:type="xsd:double"&gt;5.97806742710076&lt;/D&gt;&lt;D xsi:type="xsd:double"&gt;5.85161269860812&lt;/D&gt;&lt;D xsi:type="xsd:double"&gt;8.06514377933444&lt;/D&gt;&lt;D xsi:type="xsd:double"&gt;9.94841844520346&lt;/D&gt;&lt;D xsi:type="xsd:double"&gt;8.22318716755196&lt;/D&gt;&lt;D xsi:type="xsd:double"&gt;7.81655056092739&lt;/D&gt;&lt;D xsi:type="xsd:double"&gt;8.8000297089003&lt;/D&gt;&lt;D xsi:type="xsd:double"&gt;8.81582878532073&lt;/D&gt;&lt;D xsi:type="xsd:double"&gt;8.45712806925035&lt;/D&gt;&lt;D xsi:type="xsd:double"&gt;9.27871965545516&lt;/D&gt;&lt;D xsi:type="xsd:double"&gt;11.9995252987792&lt;/D&gt;&lt;/FQL&gt;&lt;FQL&gt;&lt;Q&gt;CW^AVG(FG_PE_FY2(-5AY,0,WTD,90,0))&lt;/Q&gt;&lt;R&gt;1&lt;/R&gt;&lt;C&gt;1&lt;/C&gt;&lt;D xsi:type="xsd:double"&gt;17.8336190788461&lt;/D&gt;&lt;/FQL&gt;&lt;FQL&gt;&lt;Q&gt;CW^FG_FCF_YIELD_FY1(NOW-0/0/-5, NOW, WTD)&lt;/Q&gt;&lt;R&gt;262&lt;/R&gt;&lt;C&gt;1&lt;/C&gt;&lt;D xsi:type="xsd:double"&gt;3.14117311507625&lt;/D&gt;&lt;D xsi:type="xsd:double"&gt;3.11697573559069&lt;/D&gt;&lt;D xsi:type="xsd:double"&gt;3.23799625409165&lt;/D&gt;&lt;D xsi:type="xsd:double"&gt;3.06236881577585&lt;/D&gt;&lt;D xsi:type="xsd:double"&gt;3.09096022101107&lt;/D&gt;&lt;D xsi:type="xsd:double"&gt;3.09271017285157&lt;/D&gt;&lt;D xsi:type="xsd:double"&gt;3.27831952554324&lt;/D&gt;&lt;D xsi:type="xsd:double"&gt;3.35225524983286&lt;/D&gt;&lt;D xsi:type="xsd:double"&gt;3.1662074979783&lt;/D&gt;&lt;D xsi:type="xsd:double"&gt;3.18978096252597&lt;/D&gt;&lt;D xsi:type="xsd:double"&gt;3.13846588209832&lt;/D&gt;&lt;D xsi:type="xsd:double"&gt;3.21559972317545&lt;/D&gt;&lt;D xsi:type="xsd:double"&gt;3.27586204637337&lt;/D&gt;&lt;D xsi:type="xsd:double"&gt;3.46376846231888&lt;/D&gt;&lt;D xsi:type="xsd:double"&gt;3.63056371181863&lt;/D&gt;&lt;D xsi:type="xsd:double"&gt;3.75196227627049&lt;/D&gt;&lt;D xsi:type="xsd:double"&gt;3.6300124346076&lt;/D&gt;&lt;D xsi:type="xsd:double"&gt;9.0007080857051&lt;/D&gt;&lt;D xsi:type="xsd:double"&gt;8.85881694574745&lt;/D&gt;&lt;D xsi:type="xsd:double"&gt;8.98415365993307&lt;/D&gt;&lt;D xsi:type="xsd:double"&gt;8.62889007622416&lt;/D&gt;&lt;D xsi:type="xsd:double"&gt;8.50864256860263&lt;/D&gt;&lt;D xsi:type="xsd:double"&gt;8.43069521704741&lt;/D&gt;&lt;D xsi:type="xsd:double"&gt;8.43853799291399&lt;/D&gt;&lt;D xsi:type="xsd:double"&gt;8.28224842504764&lt;/D&gt;&lt;D xsi:type="xsd:double"&gt;8.17350988332642&lt;/D&gt;&lt;D xsi:type="xsd:double"&gt;8.29198191054394&lt;/D&gt;&lt;D xsi:type="xsd:double"&gt;7.94246478509676&lt;/D&gt;&lt;D xsi:type="xsd:double"&gt;7.92759065536837&lt;/D&gt;&lt;D xsi:type="xsd:double"&gt;7.80194116977469&lt;/D&gt;&lt;D xsi:type="xsd:double"&gt;7.58027990183538&lt;/D&gt;&lt;D xsi:type="xsd:double"&gt;7.56402645835943&lt;/D&gt;&lt;D xsi:type="xsd:double"&gt;7.70657077637535&lt;/D&gt;&lt;D xsi:type="xsd:double"&gt;7.90067711173051&lt;/D&gt;&lt;D xsi:type="xsd:double"&gt;8.27526168446262&lt;/D&gt;&lt;D xsi:type="xsd:double"&gt;7.91289861028927&lt;/D&gt;&lt;D xsi:type="xsd:double"&gt;7.84753372026383&lt;/D&gt;&lt;D xsi:type="xsd:double"&gt;7.755102547272&lt;/D&gt;&lt;D xsi:type="xsd:double"&gt;7.66040857248746&lt;/D&gt;&lt;D xsi:type="xsd:double"&gt;7.68063843924511&lt;/D&gt;&lt;D xsi:type="xsd:double"&gt;7.60204625799536&lt;/D&gt;&lt;D xsi:type="xsd:double"&gt;7.65226164123259&lt;/D&gt;&lt;D xsi:type="xsd:double"&gt;7.61984414675576&lt;/D&gt;&lt;D xsi:type="xsd:double"&gt;7.58349043797691&lt;/D&gt;&lt;D xsi:type="xsd:double"&gt;7.50109722299629&lt;/D&gt;&lt;D xsi:type="xsd:double"&gt;7.87623908008678&lt;/D&gt;&lt;D xsi:type="xsd:double"&gt;8.11600959182478&lt;/D&gt;&lt;D xsi:type="xsd:double"&gt;7.85067883249729&lt;/D&gt;&lt;D xsi:type="xsd:double"&gt;7.61716581636879&lt;/D&gt;&lt;D xsi:type="xsd:double"&gt;7.89803073660826&lt;/D&gt;&lt;D xsi:type="xsd:double"&gt;8.05758725379942&lt;/D&gt;&lt;D xsi:type="xsd:double"&gt;8.19887654074313&lt;/D&gt;&lt;D xsi:type="xsd:double"&gt;7.6665175273457&lt;/D&gt;&lt;D xsi:type="xsd:double"&gt;8.01308312107344&lt;/D&gt;&lt;D xsi:type="xsd:double"&gt;7.20134388599063&lt;/D&gt;&lt;D xsi:type="xsd:double"&gt;6.90557707525194&lt;/D&gt;&lt;D xsi:type="xsd:double"&gt;6.69725660947232&lt;/D&gt;&lt;D xsi:type="xsd:double"&gt;6.7103591572111&lt;/D&gt;&lt;D xsi:type="xsd:double"&gt;6.47475241517977&lt;/D&gt;&lt;D xsi:type="xsd:double"&gt;6.80015877010696&lt;/D&gt;&lt;D xsi:type="xsd:double"&gt;6.7846899671465&lt;/D&gt;&lt;D xsi:type="xsd:double"&gt;6.97438003341007&lt;/D&gt;&lt;D xsi:type="xsd:double"&gt;6.98645487088996&lt;/D&gt;&lt;D xsi:type="xsd:double"&gt;7.0431210153983&lt;/D&gt;&lt;D xsi:type="xsd:double"&gt;7.06358205689108&lt;/D&gt;&lt;D xsi:type="xsd:double"&gt;6.95607751797137&lt;/D&gt;&lt;D xsi:type="xsd:double"&gt;6.90109407184978&lt;/D&gt;&lt;D xsi:type="xsd:double"&gt;6.82843642257943&lt;/D&gt;&lt;D xsi:type="xsd:double"&gt;6.0451981328801&lt;/D&gt;&lt;D xsi:type="xsd:double"&gt;6.01553692877965&lt;/D&gt;&lt;D xsi:type="xsd:double"&gt;6.09276403845948&lt;/D&gt;&lt;D xsi:type="xsd:double"&gt;6.15264023635983&lt;/D&gt;&lt;D xsi:type="xsd:double"&gt;6.14493127662483&lt;/D&gt;&lt;D xsi:type="xsd:double"&gt;6.45143642522295&lt;/D&gt;&lt;D xsi:type="xsd:double"&gt;6.44860868365776&lt;/D&gt;&lt;D xsi:type="xsd:double"&gt;6.57762405431855&lt;/D&gt;&lt;D xsi:type="xsd:double"&gt;6.70884652654838&lt;/D&gt;&lt;D xsi:type="xsd:double"&gt;6.40648808111331&lt;/D&gt;&lt;D xsi:type="xsd:double"&gt;6.29681167867143&lt;/D&gt;&lt;D xsi:type="xsd:double"&gt;6.59210946909721&lt;/D&gt;&lt;D xsi:type="xsd:double"&gt;6.79369840992809&lt;/D&gt;&lt;D xsi:type="xsd:double"&gt;6.90649994191634&lt;/D&gt;&lt;D xsi:type="xsd:double"&gt;6.5655432934551&lt;/D&gt;&lt;D xsi:type="xsd:double"&gt;6.46243518904529&lt;/D&gt;&lt;D xsi:type="xsd:double"&gt;6.23276018532738&lt;/D&gt;&lt;D xsi:type="xsd:double"&gt;6.31924270700939&lt;/D&gt;&lt;D xsi:type="xsd:double"&gt;6.46599159990099&lt;/D&gt;&lt;D xsi:type="xsd:double"&gt;6.40117658746619&lt;/D&gt;&lt;D xsi:type="xsd:double"&gt;6.31245304323993&lt;/D&gt;&lt;D xsi:type="xsd:double"&gt;6.28342270350168&lt;/D&gt;&lt;D xsi:type="xsd:double"&gt;6.16474276347047&lt;/D&gt;&lt;D xsi:type="xsd:double"&gt;6.10115991591625&lt;/D&gt;&lt;D xsi:type="xsd:double"&gt;6.18041203694576&lt;/D&gt;&lt;D xsi:type="xsd:double"&gt;6.2919812788389&lt;/D&gt;&lt;D xsi:type="xsd:double"&gt;6.40696811601148&lt;/D&gt;&lt;D xsi:type="xsd:double"&gt;6.25195529901977&lt;/D&gt;&lt;D xsi:type="xsd:double"&gt;6.18934557387829&lt;/D&gt;&lt;D xsi:type="xsd:double"&gt;6.19126271669884&lt;/D&gt;&lt;D xsi:type="xsd:double"&gt;5.93846973354977&lt;/D&gt;&lt;D xsi:type="xsd:double"&gt;5.74723675730327&lt;/D&gt;&lt;D xsi:type="xsd:double"&gt;5.73624076608643&lt;/D&gt;&lt;D xsi:type="xsd:double"&gt;5.46841723826665&lt;/D&gt;&lt;D xsi:type="xsd:double"&gt;5.29694066716663&lt;/D&gt;&lt;D xsi:type="xsd:double"&gt;5.25654488461174&lt;/D&gt;&lt;D xsi:type="xsd:double"&gt;5.40128787227769&lt;/D&gt;&lt;D xsi:type="xsd:double"&gt;5.22815812773384&lt;/D&gt;&lt;D xsi:type="xsd:double"&gt;5.29758382499326&lt;/D&gt;&lt;D xsi:type="xsd:double"&gt;5.29489661979095&lt;/D&gt;&lt;D xsi:type="xsd:double"&gt;5.17759218871164&lt;/D&gt;&lt;D xsi:type="xsd:double"&gt;5.06209725321491&lt;/D&gt;&lt;D xsi:type="xsd:double"&gt;5.04864699542143&lt;/D&gt;&lt;D xsi:type="xsd:double"&gt;5.04369860471122&lt;/D&gt;&lt;D xsi:type="xsd:double"&gt;5.02236711193299&lt;/D&gt;&lt;D xsi:type="xsd:double"&gt;5.06770658708611&lt;/D&gt;&lt;D xsi:type="xsd:double"&gt;5.00811038436195&lt;/D&gt;&lt;D xsi:type="xsd:double"&gt;4.79648904676159&lt;/D&gt;&lt;D xsi:type="xsd:double"&gt;4.63206081821741&lt;/D&gt;&lt;D xsi:type="xsd:double"&gt;4.62546842118701&lt;/D&gt;&lt;D xsi:type="xsd:double"&gt;4.79202262409721&lt;/D&gt;&lt;D xsi:type="xsd:double"&gt;5.22022157230464&lt;/D&gt;&lt;D xsi:type="xsd:double"&gt;4.85265260063843&lt;/D&gt;&lt;D xsi:type="xsd:double"&gt;4.4383589611577&lt;/D&gt;&lt;D xsi:type="xsd:double"&gt;4.56798050312834&lt;/D&gt;&lt;D xsi:type="xsd:double"&gt;4.31619941721812&lt;/D&gt;&lt;D xsi:type="xsd:double"&gt;4.39858673408234&lt;/D&gt;&lt;D xsi:type="xsd:double"&gt;4.51300643942837&lt;/D&gt;&lt;D xsi:type="xsd:double"&gt;4.46990442405661&lt;/D&gt;&lt;D xsi:type="xsd:double"&gt;4.49754141898331&lt;/D&gt;&lt;D xsi:type="xsd:double"&gt;4.38899370293518&lt;/D&gt;&lt;D xsi:type="xsd:double"&gt;4.2508626169237&lt;/D&gt;&lt;D xsi:type="xsd:double"&gt;4.59160371080555&lt;/D&gt;&lt;D xsi:type="xsd:double"&gt;4.50284129285579&lt;/D&gt;&lt;D xsi:type="xsd:double"&gt;4.11994070251746&lt;/D&gt;&lt;D xsi:type="xsd:double"&gt;4.20615669456316&lt;/D&gt;&lt;D xsi:type="xsd:double"&gt;4.24542748355597&lt;/D&gt;&lt;D xsi:type="xsd:double"&gt;4.30439177954145&lt;/D&gt;&lt;D xsi:type="xsd:double"&gt;4.23424109675652&lt;/D&gt;&lt;D xsi:type="xsd:double"&gt;4.32016855569637&lt;/D&gt;&lt;D xsi:type="xsd:double"&gt;4.72713287289799&lt;/D&gt;&lt;D xsi:type="xsd:double"&gt;4.65047884585532&lt;/D&gt;&lt;D xsi:type="xsd:double"&gt;4.64813566532159&lt;/D&gt;&lt;D xsi:type="xsd:double"&gt;4.49087207795795&lt;/D&gt;&lt;D xsi:type="xsd:double"&gt;4.39984062017337&lt;/D&gt;&lt;D xsi:type="xsd:double"&gt;4.97652201327189&lt;/D&gt;&lt;D xsi:type="xsd:double"&gt;4.90255582001031&lt;/D&gt;&lt;D xsi:type="xsd:double"&gt;4.9620081366017&lt;/D&gt;&lt;D xsi:type="xsd:double"&gt;4.89439055366961&lt;/D&gt;&lt;D xsi:type="xsd:double"&gt;4.86639080719311&lt;/D&gt;&lt;D xsi:type="xsd:double"&gt;4.82642789748686&lt;/D&gt;&lt;D xsi:type="xsd:double"&gt;4.80133699950623&lt;/D&gt;&lt;D xsi:type="xsd:double"&gt;4.65643929444328&lt;/D&gt;&lt;D xsi:type="xsd:double"&gt;4.70763846824178&lt;/D&gt;&lt;D xsi:type="xsd:double"&gt;4.70455555757851&lt;/D&gt;&lt;D xsi:type="xsd:double"&gt;4.89735678879924&lt;/D&gt;&lt;D xsi:type="xsd:double"&gt;5.47463827285674&lt;/D&gt;&lt;D xsi:type="xsd:double"&gt;5.4741599668879&lt;/D&gt;&lt;D xsi:type="xsd:double"&gt;5.79001447156217&lt;/D&gt;&lt;D xsi:type="xsd:double"&gt;5.66362058272992&lt;/D&gt;&lt;D xsi:type="xsd:double"&gt;5.65288121137174&lt;/D&gt;&lt;D xsi:type="xsd:double"&gt;5.7499773019646&lt;/D&gt;&lt;D xsi:type="xsd:double"&gt;5.81838493271038&lt;/D&gt;&lt;D xsi:type="xsd:double"&gt;5.67029009544346&lt;/D&gt;&lt;D xsi:type="xsd:double"&gt;6.04363772356474&lt;/D&gt;&lt;D xsi:type="xsd:double"&gt;6.05767414631924&lt;/D&gt;&lt;D xsi:type="xsd:double"&gt;6.32067861839573&lt;/D&gt;&lt;D xsi:type="xsd:double"&gt;6.22266461219172&lt;/D&gt;&lt;D xsi:type="xsd:double"&gt;6.08416764510223&lt;/D&gt;&lt;D xsi:type="xsd:double"&gt;5.8259658169612&lt;/D&gt;&lt;D xsi:type="xsd:double"&gt;5.58878679231079&lt;/D&gt;&lt;D xsi:type="xsd:double"&gt;5.58629351492214&lt;/D&gt;&lt;D xsi:type="xsd:double"&gt;5.53982338045895&lt;/D&gt;&lt;D xsi:type="xsd:double"&gt;5.37754507108738&lt;/D&gt;&lt;D xsi:type="xsd:double"&gt;5.21102189494226&lt;/D&gt;&lt;D xsi:type="xsd:double"&gt;5.15565808211788&lt;/D&gt;&lt;D xsi:type="xsd:double"&gt;5.852843592</t>
        </r>
      </text>
    </comment>
    <comment ref="A3" authorId="0" shapeId="0" xr:uid="{74261A62-F799-48B5-8494-B3F89F8003F9}">
      <text>
        <r>
          <rPr>
            <b/>
            <sz val="9"/>
            <color indexed="81"/>
            <rFont val="Tahoma"/>
            <family val="2"/>
          </rPr>
          <t>35366&lt;/D&gt;&lt;D xsi:type="xsd:double"&gt;6.26254701294043&lt;/D&gt;&lt;D xsi:type="xsd:double"&gt;6.39198230648162&lt;/D&gt;&lt;D xsi:type="xsd:double"&gt;6.35574489743321&lt;/D&gt;&lt;D xsi:type="xsd:double"&gt;6.33051044266759&lt;/D&gt;&lt;D xsi:type="xsd:double"&gt;6.35630765647768&lt;/D&gt;&lt;D xsi:type="xsd:double"&gt;6.39597084537401&lt;/D&gt;&lt;D xsi:type="xsd:double"&gt;6.38402013366734&lt;/D&gt;&lt;D xsi:type="xsd:double"&gt;6.25381326263689&lt;/D&gt;&lt;D xsi:type="xsd:double"&gt;6.19335365207511&lt;/D&gt;&lt;D xsi:type="xsd:double"&gt;5.83673712386607&lt;/D&gt;&lt;D xsi:type="xsd:double"&gt;5.78546210568604&lt;/D&gt;&lt;D xsi:type="xsd:double"&gt;5.828127698241&lt;/D&gt;&lt;D xsi:type="xsd:double"&gt;6.02520451502315&lt;/D&gt;&lt;D xsi:type="xsd:double"&gt;5.68990366424106&lt;/D&gt;&lt;D xsi:type="xsd:double"&gt;5.71458940389404&lt;/D&gt;&lt;D xsi:type="xsd:double"&gt;5.62133896246722&lt;/D&gt;&lt;D xsi:type="xsd:double"&gt;5.28396168620517&lt;/D&gt;&lt;D xsi:type="xsd:double"&gt;5.27607595016852&lt;/D&gt;&lt;D xsi:type="xsd:double"&gt;5.28437717220929&lt;/D&gt;&lt;D xsi:type="xsd:double"&gt;5.31935803221201&lt;/D&gt;&lt;D xsi:type="xsd:double"&gt;5.24468721052605&lt;/D&gt;&lt;D xsi:type="xsd:double"&gt;6.0196059770594&lt;/D&gt;&lt;D xsi:type="xsd:double"&gt;6.15626774544178&lt;/D&gt;&lt;D xsi:type="xsd:double"&gt;6.19424789751741&lt;/D&gt;&lt;D xsi:type="xsd:double"&gt;6.15984072130256&lt;/D&gt;&lt;D xsi:type="xsd:double"&gt;6.05838171657945&lt;/D&gt;&lt;D xsi:type="xsd:double"&gt;5.81058875209472&lt;/D&gt;&lt;D xsi:type="xsd:double"&gt;5.60839347681025&lt;/D&gt;&lt;D xsi:type="xsd:double"&gt;5.78570344578562&lt;/D&gt;&lt;D xsi:type="xsd:double"&gt;5.73302451441282&lt;/D&gt;&lt;D xsi:type="xsd:double"&gt;5.9085483163562&lt;/D&gt;&lt;D xsi:type="xsd:double"&gt;5.79834515229353&lt;/D&gt;&lt;D xsi:type="xsd:double"&gt;5.94896914775365&lt;/D&gt;&lt;D xsi:type="xsd:double"&gt;5.81653271482651&lt;/D&gt;&lt;D xsi:type="xsd:double"&gt;5.53155811988756&lt;/D&gt;&lt;D xsi:type="xsd:double"&gt;5.55455974642768&lt;/D&gt;&lt;D xsi:type="xsd:double"&gt;5.49000881530715&lt;/D&gt;&lt;D xsi:type="xsd:double"&gt;5.67291460680774&lt;/D&gt;&lt;D xsi:type="xsd:double"&gt;5.64234198494318&lt;/D&gt;&lt;D xsi:type="xsd:double"&gt;5.55018236234188&lt;/D&gt;&lt;D xsi:type="xsd:double"&gt;5.40272010749252&lt;/D&gt;&lt;D xsi:type="xsd:double"&gt;5.42276234863308&lt;/D&gt;&lt;D xsi:type="xsd:double"&gt;5.46676526524499&lt;/D&gt;&lt;D xsi:type="xsd:double"&gt;5.40196625089173&lt;/D&gt;&lt;D xsi:type="xsd:double"&gt;5.39031543586899&lt;/D&gt;&lt;D xsi:type="xsd:double"&gt;5.2112062822134&lt;/D&gt;&lt;D xsi:type="xsd:double"&gt;5.2528981552347&lt;/D&gt;&lt;D xsi:type="xsd:double"&gt;5.32730566455075&lt;/D&gt;&lt;D xsi:type="xsd:double"&gt;5.25895986083109&lt;/D&gt;&lt;D xsi:type="xsd:double"&gt;5.28695252020568&lt;/D&gt;&lt;D xsi:type="xsd:double"&gt;5.35418123003961&lt;/D&gt;&lt;D xsi:type="xsd:double"&gt;7.41412350491419&lt;/D&gt;&lt;D xsi:type="xsd:double"&gt;7.3057012231205&lt;/D&gt;&lt;D xsi:type="xsd:double"&gt;9.21489381171042&lt;/D&gt;&lt;D xsi:type="xsd:double"&gt;11.3910266048817&lt;/D&gt;&lt;D xsi:type="xsd:double"&gt;9.30331735829699&lt;/D&gt;&lt;D xsi:type="xsd:double"&gt;10.4231409572425&lt;/D&gt;&lt;D xsi:type="xsd:double"&gt;8.63109980321956&lt;/D&gt;&lt;D xsi:type="xsd:double"&gt;8.11794859763656&lt;/D&gt;&lt;D xsi:type="xsd:double"&gt;8.37743353972537&lt;/D&gt;&lt;D xsi:type="xsd:double"&gt;7.98607611656924&lt;/D&gt;&lt;D xsi:type="xsd:double"&gt;6.4838415697951&lt;/D&gt;&lt;D xsi:type="xsd:double"&gt;7.39706904453834&lt;/D&gt;&lt;D xsi:type="xsd:double"&gt;6.87047660702337&lt;/D&gt;&lt;D xsi:type="xsd:double"&gt;6.3409771699458&lt;/D&gt;&lt;D xsi:type="xsd:double"&gt;5.68415385231022&lt;/D&gt;&lt;D xsi:type="xsd:double"&gt;6.58058472180381&lt;/D&gt;&lt;D xsi:type="xsd:double"&gt;7.12194558448988&lt;/D&gt;&lt;D xsi:type="xsd:double"&gt;7.49674022992952&lt;/D&gt;&lt;D xsi:type="xsd:double"&gt;7.19404016936209&lt;/D&gt;&lt;D xsi:type="xsd:double"&gt;7.38470463729174&lt;/D&gt;&lt;D xsi:type="xsd:double"&gt;5.96233130254342&lt;/D&gt;&lt;D xsi:type="xsd:double"&gt;6.02115726281322&lt;/D&gt;&lt;D xsi:type="xsd:double"&gt;6.16303837298745&lt;/D&gt;&lt;D xsi:type="xsd:double"&gt;7.62156665570685&lt;/D&gt;&lt;D xsi:type="xsd:double"&gt;7.26007731401533&lt;/D&gt;&lt;D xsi:type="xsd:double"&gt;7.80178808400919&lt;/D&gt;&lt;D xsi:type="xsd:double"&gt;7.6119619698768&lt;/D&gt;&lt;D xsi:type="xsd:double"&gt;7.86902480355963&lt;/D&gt;&lt;D xsi:type="xsd:double"&gt;8.31040285425772&lt;/D&gt;&lt;D xsi:type="xsd:double"&gt;7.9559273448803&lt;/D&gt;&lt;D xsi:type="xsd:double"&gt;8.41459518266109&lt;/D&gt;&lt;D xsi:type="xsd:double"&gt;8.22423542367354&lt;/D&gt;&lt;D xsi:type="xsd:double"&gt;7.93212763935598&lt;/D&gt;&lt;D xsi:type="xsd:double"&gt;7.99876179167465&lt;/D&gt;&lt;D xsi:type="xsd:double"&gt;8.21932377815026&lt;/D&gt;&lt;D xsi:type="xsd:double"&gt;7.98978234674369&lt;/D&gt;&lt;/FQL&gt;&lt;FQL&gt;&lt;Q&gt;CW^FG_FCF_YIELD_FY2(NOW-0/0/-2, NOW, D)&lt;/Q&gt;&lt;R&gt;505&lt;/R&gt;&lt;C&gt;1&lt;/C&gt;&lt;D xsi:type="xsd:double"&gt;7.31048606617701&lt;/D&gt;&lt;D xsi:type="xsd:double"&gt;7.14480716486978&lt;/D&gt;&lt;D xsi:type="xsd:double"&gt;6.88379296992643&lt;/D&gt;&lt;D xsi:type="xsd:double"&gt;6.79195929823303&lt;/D&gt;&lt;D xsi:type="xsd:double"&gt;6.81715351254857&lt;/D&gt;&lt;D xsi:type="xsd:double"&gt;6.85124561811458&lt;/D&gt;&lt;D xsi:type="xsd:double"&gt;6.79624754706435&lt;/D&gt;&lt;D xsi:type="xsd:double"&gt;6.59230068063527&lt;/D&gt;&lt;D xsi:type="xsd:double"&gt;6.71867999975275&lt;/D&gt;&lt;D xsi:type="xsd:double"&gt;6.80422588696316&lt;/D&gt;&lt;D xsi:type="xsd:double"&gt;7.02040424330081&lt;/D&gt;&lt;D xsi:type="xsd:double"&gt;6.9742686450621&lt;/D&gt;&lt;D xsi:type="xsd:double"&gt;6.98914732192998&lt;/D&gt;&lt;D xsi:type="xsd:double"&gt;6.83818849275111&lt;/D&gt;&lt;D xsi:type="xsd:double"&gt;6.92109823433094&lt;/D&gt;&lt;D xsi:type="xsd:double"&gt;7.07844080353044&lt;/D&gt;&lt;D xsi:type="xsd:double"&gt;7.13406491742249&lt;/D&gt;&lt;D xsi:type="xsd:double"&gt;7.03088551999322&lt;/D&gt;&lt;D xsi:type="xsd:double"&gt;7.00343917887757&lt;/D&gt;&lt;D xsi:type="xsd:double"&gt;6.98655542207353&lt;/D&gt;&lt;D xsi:type="xsd:double"&gt;7.13406491742249&lt;/D&gt;&lt;D xsi:type="xsd:double"&gt;6.93766672947568&lt;/D&gt;&lt;D xsi:type="xsd:double"&gt;6.94662105237419&lt;/D&gt;&lt;D xsi:type="xsd:double"&gt;6.82518057550878&lt;/D&gt;&lt;D xsi:type="xsd:double"&gt;6.81037604376675&lt;/D&gt;&lt;D xsi:type="xsd:double"&gt;6.99628595163971&lt;/D&gt;&lt;D xsi:type="xsd:double"&gt;7.17824125767381&lt;/D&gt;&lt;D xsi:type="xsd:double"&gt;7.27456998743754&lt;/D&gt;&lt;D xsi:type="xsd:double"&gt;7.3063123981911&lt;/D&gt;&lt;D xsi:type="xsd:double"&gt;7.35983615238364&lt;/D&gt;&lt;D xsi:type="xsd:double"&gt;7.13339036954493&lt;/D&gt;&lt;D xsi:type="xsd:double"&gt;7.23128595621355&lt;/D&gt;&lt;D xsi:type="xsd:double"&gt;7.29146554374208&lt;/D&gt;&lt;D xsi:type="xsd:double"&gt;7.42218304958946&lt;/D&gt;&lt;D xsi:type="xsd:double"&gt;7.24983151391562&lt;/D&gt;&lt;D xsi:type="xsd:double"&gt;7.4118753957015&lt;/D&gt;&lt;D xsi:type="xsd:double"&gt;7.52449014619106&lt;/D&gt;&lt;D xsi:type="xsd:double"&gt;7.60046484442989&lt;/D&gt;&lt;D xsi:type="xsd:double"&gt;7.74832690377167&lt;/D&gt;&lt;D xsi:type="xsd:double"&gt;7.56989148333462&lt;/D&gt;&lt;D xsi:type="xsd:double"&gt;7.42283811324519&lt;/D&gt;&lt;D xsi:type="xsd:double"&gt;7.48260481445759&lt;/D&gt;&lt;D xsi:type="xsd:double"&gt;7.37122995679648&lt;/D&gt;&lt;D xsi:type="xsd:double"&gt;7.30683397952537&lt;/D&gt;&lt;D xsi:type="xsd:double"&gt;7.56913057257369&lt;/D&gt;&lt;D xsi:type="xsd:double"&gt;7.31606551653727&lt;/D&gt;&lt;D xsi:type="xsd:double"&gt;7.34247005832491&lt;/D&gt;&lt;D xsi:type="xsd:double"&gt;7.18890257735816&lt;/D&gt;&lt;D xsi:type="xsd:double"&gt;7.1459089564036&lt;/D&gt;&lt;D xsi:type="xsd:double"&gt;7.00493203254547&lt;/D&gt;&lt;D xsi:type="xsd:double"&gt;7.00558471202073&lt;/D&gt;&lt;D xsi:type="xsd:double"&gt;7.07671312717547&lt;/D&gt;&lt;D xsi:type="xsd:double"&gt;6.9705530381016&lt;/D&gt;&lt;D xsi:type="xsd:double"&gt;6.91357485261814&lt;/D&gt;&lt;D xsi:type="xsd:double"&gt;6.78825886454966&lt;/D&gt;&lt;D xsi:type="xsd:double"&gt;6.72038223383624&lt;/D&gt;&lt;D xsi:type="xsd:double"&gt;6.92438632453089&lt;/D&gt;&lt;D xsi:type="xsd:double"&gt;6.86252166240744&lt;/D&gt;&lt;D xsi:type="xsd:double"&gt;6.81406720564575&lt;/D&gt;&lt;D xsi:type="xsd:double"&gt;6.71738381008397&lt;/D&gt;&lt;D xsi:type="xsd:double"&gt;6.70422148066084&lt;/D&gt;&lt;D xsi:type="xsd:double"&gt;6.67568284391566&lt;/D&gt;&lt;D xsi:type="xsd:double"&gt;6.62107482820959&lt;/D&gt;&lt;D xsi:type="xsd:double"&gt;6.63099017128113&lt;/D&gt;&lt;D xsi:type="xsd:double"&gt;6.66150488857867&lt;/D&gt;&lt;D xsi:type="xsd:double"&gt;6.59381555489002&lt;/D&gt;&lt;D xsi:type="xsd:double"&gt;6.47972823501404&lt;/D&gt;&lt;D xsi:type="xsd:double"&gt;6.4802858687387&lt;/D&gt;&lt;D xsi:type="xsd:double"&gt;6.50548799714695&lt;/D&gt;&lt;D xsi:type="xsd:double"&gt;6.46636873950428&lt;/D&gt;&lt;D xsi:type="xsd:double"&gt;6.50211673159139&lt;/D&gt;&lt;D xsi:type="xsd:double"&gt;6.40583761419447&lt;/D&gt;&lt;D xsi:type="xsd:double"&gt;6.38031840213348&lt;/D&gt;&lt;D xsi:type="xsd:double"&gt;6.37275641534236&lt;/D&gt;&lt;D xsi:type="xsd:double"&gt;6.2661286234437&lt;/D&gt;&lt;D xsi:type="xsd:double"&gt;6.26873764862785&lt;/D&gt;&lt;D xsi:type="xsd:double"&gt;6.21132132568976&lt;/D&gt;&lt;D xsi:type="xsd:double"&gt;6.22313162919097&lt;/D&gt;&lt;D xsi:type="xsd:double"&gt;6.19955576463213&lt;/D&gt;&lt;D xsi:type="xsd:double"&gt;6.18935974787024&lt;/D&gt;&lt;D xsi:type="xsd:double"&gt;6.31501704738852&lt;/D&gt;&lt;D xsi:type="xsd:double"&gt;6.71978161247342&lt;/D&gt;&lt;D xsi:type="xsd:double"&gt;6.77265006143809&lt;/D&gt;&lt;D xsi:type="xsd:double"&gt;6.811322816106&lt;/D&gt;&lt;D xsi:type="xsd:double"&gt;6.89626731256187&lt;/D&gt;&lt;D xsi:type="xsd:double"&gt;6.93521627229213&lt;/D&gt;&lt;D xsi:type="xsd:double"&gt;7.11001345143445&lt;/D&gt;&lt;D xsi:type="xsd:double"&gt;7.20510824882582&lt;/D&gt;&lt;D xsi:type="xsd:double"&gt;7.28812084404019&lt;/D&gt;&lt;D xsi:type="xsd:double"&gt;7.30597610580515&lt;/D&gt;&lt;D xsi:type="xsd:double"&gt;7.30533723555227&lt;/D&gt;&lt;D xsi:type="xsd:double"&gt;7.25897639576869&lt;/D&gt;&lt;D xsi:type="xsd:double"&gt;7.28430640619055&lt;/D&gt;&lt;D xsi:type="xsd:double"&gt;7.43875321140275&lt;/D&gt;&lt;D xsi:type="xsd:double"&gt;7.25330108612381&lt;/D&gt;&lt;D xsi:type="xsd:double"&gt;7.32327759440291&lt;/D&gt;&lt;D xsi:type="xsd:double"&gt;7.22881184646119&lt;/D&gt;&lt;D xsi:type="xsd:double"&gt;7.18032510501585&lt;/D&gt;&lt;D xsi:type="xsd:double"&gt;7.39658100439653&lt;/D&gt;&lt;D xsi:type="xsd:double"&gt;7.42486243400504&lt;/D&gt;&lt;D xsi:type="xsd:double"&gt;7.45868726358292&lt;/D&gt;&lt;D xsi:type="xsd:double"&gt;7.4222227137383&lt;/D&gt;&lt;D xsi:type="xsd:double"&gt;7.3815419376769&lt;/D&gt;&lt;D xsi:type="xsd:double"&gt;7.36721461307647&lt;/D&gt;&lt;D xsi:type="xsd:double"&gt;7.41958431927243&lt;/D&gt;&lt;D xsi:type="xsd:double"&gt;7.45535750564016&lt;/D&gt;&lt;D xsi:type="xsd:double"&gt;7.58883970055956&lt;/D&gt;&lt;D xsi:type="xsd:double"&gt;7.42354233920867&lt;/D&gt;&lt;D xsi:type="xsd:double"&gt;7.39723648121745&lt;/D&gt;&lt;D xsi:type="xsd:double"&gt;7.37567343586306&lt;/D&gt;&lt;D xsi:type="xsd:double"&gt;7.54495415723579&lt;/D&gt;&lt;D xsi:type="xsd:double"&gt;7.57988401867865&lt;/D&gt;&lt;D xsi:type="xsd:double"&gt;7.46535626770409&lt;/D&gt;&lt;D xsi:type="xsd:double"&gt;7.44339484306718&lt;/D&gt;&lt;D xsi:type="xsd:double"&gt;7.43345533615795&lt;/D&gt;&lt;D xsi:type="xsd:double"&gt;7.40905111911865&lt;/D&gt;&lt;D xsi:type="xsd:double"&gt;7.55451051493432&lt;/D&gt;&lt;D xsi:type="xsd:double"&gt;7.42948674133796&lt;/D&gt;&lt;D xsi:type="xsd:double"&gt;7.44472200849666&lt;/D&gt;&lt;D xsi:type="xsd:double"&gt;7.28176566506223&lt;/D&gt;&lt;D xsi:type="xsd:double"&gt;7.31685937566995&lt;/D&gt;&lt;D xsi:type="xsd:double"&gt;7.35488481294248&lt;/D&gt;&lt;D xsi:type="xsd:double"&gt;7.27795681551544&lt;/D&gt;&lt;D xsi:type="xsd:double"&gt;7.25519186971591&lt;/D&gt;&lt;D xsi:type="xsd:double"&gt;7.32841845621149&lt;/D&gt;&lt;D xsi:type="xsd:double"&gt;7.3046984770215&lt;/D&gt;&lt;D xsi:type="xsd:double"&gt;7.28812084404019&lt;/D&gt;&lt;D xsi:type="xsd:double"&gt;7.20759680703461&lt;/D&gt;&lt;D xsi:type="xsd:double"&gt;7.20946331457383&lt;/D&gt;&lt;D xsi:type="xsd:double"&gt;7.36981480097594&lt;/D&gt;&lt;D xsi:type="xsd:double"&gt;7.3665644457629&lt;/D&gt;&lt;D xsi:type="xsd:double"&gt;7.37416412927824&lt;/D&gt;&lt;D xsi:type="xsd:double"&gt;7.28125825967734&lt;/D&gt;&lt;D xsi:type="xsd:double"&gt;7.6662706782319&lt;/D&gt;&lt;D xsi:type="xsd:double"&gt;7.42447049047686&lt;/D&gt;&lt;D xsi:type="xsd:double"&gt;7.34443513251674&lt;/D&gt;&lt;D xsi:type="xsd:double"&gt;7.12585028317773&lt;/D&gt;&lt;D xsi:type="xsd:double"&gt;7.21729373281247&lt;/D&gt;&lt;D xsi:type="xsd:double"&gt;7.27430592937405&lt;/D&gt;&lt;D xsi:type="xsd:double"&gt;7.12100633491845&lt;/D&gt;&lt;D xsi:type="xsd:double"&gt;7.16361730580938&lt;/D&gt;&lt;D xsi:type="xsd:double"&gt;7.24036625827139&lt;/D&gt;&lt;D xsi:type="xsd:double"&gt;7.27051862136135&lt;/D&gt;&lt;D xsi:type="xsd:double"&gt;7.33543429952251&lt;/D&gt;&lt;D xsi:type="xsd:double"&gt;7.39303042756926&lt;/D&gt;&lt;D xsi:type="xsd:double"&gt;7.40348082054259&lt;/D&gt;&lt;D xsi:type="xsd:double"&gt;7.51636914873211&lt;/D&gt;&lt;D xsi:type="xsd:double"&gt;7.43237247126533&lt;/D&gt;&lt;D xsi:type="xsd:double"&gt;7.13859794938063&lt;/D&gt;&lt;D xsi:type="xsd:double"&gt;7.15139079533049&lt;/D&gt;&lt;D xsi:type="xsd:double"&gt;7.11737794657668&lt;/D&gt;&lt;D xsi:type="xsd:double"&gt;7.09808596562894&lt;/D&gt;&lt;D xsi:type="xsd:double"&gt;7.08009488318357&lt;/D&gt;&lt;D xsi:type="xsd:double"&gt;7.26925758999541&lt;/D&gt;&lt;D xsi:type="xsd:double"&gt;7.25164423781448&lt;/D&gt;&lt;D xsi:type="xsd:double"&gt;7.10771861281215&lt;/D&gt;&lt;D xsi:type="xsd:double"&gt;7.1288809717121&lt;/D&gt;&lt;D xsi:type="xsd:double"&gt;7.1746577885538&lt;/D&gt;&lt;D xsi:type="xsd:double"&gt;7.00727488271048&lt;/D&gt;&lt;D xsi:type="xsd:double"&gt;7.0172503662303&lt;/D&gt;&lt;D xsi:type="xsd:double"&gt;6.92047269596703&lt;/D&gt;&lt;D xsi:type="xsd:double"&gt;7.01255239866809&lt;/D&gt;&lt;D xsi:type="xsd:double"&gt;7.00083568975629&lt;/D&gt;&lt;D xsi:type="xsd:double"&gt;6.99674413508418&lt;/D&gt;&lt;D xsi:type="xsd:double"&gt;6.92390353063689&lt;/D&gt;&lt;D xsi:type="xsd:double"&gt;6.83356463810706&lt;/D&gt;&lt;D xsi:type="xsd:double"&gt;6.59167798018331&lt;/D&gt;&lt;D xsi:type="xsd:double"&gt;6.58184121347564&lt;/D&gt;&lt;D xsi:type="xsd:double"&gt;6.67569532206658&lt;/D&gt;&lt;D xsi:type="xsd:double"&gt;6.62450566282618&lt;/D&gt;&lt;D xsi:type="xsd:double"&gt;6.58184121347564&lt;/D&gt;&lt;D xsi:type="xsd:double"&gt;6.63552129916075&lt;/D&gt;&lt;D xsi:type="xsd:double"&gt;6.60362494104614&lt;/D&gt;&lt;D xsi:type="xsd:double"&gt;6.65184945028784&lt;/D&gt;&lt;D xsi:type="xsd:double"&gt;6.69542978666821&lt;/D&gt;&lt;D xsi:type="xsd:double"&gt;6.5921963820576&lt;/D&gt;&lt;D xsi:type="xsd:double"&gt;6.63499606113459&lt;/D&gt;&lt;D xsi:type="xsd:double"&gt;6.5906409866295&lt;/D&gt;&lt;D xsi:type="xsd:double"&gt;6.64341228774173&lt;/D&gt;&lt;D xsi:type="xsd:double"&gt;6.62607708539542&lt;/D&gt;&lt;D xsi:type="xsd:double"&gt;6.59167798018331&lt;/D&gt;&lt;D xsi:type="xsd:double"&gt;6.58184121347564&lt;/D&gt;&lt;D xsi:type="xsd:double"&gt;6.53462242265506&lt;/D&gt;&lt;D xsi:type="xsd:double"&gt;6.44813756508266&lt;/D&gt;&lt;D xsi:type="xsd:double"&gt;6.50621134985148&lt;/D&gt;&lt;D xsi:type="xsd:double"&gt;6.49914682450061&lt;/D&gt;&lt;D xsi:type="xsd:double"&gt;6.56174136017156&lt;/D&gt;&lt;D xsi:type="xsd:double"&gt;6.55148157497355&lt;/D&gt;&lt;D xsi:type="xsd:double"&gt;6.60310430422034&lt;/D&gt;&lt;D xsi:type="xsd:double"&gt;6.89238207065353&lt;/D&gt;&lt;D xsi:type="xsd:double"&gt;6.92700330840605&lt;/D&gt;&lt;D xsi:type="xsd:double"&gt;7.20910625465663&lt;/D&gt;&lt;D xsi:type="xsd:double"&gt;7.02951623572217&lt;/D&gt;&lt;D xsi:type="xsd:double"&gt;7.07488668507741&lt;/D&gt;&lt;D xsi:type="xsd:double"&gt;6.93037193920123&lt;/D&gt;&lt;D xsi:type="xsd:double"&gt;7.08426571125426&lt;/D&gt;&lt;D xsi:type="xsd:double"&gt;7.19091712381724&lt;/D&gt;&lt;D xsi:type="xsd:double"&gt;7.09661332934882&lt;/D&gt;&lt;D xsi:type="xsd:double"&gt;7.31957950186894&lt;/D&gt;&lt;D xsi:type="xsd:double"&gt;7.26299696965977&lt;/D&gt;&lt;D xsi:type="xsd:double"&gt;7.12797037672535&lt;/D&gt;&lt;D xsi:type="xsd:double"&gt;7.03529996936127&lt;/D&gt;&lt;D xsi:type="xsd:double"&gt;7.06494792497534&lt;/D&gt;&lt;D xsi:type="xsd:double"&gt;7.0185525610979&lt;/D&gt;&lt;D xsi:type="xsd:double"&gt;6.95291541305602&lt;/D&gt;&lt;D xsi:type="xsd:double"&gt;7.08837689070049&lt;/D&gt;&lt;D xsi:type="xsd:double"&gt;7.04805873908538&lt;/D&gt;&lt;D xsi:type="xsd:double"&gt;7.07722898742405&lt;/D&gt;&lt;D xsi:type="xsd:double"&gt;7.02547303036824&lt;/D&gt;&lt;D xsi:type="xsd:double"&gt;6.95914031234431&lt;/D&gt;&lt;D xsi:type="xsd:double"&gt;6.97162409560606&lt;/D&gt;&lt;D xsi:type="xsd:double"&gt;6.98872041491194&lt;/D&gt;&lt;D xsi:type="xsd:double"&gt;6.91356051339271&lt;/D&gt;&lt;D xsi:type="xsd:double"&gt;6.718001152809&lt;/D&gt;&lt;D xsi:type="xsd:double"&gt;6.6864782559739&lt;/D&gt;&lt;D xsi:type="xsd:double"&gt;6.64645568113443&lt;/D&gt;&lt;D xsi:type="xsd:double"&gt;6.51031748604872&lt;/D&gt;&lt;D xsi:type="xsd:double"&gt;6.49597369806234&lt;/D&gt;&lt;D xsi:type="xsd:double"&gt;6.48414994933934&lt;/D&gt;&lt;D xsi:type="xsd:double"&gt;6.45380469857634&lt;/D&gt;&lt;D xsi:type="xsd:double"&gt;6.41266054135744&lt;/D&gt;&lt;D xsi:type="xsd:double"&gt;6.40689402298935&lt;/D&gt;&lt;D xsi:type="xsd:double"&gt;6.4915345844944&lt;/D&gt;&lt;D xsi:type="xsd:double"&gt;6.54320082915441&lt;/D&gt;&lt;D xsi:type="xsd:double"&gt;6.65784191913092&lt;/D&gt;&lt;D xsi:type="xsd:double"&gt;6.63150597986105&lt;/D&gt;&lt;D xsi:type="xsd:double"&gt;6.61508706876826&lt;/D&gt;&lt;D xsi:type="xsd:double"&gt;6.5502186266471&lt;/D&gt;&lt;D xsi:type="xsd:double"&gt;6.60129666629898&lt;/D&gt;&lt;D xsi:type="xsd:double"&gt;6.59722210768712&lt;/D&gt;&lt;D xsi:type="xsd:double"&gt;6.60895157376651&lt;/D&gt;&lt;D xsi:type="xsd:double"&gt;6.74875674403262&lt;/D&gt;&lt;D xsi:type="xsd:double"&gt;6.89460554341454&lt;/D&gt;&lt;D xsi:type="xsd:double"&gt;6.83453281662443&lt;/D&gt;&lt;D xsi:type="xsd:double"&gt;6.79920492817252&lt;/D&gt;&lt;D xsi:type="xsd:double"&gt;6.74715892318852&lt;/D&gt;&lt;D xsi:type="xsd:double"&gt;6.88516698182371&lt;/D&gt;&lt;D xsi:type="xsd:double"&gt;6.82307939355652&lt;/D&gt;&lt;D xsi:type="xsd:double"&gt;6.77603434554977&lt;/D&gt;&lt;D xsi:type="xsd:double"&gt;6.67238979780924&lt;/D&gt;&lt;D xsi:type="xsd:double"&gt;6.75729094800062&lt;/D&gt;&lt;D xsi:type="xsd:double"&gt;6.75462174861216&lt;/D&gt;&lt;D xsi:type="xsd:double"&gt;6.73546540449433&lt;/D&gt;&lt;D xsi:type="xsd:double"&gt;6.68125362499767&lt;/D&gt;&lt;D xsi:type="xsd:double"&gt;6.78024526723625&lt;/D&gt;&lt;D xsi:type="xsd:double"&gt;6.77323585653528&lt;/D&gt;&lt;D xsi:type="xsd:double"&gt;6.7818652380984&lt;/D&gt;&lt;D xsi:type="xsd:double"&gt;6.72191498216037&lt;/D&gt;&lt;D xsi:type="xsd:double"&gt;6.60872707523448&lt;/D&gt;&lt;D xsi:type="xsd:double"&gt;6.62930390983086&lt;/D&gt;&lt;D xsi:type="xsd:double"&gt;6.60053197647518&lt;/D&gt;&lt;D xsi:type="xsd:double"&gt;6.55178547619851&lt;/D&gt;&lt;D xsi:type="xsd:double"&gt;6.49928790552063&lt;/D&gt;&lt;D xsi:type="xsd:double"&gt;6.22735655315317&lt;/D&gt;&lt;D xsi:type="xsd:double"&gt;6.01349416062656&lt;/D&gt;&lt;D xsi:type="xsd:double"&gt;6.04109880337915&lt;/D&gt;&lt;D xsi:type="xsd:double"&gt;6.10724356340806&lt;/D&gt;&lt;D xsi:type="xsd:double"&gt;6.06808341041822&lt;/D&gt;&lt;D xsi:type="xsd:double"&gt;6.03374201275859&lt;/D&gt;&lt;D xsi:type="xsd:double"&gt;6.03850002693171&lt;/D&gt;&lt;D xsi:type="xsd:double"&gt;6.0502110646381&lt;/D&gt;&lt;D xsi:type="xsd:double"&gt;6.00235160131036&lt;/D&gt;&lt;D xsi:type="xsd:double"&gt;5.98401394610354&lt;/D&gt;&lt;D xsi:type="xsd:double"&gt;5.98188911288405&lt;/D&gt;&lt;D xsi:type="xsd:double"&gt;5.96832454984957&lt;/D&gt;&lt;D xsi:type="xsd:double"&gt;6.00577551408087&lt;/D&gt;&lt;D xsi:type="xsd:double"&gt;6.02553961117434&lt;/D&gt;&lt;D xsi:type="xsd:double"&gt;6.02985380619447&lt;/D&gt;&lt;D xsi:type="xsd:double"&gt;6.09398707514093&lt;/D&gt;&lt;D xsi:type="xsd:double"&gt;6.16716609405557&lt;/D&gt;&lt;D xsi:type="xsd:double"&gt;6.10990111308346&lt;/D&gt;&lt;D xsi:type="xsd:double"&gt;6.08210538159889&lt;/D&gt;&lt;D xsi:type="xsd:double"&gt;6.08870043143313&lt;/D&gt;&lt;D xsi:type="xsd:double"&gt;6.13393032014639&lt;/D&gt;&lt;D xsi:type="xsd:double"&gt;6.23750277334967&lt;/D&gt;&lt;D xsi:type="xsd:double"&gt;6.19073838298656&lt;/D&gt;&lt;D xsi:type="xsd:double"&gt;6.14019074748165&lt;/D&gt;&lt;D xsi:type="xsd:double"&gt;6.08034913851181&lt;/D&gt;&lt;D xsi:type="xsd:double"&gt;6.03374201275859&lt;/D&gt;&lt;D xsi:type="xsd:double"&gt;5.97679509305123&lt;/D&gt;&lt;D xsi:type="xsd:double"&gt;5.95861302318037&lt;/D&gt;&lt;D xsi:type="xsd:double"&gt;5.92341194214343&lt;/D&gt;&lt;D xsi:type="xsd:double"&gt;5.8812227085536&lt;/D&gt;&lt;D xsi:type="xsd:double"&gt;5.87343085421299&lt;/D&gt;&lt;D xsi:type="xsd:double"&gt;5.89852252628057&lt;/D&gt;&lt;D xsi:type="xsd:double"&gt;5.95777025205479&lt;/D&gt;&lt;D xsi:type="xsd:double"&gt;6.03374201275859&lt;/D&gt;&lt;D xsi:type="xsd:double"&gt;5.98019026094919&lt;/D&gt;&lt;D xsi:type="xsd:double"&gt;5.89521977850952&lt;/D&gt;&lt;D xsi:type="xsd:double"&gt;5.87547932160306&lt;/D&gt;&lt;D xsi:type="xsd:double"&gt;5.87015613793505&lt;/D&gt;&lt;D xsi:type="xsd:double"&gt;5.91592337033467&lt;/D&gt;&lt;D xsi:type="xsd:double"&gt;5.94305636769072&lt;/D&gt;&lt;D xsi:type="xsd:double"&gt;5.94599361031635&lt;/D&gt;&lt;D xsi:type="xsd:double"&gt;5.97806742710076&lt;/D&gt;&lt;D xsi:type="xsd:double"&gt;5.88533299684923&lt;/D&gt;&lt;D xsi:type="xsd:double"&gt;5.87261200509884&lt;/D&gt;&lt;D xsi:type="xsd:double"&gt;5.86770232395045&lt;/D&gt;&lt;D xsi:type="xsd:double"&gt;5.79862287345654&lt;/D&gt;&lt;D xsi:type="xsd:double"&gt;5.80822023470089&lt;/D&gt;&lt;D xsi:type="xsd:double"&gt;5.76646597058503&lt;/D&gt;&lt;D xsi:type="xsd:double"&gt;5.8599458869157&lt;/D&gt;&lt;D xsi:type="xsd:double"&gt;5.79104720317322&lt;/D&gt;&lt;D xsi:type="xsd:double"&gt;5.80741912893011&lt;/D&gt;&lt;D xsi:type="xsd:double"&gt;5.71365557969892&lt;/D&gt;&lt;D xsi:type="xsd:double"&gt;5.7167292076842&lt;/D&gt;&lt;D xsi:type="xsd:double"&gt;5.73249473814308&lt;/D&gt;&lt;D xsi:type="xsd:double"&gt;5.76156013830049&lt;/D&gt;&lt;D xsi:type="xsd:double"&gt;5.77223099729606&lt;/D&gt;&lt;D xsi:type="xsd:double"&gt;5.75194385504595&lt;/D&gt;&lt;D xsi:type="xsd:double"&gt;5.7698826550115&lt;/D&gt;&lt;D xsi:type="xsd:double"&gt;5.79542396800741&lt;/D&gt;&lt;D xsi:type="xsd:double"&gt;5.72562703631926&lt;/D&gt;&lt;D xsi:type="xsd:double"&gt;5.72524251984183&lt;/D&gt;&lt;D xsi:type="xsd:double"&gt;5.72524251984183&lt;/D&gt;&lt;D xsi:type="xsd:double"&gt;5.85161269860812&lt;/D&gt;&lt;D xsi:type="xsd:double"&gt;5.85483315891785&lt;/D&gt;&lt;D xsi:type="xsd:double"&gt;5.76519203047527&lt;/D&gt;&lt;D xsi:type="xsd:double"&gt;5.70184266449388&lt;/D&gt;&lt;D xsi:type="xsd:double"&gt;5.73952980623921&lt;/D&gt;&lt;D xsi:type="xsd:double"&gt;5.77654031447486&lt;/D&gt;&lt;D xsi:type="xsd:double"&gt;5.77340638539901&lt;/D&gt;&lt;D xsi:type="xsd:double"&gt;5.74185284193868&lt;/D&gt;&lt;D xsi:type="xsd:double"&gt;5.72139266478555&lt;/D&gt;&lt;D xsi:type="xsd:double"&gt;5.74611756384152&lt;/D&gt;&lt;D xsi:type="xsd:double"&gt;5.80728861179089&lt;/D&gt;&lt;D xsi:type="xsd:double"&gt;5.82677136908675&lt;/D&gt;&lt;D xsi:type="xsd:double"&gt;5.81046045574928&lt;/D&gt;&lt;D xsi:type="xsd:double"&gt;5.87747809170041&lt;/D&gt;&lt;D xsi:type="xsd:double"&gt;5.88113347085384&lt;/D&gt;&lt;D xsi:type="xsd:double"&gt;6.05952746471734&lt;/D&gt;&lt;D xsi:type="xsd:double"&gt;6.37405464005363&lt;/D&gt;&lt;D xsi:type="xsd:double"&gt;6.51607963196661&lt;/D&gt;&lt;D xsi:type="xsd:double"&gt;7.58166725563585&lt;/D&gt;&lt;D xsi:type="xsd:double"&gt;8.06514377933444&lt;/D&gt;&lt;D xsi:type="xsd:double"&gt;7.65840628412059&lt;/D&gt;&lt;D xsi:type="xsd:double"&gt;7.74672305867895&lt;/D&gt;&lt;D xsi:type="xsd:double"&gt;7.50627280452592&lt;/D&gt;&lt;D xsi:type="xsd:double"&gt;7.84981976028848&lt;/D&gt;&lt;D xsi:type="xsd:double"&gt;7.94720070583858&lt;/D&gt;&lt;D xsi:type="xsd:double"&gt;8.86810913556244&lt;/D&gt;&lt;D xsi:type="xsd:double"&gt;8.6655322907196&lt;/D&gt;&lt;D xsi:type="xsd:double"&gt;9.29145414788167&lt;/D&gt;&lt;D xsi:type="xsd:double"&gt;11.3178120858388&lt;/D&gt;&lt;D xsi:type="xsd:double"&gt;9.86309919683797&lt;/D&gt;&lt;D xsi:type="xsd:double"&gt;11.449554864206&lt;/D&gt;&lt;D xsi:type="xsd:double"&gt;11.2624344315145&lt;/D&gt;&lt;D xsi:type="xsd:double"&gt;11.7668889863449&lt;/D&gt;&lt;D xsi:type="xsd:double"&gt;11.5175010155557&lt;/D&gt;&lt;D xsi:type="xsd:double"&gt;12.1923073124704&lt;/D&gt;&lt;D xsi:type="xsd:double"&gt;12.428123501246&lt;/D&gt;&lt;D xsi:type="xsd:double"&gt;11.2624344315145&lt;/D&gt;&lt;D xsi:type="xsd:double"&gt;10.7469772514434&lt;/D&gt;&lt;D xsi:type="xsd:double"&gt;9.66561701287779&lt;/D&gt;&lt;D xsi:type="xsd:double"&gt;9.80831415480972&lt;/D&gt;&lt;D xsi:type="xsd:double"&gt;10.0550514064503&lt;/D&gt;&lt;D xsi:type="xsd:double"&gt;9.94841844520346&lt;/D&gt;&lt;D xsi:type="xsd:double"&gt;10.6109577238222&lt;/D&gt;&lt;D xsi:type="xsd:double"&gt;10.6244465327384&lt;/D&gt;&lt;D xsi:type="xsd:double"&gt;10.9889228361135&lt;/D&gt;&lt;D xsi:type="xsd:double"&gt;10.0484571774698&lt;/D&gt;&lt;D xsi:type="xsd:double"&gt;9.77390418407155&lt;/D&gt;&lt;D xsi:type="xsd:double"&gt;9.40879551140238&lt;/D&gt;&lt;D xsi:type="xsd:double"&gt;9.09960748843099&lt;/D&gt;&lt;D xsi:type="xsd:double"&gt;9.43777209686816&lt;/D&gt;&lt;D xsi:type="xsd:double"&gt;9.43970980066542&lt;/D&gt;&lt;D xsi:type="xsd:double"&gt;9.03565523770731&lt;/D&gt;&lt;D xsi:type="xsd:double"&gt;9.38279769130633&lt;/D&gt;&lt;D xsi:type="xsd:double"&gt;8.74188075969741&lt;/D&gt;&lt;D xsi:type="xsd:double"&gt;8.9681538167521&lt;/D&gt;&lt;D xsi:type="xsd:double"&gt;9.36424282605357&lt;/D&gt;&lt;D xsi:type="xsd:double"&gt;9.15896603699691&lt;/D&gt;&lt;D xsi:type="xsd:double"&gt;9.1442265822301&lt;/D&gt;&lt;D xsi:type="xsd:double"&gt;9.02130887283617&lt;/D&gt;&lt;D xsi:type="xsd:double"&gt;8.67338345045581&lt;/D&gt;&lt;D xsi:type="xsd:double"&gt;8.3866314243641&lt;/D&gt;&lt;D xsi:type="xsd:double"&gt;8.02573822144665&lt;/D&gt;&lt;D xsi:type="xsd:double"&gt;8.22318716755196&lt;/D&gt;&lt;D xsi:type="xsd:double"&gt;8.59987277348219&lt;/D&gt;&lt;D xsi:type="xsd:double"&gt;8.81876209272752&lt;/D&gt;&lt;D xsi:type="xsd:double"&gt;8.76255158842716&lt;/D&gt;&lt;D xsi:type="xsd:double"&gt;8.99370431704103&lt;/D&gt;&lt;D xsi:type="xsd:double"&gt;8.60403861526947&lt;/D&gt;&lt;D xsi:type="xsd:double"&gt;7.99266081912944&lt;/D&gt;&lt;D xsi:type="xsd:double"&gt;8.25871719988524&lt;/D&gt;&lt;D xsi:type="xsd:double"&gt;8.78332966190153&lt;/D&gt;&lt;D xsi:type="xsd:double"&gt;9.10569176759871&lt;/D&gt;&lt;D xsi:type="xsd:double"&gt;9.13646516740928&lt;/D&gt;&lt;D xsi:type="xsd:double"&gt;9.11839940723109&lt;/D&gt;&lt;D xsi:type="xsd:double"&gt;8.28927926789085&lt;/D&gt;&lt;D xsi:type="xsd:double"&gt;8.50879098503806&lt;/D&gt;&lt;D xsi:type="xsd:double"&gt;8.52544645418583&lt;/D&gt;&lt;D xsi:type="xsd:double"&gt;8.40300050981004&lt;/D&gt;&lt;D xsi:type="xsd:double"&gt;8.46926647174932&lt;/D&gt;&lt;D xsi:type="xsd:double"&gt;7.98695953143384&lt;/D&gt;&lt;D xsi:type="xsd:double"&gt;7.44610121023717&lt;/D&gt;&lt;D xsi:type="xsd:double"&gt;7.68326183353898&lt;/D&gt;&lt;D xsi:type="xsd:double"&gt;7.81655056092739&lt;/D&gt;&lt;D xsi:type="xsd:double"&gt;7.77854966918995&lt;/D&gt;&lt;D xsi:type="xsd:double"&gt;7.77932180028132&lt;/D&gt;&lt;D xsi:type="xsd:double"&gt;7.41301054515576&lt;/D&gt;&lt;D xsi:type="xsd:double"&gt;7.37327188940092&lt;/D&gt;&lt;D xsi:type="xsd:double"&gt;7.00688159855557&lt;/D&gt;&lt;D xsi:type="xsd:double"&gt;6.7621184770492&lt;/D&gt;&lt;D xsi:type="xsd:double"&gt;7.12792109334326&lt;/D&gt;&lt;D xsi:type="xsd:double"&gt;7.68627514881974&lt;/D&gt;&lt;D xsi:type="xsd:double"&gt;8.48117721453715&lt;/D&gt;&lt;D xsi:type="xsd:double"&gt;8.13109339056756&lt;/D&gt;&lt;D xsi:type="xsd:double"&gt;8.17603527207025&lt;/D&gt;&lt;D xsi:type="xsd:double"&gt;8.09548265591414&lt;/D&gt;&lt;D xsi:type="xsd:double"&gt;8.37687002105024&lt;/D&gt;&lt;D xsi:type="xsd:double"&gt;8.54635734379727&lt;/D&gt;&lt;D xsi:type="xsd:double"&gt;8.8466013480805&lt;/D&gt;&lt;D xsi:type="xsd:double"&gt;8.76566621780612&lt;/D&gt;&lt;D xsi:type="xsd:double"&gt;8.83168469331268&lt;/D&gt;&lt;D xsi:type="xsd:double"&gt;9.46814494707354&lt;/D&gt;&lt;D xsi:type="xsd:double"&gt;9.31436493961264&lt;/D&gt;&lt;D xsi:type="xsd:double"&gt;9.31215662004473&lt;/D&gt;&lt;D xsi:type="xsd:double"&gt;8.7344826456748&lt;/D&gt;&lt;D xsi:type="xsd:double"&gt;8.8000297089003&lt;/D&gt;&lt;D xsi:type="xsd:double"&gt;9.01510760747969&lt;/D&gt;&lt;D xsi:type="xsd:double"&gt;8.93615439387137&lt;/D&gt;&lt;D xsi:type="xsd:double"&gt;8.84162275253686&lt;/D&gt;&lt;D xsi:type="xsd:double"&gt;9.10179152382922&lt;/D&gt;&lt;D xsi:type="xsd:double"&gt;9.0182116471466&lt;/D&gt;&lt;D xsi:type="xsd:double"&gt;9.36320645626793&lt;/D&gt;&lt;D xsi:type="xsd:double"&gt;9.17299067932417&lt;/D&gt;&lt;D xsi:type="xsd:double"&gt;9.27697054218605&lt;/D&gt;&lt;D xsi:type="xsd:double"&gt;9.2246880325816&lt;/D&gt;&lt;D xsi:type="xsd:double"&gt;8.68044026845824&lt;/D&gt;&lt;D xsi:type="xsd:double"&gt;8.55287055290288&lt;/D&gt;&lt;D xsi:type="xsd:double"&gt;8.52873009341092&lt;/D&gt;&lt;D xsi:type="xsd:double"&gt;8.79510415250289&lt;/D&gt;&lt;D xsi:type="xsd:double"&gt;8.6289585778924&lt;/D&gt;&lt;D xsi:type="xsd:double"&gt;8.59685635314992&lt;/D&gt;&lt;D xsi:type="xsd:double"&gt;8.54542727777296&lt;/D&gt;&lt;D xsi:type="xsd:double"&gt;8.61287718157719&lt;/D&gt;&lt;D xsi:type="xsd:double"&gt;8.7296294097723&lt;/D&gt;&lt;D xsi:type="xsd:double"&gt;8.72672081771468&lt;/D&gt;&lt;D xsi:type="xsd:double"&gt;8.62138308193236&lt;/D&gt;&lt;D xsi:type="xsd:double"&gt;8.73059962543982&lt;/D&gt;&lt;D xsi:type="xsd:double"&gt;8.81582878532073&lt;/D&gt;&lt;D xsi:type="xsd:double"&gt;8.57153191961343&lt;/D&gt;&lt;D xsi:type="xsd:double"&gt;8.72074973331947&lt;/D&gt;&lt;D xsi:type="xsd:double"&gt;8.70556743672054&lt;/D&gt;&lt;D xsi:type="xsd:double"&gt;8.68024210236853&lt;/D&gt;&lt;D xsi:type="xsd:double"&gt;8.39884855145899&lt;/D&gt;&lt;D xsi:type="xsd:double"&gt;8.09630784882801&lt;/D&gt;&lt;D xsi:type="xsd:double"&gt;7.96661161206935&lt;/D&gt;&lt;D xsi:type="xsd:double"&gt;8.02348956805945&lt;/D&gt;&lt;D xsi:type="xsd:double"&gt;8.09403586111153&lt;/D&gt;&lt;D xsi:type="xsd:double"&gt;8.00049347043726&lt;/D&gt;&lt;D xsi:type="xsd:double"&gt;8.1489158967503&lt;/D&gt;&lt;D xsi:type="xsd:double"&gt;8.38989098679045&lt;/D&gt;&lt;D xsi:type="xsd:double"&gt;8.44557217231264&lt;/D&gt;&lt;D xsi:type="xsd:double"&gt;8.50032722009634&lt;/D&gt;&lt;D xsi:type="xsd:double"&gt;8.59745059797418&lt;/D&gt;&lt;D xsi:type="xsd:double"&gt;8.37527461478553&lt;/D&gt;&lt;D xsi:type="xsd:double"&gt;8.43487090345734&lt;/D&gt;&lt;D xsi:type="xsd:double"&gt;8.47535126305194&lt;/D&gt;&lt;D xsi:type="xsd:double"&gt;8.40619190007929&lt;/D&gt;&lt;D xsi:type="xsd:double"&gt;8.38826458297701&lt;/D&gt;&lt;D xsi:type="xsd:double"&gt;8.45712806925035&lt;/D&gt;&lt;D xsi:type="xsd:double"&gt;8.45299748785368&lt;/D&gt;&lt;D xsi:type="xsd:double"&gt;8.2783252418223&lt;/D&gt;&lt;D xsi:type="xsd:double"&gt;8.65939491092557&lt;/D&gt;&lt;D xsi:type="xsd:double"&gt;8.6715437741264&lt;/D&gt;&lt;D xsi:type="xsd:double"&gt;8.9643986080799&lt;/D&gt;&lt;D xsi:type="xsd:double"&gt;8.93293420983284&lt;/D&gt;&lt;D xsi:type="xsd:double"&gt;9.27374777279355&lt;/D&gt;&lt;D xsi:type="xsd:double"&gt;9.15793602467368&lt;/D&gt;&lt;D xsi:type="xsd:double"&gt;9.06203169119351&lt;/D&gt;&lt;D xsi:type="xsd:double"&gt;9.25787229283613&lt;/D&gt;&lt;D xsi:type="xsd:double"&gt;9.04214643918917&lt;/D&gt;&lt;D xsi:type="xsd:double"&gt;8.74339032479159&lt;/D&gt;&lt;D xsi:type="xsd:double"&gt;8.76730853009146&lt;/D&gt;&lt;D xsi:type="xsd:double"&gt;8.98580862258427&lt;/D&gt;&lt;D xsi:type="xsd:double"&gt;8.84798915732017&lt;/D&gt;&lt;D xsi:type="xsd:double"&gt;9.30265961177769&lt;/D&gt;&lt;D xsi:type="xsd:double"&gt;9.29866147627781&lt;/D&gt;&lt;D xsi:type="xsd:double"&gt;9.27275369164552&lt;/D&gt;&lt;D xsi:type="xsd:double"&gt;9.08963654179324&lt;/D&gt;&lt;D xsi:type="xsd:double"&gt;9.19491359447746&lt;/D&gt;&lt;D xsi:type="xsd:double"&gt;9.27871965545516&lt;/D&gt;&lt;D xsi:type="xsd:double"&gt;9.21253464834281&lt;/D&gt;&lt;D xsi:type="xsd:double"&gt;9.06298028131128&lt;/D&gt;&lt;D xsi:type="xsd:double"&gt;9.12414003839621&lt;/D&gt;&lt;D xsi:type="xsd:double"&gt;9.17444238885966&lt;/D&gt;&lt;D xsi:type="xsd:double"&gt;9.06392948081585&lt;/D&gt;&lt;D xsi:type="xsd:double"&gt;8.90613829754357&lt;/D&gt;&lt;D xsi:type="xsd:double"&gt;8.91342179488505&lt;/D&gt;&lt;D xsi:type="xsd:double"&gt;8.84919807239688&lt;/D&gt;&lt;D xsi:type="xsd:double"&gt;9.1548565964953&lt;/D&gt;&lt;D xsi:type="xsd:double"&gt;9.12324768641281&lt;/D&gt;&lt;D xsi:type="xsd:double"&gt;9.05409677960264&lt;/D&gt;&lt;D xsi:type="xsd:double"&gt;8.999896816183&lt;/D&gt;&lt;D xsi:type="xsd:double"&gt;9.30232644672804&lt;/D&gt;&lt;D xsi:type="xsd:double"&gt;9.23924602578452&lt;/D&gt;&lt;D xsi:type="xsd:double"&gt;9.39959079821419&lt;/D&gt;&lt;D xsi:type="xsd:double"&gt;9.29043253141571&lt;/D&gt;&lt;D xsi:type="xsd:double"&gt;9.2480648193164&lt;/D&gt;&lt;D xsi:type="xsd:double"&gt;9.57505246889377&lt;/D&gt;&lt;D xsi:type="xsd:double"&gt;9.95320203467337&lt;/D&gt;&lt;D xsi:type="xsd:double"&gt;10.4106967827303&lt;/D&gt;&lt;D xsi:type="xsd:double"&gt;11.9995252987792&lt;/D&gt;&lt;/FQL&gt;&lt;FQL&gt;&lt;Q&gt;CW^FG_FCF_YIELD_FY1(NOW-0/0/-1, NOW, D)&lt;/Q&gt;&lt;R&gt;254&lt;/R&gt;&lt;C&gt;1&lt;/C&gt;&lt;D xsi:type="xsd:double"&gt;5.74851863549023&lt;/D&gt;&lt;D xsi:type="xsd:double"&gt;5.70245751398285&lt;/D&gt;&lt;D xsi:type="xsd:double"&gt;5.72828072241639&lt;/D&gt;&lt;D xsi:type="xsd:double"&gt;5.53155811988756&lt;/D&gt;&lt;D xsi:type="xsd:double"&gt;5.55695065889042&lt;/D&gt;&lt;D xsi:type="xsd:double"&gt;5.61779416076363&lt;/D&gt;&lt;D xsi:type="xsd:double"&gt;5.5817722093274&lt;/D&gt;&lt;D xsi:type="xsd:double"&gt;5.55018236234188&lt;/D&gt;&lt;D xsi:type="xsd:double"&gt;5.55455974642768&lt;/D&gt;&lt;D xsi:type="xsd:double"&gt;5.5653326082076&lt;/D&gt;&lt;D xsi:type="xsd:double"&gt;5.52130810831702&lt;/D&gt;&lt;D xsi:type="xsd:double"&gt;5.50444070754081&lt;/D&gt;&lt;D xsi:type="xsd:double"&gt;5.50248561031232&lt;/D&gt;&lt;D xsi:type="xsd:double"&gt;5.49000881530715&lt;/D&gt;&lt;D xsi:type="xsd:double"&gt;5.52445776894552&lt;/D&gt;&lt;D xsi:type="xsd:double"&gt;5.5426387438873&lt;/D&gt;&lt;D xsi:type="xsd:double"&gt;5.54660672189941&lt;/D&gt;&lt;D xsi:type="xsd:double"&gt;5.60559985972547&lt;/D&gt;&lt;D xsi:type="xsd:double"&gt;5.67291460680774&lt;/D&gt;&lt;D xsi:type="xsd:double"&gt;5.62023920075253&lt;/D&gt;&lt;D xsi:type="xsd:double"&gt;5.59467069572471&lt;/D&gt;&lt;D xsi:type="xsd:double"&gt;5.60073732586748&lt;/D&gt;&lt;D xsi:type="xsd:double"&gt;5.64234198494318&lt;/D&gt;&lt;D xsi:type="xsd:double"&gt;5.73761386868484&lt;/D&gt;&lt;D xsi:type="xsd:double"&gt;5.69459770030505&lt;/D&gt;&lt;D xsi:type="xsd:double"&gt;5.64810062565705&lt;/D&gt;&lt;D xsi:type="xsd:double"&gt;5.59305512582249&lt;/D&gt;&lt;D xsi:type="xsd:double"&gt;5.55018236234188&lt;/D&gt;&lt;D xsi:type="xsd:double"&gt;5.49780024765391&lt;/D&gt;&lt;D xsi:type="xsd:double"&gt;5.48107505367617&lt;/D&gt;&lt;D xsi:type="xsd:double"&gt;5.44869514103893&lt;/D&gt;&lt;D xsi:type="xsd:double"&gt;5.40988742402963&lt;/D&gt;&lt;D xsi:type="xsd:double"&gt;5.40272010749252&lt;/D&gt;&lt;D xsi:type="xsd:double"&gt;5.42580054974211&lt;/D&gt;&lt;D xsi:type="xsd:double"&gt;5.48030037526357&lt;/D&gt;&lt;D xsi:type="xsd:double"&gt;5.55018236234188&lt;/D&gt;&lt;D xsi:type="xsd:double"&gt;5.50092344001788&lt;/D&gt;&lt;D xsi:type="xsd:double"&gt;5.42276234863308&lt;/D&gt;&lt;D xsi:type="xsd:double"&gt;5.4046034791054&lt;/D&gt;&lt;D xsi:type="xsd:double"&gt;5.39970740065537&lt;/D&gt;&lt;D xsi:type="xsd:double"&gt;5.4418066798177&lt;/D&gt;&lt;D xsi:type="xsd:double"&gt;5.46676526524499&lt;/D&gt;&lt;D xsi:type="xsd:double"&gt;5.46946735482776&lt;/D&gt;&lt;D xsi:type="xsd:double"&gt;5.49897114249924&lt;/D&gt;&lt;D xsi:type="xsd:double"&gt;5.41366753996342&lt;/D&gt;&lt;D xsi:type="xsd:double"&gt;5.40196625089173&lt;/D&gt;&lt;D xsi:type="xsd:double"&gt;5.39745043872096&lt;/D&gt;&lt;D xsi:type="xsd:double"&gt;5.33390683499623&lt;/D&gt;&lt;D xsi:type="xsd:double"&gt;5.34273512241943&lt;/D&gt;&lt;D xsi:type="xsd:double"&gt;5.30432701006279&lt;/D&gt;&lt;D xsi:type="xsd:double"&gt;5.39031543586899&lt;/D&gt;&lt;D xsi:type="xsd:double"&gt;5.32693845026256&lt;/D&gt;&lt;D xsi:type="xsd:double"&gt;5.34199819686193&lt;/D&gt;&lt;D xsi:type="xsd:double"&gt;5.25574922465873&lt;/D&gt;&lt;D xsi:type="xsd:double"&gt;5.19687422566574&lt;/D&gt;&lt;D xsi:type="xsd:double"&gt;5.2112062822134&lt;/D&gt;&lt;D xsi:type="xsd:double"&gt;5.23762831600141&lt;/D&gt;&lt;D xsi:type="xsd:double"&gt;5.25503637431077&lt;/D&gt;&lt;D xsi:type="xsd:double"&gt;5.23656633527755&lt;/D&gt;&lt;D xsi:type="xsd:double"&gt;5.2528981552347&lt;/D&gt;&lt;D xsi:type="xsd:double"&gt;5.27615111107828&lt;/D&gt;&lt;D xsi:type="xsd:double"&gt;5.2126082150497&lt;/D&gt;&lt;D xsi:type="xsd:double"&gt;5.21225800072482&lt;/D&gt;&lt;D xsi:type="xsd:double"&gt;5.21225800072482&lt;/D&gt;&lt;D xsi:type="xsd:double"&gt;5.32730566455075&lt;/D&gt;&lt;D xsi:type="xsd:double"&gt;5.3302372472608&lt;/D&gt;&lt;D xsi:type="xsd:double"&gt;5.2486283103558&lt;/D&gt;&lt;D xsi:type="xsd:double"&gt;5.19095498933311&lt;/D&gt;&lt;D xsi:type="xsd:double"&gt;5.22526455122528&lt;/D&gt;&lt;D xsi:type="xsd:double"&gt;5.25895986083109&lt;/D&gt;&lt;D xsi:type="xsd:double"&gt;5.25610586049496&lt;/D&gt;&lt;D xsi:type="xsd:double"&gt;5.22737978163457&lt;/D&gt;&lt;D xsi:type="xsd:double"&gt;5.20875328906726&lt;/D&gt;&lt;D xsi:type="xsd:double"&gt;5.23126233760527&lt;/D&gt;&lt;D xsi:type="xsd:double"&gt;5.28695252020568&lt;/D&gt;&lt;D xsi:type="xsd:double"&gt;5.30469026921409&lt;/D&gt;&lt;D xsi:type="xsd:double"&gt;5.2898401267488&lt;/D&gt;&lt;D xsi:type="xsd:double"&gt;5.35085331127926&lt;/D&gt;&lt;D xsi:type="xsd:double"&gt;5.35418123003961&lt;/D&gt;&lt;D xsi:type="xsd:double"&gt;5.51659064988637&lt;/D&gt;&lt;D xsi:type="xsd:double"&gt;5.80293634381934&lt;/D&gt;&lt;D xsi:type="xsd:double"&gt;5.93223536357366&lt;/D&gt;&lt;D xsi:type="xsd:double"&gt;7.15301442333828&lt;/D&gt;&lt;D xsi:type="xsd:double"&gt;7.41412350491419&lt;/D&gt;&lt;D xsi:type="xsd:double"&gt;7.04021879873591&lt;/D&gt;&lt;D xsi:type="xsd:double"&gt;7.12140594214385&lt;/D&gt;&lt;D xsi:type="xsd:double"&gt;6.90036500860786&lt;/D&gt;&lt;D xsi:type="xsd:double"&gt;7.21618075551392&lt;/D&gt;&lt;D xsi:type="xsd:double"&gt;7.3057012231205&lt;/D&gt;&lt;D xsi:type="xsd:double"&gt;8.15227337963988&lt;/D&gt;&lt;D xsi:type="xsd:double"&gt;7.96604870043873&lt;/D&gt;&lt;D xsi:type="xsd:double"&gt;8.5414463863233&lt;/D&gt;&lt;D xsi:type="xsd:double"&gt;10.4042357724677&lt;/D&gt;&lt;D xsi:type="xsd:double"&gt;9.21489381171042&lt;/D&gt;&lt;D xsi:type="xsd:double"&gt;10.6970874719028&lt;/D&gt;&lt;D xsi:type="xsd:double"&gt;10.5222641639672&lt;/D&gt;&lt;D xsi:type="xsd:double"&gt;10.9935654661327&lt;/D&gt;&lt;D xsi:type="xsd:double"&gt;10.7605665266107&lt;/D&gt;&lt;D xsi:type="xsd:double"&gt;11.3910266048817&lt;/D&gt;&lt;D xsi:type="xsd:double"&gt;11.6113439346839&lt;/D&gt;&lt;D xsi:type="xsd:double"&gt;10.5222641639672&lt;/D&gt;&lt;D xsi:type="xsd:double"&gt;10.040682838726&lt;/D&gt;&lt;D xsi:type="xsd:double"&gt;9.03038988076183&lt;/D&gt;&lt;D xsi:type="xsd:double"&gt;9.30331735829699&lt;/D&gt;&lt;D xsi:type="xsd:double"&gt;9.53735165484019&lt;/D&gt;&lt;D xsi:type="xsd:double"&gt;9.43620825975843&lt;/D&gt;&lt;D xsi:type="xsd:double"&gt;10.0646350865257&lt;/D&gt;&lt;D xsi:type="xsd:double"&gt;10.0774309484354&lt;/D&gt;&lt;D xsi:type="xsd:double"&gt;10.4231409572425&lt;/D&gt;&lt;D xsi:type="xsd:double"&gt;9.53109672805074&lt;/D&gt;&lt;D xsi:type="xsd:double"&gt;9.27067936280025&lt;/D&gt;&lt;D xsi:type="xsd:double"&gt;8.924368210508&lt;/D&gt;&lt;D xsi:type="xsd:double"&gt;8.63109980321956&lt;/D&gt;&lt;D xsi:type="xsd:double"&gt;8.95185263961488&lt;/D&gt;&lt;D xsi:type="xsd:double"&gt;8.95369213105662&lt;/D&gt;&lt;D xsi:type="xsd:double"&gt;8.3907554683812&lt;/D&gt;&lt;D xsi:type="xsd:double"&gt;8.71312236308243&lt;/D&gt;&lt;D xsi:type="xsd:double"&gt;8.11794859763656&lt;/D&gt;&lt;D xsi:type="xsd:double"&gt;8.32807207380071&lt;/D&gt;&lt;D xsi:type="xsd:double"&gt;8.69589187806307&lt;/D&gt;&lt;D xsi:type="xsd:double"&gt;8.50526586525516&lt;/D&gt;&lt;D xsi:type="xsd:double"&gt;8.49157813771879&lt;/D&gt;&lt;D xsi:type="xsd:double"&gt;8.37743353972537&lt;/D&gt;&lt;D xsi:type="xsd:double"&gt;8.05434037932399&lt;/D&gt;&lt;D xsi:type="xsd:double"&gt;7.7880546350724&lt;/D&gt;&lt;D xsi:type="xsd:double"&gt;7.45291879404023&lt;/D&gt;&lt;D xsi:type="xsd:double"&gt;7.6362762218271&lt;/D&gt;&lt;D xsi:type="xsd:double"&gt;7.98607611656924&lt;/D&gt;&lt;D xsi:type="xsd:double"&gt;8.18934284782105&lt;/D&gt;&lt;D xsi:type="xsd:double"&gt;8.13714407724949&lt;/D&gt;&lt;D xsi:type="xsd:double"&gt;8.35179916127892&lt;/D&gt;&lt;D xsi:type="xsd:double"&gt;6.97980661677989&lt;/D&gt;&lt;D xsi:type="xsd:double"&gt;6.4838415697951&lt;/D&gt;&lt;D xsi:type="xsd:double"&gt;6.6996732770333&lt;/D&gt;&lt;D xsi:type="xsd:doubl</t>
        </r>
      </text>
    </comment>
    <comment ref="A4" authorId="0" shapeId="0" xr:uid="{44CFA58B-3F5E-4801-BD62-06452ACD6DB8}">
      <text>
        <r>
          <rPr>
            <b/>
            <sz val="9"/>
            <color indexed="81"/>
            <rFont val="Tahoma"/>
            <family val="2"/>
          </rPr>
          <t>e"&gt;7.12525166388877&lt;/D&gt;&lt;D xsi:type="xsd:double"&gt;7.38676004516265&lt;/D&gt;&lt;D xsi:type="xsd:double"&gt;7.41172377572776&lt;/D&gt;&lt;D xsi:type="xsd:double"&gt;7.39706904453834&lt;/D&gt;&lt;D xsi:type="xsd:double"&gt;6.72446614295179&lt;/D&gt;&lt;D xsi:type="xsd:double"&gt;6.90253979642063&lt;/D&gt;&lt;D xsi:type="xsd:double"&gt;6.91605069437495&lt;/D&gt;&lt;D xsi:type="xsd:double"&gt;6.81672040628199&lt;/D&gt;&lt;D xsi:type="xsd:double"&gt;6.87047660702337&lt;/D&gt;&lt;D xsi:type="xsd:double"&gt;6.47921729500064&lt;/D&gt;&lt;D xsi:type="xsd:double"&gt;6.04046021058252&lt;/D&gt;&lt;D xsi:type="xsd:double"&gt;6.23284992388132&lt;/D&gt;&lt;D xsi:type="xsd:double"&gt;6.3409771699458&lt;/D&gt;&lt;D xsi:type="xsd:double"&gt;6.3101499266382&lt;/D&gt;&lt;D xsi:type="xsd:double"&gt;6.31077632582942&lt;/D&gt;&lt;D xsi:type="xsd:double"&gt;6.01361566777804&lt;/D&gt;&lt;D xsi:type="xsd:double"&gt;5.98137853309562&lt;/D&gt;&lt;D xsi:type="xsd:double"&gt;5.68415385231022&lt;/D&gt;&lt;D xsi:type="xsd:double"&gt;5.48559622314506&lt;/D&gt;&lt;D xsi:type="xsd:double"&gt;5.78234423636743&lt;/D&gt;&lt;D xsi:type="xsd:double"&gt;6.23529444775088&lt;/D&gt;&lt;D xsi:type="xsd:double"&gt;6.86391122272136&lt;/D&gt;&lt;D xsi:type="xsd:double"&gt;6.58058472180381&lt;/D&gt;&lt;D xsi:type="xsd:double"&gt;6.61695699778603&lt;/D&gt;&lt;D xsi:type="xsd:double"&gt;6.51725851520558&lt;/D&gt;&lt;D xsi:type="xsd:double"&gt;6.74378908826602&lt;/D&gt;&lt;D xsi:type="xsd:double"&gt;6.88023465453103&lt;/D&gt;&lt;D xsi:type="xsd:double"&gt;7.12194558448988&lt;/D&gt;&lt;D xsi:type="xsd:double"&gt;7.05678901562804&lt;/D&gt;&lt;D xsi:type="xsd:double"&gt;7.10993711829414&lt;/D&gt;&lt;D xsi:type="xsd:double"&gt;7.62231781116912&lt;/D&gt;&lt;D xsi:type="xsd:double"&gt;7.49851773050762&lt;/D&gt;&lt;D xsi:type="xsd:double"&gt;7.49674022992952&lt;/D&gt;&lt;D xsi:type="xsd:double"&gt;7.03168420649975&lt;/D&gt;&lt;D xsi:type="xsd:double"&gt;7.08445291304202&lt;/D&gt;&lt;D xsi:type="xsd:double"&gt;7.25760137580898&lt;/D&gt;&lt;D xsi:type="xsd:double"&gt;7.19404016936209&lt;/D&gt;&lt;D xsi:type="xsd:double"&gt;7.11793825786468&lt;/D&gt;&lt;D xsi:type="xsd:double"&gt;7.32738637769995&lt;/D&gt;&lt;D xsi:type="xsd:double"&gt;7.26010050592736&lt;/D&gt;&lt;D xsi:type="xsd:double"&gt;7.53783768382148&lt;/D&gt;&lt;D xsi:type="xsd:double"&gt;7.38470463729174&lt;/D&gt;&lt;D xsi:type="xsd:double"&gt;7.46841383735766&lt;/D&gt;&lt;D xsi:type="xsd:double"&gt;6.44886693407968&lt;/D&gt;&lt;D xsi:type="xsd:double"&gt;6.06838978189964&lt;/D&gt;&lt;D xsi:type="xsd:double"&gt;5.97920730659133&lt;/D&gt;&lt;D xsi:type="xsd:double"&gt;5.96233130254342&lt;/D&gt;&lt;D xsi:type="xsd:double"&gt;6.14854969854276&lt;/D&gt;&lt;D xsi:type="xsd:double"&gt;6.03239929271325&lt;/D&gt;&lt;D xsi:type="xsd:double"&gt;6.00995741764871&lt;/D&gt;&lt;D xsi:type="xsd:double"&gt;5.97400435899202&lt;/D&gt;&lt;D xsi:type="xsd:double"&gt;6.02115726281322&lt;/D&gt;&lt;D xsi:type="xsd:double"&gt;6.10277810664971&lt;/D&gt;&lt;D xsi:type="xsd:double"&gt;6.10074415046924&lt;/D&gt;&lt;D xsi:type="xsd:double"&gt;6.02710376508953&lt;/D&gt;&lt;D xsi:type="xsd:double"&gt;6.10345564841557&lt;/D&gt;&lt;D xsi:type="xsd:double"&gt;6.16303837298745&lt;/D&gt;&lt;D xsi:type="xsd:double"&gt;5.99225405287601&lt;/D&gt;&lt;D xsi:type="xsd:double"&gt;7.81362687150037&lt;/D&gt;&lt;D xsi:type="xsd:double"&gt;7.8998994263804&lt;/D&gt;&lt;D xsi:type="xsd:double"&gt;7.87691842348204&lt;/D&gt;&lt;D xsi:type="xsd:double"&gt;7.62156665570685&lt;/D&gt;&lt;D xsi:type="xsd:double"&gt;7.34702520051685&lt;/D&gt;&lt;D xsi:type="xsd:double"&gt;7.22933130565049&lt;/D&gt;&lt;D xsi:type="xsd:double"&gt;7.28094600457724&lt;/D&gt;&lt;D xsi:type="xsd:double"&gt;7.34496271072606&lt;/D&gt;&lt;D xsi:type="xsd:double"&gt;7.26007731401533&lt;/D&gt;&lt;D xsi:type="xsd:double"&gt;7.39476400424104&lt;/D&gt;&lt;D xsi:type="xsd:double"&gt;7.6134383277235&lt;/D&gt;&lt;D xsi:type="xsd:double"&gt;7.66396634476475&lt;/D&gt;&lt;D xsi:type="xsd:double"&gt;7.71365374565384&lt;/D&gt;&lt;D xsi:type="xsd:double"&gt;7.80178808400919&lt;/D&gt;&lt;D xsi:type="xsd:double"&gt;7.60017428719675&lt;/D&gt;&lt;D xsi:type="xsd:double"&gt;7.65425485867222&lt;/D&gt;&lt;D xsi:type="xsd:double"&gt;7.69098898350429&lt;/D&gt;&lt;D xsi:type="xsd:double"&gt;7.62822997374134&lt;/D&gt;&lt;D xsi:type="xsd:double"&gt;7.6119619698768&lt;/D&gt;&lt;D xsi:type="xsd:double"&gt;7.67445278273739&lt;/D&gt;&lt;D xsi:type="xsd:double"&gt;7.6707043336603&lt;/D&gt;&lt;D xsi:type="xsd:double"&gt;7.51219755517033&lt;/D&gt;&lt;D xsi:type="xsd:double"&gt;7.8580005859711&lt;/D&gt;&lt;D xsi:type="xsd:double"&gt;7.86902480355963&lt;/D&gt;&lt;D xsi:type="xsd:double"&gt;8.13477698508895&lt;/D&gt;&lt;D xsi:type="xsd:double"&gt;8.10622461586425&lt;/D&gt;&lt;D xsi:type="xsd:double"&gt;8.41549734032414&lt;/D&gt;&lt;D xsi:type="xsd:double"&gt;8.31040285425772&lt;/D&gt;&lt;D xsi:type="xsd:double"&gt;8.22337380521574&lt;/D&gt;&lt;D xsi:type="xsd:double"&gt;8.40109163784742&lt;/D&gt;&lt;D xsi:type="xsd:double"&gt;8.20532917257502&lt;/D&gt;&lt;D xsi:type="xsd:double"&gt;7.93422212489576&lt;/D&gt;&lt;D xsi:type="xsd:double"&gt;7.9559273448803&lt;/D&gt;&lt;D xsi:type="xsd:double"&gt;8.15420515213668&lt;/D&gt;&lt;D xsi:type="xsd:double"&gt;8.02914064188001&lt;/D&gt;&lt;D xsi:type="xsd:double"&gt;8.44173363493959&lt;/D&gt;&lt;D xsi:type="xsd:double"&gt;8.4381043528552&lt;/D&gt;&lt;D xsi:type="xsd:double"&gt;8.41459518266109&lt;/D&gt;&lt;D xsi:type="xsd:double"&gt;8.24842405609984&lt;/D&gt;&lt;D xsi:type="xsd:double"&gt;8.34395936558541&lt;/D&gt;&lt;D xsi:type="xsd:double"&gt;8.42000890500142&lt;/D&gt;&lt;D xsi:type="xsd:double"&gt;8.35994862309974&lt;/D&gt;&lt;D xsi:type="xsd:double"&gt;8.22423542367354&lt;/D&gt;&lt;D xsi:type="xsd:double"&gt;8.27973447222737&lt;/D&gt;&lt;D xsi:type="xsd:double"&gt;8.32538189983716&lt;/D&gt;&lt;D xsi:type="xsd:double"&gt;8.22509722270545&lt;/D&gt;&lt;D xsi:type="xsd:double"&gt;7.92564539917473&lt;/D&gt;&lt;D xsi:type="xsd:double"&gt;7.93212763935598&lt;/D&gt;&lt;D xsi:type="xsd:double"&gt;7.87497500679807&lt;/D&gt;&lt;D xsi:type="xsd:double"&gt;8.14698131937918&lt;/D&gt;&lt;D xsi:type="xsd:double"&gt;8.11885352045667&lt;/D&gt;&lt;D xsi:type="xsd:double"&gt;8.0469322840992&lt;/D&gt;&lt;D xsi:type="xsd:double"&gt;7.99876179167465&lt;/D&gt;&lt;D xsi:type="xsd:double"&gt;8.26754845031418&lt;/D&gt;&lt;D xsi:type="xsd:double"&gt;8.2114858322308&lt;/D&gt;&lt;D xsi:type="xsd:double"&gt;8.35399345531445&lt;/D&gt;&lt;D xsi:type="xsd:double"&gt;8.2569783026427&lt;/D&gt;&lt;D xsi:type="xsd:double"&gt;8.21932377815026&lt;/D&gt;&lt;D xsi:type="xsd:double"&gt;8.50993722389509&lt;/D&gt;&lt;D xsi:type="xsd:double"&gt;8.84602224456138&lt;/D&gt;&lt;D xsi:type="xsd:double"&gt;9.25262649682052&lt;/D&gt;&lt;D xsi:type="xsd:double"&gt;7.98978234674369&lt;/D&gt;&lt;/FQL&gt;&lt;FQL&gt;&lt;Q&gt;KBR^FF_ENTRPR_VAL_DAILY(0,,,,,"DIL")&lt;/Q&gt;&lt;R&gt;1&lt;/R&gt;&lt;C&gt;1&lt;/C&gt;&lt;D xsi:type="xsd:double"&gt;9523.7&lt;/D&gt;&lt;/FQL&gt;&lt;FQL&gt;&lt;Q&gt;SAF-FR^FE_ESTIMATE(EBITDA_ADJ,MEAN,ANN_ROLL,+1,NOW,,,'')&lt;/Q&gt;&lt;R&gt;1&lt;/R&gt;&lt;C&gt;1&lt;/C&gt;&lt;D xsi:type="xsd:double"&gt;3337.3745&lt;/D&gt;&lt;/FQL&gt;&lt;FQL&gt;&lt;Q&gt;CW^FE_ESTIMATE(SALES,MEAN,ANN_ROLL,+0,NOW,,,'')&lt;/Q&gt;&lt;R&gt;1&lt;/R&gt;&lt;C&gt;1&lt;/C&gt;&lt;D xsi:type="xsd:double"&gt;3498.372&lt;/D&gt;&lt;/FQL&gt;&lt;FQL&gt;&lt;Q&gt;HXL^FE_ESTIMATE(EBITDA,MEAN,ANN_ROLL,+1,NOW,,,'')&lt;/Q&gt;&lt;R&gt;1&lt;/R&gt;&lt;C&gt;1&lt;/C&gt;&lt;D xsi:type="xsd:double"&gt;395.15884&lt;/D&gt;&lt;/FQL&gt;&lt;FQL&gt;&lt;Q&gt;ROLL^FF_ENTRPR_VAL_DAILY(0,,,,,"DIL")&lt;/Q&gt;&lt;R&gt;1&lt;/R&gt;&lt;C&gt;1&lt;/C&gt;&lt;D xsi:type="xsd:double"&gt;6995.04091855&lt;/D&gt;&lt;/FQL&gt;&lt;FQL&gt;&lt;Q&gt;AXON^FE_ESTIMATE(EBITDA_ADJ,MEAN,ANN_ROLL,+1,NOW,,,'')&lt;/Q&gt;&lt;R&gt;1&lt;/R&gt;&lt;C&gt;1&lt;/C&gt;&lt;D xsi:type="xsd:double"&gt;192.7591&lt;/D&gt;&lt;/FQL&gt;&lt;FQL&gt;&lt;Q&gt;TXT^FE_ESTIMATE(EBITDA_ADJ,MEAN,ANN_ROLL,+1,NOW,,,'')&lt;/Q&gt;&lt;R&gt;1&lt;/R&gt;&lt;C&gt;1&lt;/C&gt;&lt;D xsi:type="xsd:double"&gt;1580.5&lt;/D&gt;&lt;/FQL&gt;&lt;FQL&gt;&lt;Q&gt;MRCY^FE_ESTIMATE(EBITDA,MEAN,ANN_ROLL,+0,NOW,,,'')&lt;/Q&gt;&lt;R&gt;1&lt;/R&gt;&lt;C&gt;1&lt;/C&gt;&lt;D xsi:type="xsd:double"&gt;119.99467&lt;/D&gt;&lt;/FQL&gt;&lt;FQL&gt;&lt;Q&gt;CSU-CA^FE_ESTIMATE(EBITDA_ADJ,MEAN,ANN_ROLL,+1,NOW,,,'')&lt;/Q&gt;&lt;R&gt;1&lt;/R&gt;&lt;C&gt;1&lt;/C&gt;&lt;D xsi:type="xsd:double"&gt;2293.6477&lt;/D&gt;&lt;/FQL&gt;&lt;FQL&gt;&lt;Q&gt;WWD^FE_ESTIMATE(EBITDA_ADJ,MEAN,ANN_ROLL,+1,NOW,,,'')&lt;/Q&gt;&lt;R&gt;1&lt;/R&gt;&lt;C&gt;1&lt;/C&gt;&lt;D xsi:type="xsd:double"&gt;461.48&lt;/D&gt;&lt;/FQL&gt;&lt;FQL&gt;&lt;Q&gt;LMT^FF_ENTRPR_VAL_DAILY(0,,,,,"DIL")&lt;/Q&gt;&lt;R&gt;1&lt;/R&gt;&lt;C&gt;1&lt;/C&gt;&lt;D xsi:type="xsd:double"&gt;139582.01&lt;/D&gt;&lt;/FQL&gt;&lt;FQL&gt;&lt;Q&gt;AIR^FF_ENTRPR_VAL_DAILY(0,,,,,"DIL")&lt;/Q&gt;&lt;R&gt;1&lt;/R&gt;&lt;C&gt;1&lt;/C&gt;&lt;D xsi:type="xsd:double"&gt;1669.816&lt;/D&gt;&lt;/FQL&gt;&lt;FQL&gt;&lt;Q&gt;CSU^FG_COMPANY_NAME&lt;/Q&gt;&lt;R&gt;1&lt;/R&gt;&lt;C&gt;1&lt;/C&gt;&lt;D xsi:type="xsd:string"&gt;Sonida Senior Living, Inc.&lt;/D&gt;&lt;/FQL&gt;&lt;FQL&gt;&lt;Q&gt;HII^FF_CASH_ST(MON,NOW)&lt;/Q&gt;&lt;R&gt;1&lt;/R&gt;&lt;C&gt;1&lt;/C&gt;&lt;D xsi:type="xsd:double"&gt;774&lt;/D&gt;&lt;/FQL&gt;&lt;FQL&gt;&lt;Q&gt;TDG^FE_ESTIMATE(EBITDA_ADJ,MEAN,ANN_ROLL,+1,NOW,,,'')&lt;/Q&gt;&lt;R&gt;1&lt;/R&gt;&lt;C&gt;1&lt;/C&gt;&lt;D xsi:type="xsd:double"&gt;2551.192&lt;/D&gt;&lt;/FQL&gt;&lt;FQL&gt;&lt;Q&gt;RTX^FF_ENTRPR_VAL_DAILY(0,,,,,"DIL")&lt;/Q&gt;&lt;R&gt;1&lt;/R&gt;&lt;C&gt;1&lt;/C&gt;&lt;D xsi:type="xsd:double"&gt;175471.615&lt;/D&gt;&lt;/FQL&gt;&lt;FQL&gt;&lt;Q&gt;MOG.A-US^FF_ENTRPR_VAL_DAILY(0,,,,,"DIL")&lt;/Q&gt;&lt;R&gt;1&lt;/R&gt;&lt;C&gt;1&lt;/C&gt;&lt;D xsi:type="xsd:double"&gt;3453.78089038&lt;/D&gt;&lt;/FQL&gt;&lt;FQL&gt;&lt;Q&gt;BWX^FG_COMPANY_NAME&lt;/Q&gt;&lt;R&gt;1&lt;/R&gt;&lt;C&gt;1&lt;/C&gt;&lt;D xsi:type="xsd:string"&gt;SPDR Bloomberg International Treasury Bond ETF&lt;/D&gt;&lt;/FQL&gt;&lt;FQL&gt;&lt;Q&gt;SAF-FR^FG_COMPANY_NAME&lt;/Q&gt;&lt;R&gt;1&lt;/R&gt;&lt;C&gt;1&lt;/C&gt;&lt;D xsi:type="xsd:string"&gt;Safran S.A.&lt;/D&gt;&lt;/FQL&gt;&lt;FQL&gt;&lt;Q&gt;HII^FE_ESTIMATE(EBITDA_ADJ,MEAN,ANN_ROLL,+1,NOW,,,'')&lt;/Q&gt;&lt;R&gt;1&lt;/R&gt;&lt;C&gt;1&lt;/C&gt;&lt;D xsi:type="xsd:double"&gt;985&lt;/D&gt;&lt;/FQL&gt;&lt;FQL&gt;&lt;Q&gt;NOC^FE_ESTIMATE(EBITDA_ADJ,MEAN,ANN_ROLL,+1,NOW,,,'')&lt;/Q&gt;&lt;R&gt;1&lt;/R&gt;&lt;C&gt;1&lt;/C&gt;&lt;D xsi:type="xsd:double"&gt;6519.1665&lt;/D&gt;&lt;/FQL&gt;&lt;FQL&gt;&lt;Q&gt;HXL^FE_ESTIMATE(EBITDA_ADJ,MEAN,ANN_ROLL,+1,NOW,,,'')&lt;/Q&gt;&lt;R&gt;1&lt;/R&gt;&lt;C&gt;1&lt;/C&gt;&lt;D xsi:type="xsd:double"&gt;305&lt;/D&gt;&lt;/FQL&gt;&lt;FQL&gt;&lt;Q&gt;MOG.A-US^FE_ESTIMATE(EBITDA_ADJ,MEAN,ANN_ROLL,+1,NOW,,,'')&lt;/Q&gt;&lt;R&gt;1&lt;/R&gt;&lt;C&gt;1&lt;/C&gt;&lt;D xsi:type="xsd:double"&gt;330.802&lt;/D&gt;&lt;/FQL&gt;&lt;FQL&gt;&lt;Q&gt;BWXT^FF_ENTRPR_VAL_DAILY(0,,,,,"DIL")&lt;/Q&gt;&lt;R&gt;1&lt;/R&gt;&lt;C&gt;1&lt;/C&gt;&lt;D xsi:type="xsd:double"&gt;6431.40565806&lt;/D&gt;&lt;/FQL&gt;&lt;FQL&gt;&lt;Q&gt;SAF-FR^FF_ENTRPR_VAL_DAILY(0,,,,,"DIL")&lt;/Q&gt;&lt;R&gt;1&lt;/R&gt;&lt;C&gt;1&lt;/C&gt;&lt;D xsi:type="xsd:double"&gt;45349.75713743&lt;/D&gt;&lt;/FQL&gt;&lt;FQL&gt;&lt;Q&gt;MRCY^FF_ENTRPR_VAL_DAILY(0,,,,,"DIL")&lt;/Q&gt;&lt;R&gt;1&lt;/R&gt;&lt;C&gt;1&lt;/C&gt;&lt;D xsi:type="xsd:double"&gt;4281.1894&lt;/D&gt;&lt;/FQL&gt;&lt;FQL&gt;&lt;Q&gt;AXON^FF_ENTRPR_VAL_DAILY(0,,,,,"DIL")&lt;/Q&gt;&lt;R&gt;1&lt;/R&gt;&lt;C&gt;1&lt;/C&gt;&lt;D xsi:type="xsd:double"&gt;8726.87683&lt;/D&gt;&lt;/FQL&gt;&lt;FQL&gt;&lt;Q&gt;TXT^FF_ENTRPR_VAL_DAILY(0,,,,,"DIL")&lt;/Q&gt;&lt;R&gt;1&lt;/R&gt;&lt;C&gt;1&lt;/C&gt;&lt;D xsi:type="xsd:double"&gt;18166.0196&lt;/D&gt;&lt;/FQL&gt;&lt;FQL&gt;&lt;Q&gt;HII^FE_ESTIMATE(FCF,MEAN,ANN_ROLL,+1,NOW,,,'')&lt;/Q&gt;&lt;R&gt;1&lt;/R&gt;&lt;C&gt;1&lt;/C&gt;&lt;D xsi:type="xsd:double"&gt;567.6421&lt;/D&gt;&lt;/FQL&gt;&lt;FQL&gt;&lt;Q&gt;MRCY^FE_ESTIMATE(EBITDA_ADJ,MEAN,ANN_ROLL,+1,NOW,,,'')&lt;/Q&gt;&lt;R&gt;1&lt;/R&gt;&lt;C&gt;1&lt;/C&gt;&lt;D xsi:type="xsd:double"&gt;219.907&lt;/D&gt;&lt;/FQL&gt;&lt;FQL&gt;&lt;Q&gt;CSU-CA^FF_ENTRPR_VAL_DAILY(0,,,,,"DIL")&lt;/Q&gt;&lt;R&gt;1&lt;/R&gt;&lt;C&gt;1&lt;/C&gt;&lt;D xsi:type="xsd:double"&gt;45751.3666472&lt;/D&gt;&lt;/FQL&gt;&lt;FQL&gt;&lt;Q&gt;CSU^FF_ENTRPR_VAL_DAILY(0,,,,,"DIL")&lt;/Q&gt;&lt;R&gt;1&lt;/R&gt;&lt;C&gt;1&lt;/C&gt;&lt;D xsi:type="xsd:double"&gt;818.09685&lt;/D&gt;&lt;/FQL&gt;&lt;FQL&gt;&lt;Q&gt;WWD^FF_ENTRPR_VAL_DAILY(0,,,,,"DIL")&lt;/Q&gt;&lt;R&gt;1&lt;/R&gt;&lt;C&gt;1&lt;/C&gt;&lt;D xsi:type="xsd:double"&gt;7839.20957&lt;/D&gt;&lt;/FQL&gt;&lt;FQL&gt;&lt;Q&gt;HON^FG_COMPANY_NAME&lt;/Q&gt;&lt;R&gt;1&lt;/R&gt;&lt;C&gt;1&lt;/C&gt;&lt;D xsi:type="xsd:string"&gt;Honeywell International Inc.&lt;/D&gt;&lt;/FQL&gt;&lt;FQL&gt;&lt;Q&gt;HII^FE_ESTIMATE(SALES,MEAN,ANN_ROLL,+2,NOW,,,'')&lt;/Q&gt;&lt;R&gt;1&lt;/R&gt;&lt;C&gt;1&lt;/C&gt;&lt;D xsi:type="xsd:double"&gt;13700.679&lt;/D&gt;&lt;/FQL&gt;&lt;FQL&gt;&lt;Q&gt;ROLL^FE_ESTIMATE(EBITDA_ADJ,MEAN,ANN_ROLL,+1,NOW,,,'')&lt;/Q&gt;&lt;R&gt;1&lt;/R&gt;&lt;C&gt;1&lt;/C&gt;&lt;D xsi:type="xsd:double"&gt;267.934&lt;/D&gt;&lt;/FQL&gt;&lt;FQL&gt;&lt;Q&gt;BWX^FF_ENTRPR_VAL_DAILY(0,,,,,"DIL")&lt;/Q&gt;&lt;R&gt;0&lt;/R&gt;&lt;C&gt;0&lt;/C&gt;&lt;/FQL&gt;&lt;FQL&gt;&lt;Q&gt;GD^FF_ENTRPR_VAL_DAILY(0,,,,,"DIL")&lt;/Q&gt;&lt;R&gt;1&lt;/R&gt;&lt;C&gt;1&lt;/C&gt;&lt;D xsi:type="xsd:double"&gt;81648.98393&lt;/D&gt;&lt;/FQL&gt;&lt;FQL&gt;&lt;Q&gt;TDG^FF_ENTRPR_VAL_DAILY(0,,,,,"DIL")&lt;/Q&gt;&lt;R&gt;1&lt;/R&gt;&lt;C&gt;1&lt;/C&gt;&lt;D xsi:type="xsd:double"&gt;50273.624&lt;/D&gt;&lt;/FQL&gt;&lt;FQL&gt;&lt;Q&gt;RTX^FE_ESTIMATE(SALES,MEAN,ANN_ROLL,+1,NOW,,,'')&lt;/Q&gt;&lt;R&gt;1&lt;/R&gt;&lt;C&gt;1&lt;/C&gt;&lt;D xsi:type="xsd:double"&gt;93495.23&lt;/D&gt;&lt;/FQL&gt;&lt;FQL&gt;&lt;Q&gt;TDY^FE_ESTIMATE(EBITDA,MEAN,ANN_ROLL,+0,NOW,,,'')&lt;/Q&gt;&lt;R&gt;1&lt;/R&gt;&lt;C&gt;1&lt;/C&gt;&lt;D xsi:type="xsd:double"&gt;1499.0286&lt;/D&gt;&lt;/FQL&gt;&lt;FQL&gt;&lt;Q&gt;LMT^FE_ESTIMATE(EBITDA_ADJ,MEAN,ANN_ROLL,+1,NOW,,,'')&lt;/Q&gt;&lt;R&gt;1&lt;/R&gt;&lt;C&gt;1&lt;/C&gt;&lt;D xsi:type="xsd:double"&gt;10078&lt;/D&gt;&lt;/FQL&gt;&lt;FQL&gt;&lt;Q&gt;HII^FF_ENTRPR_VAL_DAILY(0,,,,,"DIL")&lt;/Q&gt;&lt;R&gt;1&lt;/R&gt;&lt;C&gt;1&lt;/C&gt;&lt;D xsi:type="xsd:double"&gt;11731.819&lt;/D&gt;&lt;/FQL&gt;&lt;FQL&gt;&lt;Q&gt;HXL^FF_ENTRPR_VAL_DAILY(0,,,,,"DIL")&lt;/Q&gt;&lt;R&gt;1&lt;/R&gt;&lt;C&gt;1&lt;/C&gt;&lt;D xsi:type="xsd:double"&gt;5025.368&lt;/D&gt;&lt;/FQL&gt;&lt;FQL&gt;&lt;Q&gt;HEXA.B-SE^FG_COMPANY_NAME&lt;/Q&gt;&lt;R&gt;1&lt;/R&gt;&lt;C&gt;1&lt;/C&gt;&lt;D xsi:type="xsd:string"&gt;Hexagon AB Class B&lt;/D&gt;&lt;/FQL&gt;&lt;FQL&gt;&lt;Q&gt;HII^FF_COM_SHS_OUT_EPS_DIL(MON,NOW)&lt;/Q&gt;&lt;R&gt;1&lt;/R&gt;&lt;C&gt;1&lt;/C&gt;&lt;D xsi:type="xsd:double"&gt;39.3&lt;/D&gt;&lt;/FQL&gt;&lt;FQL&gt;&lt;Q&gt;HEXA.B-SE^FE_ESTIMATE(EBITDA_ADJ,MEAN,ANN_ROLL,+1,NOW,,,'')&lt;/Q&gt;&lt;R&gt;1&lt;/R&gt;&lt;C&gt;1&lt;/C&gt;&lt;D xsi:type="xsd:double"&gt;21383.727&lt;/D&gt;&lt;/FQL&gt;&lt;FQL&gt;&lt;Q&gt;AXON^FG_COMPANY_NAME&lt;/Q&gt;&lt;R&gt;1&lt;/R&gt;&lt;C&gt;1&lt;/C&gt;&lt;D xsi:type="xsd:string"&gt;Axon Enterprise Inc&lt;/D&gt;&lt;/FQL&gt;&lt;FQL&gt;&lt;Q&gt;TXT^FG_COMPANY_NAME&lt;/Q&gt;&lt;R&gt;1&lt;/R&gt;&lt;C&gt;1&lt;/C&gt;&lt;D xsi:type="xsd:string"&gt;Textron Inc.&lt;/D&gt;&lt;/FQL&gt;&lt;FQL&gt;&lt;Q&gt;SPX^FG_VALUATION_IDX(0,,,"PE_CY2")&lt;/Q&gt;&lt;R&gt;1&lt;/R&gt;&lt;C&gt;1&lt;/C&gt;&lt;D xsi:type="xsd:double"&gt;23.490593&lt;/D&gt;&lt;/FQL&gt;&lt;FQL&gt;&lt;Q&gt;CSU^FE_ESTIMATE(EBITDA_ADJ,MEAN,ANN_ROLL,+1,NOW,,,'')&lt;/Q&gt;&lt;R&gt;0&lt;/R&gt;&lt;C&gt;0&lt;/C&gt;&lt;/FQL&gt;&lt;FQL&gt;&lt;Q&gt;HON^FE_ESTIMATE(EBITDA_ADJ,MEAN,ANN_ROLL,+1,NOW,,,'')&lt;/Q&gt;&lt;R&gt;1&lt;/R&gt;&lt;C&gt;1&lt;/C&gt;&lt;D xsi:type="xsd:double"&gt;8811.072&lt;/D&gt;&lt;/FQL&gt;&lt;FQL&gt;&lt;Q&gt;AIR^FE_ESTIMATE(EBITDA_ADJ,MEAN,ANN_ROLL,+1,NOW,,,'')&lt;/Q&gt;&lt;R&gt;1&lt;/R&gt;&lt;C&gt;1&lt;/C&gt;&lt;D xsi:type="xsd:double"&gt;167.9445&lt;/D&gt;&lt;/FQL&gt;&lt;FQL&gt;&lt;Q&gt;NOC^FF_ENTRPR_VAL_DAILY(0,,,,,"DIL")&lt;/Q&gt;&lt;R&gt;1&lt;/R&gt;&lt;C&gt;1&lt;/C&gt;&lt;D xsi:type="xsd:double"&gt;88029.155&lt;/D&gt;&lt;/FQL&gt;&lt;FQL&gt;&lt;Q&gt;GD^FE_ESTIMATE(EBITDA,MEAN,ANN_ROLL,+0,NOW,,,'')&lt;/Q&gt;&lt;R&gt;1&lt;/R&gt;&lt;C&gt;1&lt;/C&gt;&lt;D xsi:type="xsd:double"&gt;6314.0713&lt;/D&gt;&lt;/FQL&gt;&lt;FQL&gt;&lt;Q&gt;BWX^FE_ESTIMATE(EBITDA_ADJ,MEAN,ANN_ROLL,+1,NOW,,,'')&lt;/Q&gt;&lt;R&gt;0&lt;/R&gt;&lt;C&gt;0&lt;/C&gt;&lt;/FQL&gt;&lt;FQL&gt;&lt;Q&gt;SPR^FG_COMPANY_NAME&lt;/Q&gt;&lt;R&gt;1&lt;/R&gt;&lt;C&gt;1&lt;/C&gt;&lt;D xsi:type="xsd:string"&gt;Spirit AeroSystems Holdings, Inc. Class A&lt;/D&gt;&lt;/FQL&gt;&lt;FQL&gt;&lt;Q&gt;BWXT^FE_ESTIMATE(EBITDA_ADJ,MEAN,ANN_ROLL,+1,NOW,,,'')&lt;/Q&gt;&lt;R&gt;1&lt;/R&gt;&lt;C&gt;1&lt;/C&gt;&lt;D xsi:type="xsd:double"&gt;436.6&lt;/D&gt;&lt;/FQL&gt;&lt;FQL&gt;&lt;Q&gt;ROLL^FG_COMPANY_NAME&lt;/Q&gt;&lt;R&gt;1&lt;/R&gt;&lt;C&gt;1&lt;/C&gt;&lt;D xsi:type="xsd:string"&gt;RBC Bearings Incorporated&lt;/D&gt;&lt;/FQL&gt;&lt;FQL&gt;&lt;Q&gt;KBR^FG_COMPANY_NAME&lt;/Q&gt;&lt;R&gt;1&lt;/R&gt;&lt;C&gt;1&lt;/C&gt;&lt;D xsi:type="xsd:string"&gt;KBR, Inc.&lt;/D&gt;&lt;/FQL&gt;&lt;FQL&gt;&lt;Q&gt;SPR^FF_ENTRPR_VAL_DAILY(0,,,,,"DIL")&lt;/Q&gt;&lt;R&gt;1&lt;/R&gt;&lt;C&gt;1&lt;/C&gt;&lt;D xsi:type="xsd:double"&gt;6397.912&lt;/D&gt;&lt;/FQL&gt;&lt;FQL&gt;&lt;Q&gt;HEXA.B-SE^FF_ENTRPR_VAL_DAILY(0,,,,,"DIL")&lt;/Q&gt;&lt;R&gt;1&lt;/R&gt;&lt;C&gt;1&lt;/C&gt;&lt;D xsi:type="xsd:double"&gt;342387.978388848&lt;/D&gt;&lt;/FQL&gt;&lt;FQL&gt;&lt;Q&gt;RTX^FE_ESTIMATE(EBITDA_ADJ,MEAN,ANN_ROLL,+1,NOW,,,'')&lt;/Q&gt;&lt;R&gt;1&lt;/R&gt;&lt;C&gt;1&lt;/C&gt;&lt;D xsi:type="xsd:double"&gt;11065&lt;/D&gt;&lt;/FQL&gt;&lt;FQL&gt;&lt;Q&gt;GD^FE_ESTIMATE(EBITDA_ADJ,MEAN,ANN_ROLL,+1,NOW,,,'')&lt;/Q&gt;&lt;R&gt;1&lt;/R&gt;&lt;C&gt;1&lt;/C&gt;&lt;D xsi:type="xsd:double"&gt;5134&lt;/D&gt;&lt;/FQL&gt;&lt;FQL&gt;&lt;Q&gt;ISLT-IL^FG_COMPANY_NAME&lt;/Q&gt;&lt;R&gt;0&lt;/R&gt;&lt;C&gt;0&lt;/C&gt;&lt;/FQL&gt;&lt;FQL&gt;&lt;Q&gt;ISLT-IL^FF_ENTRPR_VAL_DAILY(0,,,,,"DIL")&lt;/Q&gt;&lt;R&gt;0&lt;/R&gt;&lt;C&gt;0&lt;/C&gt;&lt;/FQL&gt;&lt;FQL&gt;&lt;Q&gt;ISLT-IL^FE_ESTIMATE(EBITDA_ADJ,MEAN,ANN_ROLL,+1,NOW,,,'')&lt;/Q&gt;&lt;R&gt;0&lt;/R&gt;&lt;C&gt;0&lt;/C&gt;&lt;/FQL&gt;&lt;FQL&gt;&lt;Q&gt;ESLT-IL^FG_COMPANY_NAME&lt;/Q&gt;&lt;R&gt;1&lt;/R&gt;&lt;C&gt;1&lt;/C&gt;&lt;D xsi:type="xsd:string"&gt;Elbit Systems Ltd&lt;/D&gt;&lt;/FQL&gt;&lt;FQL&gt;&lt;Q&gt;ESLT-IL^FF_ENTRPR_VAL_DAILY(0,,,,,"DIL")&lt;/Q&gt;&lt;R&gt;1&lt;/R&gt;&lt;C&gt;1&lt;/C&gt;&lt;D xsi:type="xsd:double"&gt;33606.24252975&lt;/D&gt;&lt;/FQL&gt;&lt;FQL&gt;&lt;Q&gt;ESLT-IL^FE_ESTIMATE(EBITDA_ADJ,MEAN,ANN_ROLL,+1,NOW,,,'')&lt;/Q&gt;&lt;R&gt;0&lt;/R&gt;&lt;C&gt;0&lt;/C&gt;&lt;/FQL&gt;&lt;FQL&gt;&lt;Q&gt;HXL^FE_ESTIMATE(SALES,MEAN,ANN_ROLL,+0,NOW,,,'')&lt;/Q&gt;&lt;R&gt;1&lt;/R&gt;&lt;C&gt;1&lt;/C&gt;&lt;D xsi:type="xsd:double"&gt;1893.9&lt;/D&gt;&lt;/FQL&gt;&lt;FQL&gt;&lt;Q&gt;B^FF_ENTRPR_VAL_DAILY(0,,,,,"DIL")&lt;/Q&gt;&lt;R&gt;1&lt;/R&gt;&lt;C&gt;1&lt;/C&gt;&lt;D xsi:type="xsd:double"&gt;2775.45872515&lt;/D&gt;&lt;/FQL&gt;&lt;FQL&gt;&lt;Q&gt;B^FE_ESTIMATE(EBITDA_ADJ,MEAN,ANN_ROLL,+1,NOW,,,'')&lt;/Q&gt;&lt;R&gt;0&lt;/R&gt;&lt;C&gt;0&lt;/C&gt;&lt;/FQL&gt;&lt;FQL&gt;&lt;Q&gt;CW^FG_PRICE(0)&lt;/Q&gt;&lt;R&gt;1&lt;/R&gt;&lt;C&gt;1&lt;/C&gt;&lt;D xsi:type="xsd:double"&gt;155.88&lt;/D&gt;&lt;/FQL&gt;&lt;FQL&gt;&lt;Q&gt;KBR^FE_ESTIMATE(EBITDA_ADJ,MEAN,ANN_ROLL,+1,NOW,,,'')&lt;/Q&gt;&lt;R&gt;1&lt;/R&gt;&lt;C&gt;1&lt;/C&gt;&lt;D xsi:type="xsd:double"&gt;651.5854&lt;/D&gt;&lt;/FQL&gt;&lt;FQL&gt;&lt;Q&gt;HON^FF_ENTRPR_VAL_DAILY(0,,,,,"DIL")&lt;/Q&gt;&lt;R&gt;1&lt;/R&gt;&lt;C&gt;1&lt;/C&gt;&lt;D xsi:type="xsd:double"&gt;137372.864&lt;/D&gt;&lt;/FQL&gt;&lt;FQL&gt;&lt;Q&gt;CSU-CA^FG_COMPANY_NAME&lt;/Q&gt;&lt;R&gt;1&lt;/R&gt;&lt;C&gt;1&lt;/C&gt;&lt;D xsi:type="xsd:string"&gt;Constellation Software Inc.&lt;/D&gt;&lt;/FQL&gt;&lt;FQL&gt;&lt;Q&gt;LMT^P_DIV_YLD&lt;/Q&gt;&lt;R&gt;1&lt;/R&gt;&lt;C&gt;1&lt;/C&gt;&lt;D xsi:type="xsd:double"&gt;2.1950054&lt;/D&gt;&lt;/FQL&gt;&lt;FQL&gt;&lt;Q&gt;AIR^FE_ESTIMATE(FCF,MEAN,ANN_ROLL,+0,NOW,,,'')&lt;/Q&gt;&lt;R&gt;1&lt;/R&gt;&lt;C&gt;1&lt;/C&gt;&lt;D xsi:type="xsd:double"&gt;1.1333333&lt;/D&gt;&lt;/FQL&gt;&lt;FQL&gt;&lt;Q&gt;LHX^FF_ENTRPR_VAL_DAILY(0,,,,,"DIL")&lt;/Q&gt;&lt;R&gt;1&lt;/R&gt;&lt;C&gt;1&lt;/C&gt;&lt;D xsi:type="xsd:double"&gt;61333.016&lt;/D&gt;&lt;/FQL&gt;&lt;FQL&gt;&lt;Q&gt;LHX^FE_ESTIMATE(EBITDA_ADJ,MEAN,ANN_ROLL,+1,NOW,,,'')&lt;/Q&gt;&lt;R&gt;1&lt;/R&gt;&lt;C&gt;1&lt;/C&gt;&lt;D xsi:type="xsd:double"&gt;3923&lt;/D&gt;&lt;/FQL&gt;&lt;FQL&gt;&lt;Q&gt;TDM^FG_COMPANY_NAME&lt;/Q&gt;&lt;R&gt;1&lt;/R&gt;&lt;C&gt;1&lt;/C&gt;&lt;D xsi:type="xsd:string"&gt;Tandem Computers Incorporated&lt;/D&gt;&lt;/FQL&gt;&lt;FQL&gt;&lt;Q&gt;TDM^FF_ENTRPR_VAL_DAILY(0,,,,,"DIL")&lt;/Q&gt;&lt;R&gt;0&lt;/R&gt;&lt;C&gt;0&lt;/C&gt;&lt;/FQL&gt;&lt;FQL&gt;&lt;Q&gt;TDM^FE_ESTIMATE(EBITDA_ADJ,MEAN,ANN_ROLL,+1,NOW,,,'')&lt;/Q&gt;&lt;R&gt;0&lt;/R&gt;&lt;C&gt;0&lt;/C&gt;&lt;/FQL&gt;&lt;FQL&gt;&lt;Q&gt;MOG.A-US^FG_COMPANY_NAME&lt;/Q&gt;&lt;R&gt;1&lt;/R&gt;&lt;C&gt;1&lt;/C&gt;&lt;D xsi:type="xsd:string"&gt;Moog Inc. Class A&lt;/D&gt;&lt;/FQL&gt;&lt;FQL&gt;&lt;Q&gt;SPR^FE_ESTIMATE(EBITDA_ADJ,MEAN,ANN_ROLL,+1,NOW,,,'')&lt;/Q&gt;&lt;R&gt;1&lt;/R&gt;&lt;C&gt;1&lt;/C&gt;&lt;D xsi:type="xsd:double"&gt;451.18&lt;/D&gt;&lt;/FQL&gt;&lt;FQL&gt;&lt;Q&gt;AIR^FF_COM_SHS_OUT_EPS_DIL(MON,NOW)&lt;/Q&gt;&lt;R&gt;1&lt;/R&gt;&lt;C&gt;1&lt;/C&gt;&lt;D xsi:type="xsd:double"&gt;38.1&lt;/D&gt;&lt;/FQL&gt;&lt;FQL&gt;&lt;Q&gt;BWXT^FE_ESTIMATE(EPS,MEAN,ANN_ROLL,+0,NOW,,,'')&lt;/Q&gt;&lt;R&gt;1&lt;/R&gt;&lt;C&gt;1&lt;/C&gt;&lt;D xsi:type="xsd:double"&gt;3.33&lt;/D&gt;&lt;/FQL&gt;&lt;FQL&gt;&lt;Q&gt;GD^FE_ESTIMATE(EPS,MEAN,ANN_ROLL,+2,NOW,,,'')&lt;/Q&gt;&lt;R&gt;1&lt;/R&gt;&lt;C&gt;1&lt;/C&gt;&lt;D xsi:type="xsd:double"&gt;18.206356&lt;/D&gt;&lt;/FQL&gt;&lt;FQL&gt;&lt;Q&gt;MRCY^FE_ESTIMATE(EPS,MEAN,ANN_ROLL,+2,NOW,,,'')&lt;/Q&gt;&lt;R&gt;1&lt;/R&gt;&lt;C&gt;1&lt;/C&gt;&lt;D xsi:type="xsd:double"&gt;1.5022222&lt;/D&gt;&lt;/FQL&gt;&lt;FQL&gt;&lt;Q&gt;TDY^FE_ESTIMATE(FCF,MEAN,ANN_ROLL,+1,NOW,,,'')&lt;/Q&gt;&lt;R&gt;1&lt;/R&gt;&lt;C&gt;1&lt;/C&gt;&lt;D xsi:type="xsd:double"&gt;1168.2534&lt;/D&gt;&lt;/FQL&gt;&lt;FQL&gt;&lt;Q&gt;LMT^FE_ESTIMATE(EBITDA,MEAN,ANN_ROLL,+0,NOW,,,'')&lt;/Q&gt;&lt;R&gt;1&lt;/R&gt;&lt;C&gt;1&lt;/C&gt;&lt;D xsi:type="xsd:double"&gt;9421.643&lt;/D&gt;&lt;/FQL&gt;&lt;FQL&gt;&lt;Q&gt;ITT^FE_ESTIMATE(EPS,MEAN,ANN_ROLL,+2,NOW,,,'')&lt;/Q&gt;&lt;R&gt;1&lt;/R&gt;&lt;C&gt;1&lt;/C&gt;&lt;D xsi:type="xsd:double"&gt;8.053449&lt;/D&gt;&lt;/FQL&gt;&lt;FQL&gt;&lt;Q&gt;TDY^FE_ESTIMATE(FCF,MEAN,ANN_ROLL,+2,NOW,,,'')&lt;/Q&gt;&lt;R&gt;1&lt;/R&gt;&lt;C&gt;1&lt;/C&gt;&lt;D xsi:type="xsd:double"&gt;1274.3595&lt;/D&gt;&lt;/FQL&gt;&lt;FQL&gt;&lt;Q&gt;RTX^P_DIV_YLD&lt;/Q&gt;&lt;R&gt;1&lt;/R&gt;&lt;C&gt;1&lt;/C&gt;&lt;D xsi:type="xsd:double"&gt;1.3841535&lt;/D&gt;&lt;/FQL&gt;&lt;FQL&gt;&lt;Q&gt;NOC^FE_ESTIMATE(SALES,MEAN,ANN_ROLL,+0,NOW,,,'')&lt;/Q&gt;&lt;R&gt;1&lt;/R&gt;&lt;C&gt;1&lt;/C&gt;&lt;D xsi:type="xsd:double"&gt;41954&lt;/D&gt;&lt;/FQL&gt;&lt;FQL&gt;&lt;Q&gt;RTX^FE_ESTIMATE(FCF,MEAN,ANN_ROLL,+1,NOW,,,'')&lt;/Q&gt;&lt;R&gt;1&lt;/R&gt;&lt;C&gt;1&lt;/C&gt;&lt;D xsi:type="xsd:double"&gt;8538.131&lt;/D&gt;&lt;/FQL&gt;&lt;FQL&gt;&lt;Q&gt;CIR^FG_COMPANY_NAME&lt;/Q&gt;&lt;R&gt;1&lt;/R&gt;&lt;C&gt;1&lt;/C&gt;&lt;D xsi:type="xsd:string"&gt;CIRCOR International, Inc.&lt;/D&gt;&lt;/FQL&gt;&lt;FQL&gt;&lt;Q&gt;HEI^FE_ESTIMATE(SALES,MEAN,ANN_ROLL,+1,NOW,,,'')&lt;/Q&gt;&lt;R&gt;1&lt;/R&gt;&lt;C&gt;1&lt;/C&gt;&lt;D xsi:type="xsd:double"&gt;4991.0522&lt;/D&gt;&lt;/FQL&gt;&lt;FQL&gt;&lt;Q&gt;TDG^FE_ESTIMATE(FCF,MEAN,ANN_ROLL,+2,NOW,,,'')&lt;/Q&gt;&lt;R&gt;1&lt;/R&gt;&lt;C&gt;1&lt;/C&gt;&lt;D xsi:type="xsd:double"&gt;1612.7427&lt;/D&gt;&lt;/FQL&gt;&lt;FQL&gt;&lt;Q&gt;TDG^FE_ESTIMATE(FCF,MEAN,ANN_ROLL,+1,NOW,,,'')&lt;/Q&gt;&lt;R&gt;1&lt;/R&gt;&lt;C&gt;1&lt;/C&gt;&lt;D xsi:type="xsd:double"&gt;1310.6046&lt;/D&gt;&lt;/FQL&gt;&lt;FQL&gt;&lt;Q&gt;TDG^FE_ESTIMATE(FCF,MEAN,ANN_ROLL,+0,NOW,,,'')&lt;/Q&gt;&lt;R&gt;1&lt;/R&gt;&lt;C&gt;1&lt;/C&gt;&lt;D xsi:type="xsd:double"&gt;829&lt;/D&gt;&lt;/FQL&gt;&lt;FQL&gt;&lt;Q&gt;WWD^FF_CASH_ST(MON,NOW)&lt;/Q&gt;&lt;R&gt;1&lt;/R&gt;&lt;C&gt;1&lt;/C&gt;&lt;D xsi:type="xsd:double"&gt;454.245&lt;/D&gt;&lt;/FQL&gt;&lt;FQL&gt;&lt;Q&gt;BWXT^FF_COM_SHS_OUT_EPS_DIL(MON,NOW)&lt;/Q&gt;&lt;R&gt;1&lt;/R&gt;&lt;C&gt;1&lt;/C&gt;&lt;D xsi:type="xsd:double"&gt;91.787602&lt;/D&gt;&lt;/FQL&gt;&lt;FQL&gt;&lt;Q&gt;HXL^FE_ESTIMATE(FCF,MEAN,ANN_ROLL,+1,NOW,,,'')&lt;/Q&gt;&lt;R&gt;1&lt;/R&gt;&lt;C&gt;1&lt;/C&gt;&lt;D xsi:type="xsd:double"&gt;196.94798&lt;/D&gt;&lt;/FQL&gt;&lt;FQL&gt;&lt;Q&gt;B^FE_ESTIMATE(FCF,MEAN,ANN_ROLL,+1,NOW,,,'')&lt;/Q&gt;&lt;R&gt;1&lt;/R&gt;&lt;C&gt;1&lt;/C&gt;&lt;D xsi:type="xsd:double"&gt;99.462&lt;/D&gt;&lt;/FQL&gt;&lt;FQL&gt;&lt;Q&gt;CIR^FE_ESTIMATE(SALES,MEAN,ANN_ROLL,+0,NOW,,,'')&lt;/Q&gt;&lt;R&gt;1&lt;/R&gt;&lt;C&gt;1&lt;/C&gt;&lt;D xsi:type="xsd:double"&gt;786.919&lt;/D&gt;&lt;/FQL&gt;&lt;FQL&gt;&lt;Q&gt;RTX^FF_CASH_ST(MON,NOW)&lt;/Q&gt;&lt;R&gt;1&lt;/R&gt;&lt;C&gt;1&lt;/C&gt;&lt;D xsi:type="xsd:double"&gt;7435&lt;/D&gt;&lt;/FQL&gt;&lt;FQL&gt;&lt;Q&gt;TDY^FE_ESTIMATE(EPS,MEAN,ANN_ROLL,+2,NOW,,,'')&lt;/Q&gt;&lt;R&gt;1&lt;/R&gt;&lt;C&gt;1&lt;/C&gt;&lt;D xsi:type="xsd:double"&gt;25.748182&lt;/D&gt;&lt;/FQL&gt;&lt;FQL&gt;&lt;Q&gt;B^FE_ESTIMATE(EPS,MEAN,ANN_ROLL,+0,NOW,,,'')&lt;/Q&gt;&lt;R&gt;1&lt;/R&gt;&lt;C&gt;1&lt;/C&gt;&lt;D xsi:type="xsd:double"&gt;1.98&lt;/D&gt;&lt;/FQL&gt;&lt;FQL&gt;&lt;Q&gt;ITT^FE_ESTIMATE(FCF,MEAN,ANN_ROLL,+0,NOW,,,'')&lt;/Q&gt;&lt;R&gt;1&lt;/R&gt;&lt;C&gt;1&lt;/C&gt;&lt;D xsi:type="xsd:double"&gt;555.4&lt;/D&gt;&lt;/FQL&gt;&lt;FQL&gt;&lt;Q&gt;NOC^FE_ESTIMATE(EPS,MEAN,ANN_ROLL,+0,NOW,,,'')&lt;/Q&gt;&lt;R&gt;1&lt;/R&gt;&lt;C&gt;1&lt;/C&gt;&lt;D xsi:type="xsd:double"&gt;26.34&lt;/D&gt;&lt;/FQL&gt;&lt;FQL&gt;&lt;Q&gt;NOC^P_DIV_YLD&lt;/Q&gt;&lt;R&gt;1&lt;/R&gt;&lt;C&gt;1&lt;/C&gt;&lt;D xsi:type="xsd:double"&gt;1.3611655&lt;/D&gt;&lt;/FQL&gt;&lt;FQL&gt;&lt;Q&gt;BWXT^FE_ESTIMATE(SALES,MEAN,ANN_ROLL,+1,NOW,,,'')&lt;/Q&gt;&lt;R&gt;1&lt;/R&gt;&lt;C&gt;1&lt;/C&gt;&lt;D xsi:type="xsd:double"&gt;3153.8123&lt;/D&gt;&lt;/FQL&gt;&lt;FQL&gt;&lt;Q&gt;NOC^FE_ESTIMATE(EPS,MEAN,ANN_ROLL,+1,NOW,,,'')&lt;/Q&gt;&lt;R&gt;1&lt;/R&gt;&lt;C&gt;1&lt;/C&gt;&lt;D xsi:type="xsd:double"&gt;28.032558&lt;/D&gt;&lt;/FQL&gt;&lt;FQL&gt;&lt;Q&gt;CIR^FF_COM_SHS_OUT_EPS_DIL(MON,NOW)&lt;/Q&gt;&lt;R&gt;1&lt;/R&gt;&lt;C&gt;1&lt;/C&gt;&lt;D xsi:type="xsd:double"&gt;20.368&lt;/D&gt;&lt;/FQL&gt;&lt;FQL&gt;&lt;Q&gt;BA^FE_ESTIMATE(EPS,MEAN,ANN_ROLL,+2,NOW,,,'')&lt;/Q&gt;&lt;R&gt;1&lt;/R&gt;&lt;C&gt;1&lt;/C&gt;&lt;D xsi:type="xsd:double"&gt;4.9687014&lt;/D&gt;&lt;/FQL&gt;&lt;FQL&gt;&lt;Q&gt;HXL^FE_ESTIMATE(FCF,MEAN,ANN_ROLL,+0,NOW,,,'')&lt;/Q&gt;&lt;R&gt;1&lt;/R&gt;&lt;C&gt;1&lt;/C&gt;&lt;D xsi:type="xsd:double"&gt;157.2&lt;/D&gt;&lt;/FQL&gt;&lt;FQL&gt;&lt;Q&gt;CW^FF_CASH_ST(MON,NOW)&lt;/Q&gt;&lt;R&gt;1&lt;/R&gt;&lt;C&gt;1&lt;/C&gt;&lt;D xsi:type="xsd:double"&gt;225.427&lt;/D&gt;&lt;/FQL&gt;&lt;FQL&gt;&lt;Q&gt;HII^FE_ESTIMATE(FCF,MEAN,ANN_ROLL,+2,NOW,,,'')&lt;/Q&gt;&lt;R&gt;1&lt;/R&gt;&lt;C&gt;1&lt;/C&gt;&lt;D xsi:type="xsd:double"&gt;656.07886&lt;/D&gt;&lt;/FQL&gt;&lt;FQL&gt;&lt;Q&gt;BWXT^FE_ESTIMATE(SALES,MEAN,ANN_ROLL,+0,NOW,,,'')&lt;/Q&gt;&lt;R&gt;1&lt;/R&gt;&lt;C&gt;1&lt;/C&gt;&lt;D xsi:type="xsd:double"&gt;2703.654&lt;/D&gt;&lt;/FQL&gt;&lt;FQL&gt;&lt;Q&gt;BA^FG_PRICE(NOW)&lt;/Q&gt;&lt;R&gt;1&lt;/R&gt;&lt;C&gt;1&lt;/C&gt;&lt;D xsi:type="xsd:double"&gt;239.35&lt;/D&gt;&lt;/FQL&gt;&lt;FQL&gt;&lt;Q&gt;AIR^FE_ESTIMATE(SALES,MEAN,ANN_ROLL,+1,NOW,,,'')&lt;/Q&gt;&lt;R&gt;1&lt;/R&gt;&lt;C&gt;1&lt;/C&gt;&lt;D xsi:type="xsd:double"&gt;3212.2083&lt;/D&gt;&lt;/FQL&gt;&lt;FQL&gt;&lt;Q&gt;LHX^FE_ESTIMATE(FCF,MEAN,ANN_ROLL,+0,NOW,,,'')&lt;/Q&gt;&lt;R&gt;1&lt;/R&gt;&lt;C&gt;1&lt;/C&gt;&lt;D xsi:type="xsd:double"&gt;2814&lt;/D&gt;&lt;/FQL&gt;&lt;FQL&gt;&lt;Q&gt;LMT^FG_COMPANY_NAME&lt;/Q&gt;&lt;R&gt;1&lt;/R&gt;&lt;C&gt;1&lt;/C&gt;&lt;D xsi:type="xsd:string"&gt;Lockheed Martin Corporation&lt;/D&gt;&lt;/FQL&gt;&lt;FQL&gt;&lt;Q&gt;WWD^FE_ESTIMATE(FCF,MEAN,ANN_ROLL,+1,NOW,,,'')&lt;/Q&gt;&lt;R&gt;1&lt;/R&gt;&lt;C&gt;1&lt;/C&gt;&lt;D xsi:type="xsd:double"&gt;322.6996&lt;/D&gt;&lt;/FQL&gt;&lt;FQL&gt;&lt;Q&gt;TDG^FE_ESTIMATE(EPS,MEAN,ANN_ROLL,+2,NOW,,,'')&lt;/Q&gt;&lt;R&gt;1&lt;/R&gt;&lt;C&gt;1&lt;/C&gt;&lt;D xsi:type="xsd:double"&gt;26.80375&lt;/D&gt;&lt;/FQL&gt;&lt;FQL&gt;&lt;Q&gt;TDG^FE_ESTIMATE(EPS,MEAN,ANN_ROLL,+1,NOW,,,'')&lt;/Q&gt;&lt;R&gt;1&lt;/R&gt;&lt;C&gt;1&lt;/C&gt;&lt;D xsi:type="xsd:double"&gt;22.349133&lt;/D&gt;&lt;/FQL&gt;&lt;FQL&gt;&lt;Q&gt;TDG^FE_ESTIMATE(EPS,MEAN,ANN_ROLL,+0,NOW,,,'')&lt;/Q&gt;&lt;R&gt;1&lt;/R&gt;&lt;C&gt;1&lt;/C&gt;&lt;D xsi:type="xsd:double"&gt;17.14&lt;/D&gt;&lt;/FQL&gt;&lt;FQL&gt;&lt;Q&gt;ITT^FF_DEBT(MON,NOW)&lt;/Q&gt;&lt;R&gt;1&lt;/R&gt;&lt;C&gt;1&lt;/C&gt;&lt;D xsi:type="xsd:double"&gt;867.2&lt;/D&gt;&lt;/FQL&gt;&lt;FQL&gt;&lt;Q&gt;WWD^FE_ESTIMATE(EBITDA,MEAN,ANN_ROLL,+2,NOW,,,'')&lt;/Q&gt;&lt;R&gt;1&lt;/R&gt;&lt;C&gt;1&lt;/C&gt;&lt;D xsi:type="xsd:double"&gt;961.56354&lt;/D&gt;&lt;/FQL&gt;&lt;FQL&gt;&lt;Q&gt;ITT^FE_ESTIMATE(SALES,MEAN,ANN_ROLL,+2,NOW,,,'')&lt;/Q&gt;&lt;R&gt;1&lt;/R&gt;&lt;C&gt;1&lt;/C&gt;&lt;D xsi:type="xsd:double"&gt;4386.288&lt;/D&gt;&lt;/FQL&gt;&lt;FQL&gt;&lt;Q&gt;RTX^FE_ESTIMATE(EPS,MEAN,ANN_ROLL,+2,NOW,,,'')&lt;/Q&gt;&lt;R&gt;1&lt;/R&gt;&lt;C&gt;1&lt;/C&gt;&lt;D xsi:type="xsd:double"&gt;7.5646043&lt;/D&gt;&lt;/FQL&gt;&lt;FQL&gt;&lt;Q&gt;AIR^FE_ESTIMATE(EPS,MEAN,ANN_ROLL,+0,NOW,,,'')&lt;/Q&gt;&lt;R&gt;1&lt;/R&gt;&lt;C&gt;1&lt;/C&gt;&lt;D xsi:type="xsd:double"&gt;3.91&lt;/D&gt;&lt;/FQL&gt;&lt;FQL&gt;&lt;Q&gt;AIR^FF_CASH_ST(MON,NOW)&lt;/Q&gt;&lt;R&gt;1&lt;/R&gt;&lt;C&gt;1&lt;/C&gt;&lt;D xsi:type="xsd:double"&gt;96.2&lt;/D&gt;&lt;/FQL&gt;&lt;FQL&gt;&lt;Q&gt;CW^FF_DEBT(MON,NOW)&lt;/Q&gt;&lt;R&gt;1&lt;/R&gt;&lt;C&gt;1&lt;/C&gt;&lt;D xsi:type="xsd:double"&gt;1133.396&lt;/D&gt;&lt;/FQL&gt;&lt;FQL&gt;&lt;Q&gt;GD^FG_COMPANY_NAME&lt;/Q&gt;&lt;R&gt;1&lt;/R&gt;&lt;C&gt;1&lt;/C&gt;&lt;D xsi:type="xsd:string"&gt;General Dynamics Corporation&lt;/D&gt;&lt;/FQL&gt;&lt;FQL&gt;&lt;Q&gt;HEI^FF_COM_SHS_OUT_EPS_DIL(MON,NOW)&lt;/Q&gt;&lt;R&gt;1&lt;/R&gt;&lt;C&gt;1&lt;/C&gt;&lt;D xsi:type="xsd:double"&gt;140.771&lt;/D&gt;&lt;/FQL&gt;&lt;FQL&gt;&lt;Q&gt;CW^FG_COMPANY_NAME&lt;/Q&gt;&lt;R&gt;1&lt;/R&gt;&lt;C&gt;1&lt;/C&gt;&lt;D xsi:type="xsd:string"&gt;Curtiss-Wright Corporation&lt;/D&gt;&lt;/FQL&gt;&lt;FQL&gt;&lt;Q&gt;AIR^FE_ESTIMATE(EBITDA,MEAN,ANN_ROLL,+2,NOW,,,'')&lt;/Q&gt;&lt;R&gt;1&lt;/R&gt;&lt;C&gt;1&lt;/C&gt;&lt;D xsi:type="xsd:double"&gt;436.27963&lt;/D&gt;&lt;/FQL&gt;&lt;FQL&gt;&lt;Q&gt;LHX^FE_ESTIMATE(EBITDA,MEAN,ANN_ROLL,+0,NOW,,,'')&lt;/Q&gt;&lt;R&gt;1&lt;/R&gt;&lt;C&gt;1&lt;/C&gt;&lt;D xsi:type="xsd:double"&gt;3840.24&lt;/D&gt;&lt;/FQL&gt;&lt;FQL&gt;&lt;Q&gt;BA^FE_ESTIMATE(EBITDA,MEAN,ANN_ROLL,+1,NOW,,,'')&lt;/Q&gt;&lt;R&gt;1&lt;/R&gt;&lt;C&gt;1&lt;/C&gt;&lt;D xsi:type="xsd:double"&gt;5613.641&lt;/D&gt;&lt;/FQL&gt;&lt;FQL&gt;&lt;Q&gt;HII^P_DIV_YLD&lt;/Q&gt;&lt;R&gt;1&lt;/R&gt;&lt;C&gt;1&lt;/C&gt;&lt;D xsi:type="xsd:double"&gt;1.4056531&lt;/D&gt;&lt;/FQL&gt;&lt;FQL&gt;&lt;Q&gt;AIR^FE_ESTIMATE(SALES,MEAN,ANN_ROLL,+0,NOW,,,'')&lt;/Q&gt;&lt;R&gt;1&lt;/R&gt;&lt;C&gt;1&lt;/C&gt;&lt;D xsi:type="xsd:double"&gt;2780.5&lt;/D&gt;&lt;/FQL&gt;&lt;FQL&gt;&lt;Q&gt;BWXT^FE_ESTIMATE(FCF,MEAN,ANN_ROLL,+0,NOW,,,'')&lt;/Q&gt;&lt;R&gt;1&lt;/R&gt;&lt;C&gt;1&lt;/C&gt;&lt;D xsi:type="xsd:double"&gt;254.8&lt;/D&gt;&lt;/FQL&gt;&lt;FQL&gt;&lt;Q&gt;KRMN^FF_CASH_ST(MON,NOW)&lt;/Q&gt;&lt;R&gt;1&lt;/R&gt;&lt;C&gt;1&lt;/C&gt;&lt;D xsi:type="xsd:double"&gt;18.665&lt;/D&gt;&lt;/FQL&gt;&lt;FQL&gt;&lt;Q&gt;KRMN^FE_ESTIMATE(EBITDA,MEAN,ANN_ROLL,+1,NOW,,,'')&lt;/Q&gt;&lt;R&gt;1&lt;/R&gt;&lt;C&gt;1&lt;/C&gt;&lt;D xsi:type="xsd:double"&gt;144.74529&lt;/D&gt;&lt;/FQL&gt;&lt;FQL&gt;&lt;Q&gt;HEI^FE_ESTIMATE(EBITDA,MEAN,ANN_ROLL,+1,NOW,,,'')&lt;/Q&gt;&lt;R&gt;1&lt;/R&gt;&lt;C&gt;1&lt;/C&gt;&lt;D xsi:type="xsd:double"&gt;1365.6947&lt;/D&gt;&lt;/FQL&gt;&lt;FQL&gt;&lt;Q&gt;BA^FG_COMPANY_NAME&lt;/Q&gt;&lt;R&gt;1&lt;/R&gt;&lt;C&gt;1&lt;/C&gt;&lt;D xsi:type="xsd:string"&gt;Boeing Company&lt;/D&gt;&lt;/FQL&gt;&lt;FQL&gt;&lt;Q&gt;NOC^FE_ESTIMATE(FCF,MEAN,ANN_ROLL,+1,NOW,,,'')&lt;/Q&gt;&lt;R&gt;1&lt;/R&gt;&lt;C&gt;1&lt;/C&gt;&lt;D xsi:type="xsd:double"&gt;3296.9346&lt;/D&gt;&lt;/FQL&gt;&lt;FQL&gt;&lt;Q&gt;LHX^FF_DEBT(MON,NOW)&lt;/Q&gt;&lt;R&gt;1&lt;/R&gt;&lt;C&gt;1&lt;/C&gt;&lt;D xsi:type="xsd:double"&gt;10443&lt;/D&gt;&lt;/FQL&gt;&lt;FQL&gt;&lt;Q&gt;NOC^FE_ESTIMATE(EBITDA,MEAN,ANN_ROLL,+0,NOW,,,'')&lt;/Q&gt;&lt;R&gt;1&lt;/R&gt;&lt;C&gt;1&lt;/C&gt;&lt;D xsi:type="xsd:double"&gt;5957&lt;/D&gt;&lt;/FQL&gt;&lt;FQL&gt;&lt;Q&gt;AIR^FE_ESTIMATE(EPS,MEAN,ANN_ROLL,+2,NOW,,,'')&lt;/Q&gt;&lt;R&gt;1&lt;/R&gt;&lt;C&gt;1&lt;/C&gt;&lt;D xsi:type="xsd:double"&gt;5.502857&lt;/D&gt;&lt;/FQL&gt;&lt;FQL&gt;&lt;Q&gt;HEI^FG_PRICE(NOW)&lt;/Q&gt;&lt;R&gt;1&lt;/R&gt;&lt;C&gt;1&lt;/C&gt;&lt;D xsi:type="xsd:double"&gt;328.45&lt;/D&gt;&lt;/FQL&gt;&lt;FQL&gt;&lt;Q&gt;KRMN^FE_ESTIMATE(FCF,MEAN,ANN_ROLL,+1,NOW,,,'')&lt;/Q&gt;&lt;R&gt;1&lt;/R&gt;&lt;C&gt;1&lt;/C&gt;&lt;D xsi:type="xsd:double"&gt;-17.4238&lt;/D&gt;&lt;/FQL&gt;&lt;FQL&gt;&lt;Q&gt;B^FF_COM_SHS_OUT_EPS_DIL(MON,NOW)&lt;/Q&gt;&lt;R&gt;1&lt;/R&gt;&lt;C&gt;1&lt;/C&gt;&lt;D xsi:type="xsd:double"&gt;51.264435&lt;/D&gt;&lt;/FQL&gt;&lt;FQL&gt;&lt;Q&gt;HII^FE_ESTIMATE(EPS,MEAN,ANN_ROLL,+2,NOW,,,'')&lt;/Q&gt;&lt;R&gt;1&lt;/R&gt;&lt;C&gt;1&lt;/C&gt;&lt;D xsi:type="xsd:double"&gt;20.31125&lt;/D&gt;&lt;/FQL&gt;&lt;FQL&gt;&lt;Q&gt;AIR^FE_ESTIMATE(EPS,MEAN,ANN_ROLL,+1,NOW,,,'')&lt;/Q&gt;&lt;R&gt;1&lt;/R&gt;&lt;C&gt;1&lt;/C&gt;&lt;D xsi:type="xsd:double"&gt;4.707143&lt;/D&gt;&lt;/FQL&gt;&lt;FQL&gt;&lt;Q&gt;CIR^FE_ESTIMATE(EPS,MEAN,ANN_ROLL,+2,NOW,,,'')&lt;/Q&gt;&lt;R&gt;1&lt;/R&gt;&lt;C&gt;1&lt;/C&gt;&lt;D xsi:type="xsd:double"&gt;2.67&lt;/D&gt;&lt;/FQL&gt;&lt;FQL&gt;&lt;Q&gt;B^FE_ESTIMATE(FCF,MEAN,ANN_ROLL,+0,NOW,,,'')&lt;/Q&gt;&lt;R&gt;1&lt;/R&gt;&lt;C&gt;1&lt;/C&gt;&lt;D xsi:type="xsd:double"&gt;40.32567&lt;/D&gt;&lt;/FQL&gt;&lt;FQL&gt;&lt;Q&gt;SPX^FG_VALUATION_IDX(0,,,"PE_CY1")&lt;/Q&gt;&lt;R&gt;1&lt;/R&gt;&lt;C&gt;1&lt;/C&gt;&lt;D xsi:type="xsd:double"&gt;25.56711&lt;/D&gt;&lt;/FQL&gt;&lt;FQL&gt;&lt;Q&gt;AIR^FF_DEBT(MON,NOW)&lt;/Q&gt;&lt;R&gt;1&lt;/R&gt;&lt;C&gt;1&lt;/C&gt;&lt;D xsi:type="xsd:double"&gt;1044.3&lt;/D&gt;&lt;/FQL&gt;&lt;FQL&gt;&lt;Q&gt;ITT^FE_ESTIMATE(EBITDA,MEAN,ANN_ROLL,+0,NOW,,,'')&lt;/Q&gt;&lt;R&gt;1&lt;/R&gt;&lt;C&gt;1&lt;/C&gt;&lt;D xsi:type="xsd:double"&gt;856.5125&lt;/D&gt;&lt;/FQL&gt;&lt;FQL&gt;&lt;Q&gt;BWXT^FE_ESTIMATE(EPS,MEAN,ANN_ROLL,+2,NOW,,,'')&lt;/Q&gt;&lt;R&gt;1&lt;/R&gt;&lt;C&gt;1&lt;/C&gt;&lt;D xsi:type="xsd:double"&gt;4.295475&lt;/D&gt;&lt;/FQL&gt;&lt;FQL&gt;&lt;Q&gt;CW^FG_PRICE(NOW)&lt;/Q&gt;&lt;R&gt;1&lt;/R&gt;&lt;C&gt;1&lt;/C&gt;&lt;D xsi:type="xsd:double"&gt;582.42&lt;/D&gt;&lt;/FQL&gt;&lt;FQL&gt;&lt;Q&gt;TDY^FE_ESTIMATE(EBITDA,MEAN,ANN_ROLL,+1,NOW,,,'')&lt;/Q&gt;&lt;R&gt;1&lt;/R&gt;&lt;C&gt;1&lt;/C&gt;&lt;D xsi:type="xsd:double"&gt;1595.3939&lt;/D&gt;&lt;/FQL&gt;&lt;FQL&gt;&lt;Q&gt;CW^FE_ESTIMATE(EPS,MEAN,ANN_ROLL,+2,NOW,,,'')&lt;/Q&gt;&lt;R&gt;1&lt;/R&gt;&lt;C&gt;1&lt;/C&gt;&lt;D xsi:type="xsd:double"&gt;16.393692&lt;/D&gt;&lt;/FQL&gt;&lt;FQL&gt;&lt;Q&gt;BA^P_DIV_YLD&lt;/Q&gt;&lt;R&gt;1&lt;/R&gt;&lt;C&gt;1&lt;/C&gt;&lt;D xsi:type="xsd:double"&gt;0&lt;/D&gt;&lt;/FQL&gt;&lt;FQL&gt;&lt;Q&gt;AIR^FE_ESTIMATE(EBITDA,MEAN,ANN_ROLL,+1,NOW,,,'')&lt;/Q&gt;&lt;R&gt;1&lt;/R&gt;&lt;C&gt;1&lt;/C&gt;&lt;D xsi:type="xsd:double"&gt;386.26343&lt;/D&gt;&lt;/FQL&gt;&lt;FQL&gt;&lt;Q&gt;HEI^FE_ESTIMATE(EPS,MEAN,ANN_ROLL,+0,NOW,,,'')&lt;/Q&gt;&lt;R&gt;1&lt;/R&gt;&lt;C&gt;1&lt;/C&gt;&lt;D xsi:type="xsd:double"&gt;4.9&lt;/D&gt;&lt;/FQL&gt;&lt;FQL&gt;&lt;Q&gt;NOC^FE_ESTIMATE(FCF,MEAN,ANN_ROLL,+2,NOW,,,'')&lt;/Q&gt;&lt;R&gt;1&lt;/R&gt;&lt;C&gt;1&lt;/C&gt;&lt;D xsi:type="xsd:double"&gt;3523.5466&lt;/D&gt;&lt;/FQL&gt;&lt;FQL&gt;&lt;Q&gt;CIR^FE_ESTIMATE(FCF,MEAN,ANN_ROLL,+2,NOW,,,'')&lt;/Q&gt;&lt;R&gt;1&lt;/R&gt;&lt;C&gt;1&lt;/C&gt;&lt;D xsi:type="xsd:double"&gt;52.1&lt;/D&gt;&lt;/FQL&gt;&lt;FQL&gt;&lt;Q&gt;LMT^FE_ESTIMATE(FCF,MEAN,ANN_ROLL,+1,NOW,,,'')&lt;/Q&gt;&lt;R&gt;1&lt;/R&gt;&lt;C&gt;1&lt;/C&gt;&lt;D xsi:type="xsd:double"&gt;6674.503&lt;/D&gt;&lt;/FQL&gt;&lt;FQL&gt;&lt;Q&gt;AIR^FG_PRICE(NOW)&lt;/Q&gt;&lt;R&gt;1&lt;/R&gt;&lt;C&gt;1&lt;/C&gt;&lt;D xsi:type="xsd:double"&gt;113.22&lt;/D&gt;&lt;/FQL&gt;&lt;FQL&gt;&lt;Q&gt;LHX^FE_ESTIMATE(EPS,MEAN,ANN_ROLL,+2,NOW,,,'')&lt;/Q&gt;&lt;R&gt;1&lt;/R&gt;&lt;C&gt;1&lt;/C&gt;&lt;D xsi:type="xsd:double"&gt;13.681771&lt;/D&gt;&lt;/FQL&gt;&lt;FQL&gt;&lt;Q&gt;CIR^FE_ESTIMATE(FCF,MEAN,ANN_ROLL,+1,NOW,,,'')&lt;/Q&gt;&lt;R&gt;1&lt;/R&gt;&lt;C&gt;1&lt;/C&gt;&lt;D xsi:type="xsd:double"&gt;0.3&lt;/D&gt;&lt;/FQL&gt;&lt;FQL&gt;&lt;Q&gt;B^FE_ESTIMATE(EPS,MEAN,ANN_ROLL,+2,NOW,,,'')&lt;/Q&gt;&lt;R&gt;1&lt;/R&gt;&lt;C&gt;1&lt;/C&gt;&lt;D xsi:type="xsd:double"&gt;2.55&lt;/D&gt;&lt;/FQL&gt;&lt;FQL&gt;&lt;Q&gt;ITT^FE_ESTIMATE(FCF,MEAN,ANN_ROLL,+1,NOW,,,'')&lt;/Q&gt;&lt;R&gt;1&lt;/R&gt;&lt;C&gt;1&lt;/C&gt;&lt;D xsi:type="xsd:double"&gt;579.5143&lt;/D&gt;&lt;/FQL&gt;&lt;FQL&gt;&lt;Q&gt;NOC^FE_ESTIMATE(EBITDA,MEAN,ANN_ROLL,+2,NOW,,,'')&lt;/Q&gt;&lt;R&gt;1&lt;/R&gt;&lt;C&gt;1&lt;/C&gt;&lt;D xsi:type="xsd:double"&gt;6660.186&lt;/D&gt;&lt;/FQL&gt;&lt;FQL&gt;&lt;Q&gt;MRCY^P_DIV_YLD&lt;/Q&gt;&lt;R&gt;1&lt;/R&gt;&lt;C&gt;1&lt;/C&gt;&lt;D xsi:type="xsd:double"&gt;0&lt;/D&gt;&lt;/FQL&gt;&lt;FQL&gt;&lt;Q&gt;LMT^FG_PRICE(NOW)&lt;/Q&gt;&lt;R&gt;1&lt;/R&gt;&lt;C&gt;1&lt;/C&gt;&lt;D xsi:type="xsd:double"&gt;637.43&lt;/D&gt;&lt;/FQL&gt;&lt;FQL&gt;&lt;Q&gt;GD^FE_ESTIMATE(FCF,MEAN,ANN_ROLL,+0,NOW,,,'')&lt;/Q&gt;&lt;R&gt;1&lt;/R&gt;&lt;C&gt;1&lt;/C&gt;&lt;D xsi:type="xsd:double"&gt;3959&lt;/D&gt;&lt;/FQL&gt;&lt;FQL&gt;&lt;Q&gt;WWD^FE_ESTIMATE(EPS,MEAN,ANN_ROLL,+0,NOW,,,'')&lt;/Q&gt;&lt;R&gt;1&lt;/R&gt;&lt;C&gt;1&lt;/C&gt;&lt;D xsi:type="xsd:double"&gt;6.89&lt;/D&gt;&lt;/FQL&gt;&lt;FQL&gt;&lt;Q&gt;BA^FF_CASH_ST(MON,NOW)&lt;/Q&gt;&lt;R&gt;1&lt;/R&gt;&lt;C&gt;1&lt;/C&gt;&lt;D xsi:type="xsd:double"&gt;29400&lt;/D&gt;&lt;/FQL&gt;&lt;FQL&gt;&lt;Q&gt;GD^FE_ESTIMATE(FCF,MEAN,ANN_ROLL,+1,NOW,,,'')&lt;/Q&gt;&lt;R&gt;1&lt;/R&gt;&lt;C&gt;1&lt;/C&gt;&lt;D xsi:type="xsd:double"&gt;4439.8296&lt;/D&gt;&lt;/FQL&gt;&lt;FQL&gt;&lt;Q&gt;AIR^FE_ESTIMATE(FCF,MEAN,ANN_ROLL,+2,NOW,,,'')&lt;/Q&gt;&lt;R&gt;1&lt;/R&gt;&lt;C&gt;1&lt;/C&gt;&lt;D xsi:type="xsd:double"&gt;102.8&lt;/D&gt;&lt;/FQL&gt;&lt;FQL&gt;&lt;Q&gt;HEI^FF_CASH_ST(MON,NOW)&lt;/Q&gt;&lt;R&gt;1&lt;/R&gt;&lt;C&gt;1&lt;/C&gt;&lt;D xsi:type="xsd:double"&gt;217.781&lt;/D&gt;&lt;/FQL&gt;&lt;FQL&gt;&lt;Q&gt;CW^FE_ESTIMATE(FCF,MEAN,ANN_ROLL,+0,NOW,,,'')&lt;/Q&gt;&lt;R&gt;1&lt;/R&gt;&lt;C&gt;1&lt;/C&gt;&lt;D xsi:type="xsd:double"&gt;553.71&lt;/D&gt;&lt;/FQL&gt;&lt;FQL&gt;&lt;Q&gt;TDY^FE_ESTIMATE(EPS,MEAN,ANN_ROLL,+0,NOW,,,'')&lt;/Q&gt;&lt;R&gt;1&lt;/R&gt;&lt;C&gt;1&lt;/C&gt;&lt;D xsi:type="xsd:double"&gt;21.99&lt;/D&gt;&lt;/FQL&gt;&lt;FQL&gt;&lt;Q&gt;TDG^FE_ESTIMATE(EBITDA,MEAN,ANN_ROLL,+2,NOW,,,'')&lt;/Q&gt;&lt;R&gt;1&lt;/R&gt;&lt;C&gt;1&lt;/C&gt;&lt;D xsi:type="xsd:double"&gt;3411.3345&lt;/D&gt;&lt;/FQL&gt;&lt;FQL&gt;&lt;Q&gt;TDG^FE_ESTIMATE(EBITDA,MEAN,ANN_ROLL,+1,NOW,,,'')&lt;/Q&gt;&lt;R&gt;1&lt;/R&gt;&lt;C&gt;1&lt;/C&gt;&lt;D xsi:type="xsd:double"&gt;3110.2258&lt;/D&gt;&lt;/FQL&gt;&lt;FQL&gt;&lt;Q&gt;TDG^FE_ESTIMATE(EBITDA,MEAN,ANN_ROLL,+0,NOW,,,'')&lt;/Q&gt;&lt;R&gt;1&lt;/R&gt;&lt;C&gt;1&lt;/C&gt;&lt;D xsi:type="xsd:double"&gt;2646&lt;/D&gt;&lt;/FQL&gt;&lt;FQL&gt;&lt;Q&gt;RTX^FE_ESTIMATE(FCF,MEAN,ANN_ROLL,+2,NOW,,,'')&lt;/Q&gt;&lt;R&gt;1&lt;/R&gt;&lt;C&gt;1&lt;/C&gt;&lt;D xsi:type="xsd:double"&gt;9968.167&lt;/D&gt;&lt;/FQL&gt;&lt;FQL&gt;&lt;Q&gt;HEI^FE_ESTIMATE(FCF,MEAN,ANN_ROLL,+1,NOW,,,'')&lt;/Q&gt;&lt;R&gt;1&lt;/R&gt;&lt;C&gt;1&lt;/C&gt;&lt;D xsi:type="xsd:double"&gt;890.72815&lt;/D&gt;&lt;/FQL&gt;&lt;FQL&gt;&lt;Q&gt;LHX^FE_ESTIMATE(SALES,MEAN,ANN_ROLL,+1,NOW,,,'')&lt;/Q&gt;&lt;R&gt;1&lt;/R&gt;&lt;C&gt;1&lt;/C&gt;&lt;D xsi:type="xsd:double"&gt;23431.785&lt;/D&gt;&lt;/FQL&gt;&lt;FQL&gt;&lt;Q&gt;CW^FF_COM_SHS_OUT_EPS_DIL(MON,NOW)&lt;/Q&gt;&lt;R&gt;1&lt;/R&gt;&lt;C&gt;1&lt;/C&gt;&lt;D xsi:type="xsd:double"&gt;37.663&lt;/D&gt;&lt;/FQL&gt;&lt;FQL&gt;&lt;Q&gt;NOC^FG_COMPANY_NAME&lt;/Q&gt;&lt;R&gt;1&lt;/R&gt;&lt;C&gt;1&lt;/C&gt;&lt;D xsi:type="xsd:string"&gt;Northrop Grumman Corp.&lt;/D&gt;&lt;/FQL&gt;&lt;FQL&gt;&lt;Q&gt;NOC^FE_ESTIMATE(EBITDA,MEAN,ANN_ROLL,+1,NOW,,,'')&lt;/Q&gt;&lt;R&gt;1&lt;/R&gt;&lt;C&gt;1&lt;/C&gt;&lt;D xsi:type="xsd:double"&gt;6269.72&lt;/D&gt;&lt;/FQL&gt;&lt;FQL&gt;&lt;Q&gt;LMT^FE_ESTIMATE(FCF,MEAN,ANN_ROLL,+2,NOW,,,'')&lt;/Q&gt;&lt;R&gt;1&lt;/R&gt;&lt;C&gt;1&lt;/C&gt;&lt;D xsi:type="xsd:double"&gt;6395.99&lt;/D&gt;&lt;/FQL&gt;&lt;FQL&gt;&lt;Q&gt;TDY^FE_ESTIMATE(SALES,MEAN,ANN_ROLL,+0,NOW,,,'')&lt;/Q&gt;&lt;R&gt;1&lt;/R&gt;&lt;C&gt;1&lt;/C&gt;&lt;D xsi:type="xsd:double"&gt;6115.4&lt;/D&gt;&lt;/FQL&gt;&lt;FQL&gt;&lt;Q&gt;BA^FF_DEBT(MON,NOW)&lt;/Q&gt;&lt;R&gt;1&lt;/R&gt;&lt;C&gt;1&lt;/C&gt;&lt;D xsi:type="xsd:double"&gt;56365&lt;/D&gt;&lt;/FQL&gt;&lt;FQL&gt;&lt;Q&gt;B^FE_ESTIMATE(EBITDA,MEAN,ANN_ROLL,+1,NOW,,,'')&lt;/Q&gt;&lt;R&gt;1&lt;/R&gt;&lt;C&gt;1&lt;/C&gt;&lt;D xsi:type="xsd:double"&gt;257.86&lt;/D&gt;&lt;/FQL&gt;&lt;FQL&gt;&lt;Q&gt;HXL^FE_ESTIMATE(FCF,MEAN,ANN_ROLL,+2,NOW,,,'')&lt;/Q&gt;&lt;R&gt;1&lt;/R&gt;&lt;C&gt;1&lt;/C&gt;&lt;D xsi:type="xsd:double"&gt;262.17014&lt;/D&gt;&lt;/FQL&gt;&lt;FQL&gt;&lt;Q&gt;RTX^FF_DEBT(MON,NOW)&lt;/Q&gt;&lt;R&gt;1&lt;/R&gt;&lt;C&gt;1&lt;/C&gt;&lt;D xsi:type="xsd:double"&gt;39956&lt;/D&gt;&lt;/FQL&gt;&lt;FQL&gt;&lt;Q&gt;CIR^FE_ESTIMATE(EPS,MEAN,ANN_ROLL,+0,NOW,,,'')&lt;/Q&gt;&lt;R&gt;1&lt;/R&gt;&lt;C&gt;1&lt;/C&gt;&lt;D xsi:type="xsd:double"&gt;1.83&lt;/D&gt;&lt;/FQL&gt;&lt;FQL&gt;&lt;Q&gt;LHX^FF_CASH_ST(MON,NOW)&lt;/Q&gt;&lt;R&gt;1&lt;/R&gt;&lt;C&gt;1&lt;/C&gt;&lt;D xsi:type="xsd:double"&gt;1069&lt;/D&gt;&lt;/FQL&gt;&lt;FQL&gt;&lt;Q&gt;HII^FE_ESTIMATE(EBITDA,MEAN,ANN_ROLL,+0,NOW,,,'')&lt;/Q&gt;&lt;R&gt;1&lt;/R&gt;&lt;C&gt;1&lt;/C&gt;&lt;D xsi:type="xsd:double"&gt;986&lt;/D&gt;&lt;/FQL&gt;&lt;FQL&gt;&lt;Q&gt;ITT^P_DIV_YLD&lt;/Q&gt;&lt;R&gt;1&lt;/R&gt;&lt;C&gt;1&lt;/C&gt;&lt;D xsi:type="xsd:double"&gt;0.7651899&lt;/D&gt;&lt;/FQL&gt;&lt;FQL&gt;&lt;Q&gt;MRCY^FG_COMPANY_NAME&lt;/Q&gt;&lt;R&gt;1&lt;/R&gt;&lt;C&gt;1&lt;/C&gt;&lt;D xsi:type="xsd:string"&gt;Mercury Systems, Inc.&lt;/D&gt;&lt;/FQL&gt;&lt;FQL&gt;&lt;Q&gt;RTX^FE_ESTIMATE(EPS,MEAN,ANN_ROLL,+0,NOW,,,'')&lt;/Q&gt;&lt;R&gt;1&lt;/R&gt;&lt;C&gt;1&lt;/C&gt;&lt;D xsi:type="xsd:double"&gt;6.29&lt;/D&gt;&lt;/FQL&gt;&lt;FQL&gt;&lt;Q&gt;WWD^P_DIV_YLD&lt;/Q&gt;&lt;R&gt;1&lt;/R&gt;&lt;C&gt;1&lt;/C&gt;&lt;D xsi:type="xsd:double"&gt;0.32853368&lt;/D&gt;&lt;/FQL&gt;&lt;FQL&gt;&lt;Q&gt;TDY^FE_ESTIMATE(EPS,MEAN,ANN_ROLL,+1,NOW,,,'')&lt;/Q&gt;&lt;R&gt;1&lt;/R&gt;&lt;C&gt;1&lt;/C&gt;&lt;D xsi:type="xsd:double"&gt;23.787176&lt;/D&gt;&lt;/FQL&gt;&lt;FQL&gt;&lt;Q&gt;ITT^FF_COM_SHS_OUT_EPS_DIL(MON,NOW)&lt;/Q&gt;&lt;R&gt;1&lt;/R&gt;&lt;C&gt;1&lt;/C&gt;&lt;D xsi:type="xsd:double"&gt;79.9&lt;/D&gt;&lt;/FQL&gt;&lt;FQL&gt;&lt;Q&gt;MRCY^FE_ESTIMATE(EBITDA,MEAN,ANN_ROLL,+2,NOW,,,'')&lt;/Q&gt;&lt;R&gt;1&lt;/R&gt;&lt;C&gt;1&lt;/C&gt;&lt;D xsi:type="xsd:double"&gt;194.53511&lt;/D&gt;&lt;/FQL&gt;&lt;FQL&gt;&lt;Q&gt;KRMN^FE_ESTIMATE(FCF,MEAN,ANN_ROLL,+2,NOW,,,'')&lt;/Q&gt;&lt;R&gt;1&lt;/R&gt;&lt;C&gt;1&lt;/C&gt;&lt;D xsi:type="xsd:double"&gt;53.9774&lt;/D&gt;&lt;/FQL&gt;&lt;FQL&gt;&lt;Q&gt;HEI^FE_ESTIMATE(SALES,MEAN,ANN_ROLL,+2,NOW,,,'')&lt;/Q&gt;&lt;R&gt;1&lt;/R&gt;&lt;C&gt;1&lt;/C&gt;&lt;D xsi:type="xsd:double"&gt;5386.394&lt;/D&gt;&lt;/FQL&gt;&lt;FQL&gt;&lt;Q&gt;TDG^FE_ESTIMATE(SALES,MEAN,ANN_ROLL,+2,NOW,,,'')&lt;/Q&gt;&lt;R&gt;1&lt;/R&gt;&lt;C&gt;1&lt;/C&gt;&lt;D xsi:type="xsd:double"&gt;6725.6494&lt;/D&gt;&lt;/FQL&gt;&lt;FQL&gt;&lt;Q&gt;TDG^FE_ESTIMATE(SALES,MEAN,ANN_ROLL,+1,NOW,,,'')&lt;/Q&gt;&lt;R&gt;1&lt;/R&gt;&lt;C&gt;1&lt;/C&gt;&lt;D xsi:type="xsd:double"&gt;6157.8257&lt;/D&gt;&lt;/FQL&gt;&lt;FQL&gt;&lt;Q&gt;TDG^FE_ESTIMATE(SALES,MEAN,ANN_ROLL,+0,NOW,,,'')&lt;/Q&gt;&lt;R&gt;1&lt;/R&gt;&lt;C&gt;1&lt;/C&gt;&lt;D xsi:type="xsd:double"&gt;5429&lt;/D&gt;&lt;/FQL&gt;&lt;FQL&gt;&lt;Q&gt;LHX^FE_ESTIMATE(FCF,MEAN,ANN_ROLL,+2,NOW,,,'')&lt;/Q&gt;&lt;R&gt;1&lt;/R&gt;&lt;C&gt;1&lt;/C&gt;&lt;D xsi:type="xsd:double"&gt;3095.36&lt;/D&gt;&lt;/FQL&gt;&lt;FQL&gt;&lt;Q&gt;B^FF_DEBT(MON,NOW)&lt;/Q&gt;&lt;R&gt;1&lt;/R&gt;&lt;C&gt;1&lt;/C&gt;&lt;D xsi:type="xsd:double"&gt;565.456&lt;/D&gt;&lt;/FQL&gt;&lt;FQL&gt;&lt;Q&gt;CIR^FE_ESTIMATE(EBITDA,MEAN,ANN_ROLL,+1,NOW,,,'')&lt;/Q&gt;&lt;R&gt;1&lt;/R&gt;&lt;C&gt;1&lt;/C&gt;&lt;D xsi:type="xsd:double"&gt;133.17&lt;/D&gt;&lt;/FQL&gt;&lt;FQL&gt;&lt;Q&gt;CW^FE_ESTIMATE(EPS,MEAN,ANN_ROLL,+0,NOW,,,'')&lt;/Q&gt;&lt;R&gt;1&lt;/R&gt;&lt;C&gt;1&lt;/C&gt;&lt;D xsi:type="xsd:double"&gt;13.23&lt;/D&gt;&lt;/FQL&gt;&lt;FQL&gt;&lt;Q&gt;HXL^FE_ESTIMATE(EPS,MEAN,ANN_ROLL,+0,NOW,,,'')&lt;/Q&gt;&lt;R&gt;1&lt;/R&gt;&lt;C&gt;1&lt;/C&gt;&lt;D xsi:type="xsd:double"&gt;1.76&lt;/D&gt;&lt;/FQL&gt;&lt;FQL&gt;&lt;Q&gt;LMT^FE_ESTIMATE(EBITDA,MEAN,ANN_ROLL,+2,NOW,,,'')&lt;/Q&gt;&lt;R&gt;1&lt;/R&gt;&lt;C&gt;1&lt;/C&gt;&lt;D xsi:type="xsd:double"&gt;11740.641&lt;/D&gt;&lt;/FQL&gt;&lt;FQL&gt;&lt;Q&gt;ITT^FE_ESTIMATE(EPS,MEAN,ANN_ROLL,+0,NOW,,,'')&lt;/Q&gt;&lt;R&gt;1&lt;/R&gt;&lt;C&gt;1&lt;/C&gt;&lt;D xsi:type="xsd:double"&gt;6.72&lt;/D&gt;&lt;/FQL&gt;&lt;FQL&gt;&lt;Q&gt;LHX^P_DIV_YLD&lt;/Q&gt;&lt;R&gt;1&lt;/R&gt;&lt;C&gt;1&lt;/C&gt;&lt;D xsi:type="xsd:double"&gt;1.469335&lt;/D&gt;&lt;/FQL&gt;&lt;FQL&gt;&lt;Q&gt;B^FE_ESTIMATE(EBITDA,MEAN,ANN_ROLL,+0,NOW,,,'')&lt;/Q&gt;&lt;R&gt;1&lt;/R&gt;&lt;C&gt;1&lt;/C&gt;&lt;D xsi:type="xsd:double"&gt;191.53&lt;/D&gt;&lt;/FQL&gt;&lt;FQL&gt;&lt;Q&gt;KRMN^FE_ESTIMATE(EBITDA,MEAN,ANN_ROLL,+2,NOW,,,'')&lt;/Q&gt;&lt;R&gt;1&lt;/R&gt;&lt;C&gt;1&lt;/C&gt;&lt;D xsi:type="xsd:double"&gt;211.56017&lt;/D&gt;&lt;/FQL&gt;&lt;FQL&gt;&lt;Q&gt;HEI^FE_ESTIMATE(FCF,MEAN,ANN_ROLL,+0,NOW,,,'')&lt;/Q&gt;&lt;R&gt;1&lt;/R&gt;&lt;C&gt;1&lt;/C&gt;&lt;D xsi:type="xsd:double"&gt;861.9067&lt;/D&gt;&lt;/FQL&gt;&lt;FQL&gt;&lt;Q&gt;BWXT^FE_ESTIMATE(EPS,MEAN,ANN_ROLL,+1,NOW,,,'')&lt;/Q&gt;&lt;R&gt;1&lt;/R&gt;&lt;C&gt;1&lt;/C&gt;&lt;D xsi:type="xsd:double"&gt;3.8209083&lt;/D&gt;&lt;/FQL&gt;&lt;FQL&gt;&lt;Q&gt;RTX^FE_ESTIMATE(SALES,MEAN,ANN_ROLL,+2,NOW,,,'')&lt;/Q&gt;&lt;R&gt;1&lt;/R&gt;&lt;C&gt;1&lt;/C&gt;&lt;D xsi:type="xsd:double"&gt;99856.58&lt;/D&gt;&lt;/FQL&gt;&lt;FQL&gt;&lt;Q&gt;RTX^FE_ESTIMATE(EBITDA,MEAN,ANN_ROLL,+1,NOW,,,'')&lt;/Q&gt;&lt;R&gt;1&lt;/R&gt;&lt;C&gt;1&lt;/C&gt;&lt;D xsi:type="xsd:double"&gt;15397.806&lt;/D&gt;&lt;/FQL&gt;&lt;FQL&gt;&lt;Q&gt;BA^FF_COM_SHS_OUT_EPS_DIL(MON,NOW)&lt;/Q&gt;&lt;R&gt;1&lt;/R&gt;&lt;C&gt;1&lt;/C&gt;&lt;D xsi:type="xsd:double"&gt;762.3&lt;/D&gt;&lt;/FQL&gt;&lt;FQL&gt;&lt;Q&gt;WWD^FF_COM_SHS_OUT_EPS_DIL(MON,NOW)&lt;/Q&gt;&lt;R&gt;1&lt;/R&gt;&lt;C&gt;1&lt;/C&gt;&lt;D xsi:type="xsd:double"&gt;61.59&lt;/D&gt;&lt;/FQL&gt;&lt;FQL&gt;&lt;Q&gt;CW^FE_ESTIMATE(EBITDA,MEAN,ANN_ROLL,+0,NOW,,,'')&lt;/Q&gt;&lt;R&gt;1&lt;/R&gt;&lt;C&gt;1&lt;/C&gt;&lt;D xsi:type="xsd:double"&gt;763.72675&lt;/D&gt;&lt;/FQL&gt;&lt;FQL&gt;&lt;Q&gt;KRMN^FE_ESTIMATE(SALES,MEAN,ANN_ROLL,+0,NOW,,,'')&lt;/Q&gt;&lt;R&gt;1&lt;/R&gt;&lt;C&gt;1&lt;/C&gt;&lt;D xsi:type="xsd:double"&gt;345.25107&lt;/D&gt;&lt;/FQL&gt;&lt;FQL&gt;&lt;Q&gt;TDY^FF_CASH_ST(MON,NOW)&lt;/Q&gt;&lt;R&gt;1&lt;/R&gt;&lt;C&gt;1&lt;/C&gt;&lt;D xsi:type="xsd:double"&gt;352.4&lt;/D&gt;&lt;/FQL&gt;&lt;FQL&gt;&lt;Q&gt;KRMN^FF_COM_SHS_OUT_EPS_DIL(MON,NOW)&lt;/Q&gt;&lt;R&gt;1&lt;/R&gt;&lt;C&gt;1&lt;/C&gt;&lt;D xsi:type="xsd:double"&gt;132.322435&lt;/D&gt;&lt;/FQL&gt;&lt;FQL&gt;&lt;Q&gt;HII^FE_ESTIMATE(SALES,MEAN,ANN_ROLL,+0,NOW,,,'')&lt;/Q&gt;&lt;R&gt;1&lt;/R&gt;&lt;C&gt;1&lt;/C&gt;&lt;D xsi:type="xsd:double"&gt;12484&lt;/D&gt;&lt;/FQL&gt;&lt;FQL&gt;&lt;Q&gt;HII^FE_ESTIMATE(EBITDA,MEAN,ANN_ROLL,+2,NOW,,,'')&lt;/Q&gt;&lt;R&gt;1&lt;/R&gt;&lt;C&gt;1&lt;/C&gt;&lt;D xsi:type="xsd:double"&gt;1200.1703&lt;/D&gt;&lt;/FQL&gt;&lt;FQL&gt;&lt;Q&gt;BWXT^FF_DEBT(MON,NOW)&lt;/Q&gt;&lt;R&gt;1&lt;/R&gt;&lt;C&gt;1&lt;/C&gt;&lt;D xsi:type="xsd:double"&gt;1509.57&lt;/D&gt;&lt;/FQL&gt;&lt;FQL&gt;&lt;Q&gt;KRMN^FE_ESTIMATE(EPS,MEAN,ANN_ROLL,+2,NOW,,,'')&lt;/Q&gt;&lt;R&gt;1&lt;/R&gt;&lt;C&gt;1&lt;/C&gt;&lt;D xsi:type="xsd:double"&gt;0.62746274&lt;/D&gt;&lt;/FQL&gt;&lt;FQL&gt;&lt;Q&gt;BWXT^FG_COMPANY_NAME&lt;/Q&gt;&lt;R&gt;1&lt;/R&gt;&lt;C&gt;1&lt;/C&gt;&lt;D xsi:type="xsd:string"&gt;BWX Technologies, Inc.&lt;/D&gt;&lt;/FQL&gt;&lt;FQL&gt;&lt;Q&gt;BA^FE_ESTIMATE(EPS,MEAN,ANN_ROLL,+0,NOW,,,'')&lt;/Q&gt;&lt;R&gt;1&lt;/R&gt;&lt;C&gt;1&lt;/C&gt;&lt;D xsi:type="xsd:double"&gt;1.19&lt;/D&gt;&lt;/FQL&gt;&lt;FQL&gt;&lt;Q&gt;TDY^FF_COM_SHS_OUT_EPS_DIL(MON,NOW)&lt;/Q&gt;&lt;R&gt;1&lt;/R&gt;&lt;C&gt;1&lt;/C&gt;&lt;D xsi:type="xsd:double"&gt;47.4&lt;/D&gt;&lt;/FQL&gt;&lt;FQL&gt;&lt;Q&gt;HII^FF_DEBT(MON,NOW)&lt;/Q&gt;&lt;R&gt;1&lt;/R&gt;&lt;C&gt;1&lt;/C&gt;&lt;D xsi:type="xsd:double"&gt;2981&lt;/D&gt;&lt;/FQL&gt;&lt;FQL&gt;&lt;Q&gt;CW^FE_ESTIMATE(EPS,MEAN,ANN_ROLL,+1,NOW,,,'')&lt;/Q&gt;&lt;R&gt;1&lt;/R&gt;&lt;C&gt;1&lt;/C&gt;&lt;D xsi:type="xsd:double"&gt;14.648917&lt;/D&gt;&lt;/FQL&gt;&lt;FQL&gt;&lt;Q&gt;CW^FE_ESTIMATE(FCF,MEAN,ANN_ROLL,+2,NOW,,,'')&lt;/Q&gt;&lt;R&gt;1&lt;/R&gt;&lt;C&gt;1&lt;/C&gt;&lt;D xsi:type="xsd:double"&gt;589.6467&lt;/D&gt;&lt;/FQL&gt;&lt;FQL&gt;&lt;Q&gt;HEI^FE_ESTIMATE(SALES,MEAN,ANN_ROLL,+0,NOW</t>
        </r>
      </text>
    </comment>
    <comment ref="A5" authorId="0" shapeId="0" xr:uid="{13F971F6-E07C-4987-8C62-790DEEC2A058}">
      <text>
        <r>
          <rPr>
            <b/>
            <sz val="9"/>
            <color indexed="81"/>
            <rFont val="Tahoma"/>
            <family val="2"/>
          </rPr>
          <t>,,,'')&lt;/Q&gt;&lt;R&gt;1&lt;/R&gt;&lt;C&gt;1&lt;/C&gt;&lt;D xsi:type="xsd:double"&gt;4485.044&lt;/D&gt;&lt;/FQL&gt;&lt;FQL&gt;&lt;Q&gt;HII^FE_ESTIMATE(EPS,MEAN,ANN_ROLL,+1,NOW,,,'')&lt;/Q&gt;&lt;R&gt;1&lt;/R&gt;&lt;C&gt;1&lt;/C&gt;&lt;D xsi:type="xsd:double"&gt;17.280056&lt;/D&gt;&lt;/FQL&gt;&lt;FQL&gt;&lt;Q&gt;B^FE_ESTIMATE(FCF,MEAN,ANN_ROLL,+2,NOW,,,'')&lt;/Q&gt;&lt;R&gt;1&lt;/R&gt;&lt;C&gt;1&lt;/C&gt;&lt;D xsi:type="xsd:double"&gt;151.77925&lt;/D&gt;&lt;/FQL&gt;&lt;FQL&gt;&lt;Q&gt;CW^P_DIV_YLD&lt;/Q&gt;&lt;R&gt;1&lt;/R&gt;&lt;C&gt;1&lt;/C&gt;&lt;D xsi:type="xsd:double"&gt;0.15135987&lt;/D&gt;&lt;/FQL&gt;&lt;FQL&gt;&lt;Q&gt;WWD^FE_ESTIMATE(FCF,MEAN,ANN_ROLL,+0,NOW,,,'')&lt;/Q&gt;&lt;R&gt;1&lt;/R&gt;&lt;C&gt;1&lt;/C&gt;&lt;D xsi:type="xsd:double"&gt;340&lt;/D&gt;&lt;/FQL&gt;&lt;FQL&gt;&lt;Q&gt;LMT^FE_ESTIMATE(SALES,MEAN,ANN_ROLL,+1,NOW,,,'')&lt;/Q&gt;&lt;R&gt;1&lt;/R&gt;&lt;C&gt;1&lt;/C&gt;&lt;D xsi:type="xsd:double"&gt;79101.17&lt;/D&gt;&lt;/FQL&gt;&lt;FQL&gt;&lt;Q&gt;BA^FE_ESTIMATE(FCF,MEAN,ANN_ROLL,+0,NOW,,,'')&lt;/Q&gt;&lt;R&gt;1&lt;/R&gt;&lt;C&gt;1&lt;/C&gt;&lt;D xsi:type="xsd:double"&gt;-1877&lt;/D&gt;&lt;/FQL&gt;&lt;FQL&gt;&lt;Q&gt;RTX^FE_ESTIMATE(FCF,MEAN,ANN_ROLL,+0,NOW,,,'')&lt;/Q&gt;&lt;R&gt;1&lt;/R&gt;&lt;C&gt;1&lt;/C&gt;&lt;D xsi:type="xsd:double"&gt;7940&lt;/D&gt;&lt;/FQL&gt;&lt;FQL&gt;&lt;Q&gt;BWXT^FE_ESTIMATE(EBITDA,MEAN,ANN_ROLL,+1,NOW,,,'')&lt;/Q&gt;&lt;R&gt;1&lt;/R&gt;&lt;C&gt;1&lt;/C&gt;&lt;D xsi:type="xsd:double"&gt;571.4364&lt;/D&gt;&lt;/FQL&gt;&lt;FQL&gt;&lt;Q&gt;HEI^FE_ESTIMATE(EPS,MEAN,ANN_ROLL,+2,NOW,,,'')&lt;/Q&gt;&lt;R&gt;1&lt;/R&gt;&lt;C&gt;1&lt;/C&gt;&lt;D xsi:type="xsd:double"&gt;6.18143&lt;/D&gt;&lt;/FQL&gt;&lt;FQL&gt;&lt;Q&gt;B^FG_PRICE(NOW)&lt;/Q&gt;&lt;R&gt;1&lt;/R&gt;&lt;C&gt;1&lt;/C&gt;&lt;D xsi:type="xsd:double"&gt;43.0591&lt;/D&gt;&lt;/FQL&gt;&lt;FQL&gt;&lt;Q&gt;B^FE_ESTIMATE(SALES,MEAN,ANN_ROLL,+1,NOW,,,'')&lt;/Q&gt;&lt;R&gt;1&lt;/R&gt;&lt;C&gt;1&lt;/C&gt;&lt;D xsi:type="xsd:double"&gt;1356.0015&lt;/D&gt;&lt;/FQL&gt;&lt;FQL&gt;&lt;Q&gt;TDG^P_DIV_YLD&lt;/Q&gt;&lt;R&gt;1&lt;/R&gt;&lt;C&gt;1&lt;/C&gt;&lt;D xsi:type="xsd:double"&gt;0&lt;/D&gt;&lt;/FQL&gt;&lt;FQL&gt;&lt;Q&gt;B^FF_CASH_ST(MON,NOW)&lt;/Q&gt;&lt;R&gt;1&lt;/R&gt;&lt;C&gt;1&lt;/C&gt;&lt;D xsi:type="xsd:double"&gt;78.684&lt;/D&gt;&lt;/FQL&gt;&lt;FQL&gt;&lt;Q&gt;HII^FE_ESTIMATE(FCF,MEAN,ANN_ROLL,+0,NOW,,,'')&lt;/Q&gt;&lt;R&gt;1&lt;/R&gt;&lt;C&gt;1&lt;/C&gt;&lt;D xsi:type="xsd:double"&gt;800&lt;/D&gt;&lt;/FQL&gt;&lt;FQL&gt;&lt;Q&gt;ITT^FE_ESTIMATE(EBITDA,MEAN,ANN_ROLL,+2,NOW,,,'')&lt;/Q&gt;&lt;R&gt;1&lt;/R&gt;&lt;C&gt;1&lt;/C&gt;&lt;D xsi:type="xsd:double"&gt;1012.8063&lt;/D&gt;&lt;/FQL&gt;&lt;FQL&gt;&lt;Q&gt;KRMN^P_DIV_YLD&lt;/Q&gt;&lt;R&gt;1&lt;/R&gt;&lt;C&gt;1&lt;/C&gt;&lt;D xsi:type="xsd:double"&gt;0&lt;/D&gt;&lt;/FQL&gt;&lt;FQL&gt;&lt;Q&gt;RTX^FE_ESTIMATE(EPS,MEAN,ANN_ROLL,+1,NOW,,,'')&lt;/Q&gt;&lt;R&gt;1&lt;/R&gt;&lt;C&gt;1&lt;/C&gt;&lt;D xsi:type="xsd:double"&gt;6.839679&lt;/D&gt;&lt;/FQL&gt;&lt;FQL&gt;&lt;Q&gt;TDY^FE_ESTIMATE(FCF,MEAN,ANN_ROLL,+0,NOW,,,'')&lt;/Q&gt;&lt;R&gt;1&lt;/R&gt;&lt;C&gt;1&lt;/C&gt;&lt;D xsi:type="xsd:double"&gt;1074&lt;/D&gt;&lt;/FQL&gt;&lt;FQL&gt;&lt;Q&gt;CW^FE_ESTIMATE(FCF,MEAN,ANN_ROLL,+1,NOW,,,'')&lt;/Q&gt;&lt;R&gt;1&lt;/R&gt;&lt;C&gt;1&lt;/C&gt;&lt;D xsi:type="xsd:double"&gt;567.06024&lt;/D&gt;&lt;/FQL&gt;&lt;FQL&gt;&lt;Q&gt;GD^FE_ESTIMATE(EPS,MEAN,ANN_ROLL,+0,NOW,,,'')&lt;/Q&gt;&lt;R&gt;1&lt;/R&gt;&lt;C&gt;1&lt;/C&gt;&lt;D xsi:type="xsd:double"&gt;15.45&lt;/D&gt;&lt;/FQL&gt;&lt;FQL&gt;&lt;Q&gt;LHX^FG_COMPANY_NAME&lt;/Q&gt;&lt;R&gt;1&lt;/R&gt;&lt;C&gt;1&lt;/C&gt;&lt;D xsi:type="xsd:string"&gt;L3Harris Technologies Inc&lt;/D&gt;&lt;/FQL&gt;&lt;FQL&gt;&lt;Q&gt;WWD^FF_DEBT(MON,NOW)&lt;/Q&gt;&lt;R&gt;1&lt;/R&gt;&lt;C&gt;1&lt;/C&gt;&lt;D xsi:type="xsd:double"&gt;912.504&lt;/D&gt;&lt;/FQL&gt;&lt;FQL&gt;&lt;Q&gt;LMT^FE_ESTIMATE(FCF,MEAN,ANN_ROLL,+0,NOW,,,'')&lt;/Q&gt;&lt;R&gt;1&lt;/R&gt;&lt;C&gt;1&lt;/C&gt;&lt;D xsi:type="xsd:double"&gt;6908&lt;/D&gt;&lt;/FQL&gt;&lt;FQL&gt;&lt;Q&gt;CIR^FE_ESTIMATE(EPS,MEAN,ANN_ROLL,+1,NOW,,,'')&lt;/Q&gt;&lt;R&gt;1&lt;/R&gt;&lt;C&gt;1&lt;/C&gt;&lt;D xsi:type="xsd:double"&gt;2.16&lt;/D&gt;&lt;/FQL&gt;&lt;FQL&gt;&lt;Q&gt;BWXT^FF_CASH_ST(MON,NOW)&lt;/Q&gt;&lt;R&gt;1&lt;/R&gt;&lt;C&gt;1&lt;/C&gt;&lt;D xsi:type="xsd:double"&gt;82.65&lt;/D&gt;&lt;/FQL&gt;&lt;FQL&gt;&lt;Q&gt;KRMN^FG_COMPANY_NAME&lt;/Q&gt;&lt;R&gt;1&lt;/R&gt;&lt;C&gt;1&lt;/C&gt;&lt;D xsi:type="xsd:string"&gt;Karman Holdings Inc.&lt;/D&gt;&lt;/FQL&gt;&lt;FQL&gt;&lt;Q&gt;HXL^FF_DEBT(MON,NOW)&lt;/Q&gt;&lt;R&gt;1&lt;/R&gt;&lt;C&gt;1&lt;/C&gt;&lt;D xsi:type="xsd:double"&gt;1018.7&lt;/D&gt;&lt;/FQL&gt;&lt;FQL&gt;&lt;Q&gt;WWD^FE_ESTIMATE(SALES,MEAN,ANN_ROLL,+2,NOW,,,'')&lt;/Q&gt;&lt;R&gt;1&lt;/R&gt;&lt;C&gt;1&lt;/C&gt;&lt;D xsi:type="xsd:double"&gt;4483.92&lt;/D&gt;&lt;/FQL&gt;&lt;FQL&gt;&lt;Q&gt;HXL^FF_CASH_ST(MON,NOW)&lt;/Q&gt;&lt;R&gt;1&lt;/R&gt;&lt;C&gt;1&lt;/C&gt;&lt;D xsi:type="xsd:double"&gt;71&lt;/D&gt;&lt;/FQL&gt;&lt;FQL&gt;&lt;Q&gt;BA^FE_ESTIMATE(EBITDA,MEAN,ANN_ROLL,+2,NOW,,,'')&lt;/Q&gt;&lt;R&gt;1&lt;/R&gt;&lt;C&gt;1&lt;/C&gt;&lt;D xsi:type="xsd:double"&gt;9595.381&lt;/D&gt;&lt;/FQL&gt;&lt;FQL&gt;&lt;Q&gt;HEI^FF_DEBT(MON,NOW)&lt;/Q&gt;&lt;R&gt;1&lt;/R&gt;&lt;C&gt;1&lt;/C&gt;&lt;D xsi:type="xsd:double"&gt;2308.666&lt;/D&gt;&lt;/FQL&gt;&lt;FQL&gt;&lt;Q&gt;KRMN^FE_ESTIMATE(SALES,MEAN,ANN_ROLL,+1,NOW,,,'')&lt;/Q&gt;&lt;R&gt;1&lt;/R&gt;&lt;C&gt;1&lt;/C&gt;&lt;D xsi:type="xsd:double"&gt;469.24414&lt;/D&gt;&lt;/FQL&gt;&lt;FQL&gt;&lt;Q&gt;KRMN^FE_ESTIMATE(SALES,MEAN,ANN_ROLL,+2,NOW,,,'')&lt;/Q&gt;&lt;R&gt;1&lt;/R&gt;&lt;C&gt;1&lt;/C&gt;&lt;D xsi:type="xsd:double"&gt;710.41785&lt;/D&gt;&lt;/FQL&gt;&lt;FQL&gt;&lt;Q&gt;MRCY^FE_ESTIMATE(SALES,MEAN,ANN_ROLL,+1,NOW,,,'')&lt;/Q&gt;&lt;R&gt;1&lt;/R&gt;&lt;C&gt;1&lt;/C&gt;&lt;D xsi:type="xsd:double"&gt;953.1716&lt;/D&gt;&lt;/FQL&gt;&lt;FQL&gt;&lt;Q&gt;KRMN^FE_ESTIMATE(EPS,MEAN,ANN_ROLL,+1,NOW,,,'')&lt;/Q&gt;&lt;R&gt;1&lt;/R&gt;&lt;C&gt;1&lt;/C&gt;&lt;D xsi:type="xsd:double"&gt;0.36687896&lt;/D&gt;&lt;/FQL&gt;&lt;FQL&gt;&lt;Q&gt;TDG^FF_CASH_ST(MON,NOW)&lt;/Q&gt;&lt;R&gt;1&lt;/R&gt;&lt;C&gt;1&lt;/C&gt;&lt;D xsi:type="xsd:double"&gt;3288&lt;/D&gt;&lt;/FQL&gt;&lt;FQL&gt;&lt;Q&gt;TDG^FF_DEBT(MON,NOW)&lt;/Q&gt;&lt;R&gt;1&lt;/R&gt;&lt;C&gt;1&lt;/C&gt;&lt;D xsi:type="xsd:double"&gt;20059&lt;/D&gt;&lt;/FQL&gt;&lt;FQL&gt;&lt;Q&gt;ITT^FE_ESTIMATE(FCF,MEAN,ANN_ROLL,+2,NOW,,,'')&lt;/Q&gt;&lt;R&gt;1&lt;/R&gt;&lt;C&gt;1&lt;/C&gt;&lt;D xsi:type="xsd:double"&gt;659.01666&lt;/D&gt;&lt;/FQL&gt;&lt;FQL&gt;&lt;Q&gt;KRMN^FF_DEBT(MON,NOW)&lt;/Q&gt;&lt;R&gt;1&lt;/R&gt;&lt;C&gt;1&lt;/C&gt;&lt;D xsi:type="xsd:double"&gt;483.685&lt;/D&gt;&lt;/FQL&gt;&lt;FQL&gt;&lt;Q&gt;BA^FE_ESTIMATE(EPS,MEAN,ANN_ROLL,+1,NOW,,,'')&lt;/Q&gt;&lt;R&gt;1&lt;/R&gt;&lt;C&gt;1&lt;/C&gt;&lt;D xsi:type="xsd:double"&gt;1.7208017&lt;/D&gt;&lt;/FQL&gt;&lt;FQL&gt;&lt;Q&gt;B^FE_ESTIMATE(EPS,MEAN,ANN_ROLL,+1,NOW,,,'')&lt;/Q&gt;&lt;R&gt;1&lt;/R&gt;&lt;C&gt;1&lt;/C&gt;&lt;D xsi:type="xsd:double"&gt;2.23&lt;/D&gt;&lt;/FQL&gt;&lt;FQL&gt;&lt;Q&gt;GD^FF_COM_SHS_OUT_EPS_DIL(MON,NOW)&lt;/Q&gt;&lt;R&gt;1&lt;/R&gt;&lt;C&gt;1&lt;/C&gt;&lt;D xsi:type="xsd:double"&gt;272.425&lt;/D&gt;&lt;/FQL&gt;&lt;FQL&gt;&lt;Q&gt;GD^FG_PRICE(NOW)&lt;/Q&gt;&lt;R&gt;1&lt;/R&gt;&lt;C&gt;1&lt;/C&gt;&lt;D xsi:type="xsd:double"&gt;340.75&lt;/D&gt;&lt;/FQL&gt;&lt;FQL&gt;&lt;Q&gt;CIR^FF_CASH_ST(MON,NOW)&lt;/Q&gt;&lt;R&gt;1&lt;/R&gt;&lt;C&gt;1&lt;/C&gt;&lt;D xsi:type="xsd:double"&gt;53.98&lt;/D&gt;&lt;/FQL&gt;&lt;FQL&gt;&lt;Q&gt;GD^FE_ESTIMATE(EBITDA,MEAN,ANN_ROLL,+1,NOW,,,'')&lt;/Q&gt;&lt;R&gt;1&lt;/R&gt;&lt;C&gt;1&lt;/C&gt;&lt;D xsi:type="xsd:double"&gt;6685.74&lt;/D&gt;&lt;/FQL&gt;&lt;FQL&gt;&lt;Q&gt;WWD^FE_ESTIMATE(SALES,MEAN,ANN_ROLL,+1,NOW,,,'')&lt;/Q&gt;&lt;R&gt;1&lt;/R&gt;&lt;C&gt;1&lt;/C&gt;&lt;D xsi:type="xsd:double"&gt;4138.823&lt;/D&gt;&lt;/FQL&gt;&lt;FQL&gt;&lt;Q&gt;CW^FE_ESTIMATE(SALES,MEAN,ANN_ROLL,+1,NOW,,,'')&lt;/Q&gt;&lt;R&gt;1&lt;/R&gt;&lt;C&gt;1&lt;/C&gt;&lt;D xsi:type="xsd:double"&gt;3697.0693&lt;/D&gt;&lt;/FQL&gt;&lt;FQL&gt;&lt;Q&gt;BWXT^FE_ESTIMATE(FCF,MEAN,ANN_ROLL,+1,NOW,,,'')&lt;/Q&gt;&lt;R&gt;1&lt;/R&gt;&lt;C&gt;1&lt;/C&gt;&lt;D xsi:type="xsd:double"&gt;288.6867&lt;/D&gt;&lt;/FQL&gt;&lt;FQL&gt;&lt;Q&gt;GD^FE_ESTIMATE(SALES,MEAN,ANN_ROLL,+2,NOW,,,'')&lt;/Q&gt;&lt;R&gt;1&lt;/R&gt;&lt;C&gt;1&lt;/C&gt;&lt;D xsi:type="xsd:double"&gt;57215.53&lt;/D&gt;&lt;/FQL&gt;&lt;FQL&gt;&lt;Q&gt;RTX^FE_ESTIMATE(EBITDA,MEAN,ANN_ROLL,+0,NOW,,,'')&lt;/Q&gt;&lt;R&gt;1&lt;/R&gt;&lt;C&gt;1&lt;/C&gt;&lt;D xsi:type="xsd:double"&gt;13709.8&lt;/D&gt;&lt;/FQL&gt;&lt;FQL&gt;&lt;Q&gt;KRMN^FE_ESTIMATE(FCF,MEAN,ANN_ROLL,+0,NOW,,,'')&lt;/Q&gt;&lt;R&gt;1&lt;/R&gt;&lt;C&gt;1&lt;/C&gt;&lt;D xsi:type="xsd:double"&gt;6.25&lt;/D&gt;&lt;/FQL&gt;&lt;FQL&gt;&lt;Q&gt;RTX^FG_PRICE(NOW)&lt;/Q&gt;&lt;R&gt;1&lt;/R&gt;&lt;C&gt;1&lt;/C&gt;&lt;D xsi:type="xsd:double"&gt;201.14&lt;/D&gt;&lt;/FQL&gt;&lt;FQL&gt;&lt;Q&gt;MRCY^FF_DEBT(MON,NOW)&lt;/Q&gt;&lt;R&gt;1&lt;/R&gt;&lt;C&gt;1&lt;/C&gt;&lt;D xsi:type="xsd:double"&gt;642.46&lt;/D&gt;&lt;/FQL&gt;&lt;FQL&gt;&lt;Q&gt;WWD^FE_ESTIMATE(EPS,MEAN,ANN_ROLL,+2,NOW,,,'')&lt;/Q&gt;&lt;R&gt;1&lt;/R&gt;&lt;C&gt;1&lt;/C&gt;&lt;D xsi:type="xsd:double"&gt;10.121526&lt;/D&gt;&lt;/FQL&gt;&lt;FQL&gt;&lt;Q&gt;ITT^FE_ESTIMATE(SALES,MEAN,ANN_ROLL,+1,NOW,,,'')&lt;/Q&gt;&lt;R&gt;1&lt;/R&gt;&lt;C&gt;1&lt;/C&gt;&lt;D xsi:type="xsd:double"&gt;4182.741&lt;/D&gt;&lt;/FQL&gt;&lt;FQL&gt;&lt;Q&gt;HXL^FG_COMPANY_NAME&lt;/Q&gt;&lt;R&gt;1&lt;/R&gt;&lt;C&gt;1&lt;/C&gt;&lt;D xsi:type="xsd:string"&gt;Hexcel Corporation&lt;/D&gt;&lt;/FQL&gt;&lt;FQL&gt;&lt;Q&gt;TDG^FF_COM_SHS_OUT_EPS_DIL(MON,NOW)&lt;/Q&gt;&lt;R&gt;1&lt;/R&gt;&lt;C&gt;1&lt;/C&gt;&lt;D xsi:type="xsd:double"&gt;57.1&lt;/D&gt;&lt;/FQL&gt;&lt;FQL&gt;&lt;Q&gt;HEI^FE_ESTIMATE(FCF,MEAN,ANN_ROLL,+2,NOW,,,'')&lt;/Q&gt;&lt;R&gt;1&lt;/R&gt;&lt;C&gt;1&lt;/C&gt;&lt;D xsi:type="xsd:double"&gt;1025.6245&lt;/D&gt;&lt;/FQL&gt;&lt;FQL&gt;&lt;Q&gt;CIR^FE_ESTIMATE(SALES,MEAN,ANN_ROLL,+2,NOW,,,'')&lt;/Q&gt;&lt;R&gt;1&lt;/R&gt;&lt;C&gt;1&lt;/C&gt;&lt;D xsi:type="xsd:double"&gt;887.555&lt;/D&gt;&lt;/FQL&gt;&lt;FQL&gt;&lt;Q&gt;LHX^FE_ESTIMATE(EPS,MEAN,ANN_ROLL,+1,NOW,,,'')&lt;/Q&gt;&lt;R&gt;1&lt;/R&gt;&lt;C&gt;1&lt;/C&gt;&lt;D xsi:type="xsd:double"&gt;11.849426&lt;/D&gt;&lt;/FQL&gt;&lt;FQL&gt;&lt;Q&gt;HEI^FE_ESTIMATE(EBITDA,MEAN,ANN_ROLL,+0,NOW,,,'')&lt;/Q&gt;&lt;R&gt;1&lt;/R&gt;&lt;C&gt;1&lt;/C&gt;&lt;D xsi:type="xsd:double"&gt;1219.0564&lt;/D&gt;&lt;/FQL&gt;&lt;FQL&gt;&lt;Q&gt;WWD^FE_ESTIMATE(SALES,MEAN,ANN_ROLL,+0,NOW,,,'')&lt;/Q&gt;&lt;R&gt;1&lt;/R&gt;&lt;C&gt;1&lt;/C&gt;&lt;D xsi:type="xsd:double"&gt;3567.064&lt;/D&gt;&lt;/FQL&gt;&lt;FQL&gt;&lt;Q&gt;AIR^FE_ESTIMATE(EBITDA,MEAN,ANN_ROLL,+0,NOW,,,'')&lt;/Q&gt;&lt;R&gt;1&lt;/R&gt;&lt;C&gt;1&lt;/C&gt;&lt;D xsi:type="xsd:double"&gt;324.525&lt;/D&gt;&lt;/FQL&gt;&lt;FQL&gt;&lt;Q&gt;AIR^FE_ESTIMATE(SALES,MEAN,ANN_ROLL,+2,NOW,,,'')&lt;/Q&gt;&lt;R&gt;1&lt;/R&gt;&lt;C&gt;1&lt;/C&gt;&lt;D xsi:type="xsd:double"&gt;3549.0786&lt;/D&gt;&lt;/FQL&gt;&lt;FQL&gt;&lt;Q&gt;LMT^FE_ESTIMATE(SALES,MEAN,ANN_ROLL,+2,NOW,,,'')&lt;/Q&gt;&lt;R&gt;1&lt;/R&gt;&lt;C&gt;1&lt;/C&gt;&lt;D xsi:type="xsd:double"&gt;83135.695&lt;/D&gt;&lt;/FQL&gt;&lt;FQL&gt;&lt;Q&gt;NOC^FF_DEBT(MON,NOW)&lt;/Q&gt;&lt;R&gt;1&lt;/R&gt;&lt;C&gt;1&lt;/C&gt;&lt;D xsi:type="xsd:double"&gt;17884&lt;/D&gt;&lt;/FQL&gt;&lt;FQL&gt;&lt;Q&gt;LMT^FF_DEBT(MON,NOW)&lt;/Q&gt;&lt;R&gt;1&lt;/R&gt;&lt;C&gt;1&lt;/C&gt;&lt;D xsi:type="xsd:double"&gt;22771&lt;/D&gt;&lt;/FQL&gt;&lt;FQL&gt;&lt;Q&gt;CIR^FE_ESTIMATE(SALES,MEAN,ANN_ROLL,+1,NOW,,,'')&lt;/Q&gt;&lt;R&gt;1&lt;/R&gt;&lt;C&gt;1&lt;/C&gt;&lt;D xsi:type="xsd:double"&gt;848.34&lt;/D&gt;&lt;/FQL&gt;&lt;FQL&gt;&lt;Q&gt;BWXT^FE_ESTIMATE(FCF,MEAN,ANN_ROLL,+2,NOW,,,'')&lt;/Q&gt;&lt;R&gt;1&lt;/R&gt;&lt;C&gt;1&lt;/C&gt;&lt;D xsi:type="xsd:double"&gt;276.69656&lt;/D&gt;&lt;/FQL&gt;&lt;FQL&gt;&lt;Q&gt;LHX^FE_ESTIMATE(SALES,MEAN,ANN_ROLL,+0,NOW,,,'')&lt;/Q&gt;&lt;R&gt;1&lt;/R&gt;&lt;C&gt;1&lt;/C&gt;&lt;D xsi:type="xsd:double"&gt;21865&lt;/D&gt;&lt;/FQL&gt;&lt;FQL&gt;&lt;Q&gt;HII^FG_COMPANY_NAME&lt;/Q&gt;&lt;R&gt;1&lt;/R&gt;&lt;C&gt;1&lt;/C&gt;&lt;D xsi:type="xsd:string"&gt;Huntington Ingalls Industries, Inc.&lt;/D&gt;&lt;/FQL&gt;&lt;FQL&gt;&lt;Q&gt;TDG^FG_PRICE(NOW)&lt;/Q&gt;&lt;R&gt;1&lt;/R&gt;&lt;C&gt;1&lt;/C&gt;&lt;D xsi:type="xsd:double"&gt;713.67&lt;/D&gt;&lt;/FQL&gt;&lt;FQL&gt;&lt;Q&gt;KRMN^FG_PRICE(NOW)&lt;/Q&gt;&lt;R&gt;1&lt;/R&gt;&lt;C&gt;1&lt;/C&gt;&lt;D xsi:type="xsd:double"&gt;78.71&lt;/D&gt;&lt;/FQL&gt;&lt;FQL&gt;&lt;Q&gt;HII^FE_ESTIMATE(SALES,MEAN,ANN_ROLL,+1,NOW,,,'')&lt;/Q&gt;&lt;R&gt;1&lt;/R&gt;&lt;C&gt;1&lt;/C&gt;&lt;D xsi:type="xsd:double"&gt;12916.1875&lt;/D&gt;&lt;/FQL&gt;&lt;FQL&gt;&lt;Q&gt;BWXT^FE_ESTIMATE(SALES,MEAN,ANN_ROLL,+2,NOW,,,'')&lt;/Q&gt;&lt;R&gt;1&lt;/R&gt;&lt;C&gt;1&lt;/C&gt;&lt;D xsi:type="xsd:double"&gt;3673.7969&lt;/D&gt;&lt;/FQL&gt;&lt;FQL&gt;&lt;Q&gt;BWXT^P_DIV_YLD&lt;/Q&gt;&lt;R&gt;1&lt;/R&gt;&lt;C&gt;1&lt;/C&gt;&lt;D xsi:type="xsd:double"&gt;0.50377834&lt;/D&gt;&lt;/FQL&gt;&lt;FQL&gt;&lt;Q&gt;NOC^FE_ESTIMATE(EPS,MEAN,ANN_ROLL,+2,NOW,,,'')&lt;/Q&gt;&lt;R&gt;1&lt;/R&gt;&lt;C&gt;1&lt;/C&gt;&lt;D xsi:type="xsd:double"&gt;30.214338&lt;/D&gt;&lt;/FQL&gt;&lt;FQL&gt;&lt;Q&gt;AIR^P_DIV_YLD&lt;/Q&gt;&lt;R&gt;1&lt;/R&gt;&lt;C&gt;1&lt;/C&gt;&lt;D xsi:type="xsd:double"&gt;0&lt;/D&gt;&lt;/FQL&gt;&lt;FQL&gt;&lt;Q&gt;GD^P_DIV_YLD&lt;/Q&gt;&lt;R&gt;1&lt;/R&gt;&lt;C&gt;1&lt;/C&gt;&lt;D xsi:type="xsd:double"&gt;1.7324017&lt;/D&gt;&lt;/FQL&gt;&lt;FQL&gt;&lt;Q&gt;LMT^FE_ESTIMATE(EPS,MEAN,ANN_ROLL,+0,NOW,,,'')&lt;/Q&gt;&lt;R&gt;1&lt;/R&gt;&lt;C&gt;1&lt;/C&gt;&lt;D xsi:type="xsd:double"&gt;21.49&lt;/D&gt;&lt;/FQL&gt;&lt;FQL&gt;&lt;Q&gt;MRCY^FF_COM_SHS_OUT_EPS_DIL(MON,NOW)&lt;/Q&gt;&lt;R&gt;1&lt;/R&gt;&lt;C&gt;1&lt;/C&gt;&lt;D xsi:type="xsd:double"&gt;59.415&lt;/D&gt;&lt;/FQL&gt;&lt;FQL&gt;&lt;Q&gt;B^FE_ESTIMATE(EBITDA,MEAN,ANN_ROLL,+2,NOW,,,'')&lt;/Q&gt;&lt;R&gt;1&lt;/R&gt;&lt;C&gt;1&lt;/C&gt;&lt;D xsi:type="xsd:double"&gt;284.395&lt;/D&gt;&lt;/FQL&gt;&lt;FQL&gt;&lt;Q&gt;LHX^FE_ESTIMATE(EBITDA,MEAN,ANN_ROLL,+2,NOW,,,'')&lt;/Q&gt;&lt;R&gt;1&lt;/R&gt;&lt;C&gt;1&lt;/C&gt;&lt;D xsi:type="xsd:double"&gt;4549.8784&lt;/D&gt;&lt;/FQL&gt;&lt;FQL&gt;&lt;Q&gt;NOC^FF_COM_SHS_OUT_EPS_DIL(MON,NOW)&lt;/Q&gt;&lt;R&gt;1&lt;/R&gt;&lt;C&gt;1&lt;/C&gt;&lt;D xsi:type="xsd:double"&gt;143.8&lt;/D&gt;&lt;/FQL&gt;&lt;FQL&gt;&lt;Q&gt;KRMN^FE_ESTIMATE(EBITDA,MEAN,ANN_ROLL,+0,NOW,,,'')&lt;/Q&gt;&lt;R&gt;1&lt;/R&gt;&lt;C&gt;1&lt;/C&gt;&lt;D xsi:type="xsd:double"&gt;106.144585&lt;/D&gt;&lt;/FQL&gt;&lt;FQL&gt;&lt;Q&gt;B^P_DIV_YLD&lt;/Q&gt;&lt;R&gt;1&lt;/R&gt;&lt;C&gt;1&lt;/C&gt;&lt;D xsi:type="xsd:double"&gt;1.5455204&lt;/D&gt;&lt;/FQL&gt;&lt;FQL&gt;&lt;Q&gt;TDG^FG_COMPANY_NAME&lt;/Q&gt;&lt;R&gt;1&lt;/R&gt;&lt;C&gt;1&lt;/C&gt;&lt;D xsi:type="xsd:string"&gt;TransDigm Group Incorporated&lt;/D&gt;&lt;/FQL&gt;&lt;FQL&gt;&lt;Q&gt;MRCY^FE_ESTIMATE(SALES,MEAN,ANN_ROLL,+0,NOW,,,'')&lt;/Q&gt;&lt;R&gt;1&lt;/R&gt;&lt;C&gt;1&lt;/C&gt;&lt;D xsi:type="xsd:double"&gt;912.02&lt;/D&gt;&lt;/FQL&gt;&lt;FQL&gt;&lt;Q&gt;HEI^P_DIV_YLD&lt;/Q&gt;&lt;R&gt;1&lt;/R&gt;&lt;C&gt;1&lt;/C&gt;&lt;D xsi:type="xsd:double"&gt;0.074441686&lt;/D&gt;&lt;/FQL&gt;&lt;FQL&gt;&lt;Q&gt;WWD^FE_ESTIMATE(FCF,MEAN,ANN_ROLL,+2,NOW,,,'')&lt;/Q&gt;&lt;R&gt;1&lt;/R&gt;&lt;C&gt;1&lt;/C&gt;&lt;D xsi:type="xsd:double"&gt;465.699&lt;/D&gt;&lt;/FQL&gt;&lt;FQL&gt;&lt;Q&gt;GD^FE_ESTIMATE(FCF,MEAN,ANN_ROLL,+2,NOW,,,'')&lt;/Q&gt;&lt;R&gt;1&lt;/R&gt;&lt;C&gt;1&lt;/C&gt;&lt;D xsi:type="xsd:double"&gt;4719.4873&lt;/D&gt;&lt;/FQL&gt;&lt;FQL&gt;&lt;Q&gt;BA^FE_ESTIMATE(FCF,MEAN,ANN_ROLL,+2,NOW,,,'')&lt;/Q&gt;&lt;R&gt;1&lt;/R&gt;&lt;C&gt;1&lt;/C&gt;&lt;D xsi:type="xsd:double"&gt;6764.7295&lt;/D&gt;&lt;/FQL&gt;&lt;FQL&gt;&lt;Q&gt;LMT^FE_ESTIMATE(EPS,MEAN,ANN_ROLL,+2,NOW,,,'')&lt;/Q&gt;&lt;R&gt;1&lt;/R&gt;&lt;C&gt;1&lt;/C&gt;&lt;D xsi:type="xsd:double"&gt;31.879284&lt;/D&gt;&lt;/FQL&gt;&lt;FQL&gt;&lt;Q&gt;HII^FE_ESTIMATE(EPS,MEAN,ANN_ROLL,+0,NOW,,,'')&lt;/Q&gt;&lt;R&gt;1&lt;/R&gt;&lt;C&gt;1&lt;/C&gt;&lt;D xsi:type="xsd:double"&gt;15.39&lt;/D&gt;&lt;/FQL&gt;&lt;FQL&gt;&lt;Q&gt;CW^FE_ESTIMATE(SALES,MEAN,ANN_ROLL,+2,NOW,,,'')&lt;/Q&gt;&lt;R&gt;1&lt;/R&gt;&lt;C&gt;1&lt;/C&gt;&lt;D xsi:type="xsd:double"&gt;3988.2158&lt;/D&gt;&lt;/FQL&gt;&lt;FQL&gt;&lt;Q&gt;HEI^FE_ESTIMATE(EBITDA,MEAN,ANN_ROLL,+2,NOW,,,'')&lt;/Q&gt;&lt;R&gt;1&lt;/R&gt;&lt;C&gt;1&lt;/C&gt;&lt;D xsi:type="xsd:double"&gt;1486.0432&lt;/D&gt;&lt;/FQL&gt;&lt;FQL&gt;&lt;Q&gt;ITT^FE_ESTIMATE(EBITDA,MEAN,ANN_ROLL,+1,NOW,,,'')&lt;/Q&gt;&lt;R&gt;1&lt;/R&gt;&lt;C&gt;1&lt;/C&gt;&lt;D xsi:type="xsd:double"&gt;933.3827&lt;/D&gt;&lt;/FQL&gt;&lt;FQL&gt;&lt;Q&gt;LHX^FE_ESTIMATE(EPS,MEAN,ANN_ROLL,+0,NOW,,,'')&lt;/Q&gt;&lt;R&gt;1&lt;/R&gt;&lt;C&gt;1&lt;/C&gt;&lt;D xsi:type="xsd:double"&gt;10.73&lt;/D&gt;&lt;/FQL&gt;&lt;FQL&gt;&lt;Q&gt;HEI^FG_COMPANY_NAME&lt;/Q&gt;&lt;R&gt;1&lt;/R&gt;&lt;C&gt;1&lt;/C&gt;&lt;D xsi:type="xsd:string"&gt;HEICO Corporation&lt;/D&gt;&lt;/FQL&gt;&lt;FQL&gt;&lt;Q&gt;CW^FE_ESTIMATE(EBITDA,MEAN,ANN_ROLL,+2,NOW,,,'')&lt;/Q&gt;&lt;R&gt;1&lt;/R&gt;&lt;C&gt;1&lt;/C&gt;&lt;D xsi:type="xsd:double"&gt;913.4074&lt;/D&gt;&lt;/FQL&gt;&lt;FQL&gt;&lt;Q&gt;KRMN^FE_ESTIMATE(EPS,MEAN,ANN_ROLL,+0,NOW,,,'')&lt;/Q&gt;&lt;R&gt;1&lt;/R&gt;&lt;C&gt;1&lt;/C&gt;&lt;D xsi:type="xsd:double"&gt;0.08&lt;/D&gt;&lt;/FQL&gt;&lt;FQL&gt;&lt;Q&gt;MRCY^FE_ESTIMATE(EPS,MEAN,ANN_ROLL,+0,NOW,,,'')&lt;/Q&gt;&lt;R&gt;1&lt;/R&gt;&lt;C&gt;1&lt;/C&gt;&lt;D xsi:type="xsd:double"&gt;0.64&lt;/D&gt;&lt;/FQL&gt;&lt;FQL&gt;&lt;Q&gt;TDY^FE_ESTIMATE(SALES,MEAN,ANN_ROLL,+2,NOW,,,'')&lt;/Q&gt;&lt;R&gt;1&lt;/R&gt;&lt;C&gt;1&lt;/C&gt;&lt;D xsi:type="xsd:double"&gt;6711.3374&lt;/D&gt;&lt;/FQL&gt;&lt;FQL&gt;&lt;Q&gt;HII^FG_PRICE(NOW)&lt;/Q&gt;&lt;R&gt;1&lt;/R&gt;&lt;C&gt;1&lt;/C&gt;&lt;D xsi:type="xsd:double"&gt;406.76&lt;/D&gt;&lt;/FQL&gt;&lt;FQL&gt;&lt;Q&gt;BA^FE_ESTIMATE(FCF,MEAN,ANN_ROLL,+1,NOW,,,'')&lt;/Q&gt;&lt;R&gt;1&lt;/R&gt;&lt;C&gt;1&lt;/C&gt;&lt;D xsi:type="xsd:double"&gt;2336.1096&lt;/D&gt;&lt;/FQL&gt;&lt;FQL&gt;&lt;Q&gt;HXL^FE_ESTIMATE(SALES,MEAN,ANN_ROLL,+2,NOW,,,'')&lt;/Q&gt;&lt;R&gt;1&lt;/R&gt;&lt;C&gt;1&lt;/C&gt;&lt;D xsi:type="xsd:double"&gt;2284.4988&lt;/D&gt;&lt;/FQL&gt;&lt;FQL&gt;&lt;Q&gt;MRCY^FE_ESTIMATE(FCF,MEAN,ANN_ROLL,+0,NOW,,,'')&lt;/Q&gt;&lt;R&gt;1&lt;/R&gt;&lt;C&gt;1&lt;/C&gt;&lt;D xsi:type="xsd:double"&gt;119.016&lt;/D&gt;&lt;/FQL&gt;&lt;FQL&gt;&lt;Q&gt;NOC^FF_CASH_ST(MON,NOW)&lt;/Q&gt;&lt;R&gt;1&lt;/R&gt;&lt;C&gt;1&lt;/C&gt;&lt;D xsi:type="xsd:double"&gt;4403&lt;/D&gt;&lt;/FQL&gt;&lt;FQL&gt;&lt;Q&gt;CIR^FE_ESTIMATE(EBITDA,MEAN,ANN_ROLL,+0,NOW,,,'')&lt;/Q&gt;&lt;R&gt;1&lt;/R&gt;&lt;C&gt;1&lt;/C&gt;&lt;D xsi:type="xsd:double"&gt;108.348&lt;/D&gt;&lt;/FQL&gt;&lt;FQL&gt;&lt;Q&gt;NOC^FG_PRICE(NOW)&lt;/Q&gt;&lt;R&gt;1&lt;/R&gt;&lt;C&gt;1&lt;/C&gt;&lt;D xsi:type="xsd:double"&gt;695.06&lt;/D&gt;&lt;/FQL&gt;&lt;FQL&gt;&lt;Q&gt;NOC^FE_ESTIMATE(SALES,MEAN,ANN_ROLL,+2,NOW,,,'')&lt;/Q&gt;&lt;R&gt;1&lt;/R&gt;&lt;C&gt;1&lt;/C&gt;&lt;D xsi:type="xsd:double"&gt;46664.74&lt;/D&gt;&lt;/FQL&gt;&lt;FQL&gt;&lt;Q&gt;RTX^FF_COM_SHS_OUT_EPS_DIL(MON,NOW)&lt;/Q&gt;&lt;R&gt;1&lt;/R&gt;&lt;C&gt;1&lt;/C&gt;&lt;D xsi:type="xsd:double"&gt;1356.4&lt;/D&gt;&lt;/FQL&gt;&lt;FQL&gt;&lt;Q&gt;LMT^FE_ESTIMATE(SALES,MEAN,ANN_ROLL,+0,NOW,,,'')&lt;/Q&gt;&lt;R&gt;1&lt;/R&gt;&lt;C&gt;1&lt;/C&gt;&lt;D xsi:type="xsd:double"&gt;75048&lt;/D&gt;&lt;/FQL&gt;&lt;FQL&gt;&lt;Q&gt;HXL^FF_COM_SHS_OUT_EPS_DIL(MON,NOW)&lt;/Q&gt;&lt;R&gt;1&lt;/R&gt;&lt;C&gt;1&lt;/C&gt;&lt;D xsi:type="xsd:double"&gt;80&lt;/D&gt;&lt;/FQL&gt;&lt;FQL&gt;&lt;Q&gt;TDY^FG_PRICE(NOW)&lt;/Q&gt;&lt;R&gt;1&lt;/R&gt;&lt;C&gt;1&lt;/C&gt;&lt;D xsi:type="xsd:double"&gt;646.3&lt;/D&gt;&lt;/FQL&gt;&lt;FQL&gt;&lt;Q&gt;MRCY^FE_ESTIMATE(EPS,MEAN,ANN_ROLL,+1,NOW,,,'')&lt;/Q&gt;&lt;R&gt;1&lt;/R&gt;&lt;C&gt;1&lt;/C&gt;&lt;D xsi:type="xsd:double"&gt;0.958&lt;/D&gt;&lt;/FQL&gt;&lt;FQL&gt;&lt;Q&gt;GD^FE_ESTIMATE(EPS,MEAN,ANN_ROLL,+1,NOW,,,'')&lt;/Q&gt;&lt;R&gt;1&lt;/R&gt;&lt;C&gt;1&lt;/C&gt;&lt;D xsi:type="xsd:double"&gt;16.42844&lt;/D&gt;&lt;/FQL&gt;&lt;FQL&gt;&lt;Q&gt;HXL^FE_ESTIMATE(SALES,MEAN,ANN_ROLL,+1,NOW,,,'')&lt;/Q&gt;&lt;R&gt;1&lt;/R&gt;&lt;C&gt;1&lt;/C&gt;&lt;D xsi:type="xsd:double"&gt;2063.5278&lt;/D&gt;&lt;/FQL&gt;&lt;FQL&gt;&lt;Q&gt;TDY^FF_DEBT(MON,NOW)&lt;/Q&gt;&lt;R&gt;1&lt;/R&gt;&lt;C&gt;1&lt;/C&gt;&lt;D xsi:type="xsd:double"&gt;2475.4&lt;/D&gt;&lt;/FQL&gt;&lt;FQL&gt;&lt;Q&gt;RTX^FE_ESTIMATE(SALES,MEAN,ANN_ROLL,+0,NOW,,,'')&lt;/Q&gt;&lt;R&gt;1&lt;/R&gt;&lt;C&gt;1&lt;/C&gt;&lt;D xsi:type="xsd:double"&gt;88603&lt;/D&gt;&lt;/FQL&gt;&lt;FQL&gt;&lt;Q&gt;TDY^P_DIV_YLD&lt;/Q&gt;&lt;R&gt;1&lt;/R&gt;&lt;C&gt;1&lt;/C&gt;&lt;D xsi:type="xsd:double"&gt;0&lt;/D&gt;&lt;/FQL&gt;&lt;FQL&gt;&lt;Q&gt;MRCY^FF_CASH_ST(MON,NOW)&lt;/Q&gt;&lt;R&gt;1&lt;/R&gt;&lt;C&gt;1&lt;/C&gt;&lt;D xsi:type="xsd:double"&gt;334.99&lt;/D&gt;&lt;/FQL&gt;&lt;FQL&gt;&lt;Q&gt;BA^FE_ESTIMATE(SALES,MEAN,ANN_ROLL,+2,NOW,,,'')&lt;/Q&gt;&lt;R&gt;1&lt;/R&gt;&lt;C&gt;1&lt;/C&gt;&lt;D xsi:type="xsd:double"&gt;111043.26&lt;/D&gt;&lt;/FQL&gt;&lt;FQL&gt;&lt;Q&gt;MRCY^FE_ESTIMATE(SALES,MEAN,ANN_ROLL,+2,NOW,,,'')&lt;/Q&gt;&lt;R&gt;1&lt;/R&gt;&lt;C&gt;1&lt;/C&gt;&lt;D xsi:type="xsd:double"&gt;1044.1843&lt;/D&gt;&lt;/FQL&gt;&lt;FQL&gt;&lt;Q&gt;MRCY^FG_PRICE(NOW)&lt;/Q&gt;&lt;R&gt;1&lt;/R&gt;&lt;C&gt;1&lt;/C&gt;&lt;D xsi:type="xsd:double"&gt;80.25&lt;/D&gt;&lt;/FQL&gt;&lt;FQL&gt;&lt;Q&gt;BA^FE_ESTIMATE(EBITDA,MEAN,ANN_ROLL,+0,NOW,,,'')&lt;/Q&gt;&lt;R&gt;1&lt;/R&gt;&lt;C&gt;1&lt;/C&gt;&lt;D xsi:type="xsd:double"&gt;6254.016&lt;/D&gt;&lt;/FQL&gt;&lt;FQL&gt;&lt;Q&gt;RTX^FG_COMPANY_NAME&lt;/Q&gt;&lt;R&gt;1&lt;/R&gt;&lt;C&gt;1&lt;/C&gt;&lt;D xsi:type="xsd:string"&gt;RTX Corporation&lt;/D&gt;&lt;/FQL&gt;&lt;FQL&gt;&lt;Q&gt;GD^FE_ESTIMATE(SALES,MEAN,ANN_ROLL,+1,NOW,,,'')&lt;/Q&gt;&lt;R&gt;1&lt;/R&gt;&lt;C&gt;1&lt;/C&gt;&lt;D xsi:type="xsd:double"&gt;54707.734&lt;/D&gt;&lt;/FQL&gt;&lt;FQL&gt;&lt;Q&gt;LHX^FG_PRICE(NOW)&lt;/Q&gt;&lt;R&gt;1&lt;/R&gt;&lt;C&gt;1&lt;/C&gt;&lt;D xsi:type="xsd:double"&gt;339.9&lt;/D&gt;&lt;/FQL&gt;&lt;FQL&gt;&lt;Q&gt;MRCY^FE_ESTIMATE(FCF,MEAN,ANN_ROLL,+1,NOW,,,'')&lt;/Q&gt;&lt;R&gt;1&lt;/R&gt;&lt;C&gt;1&lt;/C&gt;&lt;D xsi:type="xsd:double"&gt;77.375&lt;/D&gt;&lt;/FQL&gt;&lt;FQL&gt;&lt;Q&gt;CIR^P_DIV_YLD&lt;/Q&gt;&lt;R&gt;1&lt;/R&gt;&lt;C&gt;1&lt;/C&gt;&lt;D xsi:type="xsd:double"&gt;0&lt;/D&gt;&lt;/FQL&gt;&lt;FQL&gt;&lt;Q&gt;B^FG_COMPANY_NAME&lt;/Q&gt;&lt;R&gt;1&lt;/R&gt;&lt;C&gt;1&lt;/C&gt;&lt;D xsi:type="xsd:string"&gt;Barnes Group Inc.&lt;/D&gt;&lt;/FQL&gt;&lt;FQL&gt;&lt;Q&gt;LMT^FF_COM_SHS_OUT_EPS_DIL(MON,NOW)&lt;/Q&gt;&lt;R&gt;1&lt;/R&gt;&lt;C&gt;1&lt;/C&gt;&lt;D xsi:type="xsd:double"&gt;233.5&lt;/D&gt;&lt;/FQL&gt;&lt;FQL&gt;&lt;Q&gt;HXL^FE_ESTIMATE(EPS,MEAN,ANN_ROLL,+2,NOW,,,'')&lt;/Q&gt;&lt;R&gt;1&lt;/R&gt;&lt;C&gt;1&lt;/C&gt;&lt;D xsi:type="xsd:double"&gt;3.0659766&lt;/D&gt;&lt;/FQL&gt;&lt;FQL&gt;&lt;Q&gt;B^FE_ESTIMATE(SALES,MEAN,ANN_ROLL,+0,NOW,,,'')&lt;/Q&gt;&lt;R&gt;1&lt;/R&gt;&lt;C&gt;1&lt;/C&gt;&lt;D xsi:type="xsd:double"&gt;1261.868&lt;/D&gt;&lt;/FQL&gt;&lt;FQL&gt;&lt;Q&gt;NOC^FE_ESTIMATE(SALES,MEAN,ANN_ROLL,+1,NOW,,,'')&lt;/Q&gt;&lt;R&gt;1&lt;/R&gt;&lt;C&gt;1&lt;/C&gt;&lt;D xsi:type="xsd:double"&gt;43921.05&lt;/D&gt;&lt;/FQL&gt;&lt;FQL&gt;&lt;Q&gt;CIR^FE_ESTIMATE(FCF,MEAN,ANN_ROLL,+0,NOW,,,'')&lt;/Q&gt;&lt;R&gt;1&lt;/R&gt;&lt;C&gt;1&lt;/C&gt;&lt;D xsi:type="xsd:double"&gt;-22.8&lt;/D&gt;&lt;/FQL&gt;&lt;FQL&gt;&lt;Q&gt;GD^FF_CASH_ST(MON,NOW)&lt;/Q&gt;&lt;R&gt;1&lt;/R&gt;&lt;C&gt;1&lt;/C&gt;&lt;D xsi:type="xsd:double"&gt;2333&lt;/D&gt;&lt;/FQL&gt;&lt;FQL&gt;&lt;Q&gt;BWXT^FE_ESTIMATE(EBITDA,MEAN,ANN_ROLL,+2,NOW,,,'')&lt;/Q&gt;&lt;R&gt;1&lt;/R&gt;&lt;C&gt;1&lt;/C&gt;&lt;D xsi:type="xsd:double"&gt;651.924&lt;/D&gt;&lt;/FQL&gt;&lt;FQL&gt;&lt;Q&gt;LMT^FE_ESTIMATE(EPS,MEAN,ANN_ROLL,+1,NOW,,,'')&lt;/Q&gt;&lt;R&gt;1&lt;/R&gt;&lt;C&gt;1&lt;/C&gt;&lt;D xsi:type="xsd:double"&gt;29.944134&lt;/D&gt;&lt;/FQL&gt;&lt;FQL&gt;&lt;Q&gt;CIR^FF_DEBT(MON,NOW)&lt;/Q&gt;&lt;R&gt;1&lt;/R&gt;&lt;C&gt;1&lt;/C&gt;&lt;D xsi:type="xsd:double"&gt;537.66&lt;/D&gt;&lt;/FQL&gt;&lt;FQL&gt;&lt;Q&gt;WWD^FG_COMPANY_NAME&lt;/Q&gt;&lt;R&gt;1&lt;/R&gt;&lt;C&gt;1&lt;/C&gt;&lt;D xsi:type="xsd:string"&gt;Woodward, Inc.&lt;/D&gt;&lt;/FQL&gt;&lt;FQL&gt;&lt;Q&gt;BA^FE_ESTIMATE(SALES,MEAN,ANN_ROLL,+0,NOW,,,'')&lt;/Q&gt;&lt;R&gt;1&lt;/R&gt;&lt;C&gt;1&lt;/C&gt;&lt;D xsi:type="xsd:double"&gt;89463&lt;/D&gt;&lt;/FQL&gt;&lt;FQL&gt;&lt;Q&gt;HXL^FE_ESTIMATE(EBITDA,MEAN,ANN_ROLL,+0,NOW,,,'')&lt;/Q&gt;&lt;R&gt;1&lt;/R&gt;&lt;C&gt;1&lt;/C&gt;&lt;D xsi:type="xsd:double"&gt;337.2125&lt;/D&gt;&lt;/FQL&gt;&lt;FQL&gt;&lt;Q&gt;AIR^FG_COMPANY_NAME&lt;/Q&gt;&lt;R&gt;1&lt;/R&gt;&lt;C&gt;1&lt;/C&gt;&lt;D xsi:type="xsd:string"&gt;AAR CORP.&lt;/D&gt;&lt;/FQL&gt;&lt;FQL&gt;&lt;Q&gt;CW-US^FE_ESTIMATE(EPS,MEAN,ANN_ROLL,+1,NOW,,,'')&lt;/Q&gt;&lt;R&gt;1&lt;/R&gt;&lt;C&gt;1&lt;/C&gt;&lt;D xsi:type="xsd:double"&gt;9.107483&lt;/D&gt;&lt;/FQL&gt;&lt;FQL&gt;&lt;Q&gt;CW-US^FE_ESTIMATE(SAL_BENEFITS,MEAN,ANN_ROLL,+1,NOW,,,'')&lt;/Q&gt;&lt;R&gt;0&lt;/R&gt;&lt;C&gt;0&lt;/C&gt;&lt;/FQL&gt;&lt;FQL&gt;&lt;Q&gt;CW-US^FE_ESTIMATE(SALES,MEAN,QTR_ROLL,+3,NOW,,,'')&lt;/Q&gt;&lt;R&gt;1&lt;/R&gt;&lt;C&gt;1&lt;/C&gt;&lt;D xsi:type="xsd:double"&gt;938.1917&lt;/D&gt;&lt;/FQL&gt;&lt;FQL&gt;&lt;Q&gt;CW-US^FE_ESTIMATE(SALES,MEAN,ANN_ROLL,+4,NOW,,,'')&lt;/Q&gt;&lt;R&gt;1&lt;/R&gt;&lt;C&gt;1&lt;/C&gt;&lt;D xsi:type="xsd:double"&gt;3948.9&lt;/D&gt;&lt;/FQL&gt;&lt;FQL&gt;&lt;Q&gt;CW-US^FE_ESTIMATE(SALES,MEAN,ANN_ROLL,+1,NOW,,,'')&lt;/Q&gt;&lt;R&gt;1&lt;/R&gt;&lt;C&gt;1&lt;/C&gt;&lt;D xsi:type="xsd:double"&gt;3697.0693&lt;/D&gt;&lt;/FQL&gt;&lt;FQL&gt;&lt;Q&gt;CW-US^FE_ESTIMATE(SALES,MEAN,CALA_ROLL,1CY,NOW,,,'')&lt;/Q&gt;&lt;R&gt;1&lt;/R&gt;&lt;C&gt;1&lt;/C&gt;&lt;D xsi:type="xsd:double"&gt;2687.8123&lt;/D&gt;&lt;/FQL&gt;&lt;FQL&gt;&lt;Q&gt;CW-US^FE_ESTIMATE(SALES,MEAN,QTR_ROLL,+2,NOW,,,'')&lt;/Q&gt;&lt;R&gt;1&lt;/R&gt;&lt;C&gt;1&lt;/C&gt;&lt;D xsi:type="xsd:double"&gt;937.4847&lt;/D&gt;&lt;/FQL&gt;&lt;FQL&gt;&lt;Q&gt;CW-US^FE_ESTIMATE(SALES,MEAN,ANN_ROLL,+2,NOW,,,'')&lt;/Q&gt;&lt;R&gt;1&lt;/R&gt;&lt;C&gt;1&lt;/C&gt;&lt;D xsi:type="xsd:double"&gt;3988.2158&lt;/D&gt;&lt;/FQL&gt;&lt;FQL&gt;&lt;Q&gt;CW-US^FE_ESTIMATE(SALES,MEAN,ANN_ROLL,+3,NOW,,,'')&lt;/Q&gt;&lt;R&gt;1&lt;/R&gt;&lt;C&gt;1&lt;/C&gt;&lt;D xsi:type="xsd:double"&gt;3971.564&lt;/D&gt;&lt;/FQL&gt;&lt;FQL&gt;&lt;Q&gt;CW-US^FE_ESTIMATE(SALES,MEAN,QTR_ROLL,+8,NOW,,,'')&lt;/Q&gt;&lt;R&gt;0&lt;/R&gt;&lt;C&gt;0&lt;/C&gt;&lt;/FQL&gt;&lt;FQL&gt;&lt;Q&gt;CW-US^FE_ESTIMATE(SALES,MEAN,QTR_ROLL,+7,NOW,,,'')&lt;/Q&gt;&lt;R&gt;0&lt;/R&gt;&lt;C&gt;0&lt;/C&gt;&lt;/FQL&gt;&lt;FQL&gt;&lt;Q&gt;CW-US^FE_ESTIMATE(SALES,MEAN,QTR_ROLL,+6,NOW,,,'')&lt;/Q&gt;&lt;R&gt;0&lt;/R&gt;&lt;C&gt;0&lt;/C&gt;&lt;/FQL&gt;&lt;FQL&gt;&lt;Q&gt;CW-US^FE_ESTIMATE(SALES,MEAN,QTR_ROLL,+5,NOW,,,'')&lt;/Q&gt;&lt;R&gt;1&lt;/R&gt;&lt;C&gt;1&lt;/C&gt;&lt;D xsi:type="xsd:double"&gt;969.2557&lt;/D&gt;&lt;/FQL&gt;&lt;FQL&gt;&lt;Q&gt;CW-US^FE_ESTIMATE(OPER_EXP,MEAN,QTR_ROLL,+1,NOW,,,'')&lt;/Q&gt;&lt;R&gt;0&lt;/R&gt;&lt;C&gt;0&lt;/C&gt;&lt;/FQL&gt;&lt;FQL&gt;&lt;Q&gt;CW-US^FE_ESTIMATE(OPERATING INCOME,MEAN,QTR_ROLL,+1,NOW,,,'')&lt;/Q&gt;&lt;R&gt;1&lt;/R&gt;&lt;C&gt;1&lt;/C&gt;&lt;D xsi:type="xsd:string"&gt;#NUM&lt;/D&gt;&lt;/FQL&gt;&lt;FQL&gt;&lt;Q&gt;CW-US^FE_ESTIMATE(EPS_NONGAAP,MEAN,QTR_ROLL,+2,NOW,,,'')&lt;/Q&gt;&lt;R&gt;1&lt;/R&gt;&lt;C&gt;1&lt;/C&gt;&lt;D xsi:type="xsd:double"&gt;3.606884&lt;/D&gt;&lt;/FQL&gt;&lt;FQL&gt;&lt;Q&gt;CW-US^FE_ESTIMATE(EBIT,MEAN,ANN_ROLL,+1,NOW,,,'')&lt;/Q&gt;&lt;R&gt;1&lt;/R&gt;&lt;C&gt;1&lt;/C&gt;&lt;D xsi:type="xsd:double"&gt;707.8004&lt;/D&gt;&lt;/FQL&gt;&lt;FQL&gt;&lt;Q&gt;CW-US^FE_ESTIMATE(EBIT,MEAN,ANN_ROLL,+2,NOW,,,'')&lt;/Q&gt;&lt;R&gt;1&lt;/R&gt;&lt;C&gt;1&lt;/C&gt;&lt;D xsi:type="xsd:double"&gt;780.836&lt;/D&gt;&lt;/FQL&gt;&lt;FQL&gt;&lt;Q&gt;CW-US^FE_ESTIMATE(EBIT_ADJ,MEAN,ANN_ROLL,+2,NOW,,,'')&lt;/Q&gt;&lt;R&gt;1&lt;/R&gt;&lt;C&gt;1&lt;/C&gt;&lt;D xsi:type="xsd:double"&gt;513.6&lt;/D&gt;&lt;/FQL&gt;&lt;FQL&gt;&lt;Q&gt;CW-US^FE_ESTIMATE(EBIT_ADJ,MEAN,QTR_ROLL,+1,NOW,,,'')&lt;/Q&gt;&lt;R&gt;1&lt;/R&gt;&lt;C&gt;1&lt;/C&gt;&lt;D xsi:type="xsd:double"&gt;131&lt;/D&gt;&lt;/FQL&gt;&lt;FQL&gt;&lt;Q&gt;CW-US^FE_ESTIMATE(EBIT_ADJ,MEAN,ANN_ROLL,+0,NOW,,,'')&lt;/Q&gt;&lt;R&gt;1&lt;/R&gt;&lt;C&gt;1&lt;/C&gt;&lt;D xsi:type="xsd:double"&gt;443.078&lt;/D&gt;&lt;/FQL&gt;&lt;FQL&gt;&lt;Q&gt;CW-US^FE_ESTIMATE(EBIT_ADJ,MEAN,QTR_ROLL,+4,NOW,,,'')&lt;/Q&gt;&lt;R&gt;1&lt;/R&gt;&lt;C&gt;1&lt;/C&gt;&lt;D xsi:type="xsd:double"&gt;160.8&lt;/D&gt;&lt;/FQL&gt;&lt;FQL&gt;&lt;Q&gt;CW-US^FE_ESTIMATE(EBIT_ADJ,MEAN,QTR_ROLL,+3,NOW,,,'')&lt;/Q&gt;&lt;R&gt;1&lt;/R&gt;&lt;C&gt;1&lt;/C&gt;&lt;D xsi:type="xsd:double"&gt;160&lt;/D&gt;&lt;/FQL&gt;&lt;FQL&gt;&lt;Q&gt;CW-US^FE_ESTIMATE(EBIT_ADJ,MEAN,QTR_ROLL,+2,NOW,,,'')&lt;/Q&gt;&lt;R&gt;1&lt;/R&gt;&lt;C&gt;1&lt;/C&gt;&lt;D xsi:type="xsd:double"&gt;153.7&lt;/D&gt;&lt;/FQL&gt;&lt;FQL&gt;&lt;Q&gt;CW-US^FE_ESTIMATE(EBIT_ADJ,MEAN,ANN_ROLL,+1,NOW,,,'')&lt;/Q&gt;&lt;R&gt;1&lt;/R&gt;&lt;C&gt;1&lt;/C&gt;&lt;D xsi:type="xsd:double"&gt;481.55&lt;/D&gt;&lt;/FQL&gt;&lt;FQL&gt;&lt;Q&gt;CW-US^FE_ESTIMATE(EPS_NONGAAP,MEAN,QTR_ROLL,+4,NOW,,,'')&lt;/Q&gt;&lt;R&gt;1&lt;/R&gt;&lt;C&gt;1&lt;/C&gt;&lt;D xsi:type="xsd:double"&gt;3.09708&lt;/D&gt;&lt;/FQL&gt;&lt;FQL&gt;&lt;Q&gt;CW-US^FE_ESTIMATE(EPS_NONGAAP,MEAN,QTR_ROLL,+3,NOW,,,'')&lt;/Q&gt;&lt;R&gt;1&lt;/R&gt;&lt;C&gt;1&lt;/C&gt;&lt;D xsi:type="xsd:double"&gt;3.07308&lt;/D&gt;&lt;/FQL&gt;&lt;FQL&gt;&lt;Q&gt;CW-US^FE_ESTIMATE(EPS_NONGAAP,MEAN,QTR_ROLL,+1,NOW,,,'')&lt;/Q&gt;&lt;R&gt;1&lt;/R&gt;&lt;C&gt;1&lt;/C&gt;&lt;D xsi:type="xsd:double"&gt;3.29875&lt;/D&gt;&lt;/FQL&gt;&lt;FQL&gt;&lt;Q&gt;CW-US^FE_ESTIMATE(FCF,MEAN,ANN_ROLL,+2,NOW,,,'')&lt;/Q&gt;&lt;R&gt;1&lt;/R&gt;&lt;C&gt;1&lt;/C&gt;&lt;D xsi:type="xsd:double"&gt;517.287&lt;/D&gt;&lt;/FQL&gt;&lt;FQL&gt;&lt;Q&gt;CW-US^FE_ESTIMATE(FCF,MEAN,ANN_ROLL,+1,NOW,,,'')&lt;/Q&gt;&lt;R&gt;1&lt;/R&gt;&lt;C&gt;1&lt;/C&gt;&lt;D xsi:type="xsd:double"&gt;494.465&lt;/D&gt;&lt;/FQL&gt;&lt;FQL&gt;&lt;Q&gt;CW^FE_ESTIMATE(EBITDA,MEAN,ANN_ROLL,+1,NOW,,,'')&lt;/Q&gt;&lt;R&gt;1&lt;/R&gt;&lt;C&gt;1&lt;/C&gt;&lt;D xsi:type="xsd:double"&gt;835.5868&lt;/D&gt;&lt;/FQL&gt;&lt;FQL&gt;&lt;Q&gt;LHX^FE_ESTIMATE(EBITDA,MEAN,ANN_ROLL,+1,NOW,,,'')&lt;/Q&gt;&lt;R&gt;1&lt;/R&gt;&lt;C&gt;1&lt;/C&gt;&lt;D xsi:type="xsd:double"&gt;4259.0566&lt;/D&gt;&lt;/FQL&gt;&lt;FQL&gt;&lt;Q&gt;TDY^FE_ESTIMATE(EBITDA,MEAN,ANN_ROLL,+2,NOW,,,'')&lt;/Q&gt;&lt;R&gt;1&lt;/R&gt;&lt;C&gt;1&lt;/C&gt;&lt;D xsi:type="xsd:double"&gt;1715.3583&lt;/D&gt;&lt;/FQL&gt;&lt;FQL&gt;&lt;Q&gt;LHX^FE_ESTIMATE(FCF,MEAN,ANN_ROLL,+1,NOW,,,'')&lt;/Q&gt;&lt;R&gt;1&lt;/R&gt;&lt;C&gt;1&lt;/C&gt;&lt;D xsi:type="xsd:double"&gt;3032.0864&lt;/D&gt;&lt;/FQL&gt;&lt;FQL&gt;&lt;Q&gt;WWD^FE_ESTIMATE(EBITDA,MEAN,ANN_ROLL,+1,NOW,,,'')&lt;/Q&gt;&lt;R&gt;1&lt;/R&gt;&lt;C&gt;1&lt;/C&gt;&lt;D xsi:type="xsd:double"&gt;847.4944&lt;/D&gt;&lt;/FQL&gt;&lt;FQL&gt;&lt;Q&gt;NOC^FE_ESTIMATE(FCF,MEAN,ANN_ROLL,+0,NOW,,,'')&lt;/Q&gt;&lt;R&gt;1&lt;/R&gt;&lt;C&gt;1&lt;/C&gt;&lt;D xsi:type="xsd:double"&gt;3307&lt;/D&gt;&lt;/FQL&gt;&lt;FQL&gt;&lt;Q&gt;MRCY^FE_ESTIMATE(EBITDA,MEAN,ANN_ROLL,+1,NOW,,,'')&lt;/Q&gt;&lt;R&gt;1&lt;/R&gt;&lt;C&gt;1&lt;/C&gt;&lt;D xsi:type="xsd:double"&gt;139.8231&lt;/D&gt;&lt;/FQL&gt;&lt;FQL&gt;&lt;Q&gt;CIR^FE_ESTIMATE(EBITDA,MEAN,ANN_ROLL,+2,NOW,,,'')&lt;/Q&gt;&lt;R&gt;1&lt;/R&gt;&lt;C&gt;1&lt;/C&gt;&lt;D xsi:type="xsd:double"&gt;146.84&lt;/D&gt;&lt;/FQL&gt;&lt;FQL&gt;&lt;Q&gt;ITT^FE_ESTIMATE(EPS,MEAN,ANN_ROLL,+1,NOW,,,'')&lt;/Q&gt;&lt;R&gt;1&lt;/R&gt;&lt;C&gt;1&lt;/C&gt;&lt;D xsi:type="xsd:double"&gt;7.269315&lt;/D&gt;&lt;/FQL&gt;&lt;FQL&gt;&lt;Q&gt;BWXT^FE_ESTIMATE(EBITDA,MEAN,ANN_ROLL,+0,NOW,,,'')&lt;/Q&gt;&lt;R&gt;1&lt;/R&gt;&lt;C&gt;1&lt;/C&gt;&lt;D xsi:type="xsd:double"&gt;498.7&lt;/D&gt;&lt;/FQL&gt;&lt;FQL&gt;&lt;Q&gt;HXL^P_DIV_YLD&lt;/Q&gt;&lt;R&gt;1&lt;/R&gt;&lt;C&gt;1&lt;/C&gt;&lt;D xsi:type="xsd:double"&gt;0.8195788&lt;/D&gt;&lt;/FQL&gt;&lt;FQL&gt;&lt;Q&gt;RTX^FE_ESTIMATE(EBITDA,MEAN,ANN_ROLL,+2,NOW,,,'')&lt;/Q&gt;&lt;R&gt;1&lt;/R&gt;&lt;C&gt;1&lt;/C&gt;&lt;D xsi:type="xsd:double"&gt;16786.969&lt;/D&gt;&lt;/FQL&gt;&lt;FQL&gt;&lt;Q&gt;HXL^FE_ESTIMATE(EPS,MEAN,ANN_ROLL,+1,NOW,,,'')&lt;/Q&gt;&lt;R&gt;1&lt;/R&gt;&lt;C&gt;1&lt;/C&gt;&lt;D xsi:type="xsd:double"&gt;2.2371728&lt;/D&gt;&lt;/FQL&gt;&lt;FQL&gt;&lt;Q&gt;HXL^FG_PRICE(NOW)&lt;/Q&gt;&lt;R&gt;1&lt;/R&gt;&lt;C&gt;1&lt;/C&gt;&lt;D xsi:type="xsd:double"&gt;88.95&lt;/D&gt;&lt;/FQL&gt;&lt;FQL&gt;&lt;Q&gt;TDY^FG_COMPANY_NAME&lt;/Q&gt;&lt;R&gt;1&lt;/R&gt;&lt;C&gt;1&lt;/C&gt;&lt;D xsi:type="xsd:string"&gt;Teledyne Technologies Incorporated&lt;/D&gt;&lt;/FQL&gt;&lt;FQL&gt;&lt;Q&gt;HXL^FE_ESTIMATE(EBITDA,MEAN,ANN_ROLL,+2,NOW,,,'')&lt;/Q&gt;&lt;R&gt;1&lt;/R&gt;&lt;C&gt;1&lt;/C&gt;&lt;D xsi:type="xsd:double"&gt;472.79962&lt;/D&gt;&lt;/FQL&gt;&lt;FQL&gt;&lt;Q&gt;CIR^FG_PRICE(NOW)&lt;/Q&gt;&lt;R&gt;1&lt;/R&gt;&lt;C&gt;1&lt;/C&gt;&lt;D xsi:type="xsd:double"&gt;53.68&lt;/D&gt;&lt;/FQL&gt;&lt;FQL&gt;&lt;Q&gt;GD^FE_ESTIMATE(SALES,MEAN,ANN_ROLL,+0,NOW,,,'')&lt;/Q&gt;&lt;R&gt;1&lt;/R&gt;&lt;C&gt;1&lt;/C&gt;&lt;D xsi:type="xsd:double"&gt;52550&lt;/D&gt;&lt;/FQL&gt;&lt;FQL&gt;&lt;Q&gt;CW-US^FE_ESTIMATE(OPER_EXP,MEAN,ANN_ROLL,+1,NOW,,,'')&lt;/Q&gt;&lt;R&gt;0&lt;/R&gt;&lt;C&gt;0&lt;/C&gt;&lt;/FQL&gt;&lt;FQL&gt;&lt;Q&gt;CW-US^FE_ESTIMATE(NET_INC,MEAN,ANN_ROLL,+1,NOW,,,'')&lt;/Q&gt;&lt;R&gt;1&lt;/R&gt;&lt;C&gt;1&lt;/C&gt;&lt;D xsi:type="xsd:double"&gt;347.5855&lt;/D&gt;&lt;/FQL&gt;&lt;FQL&gt;&lt;Q&gt;CW-US^FE_ESTIMATE(NET_INC,MEAN,QTR_ROLL,+1,NOW,,,'')&lt;/Q&gt;&lt;R&gt;1&lt;/R&gt;&lt;C&gt;1&lt;/C&gt;&lt;D xsi:type="xsd:double"&gt;91.135&lt;/D&gt;&lt;/FQL&gt;&lt;FQL&gt;&lt;Q&gt;CW-US^FE_ESTIMATE(,MEAN,QTR_ROLL,+1,NOW,,,'')&lt;/Q&gt;&lt;R&gt;1&lt;/R&gt;&lt;C&gt;1&lt;/C&gt;&lt;D xsi:type="xsd:double"&gt;2.3566666&lt;/D&gt;&lt;/FQL&gt;&lt;FQL&gt;&lt;Q&gt;CW-US^FE_ESTIMATE(EPS_NONGAAP,MEAN,ANN_ROLL,+1,NOW,,,'')&lt;/Q&gt;&lt;R&gt;1&lt;/R&gt;&lt;C&gt;1&lt;/C&gt;&lt;D xsi:type="xsd:double"&gt;14.648917&lt;/D&gt;&lt;/FQL&gt;&lt;FQL&gt;&lt;Q&gt;CW-US^FE_ESTIMATE(EBIT,MEAN,QTR_ROLL,+1,NOW,,,'')&lt;/Q&gt;&lt;R&gt;1&lt;/R&gt;&lt;C&gt;1&lt;/C&gt;&lt;D xsi:type="xsd:double"&gt;163.73428&lt;/D&gt;&lt;/FQL&gt;&lt;FQL&gt;&lt;Q&gt;CW-US^FE_ESTIMATE(EBIT,MEAN,ANN_ROLL,+4,NOW,,,'')&lt;/Q&gt;&lt;R&gt;1&lt;/R&gt;&lt;C&gt;1&lt;/C&gt;&lt;D xsi:type="xsd:double"&gt;770.1&lt;/D&gt;&lt;/FQL&gt;&lt;FQL&gt;&lt;Q&gt;CW-US^FE_ESTIMATE(EBIT,MEAN,QTR_ROLL,+2,NOW,,,'')&lt;/Q&gt;&lt;R&gt;1&lt;/R&gt;&lt;C&gt;1&lt;/C&gt;&lt;D xsi:type="xsd:double"&gt;160.501&lt;/D&gt;&lt;/FQL&gt;&lt;FQL&gt;&lt;Q&gt;BWXT-US^FE_ESTIMATE(PRODLINE_SALES_7,MEAN,ANN_ROLL,+3,NOW,,,'')&lt;/Q&gt;&lt;R&gt;1&lt;/R&gt;&lt;C&gt;1&lt;/C&gt;&lt;D xsi:type="xsd:double"&gt;2150.5818&lt;/D&gt;&lt;/FQL&gt;&lt;FQL&gt;&lt;Q&gt;BWXT-US^FE_ESTIMATE(PRODLINE_SALES_7,MEAN,QTR_ROLL,+4,NOW,,,'')&lt;/Q&gt;&lt;R&gt;1&lt;/R&gt;&lt;C&gt;1&lt;/C&gt;&lt;D xsi:type="xsd:double"&gt;491.91232&lt;/D&gt;&lt;/FQL&gt;&lt;FQL&gt;&lt;Q&gt;BWXT-US^FE_ESTIMATE(PRODLINE_SALES_7,MEAN,QTR_ROLL,+1,NOW,,,'')&lt;/Q&gt;&lt;R&gt;1&lt;/R&gt;&lt;C&gt;1&lt;/C&gt;&lt;D xsi:type="xsd:double"&gt;542.214&lt;/D&gt;&lt;/FQL&gt;&lt;FQL&gt;&lt;Q&gt;HII-US^FE_ESTIMATE(PRODLINE_SALES_2,MEAN,QTR_ROLL,+1,NOW,,,'')&lt;/Q&gt;&lt;R&gt;1&lt;/R&gt;&lt;C&gt;1&lt;/C&gt;&lt;D xsi:type="xsd:double"&gt;1552.75&lt;/D&gt;&lt;/FQL&gt;&lt;FQL&gt;&lt;Q&gt;BWXT-US^FE_ESTIMATE(PRODLINE_SALES_7,MEAN,QTR_ROLL,+3,NOW,,,'')&lt;/Q&gt;&lt;R&gt;1&lt;/R&gt;&lt;C&gt;1&lt;/C&gt;&lt;D xsi:type="xsd:double"&gt;493.542&lt;/D&gt;&lt;/FQL&gt;&lt;FQL&gt;&lt;Q&gt;HII-US^FE_ESTIMATE(PRODLINE_SALES_2,MEAN,QTR_ROLL,+4,NOW,,,'')&lt;/Q&gt;&lt;R&gt;1&lt;/R&gt;&lt;C&gt;1&lt;/C&gt;&lt;D xsi:type="xsd:double"&gt;1586.5&lt;/D&gt;&lt;/FQL&gt;&lt;FQL&gt;&lt;Q&gt;HII-US^FE_ESTIMATE(PRODLINE_SALES_2,MEAN,QTR_ROLL,+3,NOW,,,'')&lt;/Q&gt;&lt;R&gt;1&lt;/R&gt;&lt;C&gt;1&lt;/C&gt;&lt;D xsi:type="xsd:double"&gt;1545.5&lt;/D&gt;&lt;/FQL&gt;&lt;FQL&gt;&lt;Q&gt;HII-US^FE_ESTIMATE(PRODLINE_SALES_2,MEAN,QTR_ROLL,+2,NOW,,,'')&lt;/Q&gt;&lt;R&gt;1&lt;/R&gt;&lt;C&gt;1&lt;/C&gt;&lt;D xsi:type="xsd:double"&gt;1561.5&lt;/D&gt;&lt;/FQL&gt;&lt;FQL&gt;&lt;Q&gt;HII-US^FE_ESTIMATE(PRODLINE_SALES_2,MEAN,ANN_ROLL,+2,NOW,,,'')&lt;/Q&gt;&lt;R&gt;1&lt;/R&gt;&lt;C&gt;1&lt;/C&gt;&lt;D xsi:type="xsd:double"&gt;6545.3335&lt;/D&gt;&lt;/FQL&gt;&lt;FQL&gt;&lt;Q&gt;BWXT-US^FE_ESTIMATE(PRODLINE_SALES_7,MEAN,QTR_ROLL,+2,NOW,,,'')&lt;/Q&gt;&lt;R&gt;1&lt;/R&gt;&lt;C&gt;1&lt;/C&gt;&lt;D xsi:type="xsd:double"&gt;467.361&lt;/D&gt;&lt;/FQL&gt;&lt;FQL&gt;&lt;Q&gt;BWXT-US^FE_ESTIMATE(PRODLINE_SALES_7,MEAN,ANN_ROLL,+2,NOW,,,'')&lt;/Q&gt;&lt;R&gt;1&lt;/R&gt;&lt;C&gt;1&lt;/C&gt;&lt;D xsi:type="xsd:double"&gt;2013.6653&lt;/D&gt;&lt;/FQL&gt;&lt;FQL&gt;&lt;Q&gt;BWXT-US^FE_ESTIMATE(PRODLINE_SALES_7,MEAN,ANN_ROLL,+1,NOW,,,'')&lt;/Q&gt;&lt;R&gt;1&lt;/R&gt;&lt;C&gt;1&lt;/C&gt;&lt;D xsi:type="xsd:double"&gt;1972.0272&lt;/D&gt;&lt;/FQL&gt;&lt;FQL&gt;&lt;Q&gt;BWXT-US^FE_ESTIMATE(PRODLINE_SALES_7,MEAN,QTR_ROLL,+5,NOW,,,'')&lt;/Q&gt;&lt;R&gt;1&lt;/R&gt;&lt;C&gt;1&lt;/C&gt;&lt;D xsi:type="xsd:double"&gt;561.572&lt;/D&gt;&lt;/FQL&gt;&lt;FQL&gt;&lt;Q&gt;ITT^FE_ESTIMATE(SALES,MEAN,ANN_ROLL,+0,NOW,,,'')&lt;/Q&gt;&lt;R&gt;1&lt;/R&gt;&lt;C&gt;1&lt;/C&gt;&lt;D xsi:type="xsd:double"&gt;3938.5&lt;/D&gt;&lt;/FQL&gt;&lt;FQL&gt;&lt;Q&gt;ITT^FF_CASH_ST(MON,NOW)&lt;/Q&gt;&lt;R&gt;1&lt;/R&gt;&lt;C&gt;1&lt;/C&gt;&lt;D xsi:type="xsd:double"&gt;1742.9&lt;/D&gt;&lt;/FQL&gt;&lt;FQL&gt;&lt;Q&gt;CW-US^FE_ESTIMATE(SALES,MEAN,QTR_ROLL,+1,NOW,,,'')&lt;/Q&gt;&lt;R&gt;1&lt;/R&gt;&lt;C&gt;1&lt;/C&gt;&lt;D xsi:type="xsd:double"&gt;854.7015&lt;/D&gt;&lt;/FQL&gt;&lt;FQL&gt;&lt;Q&gt;CW-US^FE_ESTIMATE(SALES,MEAN,QTR_ROLL,+4,NOW,,,'')&lt;/Q&gt;&lt;R&gt;1&lt;/R&gt;&lt;C&gt;1&lt;/C&gt;&lt;D xsi:type="xsd:double"&gt;969.2557&lt;/D&gt;&lt;/FQL&gt;&lt;FQL&gt;&lt;Q&gt;CW-US^FE_ESTIMATE(EPS_NONGAAP,MEAN,ANN_ROLL,+3,NOW,,,'')&lt;/Q&gt;&lt;R&gt;1&lt;/R&gt;&lt;C&gt;1&lt;/C&gt;&lt;D xsi:type="xsd:double"&gt;16.267727&lt;/D&gt;&lt;/FQL&gt;&lt;FQL&gt;&lt;Q&gt;CW-US^FE_ESTIMATE(EPS_NONGAAP,MEAN,ANN_ROLL,+2,NOW,,,'')&lt;/Q&gt;&lt;R&gt;1&lt;/R&gt;&lt;C&gt;1&lt;/C&gt;&lt;D xsi:type="xsd:double"&gt;16.393692&lt;/D&gt;&lt;/FQL&gt;&lt;FQL&gt;&lt;Q&gt;CW-US^FE_ESTIMATE(EBIT,MEAN,ANN_ROLL,+3,NOW,,,'')&lt;/Q&gt;&lt;R&gt;1&lt;/R&gt;&lt;C&gt;1&lt;/C&gt;&lt;D xsi:type="xsd:double"&gt;780.836&lt;/D&gt;&lt;/FQL&gt;&lt;FQL&gt;&lt;Q&gt;CW-US^FE_ESTIMATE(EPS_NONGAAP,MEAN,ANN_ROLL,+4,NOW,,,'')&lt;/Q&gt;&lt;R&gt;1&lt;/R&gt;&lt;C&gt;1&lt;/C&gt;&lt;D xsi:type="xsd:double"&gt;15.54&lt;/D&gt;&lt;/FQL&gt;&lt;FQL&gt;&lt;Q&gt;LHX^FF_COM_SHS_OUT_EPS_DIL(MON,NOW)&lt;/Q&gt;&lt;R&gt;1&lt;/R&gt;&lt;C&gt;1&lt;/C&gt;&lt;D xsi:type="xsd:double"&gt;188.4&lt;/D&gt;&lt;/FQL&gt;&lt;FQL&gt;&lt;Q&gt;HEI^FE_ESTIMATE(EPS,MEAN,ANN_ROLL,+1,NOW,,,'')&lt;/Q&gt;&lt;R&gt;1&lt;/R&gt;&lt;C&gt;1&lt;/C&gt;&lt;D xsi:type="xsd:double"&gt;5.498579&lt;/D&gt;&lt;/FQL&gt;&lt;FQL&gt;&lt;Q&gt;BA^FE_ESTIMATE(SALES,MEAN,ANN_ROLL,+1,NOW,,,'')&lt;/Q&gt;&lt;R&gt;1&lt;/R&gt;&lt;C&gt;1&lt;/C&gt;&lt;D xsi:type="xsd:double"&gt;97083.03&lt;/D&gt;&lt;/FQL&gt;&lt;FQL&gt;&lt;Q&gt;WWD^FG_PRICE(NOW)&lt;/Q&gt;&lt;R&gt;1&lt;/R&gt;&lt;C&gt;1&lt;/C&gt;&lt;D xsi:type="xsd:double"&gt;380.43&lt;/D&gt;&lt;/FQL&gt;&lt;FQL&gt;&lt;Q&gt;LMT^FE_ESTIMATE(EBITDA,MEAN,ANN_ROLL,+1,NOW,,,'')&lt;/Q&gt;&lt;R&gt;1&lt;/R&gt;&lt;C&gt;1&lt;/C&gt;&lt;D xsi:type="xsd:double"&gt;11329.626&lt;/D&gt;&lt;/FQL&gt;&lt;FQL&gt;&lt;Q&gt;ITT^FG_PRICE(NOW)&lt;/Q&gt;&lt;R&gt;1&lt;/R&gt;&lt;C&gt;1&lt;/C&gt;&lt;D xsi:type="xsd:double"&gt;199.11&lt;/D&gt;&lt;/FQL&gt;&lt;FQL&gt;&lt;Q&gt;LMT^FF_CASH_ST(MON,NOW)&lt;/Q&gt;&lt;R&gt;1&lt;/R&gt;&lt;C&gt;1&lt;/C&gt;&lt;D xsi:type="xsd:double"&gt;4121&lt;/D&gt;&lt;/FQL&gt;&lt;FQL&gt;&lt;Q&gt;HII^FE_ESTIMATE(EBITDA,MEAN,ANN_ROLL,+1,NOW,,,'')&lt;/Q&gt;&lt;R&gt;1&lt;/R&gt;&lt;C&gt;1&lt;/C&gt;&lt;D xsi:type="xsd:double"&gt;1030.0944&lt;/D&gt;&lt;/FQL&gt;&lt;FQL&gt;&lt;Q&gt;AIR^FE_ESTIMATE(FCF,MEAN,ANN_ROLL,+1,NOW,,,'')&lt;/Q&gt;&lt;R&gt;1&lt;/R&gt;&lt;C&gt;1&lt;/C&gt;&lt;D xsi:type="xsd:double"&gt;21.82&lt;/D&gt;&lt;/FQL&gt;&lt;FQL&gt;&lt;Q&gt;BWXT^FG_PRICE(NOW)&lt;/Q&gt;&lt;R&gt;1&lt;/R&gt;&lt;C&gt;1&lt;/C&gt;&lt;D xsi:type="xsd:double"&gt;196.9&lt;/D&gt;&lt;/FQL&gt;&lt;FQL&gt;&lt;Q&gt;ITT^FG_COMPANY_NAME&lt;/Q&gt;&lt;R&gt;1&lt;/R&gt;&lt;C&gt;1&lt;/C&gt;&lt;D xsi:type="xsd:string"&gt;ITT, Inc.&lt;/D&gt;&lt;/FQL&gt;&lt;FQL&gt;&lt;Q&gt;WWD^FE_ESTIMATE(EBITDA,MEAN,ANN_ROLL,+0,NOW,,,'')&lt;/Q&gt;&lt;R&gt;1&lt;/R&gt;&lt;C&gt;1&lt;/C&gt;&lt;D xsi:type="xsd:double"&gt;670.6205&lt;/D&gt;&lt;/FQL&gt;&lt;FQL&gt;&lt;Q&gt;MRCY^FE_ESTIMATE(FCF,MEAN,ANN_ROLL,+2,NOW,,,'')&lt;/Q&gt;&lt;R&gt;1&lt;/R&gt;&lt;C&gt;1&lt;/C&gt;&lt;D xsi:type="xsd:double"&gt;110.80817&lt;/D&gt;&lt;/FQL&gt;&lt;FQL&gt;&lt;Q&gt;GD^FE_ESTIMATE(EBITDA,MEAN,ANN_ROLL,+2,NOW,,,'')&lt;/Q&gt;&lt;R&gt;1&lt;/R&gt;&lt;C&gt;1&lt;/C&gt;&lt;D xsi:type="xsd:double"&gt;7255.549&lt;/D&gt;&lt;/FQL&gt;&lt;FQL&gt;&lt;Q&gt;LHX^FE_ESTIMATE(SALES,MEAN,ANN_ROLL,+2,NOW,,,'')&lt;/Q&gt;&lt;R&gt;1&lt;/R&gt;&lt;C&gt;1&lt;/C&gt;&lt;D xsi:type="xsd:double"&gt;25121.408&lt;/D&gt;&lt;/FQL&gt;&lt;FQL&gt;&lt;Q&gt;GD^FF_DEBT(MON,NOW)&lt;/Q&gt;&lt;R&gt;1&lt;/R&gt;&lt;C&gt;1&lt;/C&gt;&lt;D xsi:type="xsd:double"&gt;9789&lt;/D&gt;&lt;/FQL&gt;&lt;FQL&gt;&lt;Q&gt;WWD^FE_ESTIMATE(EPS,MEAN,ANN_ROLL,+1,NOW,,,'')&lt;/Q&gt;&lt;R&gt;1&lt;/R&gt;&lt;C&gt;1&lt;/C&gt;&lt;D xsi:type="xsd:double"&gt;8.725679&lt;/D&gt;&lt;/FQL&gt;&lt;FQL&gt;&lt;Q&gt;TDY^FE_ESTIMATE(SALES,MEAN,ANN_ROLL,+1,NOW,,,'')&lt;/Q&gt;&lt;R&gt;1&lt;/R&gt;&lt;C&gt;1&lt;/C&gt;&lt;D xsi:type="xsd:double"&gt;6384.2197&lt;/D&gt;&lt;/FQL&gt;&lt;FQL&gt;&lt;Q&gt;CW-US^FE_ESTIMATE(SALES_PRODLINE_1,MEAN,ANN_ROLL,+1,NOW,,,'')&lt;/Q&gt;&lt;R&gt;1&lt;/R&gt;&lt;C&gt;1&lt;/C&gt;&lt;D xsi:type="xsd:string"&gt;#NUM&lt;/D&gt;&lt;/FQL&gt;&lt;FQL&gt;&lt;Q&gt;CW-US^FE_ESTIMATE(PRODLINE_SALES_3,MEAN,ANN_ROLL,+2,NOW,,,'')&lt;/Q&gt;&lt;R&gt;1&lt;/R&gt;&lt;C&gt;1&lt;/C&gt;&lt;D xsi:type="xsd:double"&gt;1752.518&lt;/D&gt;&lt;/FQL&gt;&lt;FQL&gt;&lt;Q&gt;CW-US^FE_ESTIMATE(PRODLINE_SALES_2,MEAN,ANN_ROLL,+2,NOW,,,'')&lt;/Q&gt;&lt;R&gt;1&lt;/R&gt;&lt;C&gt;1&lt;/C&gt;&lt;D xsi:type="xsd:double"&gt;1167.366&lt;/D&gt;&lt;/FQL&gt;&lt;FQL&gt;&lt;Q&gt;CW-US^FE_ESTIMATE(PRODLINE_SALES_1,MEAN,ANN_ROLL,+2,NOW,,,'')&lt;/Q&gt;&lt;R&gt;1&lt;/R&gt;&lt;C&gt;1&lt;/C&gt;&lt;D xsi:type="xsd:double"&gt;1072.335&lt;/D&gt;&lt;/FQL&gt;&lt;FQL&gt;&lt;Q&gt;CW-US^FE_ESTIMATE(PRODLINE_SALES_1,MEAN,ANN_ROLL,+1,NOW,,,'')&lt;/Q&gt;&lt;R&gt;1&lt;/R&gt;&lt;C&gt;1&lt;/C&gt;&lt;D xsi:type="xsd:double"&gt;1027.8357&lt;/D&gt;&lt;/FQL&gt;&lt;FQL&gt;&lt;Q&gt;CW-US^FE_ESTIMATE(PRODLINE_SALES_3,MEAN,ANN_ROLL,+1,NOW,,,'')&lt;/Q&gt;&lt;R&gt;1&lt;/R&gt;&lt;C&gt;1&lt;/C&gt;&lt;D xsi:type="xsd:double"&gt;1592.35&lt;/D&gt;&lt;/FQL&gt;&lt;FQL&gt;&lt;Q&gt;CW-US^FE_ESTIMATE(PRODLINE_SALES_2,MEAN,ANN_ROLL,+1,NOW,,,'')&lt;/Q&gt;&lt;R&gt;1&lt;/R&gt;&lt;C&gt;1&lt;/C&gt;&lt;D xsi:type="xsd:double"&gt;1082.9347&lt;/D&gt;&lt;/FQL&gt;&lt;/Schema&gt;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tc={B58C4043-06F4-414F-934D-359014C7BFC3}</author>
  </authors>
  <commentList>
    <comment ref="B18" authorId="0" shapeId="0" xr:uid="{B58C4043-06F4-414F-934D-359014C7BFC3}">
      <text>
        <t>[Threaded comment]
Your version of Excel allows you to read this threaded comment; however, any edits to it will get removed if the file is opened in a newer version of Excel. Learn more: https://go.microsoft.com/fwlink/?linkid=870924
Comment:
    Actuation, Sensors, Surface Treatment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Sandberg, Bryce</author>
  </authors>
  <commentList>
    <comment ref="BQ17" authorId="0" shapeId="0" xr:uid="{74077ED4-B7A4-4731-A280-A203423BDECB}">
      <text>
        <r>
          <rPr>
            <b/>
            <sz val="9"/>
            <color indexed="81"/>
            <rFont val="Tahoma"/>
            <family val="2"/>
          </rPr>
          <t>Sandberg, Bryce:</t>
        </r>
        <r>
          <rPr>
            <sz val="9"/>
            <color indexed="81"/>
            <rFont val="Tahoma"/>
            <family val="2"/>
          </rPr>
          <t xml:space="preserve">
Guidance: $85m for FY</t>
        </r>
      </text>
    </comment>
    <comment ref="BR17" authorId="0" shapeId="0" xr:uid="{9CB044F5-A8D1-4247-9843-BBB3187482C5}">
      <text>
        <r>
          <rPr>
            <b/>
            <sz val="9"/>
            <color indexed="81"/>
            <rFont val="Tahoma"/>
            <family val="2"/>
          </rPr>
          <t>Sandberg, Bryce:</t>
        </r>
        <r>
          <rPr>
            <sz val="9"/>
            <color indexed="81"/>
            <rFont val="Tahoma"/>
            <family val="2"/>
          </rPr>
          <t xml:space="preserve">
Guidance: $110-120m</t>
        </r>
      </text>
    </comment>
    <comment ref="BQ28" authorId="0" shapeId="0" xr:uid="{9D1144B7-F080-44E3-93FA-6B366F701C3D}">
      <text>
        <r>
          <rPr>
            <b/>
            <sz val="9"/>
            <color indexed="81"/>
            <rFont val="Tahoma"/>
            <family val="2"/>
          </rPr>
          <t>Sandberg, Bryce:</t>
        </r>
        <r>
          <rPr>
            <sz val="9"/>
            <color indexed="81"/>
            <rFont val="Tahoma"/>
            <family val="2"/>
          </rPr>
          <t xml:space="preserve">
Guidance: $450m for FY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<sst xmlns="http://schemas.openxmlformats.org/spreadsheetml/2006/main" count="2235" uniqueCount="1299">
  <si>
    <t>This sheet contains FactSet XML data for use with this workbook's =FDS codes.  Modifying the worksheet's contents may damage the workbook's =FDS functionality.</t>
  </si>
  <si>
    <t>Curtiss-Wright</t>
  </si>
  <si>
    <t>($ in millions)</t>
  </si>
  <si>
    <t>C4Q11</t>
  </si>
  <si>
    <t>C1Q12</t>
  </si>
  <si>
    <t>C2Q12</t>
  </si>
  <si>
    <t>C3Q12</t>
  </si>
  <si>
    <t>C4Q12</t>
  </si>
  <si>
    <t>C1Q13</t>
  </si>
  <si>
    <t>C2Q13</t>
  </si>
  <si>
    <t>C3Q13</t>
  </si>
  <si>
    <t>C3Q15</t>
  </si>
  <si>
    <t>C4Q15</t>
  </si>
  <si>
    <t>C1Q16</t>
  </si>
  <si>
    <t>C2Q16</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</si>
  <si>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</si>
  <si>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</si>
  <si>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</si>
  <si>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</si>
  <si>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</si>
  <si>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</si>
  <si>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</si>
  <si>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</si>
  <si>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</si>
  <si>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</si>
  <si>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</si>
  <si>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</si>
  <si>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</si>
  <si>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</si>
  <si>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</si>
  <si>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</si>
  <si>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</si>
  <si>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</si>
  <si>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</si>
  <si>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</si>
  <si>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</si>
  <si>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</si>
  <si>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</si>
  <si>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</si>
  <si>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F2014</t>
  </si>
  <si>
    <t>1Q15</t>
  </si>
  <si>
    <t>2Q15</t>
  </si>
  <si>
    <t>3Q15</t>
  </si>
  <si>
    <t>4Q15</t>
  </si>
  <si>
    <t>F2015</t>
  </si>
  <si>
    <t>F1Q16</t>
  </si>
  <si>
    <t>F2Q16</t>
  </si>
  <si>
    <t>F3Q16</t>
  </si>
  <si>
    <t>F4Q16</t>
  </si>
  <si>
    <t>F2016</t>
  </si>
  <si>
    <t>F1Q17</t>
  </si>
  <si>
    <t>F2Q17</t>
  </si>
  <si>
    <t>F3Q17</t>
  </si>
  <si>
    <t>F4Q17</t>
  </si>
  <si>
    <t>1Q18</t>
  </si>
  <si>
    <t>2Q18</t>
  </si>
  <si>
    <t>3Q18</t>
  </si>
  <si>
    <t>4Q18</t>
  </si>
  <si>
    <t>F1Q19</t>
  </si>
  <si>
    <t>F2Q19</t>
  </si>
  <si>
    <t>F3Q19</t>
  </si>
  <si>
    <t>F4Q19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</si>
  <si>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</si>
  <si>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</si>
  <si>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</si>
  <si>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</si>
  <si>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</si>
  <si>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</si>
  <si>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</si>
  <si>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</si>
  <si>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</si>
  <si>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</si>
  <si>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</si>
  <si>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</si>
  <si>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</si>
  <si>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</si>
  <si>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</si>
  <si>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</si>
  <si>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</si>
  <si>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</si>
  <si>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</si>
  <si>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</si>
  <si>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</si>
  <si>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2Q25E</t>
  </si>
  <si>
    <t>3Q25E</t>
  </si>
  <si>
    <t>4Q25E</t>
  </si>
  <si>
    <t>1Q26E</t>
  </si>
  <si>
    <t>2Q26E</t>
  </si>
  <si>
    <t>3Q26E</t>
  </si>
  <si>
    <t>4Q26E</t>
  </si>
  <si>
    <t>2026E</t>
  </si>
  <si>
    <t>1Q27E</t>
  </si>
  <si>
    <t>2Q27E</t>
  </si>
  <si>
    <t>3Q27E</t>
  </si>
  <si>
    <t>4Q27E</t>
  </si>
  <si>
    <t>2027E</t>
  </si>
  <si>
    <t>Aerospace &amp; Defense Revenue</t>
  </si>
  <si>
    <t>Aerospace Defense</t>
  </si>
  <si>
    <t>y/y growth</t>
  </si>
  <si>
    <t>% of total</t>
  </si>
  <si>
    <t>Guidance - Full Yr</t>
  </si>
  <si>
    <t>2-4%</t>
  </si>
  <si>
    <t>0-2%</t>
  </si>
  <si>
    <t>9-11%</t>
  </si>
  <si>
    <t>3-5%</t>
  </si>
  <si>
    <t>11-13%</t>
  </si>
  <si>
    <t>5-7%</t>
  </si>
  <si>
    <t>6-8%</t>
  </si>
  <si>
    <t>7-9%</t>
  </si>
  <si>
    <t>Ground Defense</t>
  </si>
  <si>
    <t>100-105%</t>
  </si>
  <si>
    <t>(1-3)%</t>
  </si>
  <si>
    <t>(7-9)%</t>
  </si>
  <si>
    <t>4-6%</t>
  </si>
  <si>
    <t>16-18%</t>
  </si>
  <si>
    <t>23-25%</t>
  </si>
  <si>
    <t>10-12%</t>
  </si>
  <si>
    <t>Naval Defense</t>
  </si>
  <si>
    <t>1-3%</t>
  </si>
  <si>
    <t>Total Defense Revenue</t>
  </si>
  <si>
    <t>Commercial Aerospace</t>
  </si>
  <si>
    <t>14-16%</t>
  </si>
  <si>
    <t>13-15%</t>
  </si>
  <si>
    <t>Total Aerospace &amp; Defense Revenue</t>
  </si>
  <si>
    <t>8-10%</t>
  </si>
  <si>
    <t>Commercial Revenue</t>
  </si>
  <si>
    <t>Power and Process</t>
  </si>
  <si>
    <t>General Industrial</t>
  </si>
  <si>
    <t>15-17%</t>
  </si>
  <si>
    <t>(2-4%)</t>
  </si>
  <si>
    <t>Total Commercial Revenue</t>
  </si>
  <si>
    <t>Consolidated</t>
  </si>
  <si>
    <t>Total Revenue</t>
  </si>
  <si>
    <t>2445-2495</t>
  </si>
  <si>
    <t>2450-2500</t>
  </si>
  <si>
    <t>2465-2515</t>
  </si>
  <si>
    <t>2530-2580</t>
  </si>
  <si>
    <t>2570-2620</t>
  </si>
  <si>
    <t>2525-2575</t>
  </si>
  <si>
    <t>2655-2710</t>
  </si>
  <si>
    <t>2730-2790</t>
  </si>
  <si>
    <t>2765-2815</t>
  </si>
  <si>
    <t>2960-3010</t>
  </si>
  <si>
    <t>2985-3035</t>
  </si>
  <si>
    <t>3010-3060</t>
  </si>
  <si>
    <t>3050-3095</t>
  </si>
  <si>
    <t>3335-3385</t>
  </si>
  <si>
    <t>3365-3415</t>
  </si>
  <si>
    <t>Sources: Company Reports, William Blair Equity Research</t>
  </si>
  <si>
    <t>Curtiss-Wright Corporation</t>
  </si>
  <si>
    <t>Sales &amp; Earnings Model</t>
  </si>
  <si>
    <t>($ in millions; December fiscal year end)</t>
  </si>
  <si>
    <t>Period</t>
  </si>
  <si>
    <t>FY13</t>
  </si>
  <si>
    <t>FY14</t>
  </si>
  <si>
    <t>FY15</t>
  </si>
  <si>
    <t>1Q16</t>
  </si>
  <si>
    <t>2Q16</t>
  </si>
  <si>
    <t>3Q16</t>
  </si>
  <si>
    <t>4Q16</t>
  </si>
  <si>
    <t>FY16</t>
  </si>
  <si>
    <t>1Q17</t>
  </si>
  <si>
    <t>2Q17</t>
  </si>
  <si>
    <t>3Q17</t>
  </si>
  <si>
    <t>4Q17</t>
  </si>
  <si>
    <t>FY17</t>
  </si>
  <si>
    <t>FY18</t>
  </si>
  <si>
    <t>1Q19</t>
  </si>
  <si>
    <t>2Q19</t>
  </si>
  <si>
    <t>3Q19</t>
  </si>
  <si>
    <t>4Q19</t>
  </si>
  <si>
    <t>FY19</t>
  </si>
  <si>
    <t>FY20</t>
  </si>
  <si>
    <t>FY21</t>
  </si>
  <si>
    <t>FY22</t>
  </si>
  <si>
    <t>FY23</t>
  </si>
  <si>
    <t>FY24</t>
  </si>
  <si>
    <t>FY25E</t>
  </si>
  <si>
    <t>FY26E</t>
  </si>
  <si>
    <t>FY27E</t>
  </si>
  <si>
    <t>Fiscal Year Ends December</t>
  </si>
  <si>
    <t>FY 2014</t>
  </si>
  <si>
    <t xml:space="preserve">Aerospace &amp; Industrial </t>
  </si>
  <si>
    <t>Y/Y Growth</t>
  </si>
  <si>
    <t>Forward Year Guidance</t>
  </si>
  <si>
    <t>805-825</t>
  </si>
  <si>
    <t>820-840</t>
  </si>
  <si>
    <t>845-860</t>
  </si>
  <si>
    <t>865-885</t>
  </si>
  <si>
    <t>873-888</t>
  </si>
  <si>
    <t>915-930</t>
  </si>
  <si>
    <t>925-940</t>
  </si>
  <si>
    <t>960-975</t>
  </si>
  <si>
    <t>Organic</t>
  </si>
  <si>
    <t>Acq. / Divest</t>
  </si>
  <si>
    <t>FX</t>
  </si>
  <si>
    <t>y/y</t>
  </si>
  <si>
    <t>MSD</t>
  </si>
  <si>
    <t>Defense Electronics</t>
  </si>
  <si>
    <t>745-760</t>
  </si>
  <si>
    <t>720-735</t>
  </si>
  <si>
    <t>675-690</t>
  </si>
  <si>
    <t>725-750</t>
  </si>
  <si>
    <t>755-775</t>
  </si>
  <si>
    <t>775-790</t>
  </si>
  <si>
    <t>857-872</t>
  </si>
  <si>
    <t>882-897</t>
  </si>
  <si>
    <t>892-907</t>
  </si>
  <si>
    <t>975-990</t>
  </si>
  <si>
    <t>995-1010</t>
  </si>
  <si>
    <t>Naval &amp; Power</t>
  </si>
  <si>
    <t>980-995</t>
  </si>
  <si>
    <t>1030-1045</t>
  </si>
  <si>
    <t>1085-1100</t>
  </si>
  <si>
    <t>1110-1130</t>
  </si>
  <si>
    <t>1117-1137</t>
  </si>
  <si>
    <t>1188-1208</t>
  </si>
  <si>
    <t>1203-1223</t>
  </si>
  <si>
    <t>1233-1248</t>
  </si>
  <si>
    <t>1400-1420</t>
  </si>
  <si>
    <t>1410-1430</t>
  </si>
  <si>
    <t>Power &amp; Process</t>
  </si>
  <si>
    <t>Process</t>
  </si>
  <si>
    <t>Nuclear</t>
  </si>
  <si>
    <t>Nuclear OEM</t>
  </si>
  <si>
    <t>Nuclear Aftermarket</t>
  </si>
  <si>
    <t>-</t>
  </si>
  <si>
    <t>2590-2630</t>
  </si>
  <si>
    <t>3050-2095</t>
  </si>
  <si>
    <t>Operating Margins</t>
  </si>
  <si>
    <t>Total Operating Margins - Adjusted</t>
  </si>
  <si>
    <t>16.5-16.6%</t>
  </si>
  <si>
    <t>16.6-16.7%</t>
  </si>
  <si>
    <t>16.7-16.8%</t>
  </si>
  <si>
    <t>17.1-17.3%</t>
  </si>
  <si>
    <t>17.4-17.6%</t>
  </si>
  <si>
    <t>17.9-18.1%</t>
  </si>
  <si>
    <t>18.3-18.5%</t>
  </si>
  <si>
    <t>Operating Profit</t>
  </si>
  <si>
    <t>Aerospace &amp; Industrial</t>
  </si>
  <si>
    <t>131-135</t>
  </si>
  <si>
    <t>133-137</t>
  </si>
  <si>
    <t>135-139</t>
  </si>
  <si>
    <t>143-148</t>
  </si>
  <si>
    <t>145-150</t>
  </si>
  <si>
    <t>146-150</t>
  </si>
  <si>
    <t>152-156</t>
  </si>
  <si>
    <t>157-161</t>
  </si>
  <si>
    <t>167-172</t>
  </si>
  <si>
    <t>163-172</t>
  </si>
  <si>
    <t>164-169</t>
  </si>
  <si>
    <t>160-165</t>
  </si>
  <si>
    <t>150-155</t>
  </si>
  <si>
    <t>165-172</t>
  </si>
  <si>
    <t>174-180</t>
  </si>
  <si>
    <t>182-188</t>
  </si>
  <si>
    <t>198-203</t>
  </si>
  <si>
    <t>212-218</t>
  </si>
  <si>
    <t>216-221</t>
  </si>
  <si>
    <t>244-250</t>
  </si>
  <si>
    <t>261-267</t>
  </si>
  <si>
    <t>177-182</t>
  </si>
  <si>
    <t>186-190</t>
  </si>
  <si>
    <t>190-194</t>
  </si>
  <si>
    <t>195-200</t>
  </si>
  <si>
    <t>192-197</t>
  </si>
  <si>
    <t>202-207</t>
  </si>
  <si>
    <t>194-199</t>
  </si>
  <si>
    <t>228-234</t>
  </si>
  <si>
    <t>229-236</t>
  </si>
  <si>
    <t>Corporate expense</t>
  </si>
  <si>
    <t>Total Operating Profit - Adjusted</t>
  </si>
  <si>
    <t>Y/Y Change</t>
  </si>
  <si>
    <t>Consensus</t>
  </si>
  <si>
    <t>428-437</t>
  </si>
  <si>
    <t>404-414</t>
  </si>
  <si>
    <t>408-418</t>
  </si>
  <si>
    <t>411-421</t>
  </si>
  <si>
    <t>432-446</t>
  </si>
  <si>
    <t>439-452</t>
  </si>
  <si>
    <t>433-444</t>
  </si>
  <si>
    <t>463-477</t>
  </si>
  <si>
    <t>476-490</t>
  </si>
  <si>
    <t>480-494</t>
  </si>
  <si>
    <t>514-528</t>
  </si>
  <si>
    <t>518-533</t>
  </si>
  <si>
    <t>525-539</t>
  </si>
  <si>
    <t>531-545</t>
  </si>
  <si>
    <t>598-613</t>
  </si>
  <si>
    <t>614-632</t>
  </si>
  <si>
    <t>Cost of Sales</t>
  </si>
  <si>
    <t>Gross Profit</t>
  </si>
  <si>
    <t>Gross margin</t>
  </si>
  <si>
    <t>R&amp;D expenses</t>
  </si>
  <si>
    <t>% of revenue</t>
  </si>
  <si>
    <t>Selling expenses</t>
  </si>
  <si>
    <t>G&amp;A expenses</t>
  </si>
  <si>
    <t>Restructuring expenses</t>
  </si>
  <si>
    <t>GAAP Operating Income</t>
  </si>
  <si>
    <t>Operating Margin</t>
  </si>
  <si>
    <t>Depreciation &amp; Amortization</t>
  </si>
  <si>
    <t>Stock-based Compensation</t>
  </si>
  <si>
    <t>Adjusted EBITDA</t>
  </si>
  <si>
    <t>Other Income, net</t>
  </si>
  <si>
    <t>Interest Expense, net</t>
  </si>
  <si>
    <t>Pre-Tax Income</t>
  </si>
  <si>
    <t>Income Tax Provision (Benefit)</t>
  </si>
  <si>
    <t>Tax Rate (%)</t>
  </si>
  <si>
    <t>Gains (Loss) from Discrete &amp; Other Tax Items</t>
  </si>
  <si>
    <t>Net Income - Adjusted</t>
  </si>
  <si>
    <t>Loss from discontinued operations, net of tax</t>
  </si>
  <si>
    <t>One-Time Adjustments</t>
  </si>
  <si>
    <t>Loss from divestiture</t>
  </si>
  <si>
    <t xml:space="preserve">Net Income  - GAAP </t>
  </si>
  <si>
    <t>GAAP EPS</t>
  </si>
  <si>
    <t>Adjusted EPS</t>
  </si>
  <si>
    <t>7.50-7.70</t>
  </si>
  <si>
    <t>7.00-7.20</t>
  </si>
  <si>
    <t>7.10-7.30</t>
  </si>
  <si>
    <t>7.15-7.35</t>
  </si>
  <si>
    <t>7.20-7.35</t>
  </si>
  <si>
    <t>8.05-8.25</t>
  </si>
  <si>
    <t>8.10-8.30</t>
  </si>
  <si>
    <t>8.05-8.20</t>
  </si>
  <si>
    <t>8.65-8.90</t>
  </si>
  <si>
    <t>8.90-9.15</t>
  </si>
  <si>
    <t>9.00-9.20</t>
  </si>
  <si>
    <t>10.00-10.30</t>
  </si>
  <si>
    <t>10.10-10.40</t>
  </si>
  <si>
    <t>10.40-10.65</t>
  </si>
  <si>
    <t>10.55-10.75</t>
  </si>
  <si>
    <t>12.10-12.40</t>
  </si>
  <si>
    <t>12.45-12.80</t>
  </si>
  <si>
    <t>Diluted Shares Out (Mil)</t>
  </si>
  <si>
    <t>Sources: Curtiss-Wright Corporation reports and William Blair Equity Research</t>
  </si>
  <si>
    <t>https://williamblair.bluematrix.com/sellside/Disclosures.action?ajax&amp;page=ajax/williamblairDisclosures.jsp&amp;firmId=18877&amp;companySymbol=CW</t>
  </si>
  <si>
    <t>D&amp;A</t>
  </si>
  <si>
    <t>SBC</t>
  </si>
  <si>
    <t>Curtiss-Wright Free Cash Flow Estimates</t>
  </si>
  <si>
    <t>($ in millions, except per share data)</t>
  </si>
  <si>
    <t>F2017</t>
  </si>
  <si>
    <t>F1Q18</t>
  </si>
  <si>
    <t>F2Q18</t>
  </si>
  <si>
    <t>F3Q18</t>
  </si>
  <si>
    <t>F4Q18</t>
  </si>
  <si>
    <t>F2018</t>
  </si>
  <si>
    <t xml:space="preserve">FCF Analysis </t>
  </si>
  <si>
    <t>BOP Cash</t>
  </si>
  <si>
    <t>Taxes</t>
  </si>
  <si>
    <t>Cash interest</t>
  </si>
  <si>
    <t>Working Capital</t>
  </si>
  <si>
    <t>Other, net</t>
  </si>
  <si>
    <t>Guidance - Full Year</t>
  </si>
  <si>
    <t>Cash flows from operations</t>
  </si>
  <si>
    <t>Capex</t>
  </si>
  <si>
    <t xml:space="preserve">FCF </t>
  </si>
  <si>
    <t>330-360</t>
  </si>
  <si>
    <t>345-365</t>
  </si>
  <si>
    <t>275-315</t>
  </si>
  <si>
    <t>360-400</t>
  </si>
  <si>
    <t>370-400</t>
  </si>
  <si>
    <t>380-400</t>
  </si>
  <si>
    <t>415-435</t>
  </si>
  <si>
    <t>425-445</t>
  </si>
  <si>
    <t>430-450</t>
  </si>
  <si>
    <t>485-505</t>
  </si>
  <si>
    <t>495-515</t>
  </si>
  <si>
    <t>CapEx % of revenue</t>
  </si>
  <si>
    <t>FCF Conversion</t>
  </si>
  <si>
    <t>Dividends</t>
  </si>
  <si>
    <t>Proceeds (Repayments) of debt</t>
  </si>
  <si>
    <t>Acquisitions, distributions</t>
  </si>
  <si>
    <t>Share buybacks</t>
  </si>
  <si>
    <t>EOP Cash</t>
  </si>
  <si>
    <t>Debt/Leverage Analysis</t>
  </si>
  <si>
    <t>Total debt</t>
  </si>
  <si>
    <t>Net debt</t>
  </si>
  <si>
    <t>Net leverage (Net debt /EBITDA)</t>
  </si>
  <si>
    <t>Liquidity</t>
  </si>
  <si>
    <t>Cash</t>
  </si>
  <si>
    <t>Credit Facility</t>
  </si>
  <si>
    <t>Total Liquidity</t>
  </si>
  <si>
    <t>Cash interest expense</t>
  </si>
  <si>
    <t>Estimated Cash Interest Expense</t>
  </si>
  <si>
    <t>Blended Interest Rate</t>
  </si>
  <si>
    <t>Source: Company reports and William Blair Equity Research</t>
  </si>
  <si>
    <t>Summary Financial Statements 2017-2024E</t>
  </si>
  <si>
    <t>(fiscal year end in December; dollars and shares in millions, except per share data)</t>
  </si>
  <si>
    <t>INCOME STATEMENT</t>
  </si>
  <si>
    <t>FY23E</t>
  </si>
  <si>
    <t>FY24E</t>
  </si>
  <si>
    <t>Revenue</t>
  </si>
  <si>
    <t>Oper.</t>
  </si>
  <si>
    <t>Profit</t>
  </si>
  <si>
    <t>Total</t>
  </si>
  <si>
    <t>Total Operating Profit - Adjusted*</t>
  </si>
  <si>
    <t>Interest expense, net</t>
  </si>
  <si>
    <t>Net Income  - Adjusted from Continuing Ops</t>
  </si>
  <si>
    <t>Net Income  - GAAP</t>
  </si>
  <si>
    <t>Reported EPS (Consolidated)</t>
  </si>
  <si>
    <t>Adjusted EPS (Continuing Operations)</t>
  </si>
  <si>
    <t>Quarterly EPS - Adjusted</t>
  </si>
  <si>
    <t>Q1</t>
  </si>
  <si>
    <t>E</t>
  </si>
  <si>
    <t>Q2</t>
  </si>
  <si>
    <t>Q3</t>
  </si>
  <si>
    <t>Q4</t>
  </si>
  <si>
    <t>CASH FLOW</t>
  </si>
  <si>
    <t>Sources</t>
  </si>
  <si>
    <t xml:space="preserve">     Net Income</t>
  </si>
  <si>
    <t xml:space="preserve">     Depr. &amp; Amort.</t>
  </si>
  <si>
    <t xml:space="preserve">     Stock Based Compensation</t>
  </si>
  <si>
    <t xml:space="preserve">     Loss on disposals</t>
  </si>
  <si>
    <t xml:space="preserve">     Deferred income taxes</t>
  </si>
  <si>
    <t xml:space="preserve">     Other (net)</t>
  </si>
  <si>
    <t xml:space="preserve">     Change in Non Cash Working Capital</t>
  </si>
  <si>
    <t>From Operations</t>
  </si>
  <si>
    <t xml:space="preserve">     Proceeds from sale of short-term investments</t>
  </si>
  <si>
    <t xml:space="preserve">     Dispositions</t>
  </si>
  <si>
    <t xml:space="preserve">     Net Debt</t>
  </si>
  <si>
    <t xml:space="preserve">     Effect of Exch. Rate</t>
  </si>
  <si>
    <t xml:space="preserve">     Other</t>
  </si>
  <si>
    <t>Total Sources</t>
  </si>
  <si>
    <t>Uses:</t>
  </si>
  <si>
    <t xml:space="preserve">     Net Capital Spending</t>
  </si>
  <si>
    <t xml:space="preserve">     Purchase of short-term investments</t>
  </si>
  <si>
    <t xml:space="preserve">     Dividends</t>
  </si>
  <si>
    <t xml:space="preserve">     Acquisitions Net</t>
  </si>
  <si>
    <t xml:space="preserve">     Net Equity</t>
  </si>
  <si>
    <t xml:space="preserve">     Other (net) - Discontinued ops</t>
  </si>
  <si>
    <t>Total Uses</t>
  </si>
  <si>
    <t>Change in Cash</t>
  </si>
  <si>
    <t>CAPITALIZATION</t>
  </si>
  <si>
    <t>Short-Term Debt</t>
  </si>
  <si>
    <t>Long-Term Debt</t>
  </si>
  <si>
    <t>Shareholders' Equity</t>
  </si>
  <si>
    <t>Total Capitalization</t>
  </si>
  <si>
    <t xml:space="preserve">Cash &amp; Equivalents </t>
  </si>
  <si>
    <t>1 Yr  Cash Return to Shareholders</t>
  </si>
  <si>
    <t>3 Yr Avg.  Cash Return to Shareholders</t>
  </si>
  <si>
    <t>1 Yr Internal Growth Efficiency</t>
  </si>
  <si>
    <t>Internal Growth Efficiency (IGE)</t>
  </si>
  <si>
    <t>Debt/Total Capital</t>
  </si>
  <si>
    <t>Net Total Capital</t>
  </si>
  <si>
    <t xml:space="preserve">Net Debt </t>
  </si>
  <si>
    <t>Net Debt/ EBITDA</t>
  </si>
  <si>
    <t>Net Debt/Total Cap.</t>
  </si>
  <si>
    <t>Average ROE</t>
  </si>
  <si>
    <t>Average ROTC</t>
  </si>
  <si>
    <t xml:space="preserve">Average Net Total Capital </t>
  </si>
  <si>
    <t>Average Net ROTC</t>
  </si>
  <si>
    <t>Other</t>
  </si>
  <si>
    <t>Cash Flow From Operations</t>
  </si>
  <si>
    <t xml:space="preserve">Free Cash Flow </t>
  </si>
  <si>
    <t>FCF/Share</t>
  </si>
  <si>
    <t>Adj. FCF % of Adj. Net Income</t>
  </si>
  <si>
    <t>EBITDA</t>
  </si>
  <si>
    <t>Working Cap</t>
  </si>
  <si>
    <t>Working Cap/Sales</t>
  </si>
  <si>
    <t>Shares Outstanding</t>
  </si>
  <si>
    <t>Curtiss-Wright Valuation Comp Table</t>
  </si>
  <si>
    <t>Stock Data</t>
  </si>
  <si>
    <t>Valuation</t>
  </si>
  <si>
    <t>Leverage</t>
  </si>
  <si>
    <t>Growth</t>
  </si>
  <si>
    <t>Margin</t>
  </si>
  <si>
    <t>Yield</t>
  </si>
  <si>
    <t>Shares</t>
  </si>
  <si>
    <t>Price</t>
  </si>
  <si>
    <t>Out</t>
  </si>
  <si>
    <t>Mkt Cap</t>
  </si>
  <si>
    <t>Debt+Pr</t>
  </si>
  <si>
    <t xml:space="preserve">EV </t>
  </si>
  <si>
    <t>EV/Sales</t>
  </si>
  <si>
    <t>EV/EBITDA</t>
  </si>
  <si>
    <t>P/E</t>
  </si>
  <si>
    <t>EV/FCF</t>
  </si>
  <si>
    <t>Net Debt/EBITDA</t>
  </si>
  <si>
    <t>Sales Growth</t>
  </si>
  <si>
    <t>EBITDA Growth</t>
  </si>
  <si>
    <t>EBITDA Margin</t>
  </si>
  <si>
    <t>Dividend</t>
  </si>
  <si>
    <t>EPS</t>
  </si>
  <si>
    <t>FCF</t>
  </si>
  <si>
    <t>Company Name</t>
  </si>
  <si>
    <t>Ticker</t>
  </si>
  <si>
    <t>Analyst</t>
  </si>
  <si>
    <t>Rating</t>
  </si>
  <si>
    <t>(mn)</t>
  </si>
  <si>
    <t>($m)</t>
  </si>
  <si>
    <t>+1</t>
  </si>
  <si>
    <t>+2</t>
  </si>
  <si>
    <t>+0</t>
  </si>
  <si>
    <t>Specialty Manufacturers and Service Providers</t>
  </si>
  <si>
    <t>AIR</t>
  </si>
  <si>
    <t>O</t>
  </si>
  <si>
    <t>BWXT</t>
  </si>
  <si>
    <t>NC</t>
  </si>
  <si>
    <t>HEI</t>
  </si>
  <si>
    <t>HXL</t>
  </si>
  <si>
    <t>HII</t>
  </si>
  <si>
    <t>ITT</t>
  </si>
  <si>
    <t>KRMN</t>
  </si>
  <si>
    <t>MRCY</t>
  </si>
  <si>
    <t>TDY</t>
  </si>
  <si>
    <t>WWD</t>
  </si>
  <si>
    <t>Median</t>
  </si>
  <si>
    <t>Defense Prime Contractors</t>
  </si>
  <si>
    <t>BA</t>
  </si>
  <si>
    <t>GD</t>
  </si>
  <si>
    <t>LHX</t>
  </si>
  <si>
    <t>LMT</t>
  </si>
  <si>
    <t>NOC</t>
  </si>
  <si>
    <t>RTX</t>
  </si>
  <si>
    <t>CW</t>
  </si>
  <si>
    <t>Indices</t>
  </si>
  <si>
    <t>S&amp;P 500</t>
  </si>
  <si>
    <t>SPX</t>
  </si>
  <si>
    <t>Note: O=Outperform, M=Market Perform, U= Underperform, NC = Not covered</t>
  </si>
  <si>
    <t>FactSet consensus estimates used for all values</t>
  </si>
  <si>
    <t>Source: FactSet</t>
  </si>
  <si>
    <t>BlueMatrix Excel Toolkit Input Sheet</t>
  </si>
  <si>
    <t>Data Validation Cell Values</t>
  </si>
  <si>
    <t>Time Series Qualifier</t>
  </si>
  <si>
    <t>Month</t>
  </si>
  <si>
    <t>SECTION 1 - COMPANY STATISTICS</t>
  </si>
  <si>
    <t>Outperform</t>
  </si>
  <si>
    <t>Market Perform</t>
  </si>
  <si>
    <t>Enter Company Symbol &gt;&gt;</t>
  </si>
  <si>
    <t>&lt;&lt; Security'sPricing Symbol in BlueMatrix</t>
  </si>
  <si>
    <t>*Must be logged in to Creator to access link.</t>
  </si>
  <si>
    <t>Underperform</t>
  </si>
  <si>
    <t>NULL:FISCAL</t>
  </si>
  <si>
    <t>January</t>
  </si>
  <si>
    <t>Element</t>
  </si>
  <si>
    <t>INPUT</t>
  </si>
  <si>
    <t>Formula (Client) Code</t>
  </si>
  <si>
    <t>Formula &amp; Validation Message</t>
  </si>
  <si>
    <r>
      <t xml:space="preserve">For instructions and to view client codes (aka formula codes), please access the link* below:
</t>
    </r>
    <r>
      <rPr>
        <b/>
        <sz val="11"/>
        <color theme="1"/>
        <rFont val="Cambria"/>
        <family val="2"/>
        <scheme val="minor"/>
      </rPr>
      <t>https://williamblair.bluematrix.com/sellside/Preference.action?exceltoolkit&amp;from=3</t>
    </r>
  </si>
  <si>
    <t>Not Rated</t>
  </si>
  <si>
    <t>ADJUSTED:FISCAL</t>
  </si>
  <si>
    <t>February</t>
  </si>
  <si>
    <t xml:space="preserve"> Stock Rating</t>
  </si>
  <si>
    <t>STOCK_RATING</t>
  </si>
  <si>
    <t>BASIC:FISCAL</t>
  </si>
  <si>
    <t>March</t>
  </si>
  <si>
    <t>OPERATING:FISCAL</t>
  </si>
  <si>
    <t>April</t>
  </si>
  <si>
    <t>SECTION 2 - TIME SERIES ELEMENTS (ESTIMATES)</t>
  </si>
  <si>
    <t>PRIMARY:FISCAL</t>
  </si>
  <si>
    <t>May</t>
  </si>
  <si>
    <r>
      <t xml:space="preserve">BlueMatrix indicated we should "Adjust </t>
    </r>
    <r>
      <rPr>
        <sz val="11"/>
        <color rgb="FF277995"/>
        <rFont val="Cambria"/>
        <family val="2"/>
        <scheme val="minor"/>
      </rPr>
      <t>A</t>
    </r>
    <r>
      <rPr>
        <sz val="10"/>
        <rFont val="MS Sans Serif"/>
        <family val="2"/>
      </rPr>
      <t xml:space="preserve">s and </t>
    </r>
    <r>
      <rPr>
        <sz val="11"/>
        <color rgb="FFC00000"/>
        <rFont val="Cambria"/>
        <family val="2"/>
        <scheme val="minor"/>
      </rPr>
      <t>E</t>
    </r>
    <r>
      <rPr>
        <sz val="11"/>
        <rFont val="Cambria"/>
        <family val="2"/>
        <scheme val="minor"/>
      </rPr>
      <t xml:space="preserve">s </t>
    </r>
    <r>
      <rPr>
        <sz val="10"/>
        <rFont val="MS Sans Serif"/>
        <family val="2"/>
      </rPr>
      <t>Manually", but we are doing it automatically!</t>
    </r>
  </si>
  <si>
    <t>PROFORMA:FISCAL</t>
  </si>
  <si>
    <t>June</t>
  </si>
  <si>
    <t>Period Details &amp; 
Actual/Estimate Indicator &gt;&gt;</t>
  </si>
  <si>
    <t>RESTATED:FISCAL</t>
  </si>
  <si>
    <t>July</t>
  </si>
  <si>
    <t>Enter Fiscal Period &gt;&gt;</t>
  </si>
  <si>
    <t>A</t>
  </si>
  <si>
    <t>NULL:CALENDAR</t>
  </si>
  <si>
    <t>August</t>
  </si>
  <si>
    <t>Enter Current Base Quarter &gt;&gt;</t>
  </si>
  <si>
    <t>ADJUSTED:CALENDAR</t>
  </si>
  <si>
    <t>September</t>
  </si>
  <si>
    <t>Select Fiscal Year End &gt;&gt;</t>
  </si>
  <si>
    <t>December</t>
  </si>
  <si>
    <t>AN</t>
  </si>
  <si>
    <t>BASIC:CALENDAR</t>
  </si>
  <si>
    <t>October</t>
  </si>
  <si>
    <t>Earnings Summary</t>
  </si>
  <si>
    <t>Time Series Element</t>
  </si>
  <si>
    <t>Code &amp; Qualifier:</t>
  </si>
  <si>
    <t>Quarterly</t>
  </si>
  <si>
    <t>Annual</t>
  </si>
  <si>
    <t>DILUTED:CALENDAR</t>
  </si>
  <si>
    <t>November</t>
  </si>
  <si>
    <t>EPS FY</t>
  </si>
  <si>
    <t>INPUT&gt;&gt;</t>
  </si>
  <si>
    <t>GAAP:CALENDAR</t>
  </si>
  <si>
    <t>Select Qualifier &gt;&gt;</t>
  </si>
  <si>
    <t>Formula &amp; Message&gt;&gt;</t>
  </si>
  <si>
    <t>INDICATED:CALENDAR</t>
  </si>
  <si>
    <t>EPS CY</t>
  </si>
  <si>
    <t>MANAGED:CALENDAR</t>
  </si>
  <si>
    <t>NON-GAAP:CALENDAR</t>
  </si>
  <si>
    <t>Sales (mil.) FY</t>
  </si>
  <si>
    <t>SALES</t>
  </si>
  <si>
    <t>OPERATING:CALENDAR</t>
  </si>
  <si>
    <t>PRIMARY:CALENDAR</t>
  </si>
  <si>
    <t>Sales (mil.) CY</t>
  </si>
  <si>
    <t>PROFORMA:CALENDAR</t>
  </si>
  <si>
    <t>RESTATED:CALENDAR</t>
  </si>
  <si>
    <t>EBITDA FY</t>
  </si>
  <si>
    <t>EBITDA CY</t>
  </si>
  <si>
    <t>Curtiss-Wright has established a detailed set of corporate policies and core values to enhance the well-being of all its employees. The company has a zero-tolerance-for-harassment policy for employees and nonemployees by a Curtiss-Wright employee and fully supports affirmative action policies in its hiring and promotion of employees. Curtiss-Wright reduced its total recordable injury and illness rate and days away from work due to injury or illness for its workforce by 28% from 2015 to 2019, with no employee fatalities during this five-year period. Curtiss-Wright seeks to promote the well-being of the communities in which it operates. The company’s 8,100 employees engage in local volunteer programs and corporate donations for charitable organizations and causes. Curtiss-Wright sponsors a sons and daughters scholarship program and supports science, technology, engineering, and math (STEM) educational grants. The company works diligently with its suppliers to source components and materials only from ethical sources and organizations. Curtiss-Wright supplies components (primarily RCPs) for both the U.S. Department of Defense Nuclear Navy applications and for commercial Generation III+ nuclear power generation reactors (Westinghouse Electric Corporation AP1000) and aftermarket parts and services for these components in China and the United States. The corporation also has significant sales for the defense industry, including commercial off-the-shelf (COTS) embedded computing modules, data acquisition and flight test instrumentation, integrated subsystems, instrumentation and control systems, turret aiming and stabilization products, and weapons handling systems. Lynn Bamford assumed the role of CEO in January 2021 and Chair of the Board in May 2022. There are three women serving on Curtiss-Wright’s 10-person board of directors, one of whom is a person of color. </t>
  </si>
  <si>
    <t>Curtiss-Wright Corp.</t>
  </si>
  <si>
    <t>Estimated Revenue Break-out by End-Market and Key Platforms</t>
  </si>
  <si>
    <t>Sources: William Blair Equity Research, Company Reports</t>
  </si>
  <si>
    <t>Source: William Blair Equity Research</t>
  </si>
  <si>
    <t>Bulgaria and Poland</t>
  </si>
  <si>
    <t>bulgaria 2 plants; poland 3 plants; CW can handle that volume: 5 plants*120m/plant</t>
  </si>
  <si>
    <t>Poland looking for 9 reactors</t>
  </si>
  <si>
    <t>25 plants x 4 RCP / plant x 50% market share for Westinghouse x $30 million / RCP = $1.5 billion likely over 10 years, not per year</t>
  </si>
  <si>
    <t>Average would be $150 million per year</t>
  </si>
  <si>
    <t>Revenue is based on percentage of completion and takes the form of a bell curve</t>
  </si>
  <si>
    <t>plants</t>
  </si>
  <si>
    <t>RCPs</t>
  </si>
  <si>
    <t>=</t>
  </si>
  <si>
    <t>reactors</t>
  </si>
  <si>
    <t>m</t>
  </si>
  <si>
    <t>ebitda</t>
  </si>
  <si>
    <t>reactor</t>
  </si>
  <si>
    <t>5 years</t>
  </si>
  <si>
    <t>year</t>
  </si>
  <si>
    <t>Commercial Aerospace (end market)</t>
  </si>
  <si>
    <t>2025 guidance: 13-15% growth</t>
  </si>
  <si>
    <t>▪ Higher OEM growth driven by ramp-up in production (narrowbody and widebody)</t>
  </si>
  <si>
    <t>▪ Defense electronics growth tied to retrofitting flight data recorders and aftermarket spares</t>
  </si>
  <si>
    <t>2023 key revenue drivers</t>
  </si>
  <si>
    <t>Strong OEM growth driven by ramp up in production (narrowbody and widebody)</t>
  </si>
  <si>
    <t>Solid growth in OEM (narrowbody and widebody)</t>
  </si>
  <si>
    <t>Airbus said targeting producing 75 A320s/month in 2026</t>
  </si>
  <si>
    <t>https://twitter.com/AirlineFlyer/status/1678418511821959170?s=20</t>
  </si>
  <si>
    <t>announced jointly developed Honeywell Connected Recorder-25 (HCR-25) cockpit voice recorder (CVR) and flight data recorder (FDR) variants have been type-certified for Boeing 737, 767 and 777 production aircraft</t>
  </si>
  <si>
    <t>https://curtisswright.com/news/press-releases/news-release-details/2023/Honeywell-Curtiss-Wright-Receive-Certification-for-25-Hour-Cockpit-Voice-and-Flight-Data-Recorders/default.aspx</t>
  </si>
  <si>
    <t>Within the segment's commercial aerospace market, we experienced double digit sales growth driven by strong OEM demand, most notably on Airbus narrowbody and widebody platforms</t>
  </si>
  <si>
    <t>Teach-in</t>
  </si>
  <si>
    <t>Provider of actuation equipment, electronics, and surface treatment services</t>
  </si>
  <si>
    <t>root of CW goes back to the Wright brothers, commercial aero</t>
  </si>
  <si>
    <t>expecting high single digit for OE, and flattish for AM; AM driven by FAA directives</t>
  </si>
  <si>
    <t>Airbus- is somewhat newer; contract for A350 freighter- contract for electroactuation work; for Airbus, more of work is with surface treatment services side</t>
  </si>
  <si>
    <t>For Boeing, more of the content deals with electronics; we push to do more surface treatment for Boeing</t>
  </si>
  <si>
    <t>Heymann NDR</t>
  </si>
  <si>
    <t>anticipate a return to 2019 production levels by 2024</t>
  </si>
  <si>
    <t>Airbus actuation</t>
  </si>
  <si>
    <t>recent actuation wins on the Airbus A350 Freighter and eXtra Performance Wing R&amp;D project (Curtiss-Wright’s 
first actuation wins with Airbus) have provided a path to incremental market share gains over time</t>
  </si>
  <si>
    <t>A321neo</t>
  </si>
  <si>
    <t>Curtiss-Wright’s content for the 
A320neo is approximately $70,000 per aircraft, where monthly production is expected to grow from 55 per month exiting 
2022 to 75 per month by 2025</t>
  </si>
  <si>
    <t>B737 MAX</t>
  </si>
  <si>
    <t>Boeing, Curtiss-Wright has content of $75,000 per aircraft on the 737 MAX, with production anticipated to ramp up from 
31 a month today to 57 a month by mid-to-late decade</t>
  </si>
  <si>
    <t>B787</t>
  </si>
  <si>
    <t>On the 787, which accounts for $500,000 of content per aircraft, 
production is expected to slowly ramp from 3 a month exiting 2022 to 10 a month by 2025</t>
  </si>
  <si>
    <t>Aerospace-defense end market</t>
  </si>
  <si>
    <t>DoD budget request reduced F-35 count (~3% of CW rev)</t>
  </si>
  <si>
    <t>https://www.businessinsider.com/lockheed-martin-shares-fall-pentagon-f35-requests-air-force-2025-6</t>
  </si>
  <si>
    <t>2025 Guidance: 6-8% growth</t>
  </si>
  <si>
    <t>▪ Strong defense electronics growth on various C5/ISR programs (U.S. DoD and dFMS)</t>
  </si>
  <si>
    <t>▪ Higher sales of arresting systems equipment</t>
  </si>
  <si>
    <t>Strong contribution from prior year arresting systems acquisition (completed mid 2022)</t>
  </si>
  <si>
    <t>Solid growth in defense electronics revenues on various C5/ISR programs</t>
  </si>
  <si>
    <t>Contribution from arresting systems acquisition</t>
  </si>
  <si>
    <t>F-35</t>
  </si>
  <si>
    <t>reduced sales in the segment's aerospace defense market due to the timing of production on various fighter jet programs, including the F-35</t>
  </si>
  <si>
    <t>340k/aircraft</t>
  </si>
  <si>
    <t>laser peening surface treatment helps extend the useful life of F-35s</t>
  </si>
  <si>
    <t>lower first quarter revenues for embedded computing equipment on various helicopter and UAV programs in aerospace defense</t>
  </si>
  <si>
    <t>contribution from the arresting systems acquisition completed last June. As you have seen in some of our recent press releases, this business continues to secure new orders for its military aircraft arresting systems equipment,</t>
  </si>
  <si>
    <t>the newer acquisition of the arresting systems business; provide arresting systems for helicopter landing systems (capturing a helicopter landing on a destroyer)</t>
  </si>
  <si>
    <t>•	“defense electronics” includes defense electronics and flight test instrumentation equipment
o	20% of defense electronics comes from the Navy</t>
  </si>
  <si>
    <t>provide for electronic cabinetry— DDGs, SSNs, SSBNs; involved in every fighter jet, UAV, helicopter, naval platform, ground vehicle…if it has electronics in it, CW is involved with its embedded computing equipment</t>
  </si>
  <si>
    <t>•	Same kind of flap actuation used for commercial aerospace is used for defense aerospace</t>
  </si>
  <si>
    <t>•	For the F-35, provide actuation equipment along with electronic equipment</t>
  </si>
  <si>
    <t>Ground-defense end market</t>
  </si>
  <si>
    <t>2025 guidance: 6-8% growth</t>
  </si>
  <si>
    <t>▪ Strong revenue growth in tactical communications equipment</t>
  </si>
  <si>
    <t>▪ Increased demand supporting ground missile launcher programs</t>
  </si>
  <si>
    <t>Strong growth in tactical communications equipment revenues</t>
  </si>
  <si>
    <t xml:space="preserve">awarded contract by GDLS to provide Modular Open Systems Approach (MOSA) compliant tech in the Managed Switch Field Upgrade program for Stryker </t>
  </si>
  <si>
    <t>https://curtisswright.com/news/press-releases/news-release-details/2023/Curtiss-Wright-Awarded-Contract-by-General-Dynamics-Land-Systems-to-Provide-Modular-Open-Systems-Approach-Based-Electronics-for-Stryker-Ground-Combat-Vehicle/default.aspx</t>
  </si>
  <si>
    <t>2023 key drivers</t>
  </si>
  <si>
    <t>higher sales of tactical communications equipment to the ground defense market</t>
  </si>
  <si>
    <t>while we were pleased with the strong first quarter performance for our tactical communications equipment, we continue to project full year growth of 4% to 6% as we proceed with some conservatism in light of the supply chain environment</t>
  </si>
  <si>
    <t>half of ground-defense comes from PacStar</t>
  </si>
  <si>
    <t>•	Ground defense can be broken down into three buckets
o	Traditional US
o	International ground- rheimetall
o	Pacstar- biggest chunk—more than half of the ground defense is pacstar; tactical communications</t>
  </si>
  <si>
    <t>supply chain issues</t>
  </si>
  <si>
    <t>Defense electronics/satcom- things are stabilizing, not getting better yet. Very long lead times for parts- 52 weeks instead of 13 weeks</t>
  </si>
  <si>
    <t>Ground vehicles a source of growth-key supplier to Rheimmetal, one of main products is turrett drive stabilization</t>
  </si>
  <si>
    <t>is poised to grow at midsingle-digit rates for the next several years instead of flat to
modestly negative sales contraction expected as recently as this past spring</t>
  </si>
  <si>
    <t>supply chain</t>
  </si>
  <si>
    <t xml:space="preserve"> Curtiss-Wright is still 
experiencing shortages of highly advanced processing, memory, and graphics chips, which may continue until mid-2023.</t>
  </si>
  <si>
    <t>Naval-defense end market</t>
  </si>
  <si>
    <t>US reviewing AUKUS</t>
  </si>
  <si>
    <t>https://www.bbc.com/news/articles/cy8d3d5l9l1o</t>
  </si>
  <si>
    <t>2025 guidance: 5-7% growth</t>
  </si>
  <si>
    <t>▪ Higher growth on submarines and increased naval aftermarket revenue</t>
  </si>
  <si>
    <t>▪ Defense electronics growth on domestic &amp; international programs; Higher aircraft handling systems</t>
  </si>
  <si>
    <t>Higher revenue growth on Columbia class and Virginia class submarines; Partially offset by timing of aircraft carrier revenues</t>
  </si>
  <si>
    <t>Increased guidance for Naval Defense for 6-8% mainly based on staffing and ramp up on Columbia class. $250m in orders in recent press release, provides us with greater long-term confidence and trajectory of where naval business is headed. Multi-year in nature.</t>
  </si>
  <si>
    <t>Strong baseline to provide longer-term guidance</t>
  </si>
  <si>
    <t>Higher revenue growth on Columbia class and Virginia submarines</t>
  </si>
  <si>
    <t>awarded contracts totaling &gt;$250m to provide propulsion valves, pumps, and advanced instrumentation &amp; control systems for the Virginia &amp; Columbia-class subs and Ford-class aircraft carrier programs</t>
  </si>
  <si>
    <t>https://curtisswright.com/news/press-releases/news-release-details/2023/Curtiss-Wright-Awarded-Contracts-Valued-in-Excess-of-250-Million-to-Support-Critical-U.S.-Naval-Defense-Platforms/default.aspx</t>
  </si>
  <si>
    <t>Circor agreed to $56/share bid from KKR</t>
  </si>
  <si>
    <t>Bidding war between KKR and Arcline Investment Management for CIRCOR; Arcline already owns Fairbanks Morse</t>
  </si>
  <si>
    <t>https://www.businesswire.com/news/home/20230628041690/en/KKR-Reaffirms-Intention-to-Acquire-CIRCOR-International</t>
  </si>
  <si>
    <t>https://www.defenseone.com/business/2023/06/pending-sale-raises-fears-consolidation-among-submarine-suppliers/388149/</t>
  </si>
  <si>
    <t xml:space="preserve">All three companies provide multiple types of valves to the Navy, with Fairbanks through their Hunt Valve business. CW is the largest of the three competitors.
Curtiss-Wright is the preferred supplier (~ sole source) of valves, pumps and steam turbines within the nuclear propulsion for aircraft carriers and both submarines. </t>
  </si>
  <si>
    <t>CIRCOR owns Portland Valve</t>
  </si>
  <si>
    <t>CIRCOR and Fairbanks though don't provide pumps and valves for Navy nuclear propulsion; they provide pumps and valves for other Navy stuff</t>
  </si>
  <si>
    <t>in the naval defense market, higher revenues principally reflected the ramp up on the Columbia-class submarine and CVN-81 aircraft carrier programs</t>
  </si>
  <si>
    <t xml:space="preserve">•	For the Ford/Virginia/Columbia class, CW is providing pumps and valves along with electronic equipment; I would estimate 80% of revenue from the navy is from pumps and valves, and 20% is from electronics;  </t>
  </si>
  <si>
    <t>•	All of valve technologies are in the “Naval and Power” operating Segment
o	Those valve technologies also cross from Navy into commercial nuclear, into oil &amp; gas, into chem-petro, and broad-based industrial applications</t>
  </si>
  <si>
    <t>sole-source/single-source for nuclear propulsion on Columbia</t>
  </si>
  <si>
    <t>CW provides everything around the reactor for nuclear propulsion—pumps, valves, steam turbines (Dresser-Rand biz acquired from Siemens), generators, motors</t>
  </si>
  <si>
    <t>CW has been primary provider of pumps and valves for 60 years- basically since the inception of the nuclear navy</t>
  </si>
  <si>
    <t xml:space="preserve">BWBX provides the reactor for Columbia; •	bwxt ⅔ of content for nuclear propulsion; •	bwxt does reactor pressure vessel, heat/steam generator, fuel rods, make the fuel, control mechanisms for that system- </t>
  </si>
  <si>
    <t>in addition to pumps/valves for nuclear propulsion, provides defense electronics for electronic cabinetry— DDGs, SSNs, SSBNs</t>
  </si>
  <si>
    <t>nuclear Navy sales account for 28% of the company’s total revenues.</t>
  </si>
  <si>
    <t>Columbia</t>
  </si>
  <si>
    <t>$140m/shipset</t>
  </si>
  <si>
    <t>$115m/shipset</t>
  </si>
  <si>
    <t>80% from pumps and valves, 20% from electronics</t>
  </si>
  <si>
    <t>Virginia</t>
  </si>
  <si>
    <t>$85m/shipset</t>
  </si>
  <si>
    <t>$75m/shipset</t>
  </si>
  <si>
    <t>""</t>
  </si>
  <si>
    <t>may go to $255m with SSN(X)</t>
  </si>
  <si>
    <t>Ford class</t>
  </si>
  <si>
    <t>$450m/shipset</t>
  </si>
  <si>
    <t>$400m/shipset</t>
  </si>
  <si>
    <t>Aukus</t>
  </si>
  <si>
    <t>Australian Navy is expected to announce by March 2023 plans for 8-12 nuclear submarines (likely based on 
the U.S. Virginia-class design) potentially worth $600 million-$900 million for Curtiss-Wright’s Nuclear Navy RCP business 
over the next 15 years</t>
  </si>
  <si>
    <t>content/shipset for the U.S. Nuclear Navy has increased over 25% since 2016.  could result in Curtiss-Wright picking up 
some production currently performed at the shipyard to help boatbuilders increase their production capacity</t>
  </si>
  <si>
    <t>Power &amp; Process end market</t>
  </si>
  <si>
    <t>2025 guidance: 16-18% growth</t>
  </si>
  <si>
    <t>▪ HSD organic growth in Commercial Nuclear driven by strong U.S. aftermarket demand and SMRs</t>
  </si>
  <si>
    <t>▪ LSD+ organic growth in Process (Higher subsea pump development revenues)</t>
  </si>
  <si>
    <t>▪ Contribution from Ultra Energy acquisition</t>
  </si>
  <si>
    <t>General industrial end market</t>
  </si>
  <si>
    <t>2025 guidance: flat</t>
  </si>
  <si>
    <t>▪ Modest growth in industrial automation and services, offset by lower industrial vehicles</t>
  </si>
  <si>
    <t>Nuclear after-market</t>
  </si>
  <si>
    <t>22 countries agree to prioritize nuclear reactor production as part of collective effort to meet energy and climate goals by 2050</t>
  </si>
  <si>
    <t>https://www.spglobal.com/commodityinsights/en/market-insights/latest-news/electric-power/120223-cop28-22-nations-pledge-to-triple-nuclear-generation-capacity-by-2050</t>
  </si>
  <si>
    <t>Stifel NDR</t>
  </si>
  <si>
    <t>Extension of life programs (from 60 to 80 yrs) in U.S. have started and likely to continue for a decade</t>
  </si>
  <si>
    <t>Canada starting similar upgrades, South Korea in the future, potential opportunities in France (big nuclear market)</t>
  </si>
  <si>
    <t>Commercial aftermarket is ramping now. Just under $10m this year on Gen4 ARMP this year, that will accelerate in 24-25. Engineering work now, will be building for those reactors in 2025. AP1000 order is a 2025 thing.</t>
  </si>
  <si>
    <t>our results reflected mid-single digit growth in commercial nuclear aftermarket, supporting the operation and maintenance of existing reactors and strong MRO valve sales and process</t>
  </si>
  <si>
    <t>It's really early days. And there's only about a third of the plants – of the 90 plants in the US have already achieved their licensing extensions and more will keep going into that through the middle and the back end of this decade as they reach their license period. So, really early days. I think that trend is very sustainable.</t>
  </si>
  <si>
    <t>nuclear aftermarket - traditionally low single digit type of biz - dealing with 1 plant shutting down per year for over a decade - 30% cost reduction, now there is bipartisian support for US to regain nuclear dominance — the low single digit growth is now mid single digit growth because of opportunities for plant life extensions for most of the 92 plants over the next 10-plus years</t>
  </si>
  <si>
    <t>aftermarket commercial nuclear: biggest competition is westinghouse and GE—&gt;they built all the reactors present in the US today</t>
  </si>
  <si>
    <t>The nuclear aftermarket is Curtiss-Wright’s largest portion of its nuclear business (approximately 75% of its nuclear power ), and nucler power is 11% of total
business</t>
  </si>
  <si>
    <t>Curtiss-Wright supplies over 150 products and services as part of its nuclear power aftermarket business.</t>
  </si>
  <si>
    <t>The United States accounts for 70% to 75% of Curtiss Wright’s global nuclear aftermarket business (about 6% of total 
company sales) to support all 92 operating U.S. nuclear power reactors.</t>
  </si>
  <si>
    <t>Over the next two years, two more U.S. reactors, 
Southern Company’s Vogtle 3 and 4, are expected to be completed. However, these will require limited aftermarket service for 
several years after being commissioned.</t>
  </si>
  <si>
    <t>Canada is Curtiss-Wright’s second-largest nuclear aftermarket, where 6 of the 12 
CANDU reactors have filed for life extensions, which include major parts replacement in addition to annual servicing, followed 
by South Korea, and Japan</t>
  </si>
  <si>
    <t xml:space="preserve"> Japan has announced several restarts following shutdowns post-Fukushima, although the company 
only has content on a few reactors in the region.</t>
  </si>
  <si>
    <t xml:space="preserve"> the potential for
incremental opportunity across France’s aging installed base of 56 reactors</t>
  </si>
  <si>
    <t xml:space="preserve">The decision to extend the operating life of most reactors by another 20 years to in many cases 80 years extends Curtiss-
Wright’s annual maintenance business (approximately $2 million per reactor annually or $2.5 million on average including life
extension upgrades to digital from analog controls). </t>
  </si>
  <si>
    <t>in 2023, Curtiss-Wright’s commercial nuclear sales will face a $30 million headwind following the end 
of the CAP1000 program, where sales were $50 million in 2021 and should total $30 million in 2022 in the final year</t>
  </si>
  <si>
    <t>very early stages of an inflection in its  commercial nuclear aftermarket now that Canada, the United States, Europe, South Korea,
and even Japan are continuing to extend the operating life of existing nuclear reactors
to help offset reduced LNG imports from Russia</t>
  </si>
  <si>
    <t>commercial nuclear business, aided by over $30 billion of U.S. government stimulus
funding, is experiencing accelerating growth from existing commercial reactors extending
their lives to 80 from 60 years</t>
  </si>
  <si>
    <t>Westinghouse AP1000 Reactor Cooling Pumps</t>
  </si>
  <si>
    <t>Poland</t>
  </si>
  <si>
    <t>Poland chose AP1000 for 1 site, and 2 APR1400 reactors for a different site</t>
  </si>
  <si>
    <t>https://www.neimagazine.com/news/newspoland-approves-second-large-npp-11335518</t>
  </si>
  <si>
    <t>“
We talked about Bulgaria and Poland on the call here, but Ukraine, Romania, the Czech Republic, even in the UK, Slovenia,
Slovakia, Finland, and Sweden. You can find press on all of them that they are taking steps to move forward with building significant
new nuclear power.</t>
  </si>
  <si>
    <t>Jim Ryan Call</t>
  </si>
  <si>
    <t>service agreement for large order in Poland; first 3 of 6; second 3 is two be determined; thus, current contract only spans half of the $675m</t>
  </si>
  <si>
    <t>Poland to decide between AP1000 and South Korea (Korea hydro nuclear power—second largest company out there competing with Westinghouse,</t>
  </si>
  <si>
    <t>Areva out of France is also a competitor to Westinghouse and Korea Hydro Nuclear for reactors</t>
  </si>
  <si>
    <t>China</t>
  </si>
  <si>
    <t>China opportunity is now off the table; no visibility on China; larger 25 plant opportunity does not include China—assuming 100 RCPs</t>
  </si>
  <si>
    <t>TAM</t>
  </si>
  <si>
    <t>1) 25 plants x 4 RCP / plant x 50% market share for Westinghouse x $30 million / RCP = $1.5 billion likely over 10 years, not per year</t>
  </si>
  <si>
    <t>$28 million is based on 2015 pricing, there is the potential that is much higher now</t>
  </si>
  <si>
    <t>AP1000 services</t>
  </si>
  <si>
    <t>In AP1000 plant, will do $10 to 20 million in other work outside of the pumps; aftermarkets business has 100-plus products; fuel stuff, valves, doors</t>
  </si>
  <si>
    <t>RCP growth with Westinghouse est. at ~$1.5 billion assuming projects are executed and Westinghouse wins ~50% (CW is only RCP supplier to Westinghouse)</t>
  </si>
  <si>
    <t>Mgmt continues to expect orders to begin to be received in 2-4 yrs with revenue realized over a decade</t>
  </si>
  <si>
    <t>Westinghouse pr said Poland's first AP1000 will be ready in 2033, which is consistent with prior statements</t>
  </si>
  <si>
    <t>https://info.westinghousenuclear.com/news/historic-contract-paves-the-way-for-site-work-on-polands-first-nuclear-power-plant</t>
  </si>
  <si>
    <t>6 reactors implies $675m of pumps; may not receive the order until 2025 or 2027</t>
  </si>
  <si>
    <t>AP1000 order is a 2025 thing.</t>
  </si>
  <si>
    <t>o	AP1000 is considered Gen3+ because it is the first of its kind in the large lightwater reactor; CW only provides the reactor cooling pump for the AP1000</t>
  </si>
  <si>
    <t>o	X-Energy and Terrapower are essentially non- lightwater reactors; those are often called advanced reactors</t>
  </si>
  <si>
    <t>	2 story pump; they hang 4 of these on the inside of the reactor</t>
  </si>
  <si>
    <t>Accounting</t>
  </si>
  <si>
    <t>•	Revenue recognition for cooling pumps is percentage of completion; as recognize the costs, CW recognizes revenue, and it often takes the shape of a bell curve</t>
  </si>
  <si>
    <t>o	The china deal was a 5-year bell curve for 90% of the revenue; china was a little slower in terms of “their pace”, so CW slowed down; instead of being done of the bulk in 2020, they finished in 2022; china ordered the pumps on December 31, 2015</t>
  </si>
  <si>
    <t>o	Pumps take on average 44 months to build; CW shipped 12 pumps in 2022, and will ship the remaining 4 in 2023</t>
  </si>
  <si>
    <t>o	The majority of cash is usually collected in the first couple of years to cover the long-lead materials; cash curve is faster than the revenue curve</t>
  </si>
  <si>
    <t>o	For China, they received $20m last in 4Q and expect another $20m in 2023</t>
  </si>
  <si>
    <t>•	There is a lot of optimism with ap1000 over next 2 to 4 years...analysts assign nuclear optionality - there is definitely investor excitement</t>
  </si>
  <si>
    <t>•	4 reactant cooling pumps that CW supplies for each AP1000 reactor…16 pumps in a $450m order…23%-plus-plus margin</t>
  </si>
  <si>
    <t>it takes CW on average 44 months to manufacture a pump because they are highly technical</t>
  </si>
  <si>
    <t>•	CW makes the reactor coolant pumps— derived from same technology that is used for nuclear navy customers- Navy gave approval to use a modified version for commercial- “took stealthiness out of it”</t>
  </si>
  <si>
    <t>•	AP1000 designed with 60 year useful life; •	pumps, valves for subs designed to never fail</t>
  </si>
  <si>
    <t>•	We have seen the first AP1000 reactor in Georgia get hooked on and connected to the grid</t>
  </si>
  <si>
    <t>Poland and Ukraine</t>
  </si>
  <si>
    <t>•	Opportunity in eastern Europe is 6 reactors in Poland, there could be 9 in Ukraine: Ukraine is further along in development, they could deploy before Poland</t>
  </si>
  <si>
    <t>•	Poland said they want the Westinghouse system online in 2033; they need to “start pouring the concrete” five years earlier; Poland has said that they want to start with 3 with an option for 3 more; there is risk with these contracts if the customer is not ready to receive the coolant pumps on schedule</t>
  </si>
  <si>
    <t>•	Eastern europe energy impacted by Ukraine</t>
  </si>
  <si>
    <t>new orders for AP1000 Gen 3 Plus commercial nuclear power plants are
becoming increasingly likely from Eastern Europe by mid-decade</t>
  </si>
  <si>
    <t>next AP1000 order is likely to come from Poland, 
possibly as early as 2024 or 2025. Poland has already solicited requisitions for proposals (RFPs) for six reactors that 
would require 24 reactor coolant pumps (RCPs) that could be worth as much as $675 million for Curtiss-Wright</t>
  </si>
  <si>
    <t>SMR</t>
  </si>
  <si>
    <t>X-Energy</t>
  </si>
  <si>
    <t xml:space="preserve">$120 million of content per 4 unit 320 megawatt reactor plant; 5 gigawatts (5,000 megawatts) could represent $1.9 billion; </t>
  </si>
  <si>
    <t>https://x-energy.com/media/news-releases/curtiss-wright-and-x-energy-sign-preferred-strategic-supplier-agreement</t>
  </si>
  <si>
    <t>https://x-energy.com/media/news-releases/amazon-invests-in-x-energy-to-support-advanced-small-modular-nuclear-reactors-and-expand-carbon-free-power</t>
  </si>
  <si>
    <t>Terrapower</t>
  </si>
  <si>
    <t>TerraPower $650m fundraise</t>
  </si>
  <si>
    <t>https://www.terrapower.com/terrapower-announces-650-million-fundraise</t>
  </si>
  <si>
    <t>In Feb '25, CW awarded two contracts from TerraPower to design and deliver plant simulation and digital control solutions for the Natrium advanced nuclear reactor design</t>
  </si>
  <si>
    <t>previously awarded a contract to develop the Reactor Protection System (RPS) for the Natrium plant</t>
  </si>
  <si>
    <t>in 2020, TerraPower and X-Energy were selected by the U.S. Department of Energy’s Advanced Reactor Demonstration Program (ARDP) to receive initial funding as part of a $3.2 billion program to develop and build advanced nuclear reactors</t>
  </si>
  <si>
    <t>https://www.terrapower.com/terrapower-awards-another-round-of-vendor-contracts-for-natrium-reactor</t>
  </si>
  <si>
    <t>Jim Ryan call notes</t>
  </si>
  <si>
    <t xml:space="preserve">SMR Gen3: </t>
  </si>
  <si>
    <t>Westinghouse AP300, GE Hitachi (300 megawatt), Nuscale, RollsRoyce</t>
  </si>
  <si>
    <t>SMR gen 4</t>
  </si>
  <si>
    <t>x-energy and terrapower</t>
  </si>
  <si>
    <t>NDR</t>
  </si>
  <si>
    <t>&gt;$100m of content on X-energy SMR (4-pack, 2 of these 4 pack SMRs could replace a coal plant)</t>
  </si>
  <si>
    <t>$40m of content on Nuscale SMR; undisclosed level of content TerraPower SMR</t>
  </si>
  <si>
    <t>Significant government spending committed through ARDP; very significant tax inventives to replace coal with SMRs</t>
  </si>
  <si>
    <t>NEI survey of domestic power producers covering half the market that expects to deploy 300 SMRs by 2050</t>
  </si>
  <si>
    <t>Industrial applications would be additive to this market (E-energy’s flagship customer is Dow Chemical). CW provides a number of technologies including valves, major safety systems, fuel handling systems, plant control systems, safety monitoring systems, chillers, cable trays.</t>
  </si>
  <si>
    <t>Westinghouse could deploy an AP300 scaled down version of AP1000 that would use RCPs in the SMR market</t>
  </si>
  <si>
    <t>Guidance</t>
  </si>
  <si>
    <t>HSD growth in Commercial Nuclear (Aftermarket and advanced SMRs) excluding lower CAP1000 program revenues (~$20M wind down)</t>
  </si>
  <si>
    <t>X-energy awarded contract option to develop enhanced engineering design for transportable micro nuclear reactor (Project Pele)</t>
  </si>
  <si>
    <t>https://www.defense.gov/News/Releases/Release/Article/3524458/dod-exercises-option-on-second-micro-nuclear-reactor-design/</t>
  </si>
  <si>
    <t>HSD growth in Commercial Nuclear (U.S./Canada aftermarket and Gen IV SMRs) excluding lower CAP1000 program revenues (~$20M wind down)</t>
  </si>
  <si>
    <t>British announced grand plans for SMRs</t>
  </si>
  <si>
    <t>https://www.reuters.com/business/energy/britain-opens-small-nuclear-reactor-competition-launches-new-nuclear-body-2023-07-17/</t>
  </si>
  <si>
    <t>X-energy and Energy Northwest announce 960 MW project</t>
  </si>
  <si>
    <t>https://www.businesswire.com/news/home/20230719503897/en/Energy-Northwest-and-X-energy-Sign-Joint-Development-Agreement-for-Xe-100-Advanced-Small-Modular-Reactor-Project</t>
  </si>
  <si>
    <t>Story about how  SMR OEMs X-Energy and Oklo are pursuing SPAC IPOs</t>
  </si>
  <si>
    <t>https://www.wsj.com/articles/sam-altman-backed-nuclear-startup-is-going-public-through-altmans-spac-cf1ae712</t>
  </si>
  <si>
    <t xml:space="preserve">Jim Ryan: We’re hoping to develop relationships with all of the SMR and Advanced Reactor manufacturers. So Oklo would be a potential customer, though we’ve noted that we’re more likely to work with the larger scale advanced reactors than the micro reactor space. </t>
  </si>
  <si>
    <t>State of Illinois has pending legislation to lift ban on constructing new nuclear power plants, with SMRs</t>
  </si>
  <si>
    <t>https://www.chicagotribune.com/politics/ct-illinois-nuclear-plant-moratorium-20230709-jy3bfze23jhmpiflfzetlkimiu-story.html</t>
  </si>
  <si>
    <t xml:space="preserve">neither Circor nor Fairbanks Morse competes in the commercial nuclear space (despite doing Navy) b/c entry would be challenging due to the intense NRC certifications required to supply product to nuclear plants. </t>
  </si>
  <si>
    <t>$40m of potential content with Nuscale, secured more than $100m in content with X-energy</t>
  </si>
  <si>
    <t>CW extremely well positioned pursuing the electricity component  connections, and high-temp steam that X-energy produces</t>
  </si>
  <si>
    <t>•	Recognizing small X-energy revenue now, in order to meet their dev cycle to “have this thing turned on in ‘28”, will ramp as progress through demonstrations</t>
  </si>
  <si>
    <t>CW looking to establish partnerships with GE, Hitachi, Rolls Royce, Terrapower (the other ARDT)</t>
  </si>
  <si>
    <t>NEI study</t>
  </si>
  <si>
    <t>last summer fantastic quote: survey of electricity producers - 300 SMRs for next 25 years</t>
  </si>
  <si>
    <t xml:space="preserve">•	who is competition for the partnerships? GE will use some of own components, there is some overlap between CW and bwxt on commercial side, rolls does pumps </t>
  </si>
  <si>
    <t>•	technology is different for X-energy and Terrapower than the other three…the other 3 are miniaturized light water reactors…similar to the components for every light water reactor in US</t>
  </si>
  <si>
    <t>circulation of water that CW pumps peovide for light water reactor</t>
  </si>
  <si>
    <t>Advanced reactors</t>
  </si>
  <si>
    <t>X-energy and terrapower- more of focus on critical control and safety systems…</t>
  </si>
  <si>
    <t>circulation of helium, tech of providing fluid handling solutions, similar process but different components</t>
  </si>
  <si>
    <t>X-energy background</t>
  </si>
  <si>
    <t xml:space="preserve">•	X-Energy in its original design was supposed to work with Energy Northwest; they expected to receive funding for their advanced reactor demonstration program (ARDP) from the DOE; </t>
  </si>
  <si>
    <t>Dow stepped in during August 2022 and they said they wanted to be the second firm in the queue to buy an X-Energy reactor to work on their east/gulf coast operations for steam purposes</t>
  </si>
  <si>
    <t xml:space="preserve">o	Over the last few months, Dow has signed up to be X-Energy’s investor/partner under the ARDP framework instead of Energy Northwest; the two major benefits to CW are 1) huge commercial customer in Dow 2) Dow will likely use reactor beyond what it’s original purpose is </t>
  </si>
  <si>
    <t xml:space="preserve">•	If they stick to plan of launching (online) in 2028/2029, you would have to expect that CW will get paid its $100 million in content </t>
  </si>
  <si>
    <t>•	X-Energy reactor—high-temp steam that is produced, hydrogen is the byproduct of that reactor; the other designs don’t have that</t>
  </si>
  <si>
    <t>3 main items X-energy--Fuel handling systems, safe shutdowns, helium circulator</t>
  </si>
  <si>
    <t>For others, provide Other- valve packages, electrical penetration assemblies, airlock hatches</t>
  </si>
  <si>
    <t>TAM Math</t>
  </si>
  <si>
    <t xml:space="preserve">$120 million per 4 unit 320 megawatt reactor plant; 5 gigawatts (5,000 megawatts) could represent $1.9 billion; </t>
  </si>
  <si>
    <t>new Small Modular Reactors (SMRs) Gen 4 commercial
power plants being funded, developed, and built for initial deployment from 2027-2029</t>
  </si>
  <si>
    <t>X-energy, Nuscale</t>
  </si>
  <si>
    <t>Curtiss-Wright has signed preferred strategic partnership agreements with SMR developers X-energy and NuScale,</t>
  </si>
  <si>
    <t>IIJA</t>
  </si>
  <si>
    <t>U.S. IIJA passed in November 2021 included $1.2 billion of funding for development of TerraPower and another $1.2 billion of development funding for X-energy’s SMRs. NuScale (SMR $12.35), which started its SMR development earlier, 
has not moved through Stage 6 of the Nuclear Regulatory Commission’s approval process, with commercial operation 
targeted for 2026.</t>
  </si>
  <si>
    <t>hopes to eventually sign similar dev agreements with GE (GE $62.73; Outperform)/Hitachi (6501-JP ¥6,343.00) and 
TerraPower.</t>
  </si>
  <si>
    <t xml:space="preserve">Curtiss-Wright expects that for a four module (320 MW) plant, its total content on an X-energy SMR will 
exceed $100 million. </t>
  </si>
  <si>
    <t>The company is also in early conversations with Rolls Royce (RR-LON £0.68) on its SMR design and 
expects to have more clarity across all of its SMR content in the coming year.</t>
  </si>
  <si>
    <t>SMRs are likely to be a significant part of its business over the next 15-20 years, when as many as 300 SMR Gen 4 reactors might 
be built.</t>
  </si>
  <si>
    <t>Industrial vehicles end market</t>
  </si>
  <si>
    <t>LSD-MSD growth in industrial vehicles and automation products, and surface treatment services</t>
  </si>
  <si>
    <t>we recently secured a large contract with a leading truck OEM to provide power management and electronics that will support safe and efficient electrical vehicle performance. This represents another great example of our commitment to provide customized solutions for on and highway commercial EV and hybrid vehicles</t>
  </si>
  <si>
    <t xml:space="preserve">will say that in our vehicle end markets, the orders have slowed a bit since last year, which were still very strong, but they're still above [ph] 21 levels </t>
  </si>
  <si>
    <t>we are doing some things like new product introductions in the power management space, and that's supporting trends in vehicle electrification. And some of those product launches have LTV is in excess of $100 million over the next five years.So, there's some exciting stuff that we're working on from a development perspective</t>
  </si>
  <si>
    <t>Class 8, class 5-7 medium trucking, Ag, construction</t>
  </si>
  <si>
    <t>•	Industrial vehicles: John Deere, Catepillar--construction, class A…joysticks, shifters, electronic throttle controls, pedals, different types of power management systems, as a complete system; on and off highway; speciality vehicles (powered wheelchairs)—same type of joysticks as trucks and construction</t>
  </si>
  <si>
    <t xml:space="preserve"> experiencing strong
sales for components for large vehicle commercial EVs (buses and trucks)</t>
  </si>
  <si>
    <t xml:space="preserve"> expanding
sales of off-road construction equipment from IIJA doubling of funding for road and bridge
repair</t>
  </si>
  <si>
    <t>Industrial automation/services</t>
  </si>
  <si>
    <t>teach-in</t>
  </si>
  <si>
    <t>services is improving longevity of parts, generally aluminum, for various industries- it could be automotive, could be food processing, thermal spray coatings</t>
  </si>
  <si>
    <t>CW has not seen its industrial services division dip yet- that division is a reliable indicator for a recession</t>
  </si>
  <si>
    <t>Process end market</t>
  </si>
  <si>
    <t>Solid growth in industrial vehicles, automation products and surface treatment services</t>
  </si>
  <si>
    <t>HSD growth in Process (valves and subsea pump development to oil &amp; gas market)</t>
  </si>
  <si>
    <t>•	Process end market (7%) : 1) Farris severe service valves —oil and gas refinergies (4%), petrochem (2%) plants, nat gas (1%); farris is well known; ¾ of farris is mro</t>
  </si>
  <si>
    <t>Aerospace &amp; Industrial operating segment</t>
  </si>
  <si>
    <t>Results</t>
  </si>
  <si>
    <t>Sales</t>
  </si>
  <si>
    <t>Higher YOY sales in Defense markets (actuation equipment)</t>
  </si>
  <si>
    <t>Solid growth in Commercial Aerospace (sensors and surface treatment services on OEM platforms)</t>
  </si>
  <si>
    <t>Flat General Industrial sales</t>
  </si>
  <si>
    <t>▪ Favorable absorption on higher sales growth and benefit of restructuring initiatives; Favorable FX</t>
  </si>
  <si>
    <t>▪ Profitability partially offset by higher investment in R&amp;D</t>
  </si>
  <si>
    <t>Strong growth in Commercial Aerospace and higher EM actuation sales in Defense markets</t>
  </si>
  <si>
    <t>Favorable absorption on strong growth in A&amp;D revenues and restructuring savings</t>
  </si>
  <si>
    <t>Mitigating tariff exposure (mainly China) through pricing and operational excellence</t>
  </si>
  <si>
    <t>Strong Commercial Aerospace OEM growth</t>
  </si>
  <si>
    <t>Solid growth in General Industrial (industrial automation and services)</t>
  </si>
  <si>
    <t>Lower Y/Y sales in defense markets</t>
  </si>
  <si>
    <t>margin</t>
  </si>
  <si>
    <t>Favorable absorption on solid sales growth</t>
  </si>
  <si>
    <t>Profitability offset by unfavorable mix in actuation products</t>
  </si>
  <si>
    <t>Strong demand in Commercial Aerospace and solid growth in General Industrial, partially offset by reduced Defense (timing of programs)</t>
  </si>
  <si>
    <t>Favorable absorption on Commercial Aerospace and General Industrial sales, partially offset by timing of Defense revenues</t>
  </si>
  <si>
    <t>Benefit of ongoing commercial and operational excellence initiatives</t>
  </si>
  <si>
    <t>2023 key margin drivers</t>
  </si>
  <si>
    <t xml:space="preserve">•	“Aerospace &amp; Industrial” is really a couple of different product categories: actuation equipment, sensors equipment, surface treatment services equipment, and electrical actuation…it also includes all of the different industrial vehicle applications </t>
  </si>
  <si>
    <t>Defense Electronics/components (defense is 55% of rev)</t>
  </si>
  <si>
    <t>Strong growth in embedded computing equipment sales in all Defense markets, supporting various domestic and international programs</t>
  </si>
  <si>
    <t>Favorable absorption on strong growth in defense revenues and benefit of operational excellence initiatives</t>
  </si>
  <si>
    <t>Defense market growth (U.S. DoD and dFMS) driven by increased embedded computing and tactical communications revenues</t>
  </si>
  <si>
    <t>Commercial Aerospace growth reflects increased sales of avionics and instrumentation</t>
  </si>
  <si>
    <t>▪ Favorable absorption on strong growth in A&amp;D revenues</t>
  </si>
  <si>
    <t>▪ Benefit of operational and commercial excellence initiatives; Additional restructuring savings</t>
  </si>
  <si>
    <t>▪ Profitability partially offset by higher investments in R&amp;D</t>
  </si>
  <si>
    <t>MOSA</t>
  </si>
  <si>
    <t>DoD moving to MOSA (Modular Open Source Architecture) where CW has invested significantly in developing new, highly differentiated, high performance products for the past 5-7 yrs</t>
  </si>
  <si>
    <t>targeting increased outsourcing from prime contractors that currently produce these products internally; currently has &lt;2% of market, could open big market (not all of it is currently addressable)</t>
  </si>
  <si>
    <t>CW has been investing to target share gains while a main competitor has faced internal issues and financial challenges</t>
  </si>
  <si>
    <t>Some catch-up from supply chain but most  of growth is from core demand and share gains</t>
  </si>
  <si>
    <t>Strong growth in Ground Defense (tactical communications equipment) and Aerospace Defense (embedded computing and flight test equipment)</t>
  </si>
  <si>
    <t>Favorable absorption on strong A&amp;D revenue growth</t>
  </si>
  <si>
    <t>Gudiance</t>
  </si>
  <si>
    <t>Strong Defense market growth driven by record backlog and supply chain improvement</t>
  </si>
  <si>
    <t>Higher Ground Defense (tactical communications) and Aerospace/Naval Defense (embedded computing)</t>
  </si>
  <si>
    <t>Strong absorption on higher A&amp;D revenues</t>
  </si>
  <si>
    <t>PacStar collaborating with Vectra AI to provide support for cyber stacks used in National Security (NatSec) operations</t>
  </si>
  <si>
    <t>https://www.curtisswrightds.com/media-center/news/curtiss-wright-collaborates-with-vectra-ai</t>
  </si>
  <si>
    <t>Supply chain improving trends have continued, momentum continues. Very strong and healthy order book</t>
  </si>
  <si>
    <t>Higher Aerospace/Naval Defense (embedded computing) and Ground Defense (tactical communications)</t>
  </si>
  <si>
    <t>Naval &amp; Power operating segment</t>
  </si>
  <si>
    <t>▪ Stronger than anticipated growth in Naval Defense (higher demand and timing of submarine revenues)</t>
  </si>
  <si>
    <t>▪ Power &amp; Process reflects HSD organic growth in Commercial Nuclear plus contribution from acquisitions</t>
  </si>
  <si>
    <t>▪ Timing in Aerospace Defense (lower international arresting systems equipment sales)</t>
  </si>
  <si>
    <t>▪ Favorable absorption on higher revenues; PY unfavorable naval contract adjustment</t>
  </si>
  <si>
    <t>▪ Partially offset by first-year margin dilution from acquisition, unfavorable mix and higher investment in R&amp;D</t>
  </si>
  <si>
    <t>▪ Strong growth in Power &amp; Process; HSD organic growth in Commercial Nuclear, solid growth in Process and Ultra Energy acquisition</t>
  </si>
  <si>
    <t>▪ Solid Naval Defense growth; Higher dFMS (aircraft handling &amp; arresting systems)</t>
  </si>
  <si>
    <t>▪ Favorable absorption on higher A&amp;D and Power &amp; Process revenues; PY naval contract adjustment</t>
  </si>
  <si>
    <t>▪ Profitability partially offset by first-year acquisition dilution and investment in development programs</t>
  </si>
  <si>
    <t>▪ Effectively mitigating tariff exposure (mainly China) through pricing and operational excellence</t>
  </si>
  <si>
    <t>Margins</t>
  </si>
  <si>
    <t>Operational and Commercial Excellence Initiatives Driving Accelerated 80-100 bps Operating Margin Expansion In 2025</t>
  </si>
  <si>
    <t>Growth opportuniites require increased investment spending; CW has invested an additional $20m in R&amp;D in 2023 (some customer funded) and expects to continue to increae investment spending in 2024 (smaller incremental amount)</t>
  </si>
  <si>
    <t>Investment projects include adapting RCP technology for subsea oil &amp; gas pumping (customer funded), acutation projects in commercial aerospace, COTS and MOSA development projects in Def. Elec., SMR development projects</t>
  </si>
  <si>
    <t>Incremental margins have been muted by higher level of growth investments; mgmt continues to see 25-30% incremental margins over LT</t>
  </si>
  <si>
    <t>Delivering Operating Margin expansion while continuing to grow engineering spend</t>
  </si>
  <si>
    <t>Higher Y/Y pension due to higher rates</t>
  </si>
  <si>
    <t>Higher Y/Y  pension income; Y/Y increase in interest expense</t>
  </si>
  <si>
    <t>most of IRAD is spent in defense electronics, which is the highest margin operating segment</t>
  </si>
  <si>
    <t>in general, commercial off the shelf products have higher margins while systems have lower margins</t>
  </si>
  <si>
    <t>Q1 typically lighest quarter for revenue; Can have pockets of underabsorption based on availability of certain components</t>
  </si>
  <si>
    <t>impact of inflation on cost?</t>
  </si>
  <si>
    <t>CW is going to gain 10 basis points of op margin expansion this year from pricing above inflation</t>
  </si>
  <si>
    <t>team doing a great job of having the difficult discussions with customers when it is necessary</t>
  </si>
  <si>
    <t>while the inflationary environment is persisting, not seeing cost increases with the same frequency in late 2021, 2022</t>
  </si>
  <si>
    <t>would describe inflationary pressure on electronic components as modest</t>
  </si>
  <si>
    <t xml:space="preserve">for other businesses, have been seeing increases on steel and nickel </t>
  </si>
  <si>
    <t>main margin pressure is on wages</t>
  </si>
  <si>
    <t>Operating margin has increased from 9% in 2013 to 17% in 2023, dave adams came in during 2013 with focus on profitability</t>
  </si>
  <si>
    <t>in a downturn, volumes go down and margins are impacted, because CW is running a line, and it has fixed costs</t>
  </si>
  <si>
    <t>significant margin expansion was a critical part of Curtiss-Wright’s earnings growth for much of the last decade.</t>
  </si>
  <si>
    <t>Today the 
company is taking its restructuring and productivity savings and using them to fund higher R&amp;D (currently about 3.5% of 
sales) to expand its organic sales growth to nearer midsingle digits this decade (rather than low single digits in the past)</t>
  </si>
  <si>
    <t>Recession sensitivity</t>
  </si>
  <si>
    <t>EV vehicle orders slower in 1Q23 and thus far in 2Q23; expect rebound in 3Q and 4Q but above 2019</t>
  </si>
  <si>
    <t>attribute it to inventory adjustment in the EV space</t>
  </si>
  <si>
    <t>against record comps</t>
  </si>
  <si>
    <t>surface treatment is very short cycle-- canary in coal mine; very steady strong orders</t>
  </si>
  <si>
    <t>M&amp;A / FCF / Capital Allocation</t>
  </si>
  <si>
    <t>Min $50m share repurchase in 2023</t>
  </si>
  <si>
    <t>Continued solid FCF conversion; Capex average 2% of sales over time</t>
  </si>
  <si>
    <t>Continued solid FCF conversion</t>
  </si>
  <si>
    <t>Expect CapEx return to more normalized levels (average 2% of sales over time)</t>
  </si>
  <si>
    <t>•	Trying to widen the aperture of what provide to customer for particular platform</t>
  </si>
  <si>
    <t>Curtiss-Wright’s interest in acquisitions continues and its current primary areas of focus include components for the new 
SMR Gen 4 reactors, where the company’s content ranges from $20 million to $100 million.</t>
  </si>
  <si>
    <t>General nuclear</t>
  </si>
  <si>
    <t>believes its 
commercial nuclear power business, which is projected to account for about 11% of the company’s 2022 estimated sales 
of $2.57 billion-$2.62 billion, in 10 years could potentially be as large as its Nuclear Navy business today.</t>
  </si>
  <si>
    <t>resurgence in nuclear as an
accepted means of meeting carbon emission goals over the coming decades</t>
  </si>
  <si>
    <t>Stron demand and growing backlog fuels outlook in A&amp;D markets</t>
  </si>
  <si>
    <t>Strong backlog fuels growth outlook in A&amp;D markets</t>
  </si>
  <si>
    <t>Commercial: ontinued solid demand, up 6% to 8% excl. CAP1000</t>
  </si>
  <si>
    <t>Organic sales of 5% to 8%, driven by strong growth in A&amp;D markets</t>
  </si>
  <si>
    <t>bout 70% of Curtiss-Wright’s sales are covered under long-term defense contracts and thus are less impacted by changes 
in economic growth, while about 15% are short cycle, aftermarket related, ensuring quicker pricing pass-through.</t>
  </si>
  <si>
    <t>The 
company noted that where possible, it is being more successful at increasing prices to offset higher costs</t>
  </si>
  <si>
    <t>area at most from downturn is “general industrial”- break it down 70/30 vehicles and automation, services- 5% sentitive to gdp</t>
  </si>
  <si>
    <t>CW has not seen anything from an infrastructure bill benefit the company yet</t>
  </si>
  <si>
    <t>sensitivity to a recession</t>
  </si>
  <si>
    <t>Defense Macro/budget</t>
  </si>
  <si>
    <t>•	NATO funding approaching 2% of GDP- cw has not seen any impact from ukraine war yet</t>
  </si>
  <si>
    <t>Naval &amp; Power (valve technologies, arresting systems)</t>
  </si>
  <si>
    <t>A&amp;D revenue growth reflected strong demand for arresting systems equipment and solid growth in Naval Defense (Virginia class and Columbia class subs)</t>
  </si>
  <si>
    <t>Strong growth in Power &amp; Process (mid teens growth excluding CAP1000 program revenues)</t>
  </si>
  <si>
    <t>Favorable absorption on higher revenues</t>
  </si>
  <si>
    <t>Profitability offset by unfavorable naval contract adjustments and wind down on CAP1000 program</t>
  </si>
  <si>
    <r>
      <rPr>
        <sz val="10"/>
        <color rgb="FF008000"/>
        <rFont val="Cambria"/>
        <family val="1"/>
      </rPr>
      <t>Guidance:</t>
    </r>
    <r>
      <rPr>
        <sz val="10"/>
        <color theme="1"/>
        <rFont val="Cambria"/>
        <family val="1"/>
      </rPr>
      <t xml:space="preserve"> LDD growth in Process (MRO valves and subsea pump development for oil &amp; gas market)</t>
    </r>
  </si>
  <si>
    <t>MSD Naval Defense growth driven by Columbia class and Virginia class submarine programs</t>
  </si>
  <si>
    <t>HSD growth in Commercial Nuclear excluding wind down on CAP1000 program; LDD in Process</t>
  </si>
  <si>
    <t>Strong contribution from arresting systems acquisition</t>
  </si>
  <si>
    <t>Margin guidance</t>
  </si>
  <si>
    <t>Favorable absorption on higher organic sales (Defense, Commercial Nuclear and Process)</t>
  </si>
  <si>
    <t>Solid contribution from acquisition (Expected to be in line with overall CW operating margin)</t>
  </si>
  <si>
    <t>Profitability offset by wind down on CAP1000 program, naval contract adjustments and shift to development contracts (subsea pump)</t>
  </si>
  <si>
    <t>HSD growth in Commercial Nuclear excluding wind down on CAP1000 program; HSD in Process</t>
  </si>
  <si>
    <t>MSD-HSD annualized growth contribution from arresting systems acquisition (completed mid 2022)</t>
  </si>
  <si>
    <t>Profitability offset by wind down on CAP1000 program and shift to development contracts (subsea pump)</t>
  </si>
  <si>
    <t>•	“naval and power” includes nuclear naval propulsion, commercial nuclear after-market, process side with valves and different applications, and the newer acquisition of the arresting systems business; provide arresting systems for helicopter landing systems (capturing a helicopter landing on a destroyer)</t>
  </si>
  <si>
    <t>M&amp;A</t>
  </si>
  <si>
    <t>Priorities include Defense Electronics (mgmt believes there are significant additional capabilities it can add and leverage to gain share, particularly from outsourcing from prime contractors)</t>
  </si>
  <si>
    <t>Also nuclear technologies, Naval portfolio, technologies to leverage across portfolio</t>
  </si>
  <si>
    <t>Higher cost of capital - need to be diligent/patient to buy the right asset</t>
  </si>
  <si>
    <t>Mgmt said it will not run an inefficient balance sheet if acquisitions do not materialize and would likely repurchase shares if no deals are found; pipeline is active and mgmt is excited about deal prospects in 2024</t>
  </si>
  <si>
    <t>Management</t>
  </si>
  <si>
    <t xml:space="preserve">Lynn used to be an electrical design engineer. </t>
  </si>
  <si>
    <t>Petrobras partnership</t>
  </si>
  <si>
    <t>June Sapiem qualification process</t>
  </si>
  <si>
    <t>1.	The completion of the qualification process with Saipem has helped us to achieve a major milestone that opens the door for future production projects with potential exploration and production (E&amp;P) companies listed in the recent PR, including Petrobras and Total, who have endorsed CW’s / (Saipem’s) pump technology for commercialization.</t>
  </si>
  <si>
    <t>2.	We anticipate Saipem and other customers will continue to conduct Front-end Engineering (FEED) studies to evaluate potential locations for future implementation.</t>
  </si>
  <si>
    <t>3.	Further, it supports our messaging and expectations from our May investor day, where we anticipate potential production opportunities with 3 major customers announced thus far (Shell, Saipem and Petrobras), to generate $250M+ in (cumulative) Orders by 2030 and $500M+ in Orders by middle of next decade.</t>
  </si>
  <si>
    <t xml:space="preserve"> we expect growth to be mainly driven by higher subsea pump development revenues, supporting the newly announced Petrobras contract</t>
  </si>
  <si>
    <t>canned motor technology, which was developed for the Navy 50 some years ago. That has been taken to commercial nuclear power and now to subsea pumping. And we had a recent press lease with Petrobras of a significant win with them to take that technology</t>
  </si>
  <si>
    <t>We talked about our partnership with Shell and Saipem. The Petrobras is new and we're really just getting to the point of any.</t>
  </si>
  <si>
    <t>We have some announcements of taking that to subsea oil exploration</t>
  </si>
  <si>
    <t>Miscellaneous</t>
  </si>
  <si>
    <t>defense electronics strength in flight test equipment, tactical communications</t>
  </si>
  <si>
    <t>defense-- actuation equipment for aerospace and navy</t>
  </si>
  <si>
    <t>ground defense- tactical communications, foreign military sales</t>
  </si>
  <si>
    <t>defense electronics- expect q/q decline due to pull-forward; strength of order book</t>
  </si>
  <si>
    <t>readthrough is that lower defense electronics revenue means lower margins</t>
  </si>
  <si>
    <t>development revenue on next-gen SSN(X)</t>
  </si>
  <si>
    <t>sequential decline for Navy due to pull-forward in certain materials</t>
  </si>
  <si>
    <t>3 mile Island used to be a customer of CW</t>
  </si>
  <si>
    <t>80% of reactors have indicated they either applied or plan to apply for plant life extensions; now low double-digit growth</t>
  </si>
  <si>
    <t>talking to Rolls-Royce about having a lot of content on their SMR</t>
  </si>
  <si>
    <t>Less advanced with GE Hitachi</t>
  </si>
  <si>
    <t>Kairo/Google; no content with them to date; they want to be vertically integrated</t>
  </si>
  <si>
    <t>shift of funding from internal R&amp;D to funded for some aerospace &amp; defense strength</t>
  </si>
  <si>
    <t xml:space="preserve">transferrerd manufacturing from one facility to another; </t>
  </si>
  <si>
    <t>Amazon MOU with Dominion energy to being SMR online in Virginia</t>
  </si>
  <si>
    <t>expecting announcements from other big AI consumers</t>
  </si>
  <si>
    <t>20 to 25 plants in eastern europe</t>
  </si>
  <si>
    <t>Airbus A350F actuation</t>
  </si>
  <si>
    <t>more correlated with A320, A350F, B787</t>
  </si>
  <si>
    <t>surface technologies</t>
  </si>
  <si>
    <t>tier2 or tier 3 supplier to Boeing</t>
  </si>
  <si>
    <t xml:space="preserve">All three companies provide multiple types of valves to the Navy, with Fairbanks through their Hunt Valves business. CW is the largest of the three competitors.
Curtiss-Wright is the preferred supplier (~ sole source) of valves, pumps and steam turbines within the nuclear propulsion for aircraft carriers and both submarines. </t>
  </si>
  <si>
    <t xml:space="preserve">neither of them compete in the commercial nuclear space and entry would be challenging due to the intense NRC certifications required to supply product to nuclear plants. </t>
  </si>
  <si>
    <t>raised to Overweight from Equal-weight by Morgan Stanley</t>
  </si>
  <si>
    <t>X-energy awarded contract option to develop enhanced engieering design for transportable micro nuclear reactor (Project Pele)</t>
  </si>
  <si>
    <t>Westinghouse signed an agreement with Bulgaria to build two new nuclear reactors via AP1000. First reactor operational in '33, second in '36</t>
  </si>
  <si>
    <t>https://www.environmentenergyleader.com/2023/10/westinghouse-bulgaria-plan-two-new-nuclear-reactors/</t>
  </si>
  <si>
    <t>Westinghouse submitted proposal to supply Czech Republic with as many as 4 AP 1000 reactors (2 at Dukovany, 2 at Temelin)</t>
  </si>
  <si>
    <t xml:space="preserve">https://www.businesswire.com/news/home/20231031076409/en/Westinghouse-Seeks-to-Expand-30-Year-Partnership-with-Czech-Republic-with-Proven-AP1000%C2%AE-Reactors </t>
  </si>
  <si>
    <t>NuScale and UAMPS terminated project for SMRs which was supposed to come online in 2029; CW has supplied CRDMs for NuScale SMRs since 2012</t>
  </si>
  <si>
    <t xml:space="preserve">https://apnews.com/article/nuclear-power-nuscale-clean-energy-wind-biden-7f3a7fe754b77d8d6cbad8662b87a9c3 </t>
  </si>
  <si>
    <t>Westinghouse and Bechtel signed cooperation agreement with Czech Power Industry Alliance to leverage the country's nuclear industry in support of AP1000 deployment</t>
  </si>
  <si>
    <t>https://info.westinghousenuclear.com/news/westinghouse-bechtel-sign-cooperation-agreement-with-czech-power-industry-alliance</t>
  </si>
  <si>
    <t>downgraded to Hold from Buy by Truist</t>
  </si>
  <si>
    <t>Completed acquisition of WSC, a provider of simulation technology that supports design, commissioning, and reliable operation of commercial nuclear power plants ($34m)</t>
  </si>
  <si>
    <t>https://www.businesswire.com/news/home/20240402921844/en/</t>
  </si>
  <si>
    <t>Announced acquisition of Ultra Energy for $200m cash, designs and manufactures nculear components</t>
  </si>
  <si>
    <t xml:space="preserve">https://www.curtisswright.com/news/press-releases/news-release-details/2024/curtiss-wright-acquire-ultra-energy </t>
  </si>
  <si>
    <t>Completed qualification process of an all-electric seabed barrier fluid-less pump which will enable subsea injection of treated sea water into a reservoir, extending lifecycle of subsea fields</t>
  </si>
  <si>
    <t xml:space="preserve">https://www.curtisswright.com/news/press-releases/news-release-details/2024/Curtiss-Wright-and-Saipem-Achieve-New-Subsea-Processing-Milestone </t>
  </si>
  <si>
    <t>initiated at overweight by Alembic Global</t>
  </si>
  <si>
    <t>downgraded to Hold from Buy by Stifel</t>
  </si>
  <si>
    <t>introduced cockpit voice recorder with Honeywell to meet 25-hour safety mandate</t>
  </si>
  <si>
    <t>https://www.curtisswright.com/news/press-releases/news-release-details/2024/Honeywell-And-Curtiss-Wright-Develop-Cockpit-Voice-Recorders-To-Help-Boeing-Airbus-Meet-New-25-Hour-Safety-Mandate</t>
  </si>
  <si>
    <t>initiated at Buy by Deutsche Bank</t>
  </si>
  <si>
    <t>closed Ultra Energy acquisition</t>
  </si>
  <si>
    <t>initiated at Buy by Citigroup</t>
  </si>
  <si>
    <t>Awarded contracts by TerraPower to design and supply plant simulation and digital control solutions for the Natrium1 advanced nuclear reactor design</t>
  </si>
  <si>
    <t xml:space="preserve">https://curtisswright.com/news/press-releases/news-release-details/2025/curtisswright-awarded-contracts-by-terrapower-to-develop-training-simulator-and-distributed-control-systems-for-natrium-plant </t>
  </si>
  <si>
    <t>Awarded $18 million contract by USMC for PacStar systems</t>
  </si>
  <si>
    <t>https://www.businesswire.com/news/home/20250306267630/en/</t>
  </si>
  <si>
    <t>awarded $50m, 5yr IDIQ contract by Naval Air Systems Command for high-speed data acquisition systems</t>
  </si>
  <si>
    <t>https://www.businesswire.com/news/home/20250311797702/en/</t>
  </si>
  <si>
    <t xml:space="preserve">European data center firm Data4 signed MOU with Westinghouse to evaluate AP300 deployment to power one of its future data centers in Europe </t>
  </si>
  <si>
    <t>https://www.datacenterdynamics.com/en/news/data4-signs-nuclear-smr-deal-with-westinghouse/</t>
  </si>
  <si>
    <t>announced an agreement for access and use of NVIDIA AI software and GPU hardware to accelerate the development of advanced processing and communications systems for rugged applications at the extreme edge</t>
  </si>
  <si>
    <t>https://www.curtisswrightds.com/media-center/news/curtiss-wright-ai-innovation-nvidia</t>
  </si>
  <si>
    <t>awarded contracts by Rheinmetall to provide Turret Drive Stabilization for Germany's Boxer Heavy Weapon Carrier and Hungary's Lynx infantry fighting vehicles (IFV)</t>
  </si>
  <si>
    <t>https://www.businesswire.com/news/home/20250320895476/en/Curtiss-Wright-Awarded-Contracts-by-Rheinmetall-to-Provide-Turret-Drive-Stabilization-Systems-for-Boxer-Heavy-Weapon-Carriers-and-Lynx-Infantry-Fighting-Vehicles</t>
  </si>
  <si>
    <t>GD Electric Boat awarded $1.065b contract mod for long lead time material for Virginia-class Block VI subs</t>
  </si>
  <si>
    <t>https://www.defense.gov/News/Contracts/Contract/Article/4134550//</t>
  </si>
  <si>
    <t>Westinghouse suppliers, including CW, met with Congress to discuss benefits of AP1000 deployment in the US</t>
  </si>
  <si>
    <t xml:space="preserve">https://www.businesswire.com/news/home/20250326279032/en/Westinghouse-Suppliers-Meet-with-the-U.S.-Congress-in-Support-of-AP1000-Projects </t>
  </si>
  <si>
    <t>10 new reactors approved in China (2 CAP1000)</t>
  </si>
  <si>
    <t>https://www.world-nuclear-news.org/articles/ten-new-reactors-approved-in-china#:~:text=According%20to%20China%20Daily%2C%20the,total%20capacity%20of%2056.9%20GW.</t>
  </si>
  <si>
    <t xml:space="preserve">Anduril acquired Klas edge computing/tactical communications </t>
  </si>
  <si>
    <t>https://www.anduril.com/article/anduril-to-acquire-klas-to-build-the-future-of-tactical-compute-and-communications/</t>
  </si>
  <si>
    <t>2Q24E</t>
  </si>
  <si>
    <t>3Q24E</t>
  </si>
  <si>
    <t>4Q24E</t>
  </si>
  <si>
    <t>1Q25E</t>
  </si>
  <si>
    <t>Curtiss-Wright Commercial Aerospace</t>
  </si>
  <si>
    <t>Annual Growth</t>
  </si>
  <si>
    <t>Boeing</t>
  </si>
  <si>
    <t>Airbus</t>
  </si>
  <si>
    <t>Biz Jet</t>
  </si>
  <si>
    <t>Quarterly Production</t>
  </si>
  <si>
    <t>B737</t>
  </si>
  <si>
    <t>B747</t>
  </si>
  <si>
    <t>B767</t>
  </si>
  <si>
    <t>B777</t>
  </si>
  <si>
    <t>A220</t>
  </si>
  <si>
    <t>A320</t>
  </si>
  <si>
    <t>A330</t>
  </si>
  <si>
    <t>A350</t>
  </si>
  <si>
    <t>Aftermarket</t>
  </si>
  <si>
    <t>A320 Family</t>
  </si>
  <si>
    <t>Airbus + Boeing</t>
  </si>
  <si>
    <t>OEM</t>
  </si>
  <si>
    <t>Business Jet</t>
  </si>
  <si>
    <t>General Dynamics Marine Systems</t>
  </si>
  <si>
    <t>Newport News Shipbuilding</t>
  </si>
  <si>
    <t>DRS IMS</t>
  </si>
  <si>
    <t>BWXT Govt.</t>
  </si>
  <si>
    <t>GD + HII</t>
  </si>
  <si>
    <t>3.92% of GD + HII Sales</t>
  </si>
  <si>
    <t>Curtiss-Wright Naval Defense</t>
  </si>
  <si>
    <t>Management said tied to production rates, not deliveries</t>
  </si>
  <si>
    <t>F35 ($385K/aircraft)</t>
  </si>
  <si>
    <t>C130</t>
  </si>
  <si>
    <t>P8-A</t>
  </si>
  <si>
    <t>AH64</t>
  </si>
  <si>
    <t>CH47</t>
  </si>
  <si>
    <t>Production</t>
  </si>
  <si>
    <t xml:space="preserve">Curtiss-Wright Aerospace Defense </t>
  </si>
  <si>
    <t>AH-64</t>
  </si>
  <si>
    <t>CH-47</t>
  </si>
  <si>
    <t>CW Ground Defense</t>
  </si>
  <si>
    <t>PacStar</t>
  </si>
  <si>
    <t>50%+</t>
  </si>
  <si>
    <t>General Dynamics Land Systems</t>
  </si>
  <si>
    <t>Abrams</t>
  </si>
  <si>
    <t>54 (Romania)</t>
  </si>
  <si>
    <t>Stryker</t>
  </si>
  <si>
    <t>183 (Bulgaria)</t>
  </si>
  <si>
    <t>Bradley</t>
  </si>
  <si>
    <t>Tanks</t>
  </si>
  <si>
    <t>Turret Stabilization</t>
  </si>
  <si>
    <t>Commercial Nuclear</t>
  </si>
  <si>
    <t>Y/Y</t>
  </si>
  <si>
    <t>90% of Nuclear</t>
  </si>
  <si>
    <t>USA</t>
  </si>
  <si>
    <t>Canada</t>
  </si>
  <si>
    <t>Korea</t>
  </si>
  <si>
    <t>New Build</t>
  </si>
  <si>
    <t>4 pumps per Reactor</t>
  </si>
  <si>
    <t>Rev per Pump</t>
  </si>
  <si>
    <t>Price per Pump (in millions)</t>
  </si>
  <si>
    <t>44 months to complete a RCP</t>
  </si>
  <si>
    <t>revenue as % of completion</t>
  </si>
  <si>
    <t>Country</t>
  </si>
  <si>
    <t>Date Announced</t>
  </si>
  <si>
    <t>Expected Completion</t>
  </si>
  <si>
    <t># of Reactors</t>
  </si>
  <si>
    <t>Estimated Revenue ($M)</t>
  </si>
  <si>
    <t>Czech Republic</t>
  </si>
  <si>
    <t>should be awarded contract roughly 3.67 years prior to expected completion date</t>
  </si>
  <si>
    <t>Bulgaria</t>
  </si>
  <si>
    <t>Ukraine</t>
  </si>
  <si>
    <t>Romania</t>
  </si>
  <si>
    <t>United States</t>
  </si>
  <si>
    <t>South Korea</t>
  </si>
  <si>
    <t>Japan</t>
  </si>
  <si>
    <t>Notes</t>
  </si>
  <si>
    <t>Expected to be operational in early 2030s (first 3 of 6 reactors)</t>
  </si>
  <si>
    <t>New York intends to build a large nuclear reactor to gain 1GW of power</t>
  </si>
  <si>
    <t>Exclusive | New York to Build One of First U.S. Nuclear-Power Plants in Generation - WSJ</t>
  </si>
  <si>
    <t>UK to buy "at least" a dozen F-35s</t>
  </si>
  <si>
    <t>https://breakingdefense.com/2025/06/uk-to-buy-at-least-a-dozen-f-35as-join-natos-nuclear-mission/</t>
  </si>
  <si>
    <t>UK to buy "at least" a dozen F-35s (~$385k to CW per F-35)</t>
  </si>
  <si>
    <t xml:space="preserve">Fermi plans to build 4 unit AP1000 </t>
  </si>
  <si>
    <t>BWXT announced $2.6b in contracts for naval nuclear reactor components (additional to $2.1b announced in Feb)</t>
  </si>
  <si>
    <t>https://www.businesswire.com/news/home/20250717417689/en/BWXT-Announces-%242.6-Billion-in-Contracts-for-Naval-Nuclear-Reactor-Components</t>
  </si>
  <si>
    <t>2Q25</t>
  </si>
  <si>
    <t>signed strategic partnership with Rolls-Royce SMR</t>
  </si>
  <si>
    <t>https://www.businesswire.com/news/home/20250801821263/en/Curtiss-Wright-Signs-Strategic-Partnership-With-Rolls-Royce-SMR-for-Its-Small-Modular-Reactor-Technology</t>
  </si>
  <si>
    <t>Rolls-Royce</t>
  </si>
  <si>
    <t>3390-3435</t>
  </si>
  <si>
    <t>626-642</t>
  </si>
  <si>
    <t>18.5-18.7%</t>
  </si>
  <si>
    <t>12.70-13.00</t>
  </si>
  <si>
    <t>520-535</t>
  </si>
  <si>
    <t>965-980</t>
  </si>
  <si>
    <t>1430-1445</t>
  </si>
  <si>
    <t>167-173</t>
  </si>
  <si>
    <t>267-273</t>
  </si>
  <si>
    <t>232-238</t>
  </si>
  <si>
    <t>▪ Defense electronics growth tied to avionics and retrofitting flight data recorders</t>
  </si>
  <si>
    <t>2025 Guidance: 7-9% growth</t>
  </si>
  <si>
    <t>▪ Higher sales of tactical communications equipment</t>
  </si>
  <si>
    <t>▪ Solid growth on ground-based missile defense systems</t>
  </si>
  <si>
    <t>2025 guidance: 7-9% growth</t>
  </si>
  <si>
    <t>▪ Strong H1 growth on submarines; Increased naval aftermarket and dFMS revenue</t>
  </si>
  <si>
    <t>▪ Defense electronics growth on domestic &amp; international programs</t>
  </si>
  <si>
    <t>▪ Modest growth in industrial automation and surface treatment services, offset by industrial vehicles</t>
  </si>
  <si>
    <t>▪ Strong demand driving higher OEM sales growth in Commercial Aerospace (sensors and surface treatment services)</t>
  </si>
  <si>
    <t>▪ Higher YOY sales in Aerospace and Ground defense markets (actuation equipment)</t>
  </si>
  <si>
    <t>▪ Flat General Industrial sales</t>
  </si>
  <si>
    <t>▪ Strong growth in Commercial Aerospace and higher EM actuation sales in Defense markets</t>
  </si>
  <si>
    <t>▪ Flat General Industrial sales (higher automation and services offset by industrial vehicles)</t>
  </si>
  <si>
    <t>▪ Favorable absorption on strong growth in A&amp;D revenues; Lesser FY impact from tariffs (mainly China)</t>
  </si>
  <si>
    <t>▪ Solid contribution from restructuring savings; Ongoing pricing and operational excellence initiatives</t>
  </si>
  <si>
    <t>Strong growth in Aerospace Defense (embedded computing) and Ground Defense (tactical communications equipment) supporting various domestic and international programs</t>
  </si>
  <si>
    <t>▪ Benefit of operational excellence and restructuring initiatives</t>
  </si>
  <si>
    <t>▪ Commercial Aerospace growth reflects increased sales of avionics and flight data recorders</t>
  </si>
  <si>
    <t>▪ Defense market growth (U.S. DoD and dFMS) driven by increased embedded computing and tactical communications revenues</t>
  </si>
  <si>
    <t>▪ Favorable absorption on strong growth in revenues</t>
  </si>
  <si>
    <t>▪ Benefit of operational and commercial excellence, and restructuring savings</t>
  </si>
  <si>
    <t>▪ Higher Naval Defense revenues driven by strength of order book and timing of submarine revenues</t>
  </si>
  <si>
    <t>▪ Power &amp; Process driven by solid organic growth in Commercial Nuclear (Aftermarket and SMRs) plus contribution from Ultra Energy acquisition</t>
  </si>
  <si>
    <t>▪ Favorable absorption on higher revenues and favorable mix</t>
  </si>
  <si>
    <t>▪ Solid contribution from Ultra Energy acquisition</t>
  </si>
  <si>
    <t>▪ Partially offset by higher investment in R&amp;D</t>
  </si>
  <si>
    <t>▪ Strong Naval Defense growth; Higher dFMS (aircraft handling &amp; arresting systems)</t>
  </si>
  <si>
    <t>▪ Mid-teens growth in Power &amp; Process; HSD organic growth in Commercial Nuclear, solid growth in Process and Ultra Energy acquisition</t>
  </si>
  <si>
    <t>▪ Partially mitigating tariff exposure (mainly China) through pricing and operational excellence</t>
  </si>
  <si>
    <t>selected by Rheinmetall to provide Turret Drive Stabilization system for KF51 Panther Main Battle Tank</t>
  </si>
  <si>
    <t>https://www.businesswire.com/news/home/20250811349630/en/Curtiss-Wright-Selected-by-Rheinmetall-to-Provide-Turret-Drive-Stabilization-System-for-the-KF51-Panther-Main-Battle-Tank</t>
  </si>
  <si>
    <t>Google, Kairos Power will deploy Kairos' Hermes 2 SMR connected to Tennessee Valley Authority's electric grid by 2030</t>
  </si>
  <si>
    <t>https://www.cnbc.com/2025/08/18/google-kairos-nuclear-smr-tennessee-valley-authority-tva-data-center-ai.html</t>
  </si>
  <si>
    <t>$200m expansion of share repo program (expect &gt;$450m of repos in 2025)</t>
  </si>
  <si>
    <t>https://www.businesswire.com/news/home/20250910554806/en/Curtiss-Wright-Announces-New-%24200-Million-Expansion-of-2025-Share-Repurchase-Program</t>
  </si>
  <si>
    <t>selected by Bell Textron to provide encrypted flight recorders for MV-75 Long Range Assault aircraft program</t>
  </si>
  <si>
    <t>https://www.curtisswright.com/news/press-releases/news-release-details/2025/Curtiss-Wright-Selected-By-BELL-TEXTRON-To-Provide-Encrypted-Flight-Recorders-For-MV-75-Long-Range-Assault-Aircraft-Program</t>
  </si>
  <si>
    <t>selected by Rheinmetall to provide Turret Drive Stabilization system for XM30 combat vehicle prototype</t>
  </si>
  <si>
    <t>https://www.businesswire.com/news/home/20251014315357/en/Curtiss-Wright-Selected-by-American-Rheinmetall-to-Provide-Turret-Drive-Stabilization-Systems-for-U.S.-Armys-XM30-Combat-Vehicle-Prototypes</t>
  </si>
  <si>
    <t>3Q25</t>
  </si>
  <si>
    <t>CW role as a supplier to both the Navy and Westinghouse</t>
  </si>
  <si>
    <t>https://x.com/Andercot/status/1984847618489651636</t>
  </si>
  <si>
    <t>3420-3455</t>
  </si>
  <si>
    <t>10-11%</t>
  </si>
  <si>
    <t>12.95-13.20</t>
  </si>
  <si>
    <t>634-647</t>
  </si>
  <si>
    <t>168-173</t>
  </si>
  <si>
    <t>271-276</t>
  </si>
  <si>
    <t>236-241</t>
  </si>
  <si>
    <t>970-980</t>
  </si>
  <si>
    <t>1000-1010</t>
  </si>
  <si>
    <t>1450-1465</t>
  </si>
  <si>
    <t>Article</t>
  </si>
  <si>
    <t>https://www.bgr.com/2058119/biggest-nuclear-power-plant-us-vogtle-waynesboro-georgia/?utm_term=Autofeed&amp;utm_campaign=Echobox-BGR&amp;utm_medium=Social-Distribution&amp;utm_source=Twitter#Echobox=1766934085</t>
  </si>
  <si>
    <t>Trump wants use to increase capacity to 100 GW by 2050 by building 10 new AP1000 reactors</t>
  </si>
  <si>
    <t>U.S. operates 94 reactors that produce 97 GW of power; The Vogtle AP1000 plant produces 5 GW of this 97; U.S. has only added 3 reactors since 2006, mainly the Vogtle reactors</t>
  </si>
  <si>
    <t xml:space="preserve">Nuclear represents roughly 1/5 of total electricity </t>
  </si>
  <si>
    <t>WSJ article about nuclear-powered containerships</t>
  </si>
  <si>
    <t>https://x.com/WSJ/status/2005705100963025023?s=20</t>
  </si>
  <si>
    <t>U.S. wants Hanwha to revitalize U.S. shipbuilding, and the supply chain, starting with the Philly shipyard</t>
  </si>
  <si>
    <t>https://www.wsj.com/world/asia/the-u-s-s-most-ambitious-shipyard-project-just-got-tougher-2438cb49</t>
  </si>
  <si>
    <t>world's first land-based commercial small modular reactor (SMR), Linglong One, has successfully completed a non-nuclear test for its steam generator in south China's Changjiang</t>
  </si>
  <si>
    <t>https://x.com/ChinaScience/status/2004054625524371625</t>
  </si>
  <si>
    <t>Year</t>
  </si>
  <si>
    <t>AP1000/SMR</t>
  </si>
  <si>
    <t>PV of AP1000/SMR Cash Flows</t>
  </si>
  <si>
    <t>AP1000/SMR Discounted Unlevered CF @ 6% WACC</t>
  </si>
  <si>
    <t>&lt;--35x terminal multiple</t>
  </si>
  <si>
    <t>AP1000/SMR Unlevered FCF assuming 23% cash margin</t>
  </si>
  <si>
    <t>Comments</t>
  </si>
  <si>
    <t>80% from pumps and valves, 20% from electronics and services</t>
  </si>
  <si>
    <t>Expected to surge to $255 m/shipset with the next-gen Virginia-class SSN (X) submarine</t>
  </si>
  <si>
    <t>Columbia-class submarine</t>
  </si>
  <si>
    <t>Virginia-class submarine</t>
  </si>
  <si>
    <t>Ford class aircraft carrier</t>
  </si>
  <si>
    <t>Platform</t>
  </si>
  <si>
    <t>Content Per Shipset (millions)</t>
  </si>
  <si>
    <t>US Navy new battleship likely to NOT include nuclear propulsion as part of Golden Fleet according to Chief of Naval Operations</t>
  </si>
  <si>
    <t xml:space="preserve">https://defensescoop.com/2026/01/14/navy-cno-adm-caudle-golden-fleet-battleship-propulsion/ </t>
  </si>
  <si>
    <t>Reuters article highlights US opportunity for Westinghouse AP1000s and directly mentions Curtiss-Wright as key supplier</t>
  </si>
  <si>
    <t>https://www.reuters.com/business/energy/westinghouse-megadeal-set-revitalize-nuclear-supply-chain--reeii-2026-01-26/</t>
  </si>
  <si>
    <t>Emerging</t>
  </si>
  <si>
    <t>https://x.com/NASA/status/2018692249714868417?s=20</t>
  </si>
  <si>
    <t>DOE and NASA working together to develop nuclear power for the surface of the moon, and nuclear propulsion for rockets</t>
  </si>
  <si>
    <t>Progress for Poland 3 AP1000 plants</t>
  </si>
  <si>
    <t>https://www.ans.org/news/article-7720/plans-for-polands-first-nuclear-power-plant-continue-to-progress/</t>
  </si>
  <si>
    <t>https://www.world-nuclear-news.org/articles/laurentis-bwxt-and-cnpsa-sign-bulgarian-new-nuclear-contract</t>
  </si>
  <si>
    <t>selected by Boeing to supply mission computers for C-17 (est. $400m lifetime contract)</t>
  </si>
  <si>
    <t>https://curtisswright.com/news/press-releases/news-release-details/2026/Curtiss-Wright-selected-by-boeing-to-supply-mission-computers-for-us-air-force-c17-fleet-modernization</t>
  </si>
  <si>
    <t>Isaacman said China is attempting to also install a nuclear reactor on the moon, thus there is a lunar nuclear reactor race</t>
  </si>
  <si>
    <t>https://x.com/latestinspace/status/2018326648286859422?s=46 
 https://x.com/latestinspace/status/2018326648286859422?s=46</t>
  </si>
  <si>
    <t>4Q25</t>
  </si>
  <si>
    <t>FY25</t>
  </si>
  <si>
    <t>3710-3765</t>
  </si>
  <si>
    <t>(4-6)%</t>
  </si>
  <si>
    <t>12-14%</t>
  </si>
  <si>
    <t>1055-1075</t>
  </si>
  <si>
    <t>1625-1645</t>
  </si>
  <si>
    <t>18.9-19.2%</t>
  </si>
  <si>
    <t>189-193</t>
  </si>
  <si>
    <t>288-296</t>
  </si>
  <si>
    <t>270-276</t>
  </si>
  <si>
    <t>703-722</t>
  </si>
  <si>
    <t>14.70-15.15</t>
  </si>
  <si>
    <t>575-595</t>
  </si>
  <si>
    <t>Aftermarket &amp; Government</t>
  </si>
  <si>
    <t xml:space="preserve"> New Build Gen III/IV (SMRs)</t>
  </si>
  <si>
    <t>Industrial Vehicles</t>
  </si>
  <si>
    <t>Industrial Automation and Services</t>
  </si>
  <si>
    <t>Narrowbody</t>
  </si>
  <si>
    <t>Widebody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</si>
</sst>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8">
    <numFmt numFmtId="5" formatCode="&quot;$&quot;#,##0_);\(&quot;$&quot;#,##0\)"/>
    <numFmt numFmtId="6" formatCode="&quot;$&quot;#,##0_);[Red]\(&quot;$&quot;#,##0\)"/>
    <numFmt numFmtId="7" formatCode="&quot;$&quot;#,##0.00_);\(&quot;$&quot;#,##0.00\)"/>
    <numFmt numFmtId="44" formatCode="_(&quot;$&quot;* #,##0.00_);_(&quot;$&quot;* \(#,##0.00\);_(&quot;$&quot;* &quot;-&quot;??_);_(@_)"/>
    <numFmt numFmtId="43" formatCode="_(* #,##0.00_);_(* \(#,##0.00\);_(* &quot;-&quot;??_);_(@_)"/>
    <numFmt numFmtId="164" formatCode="&quot;$&quot;#,##0.00"/>
    <numFmt numFmtId="165" formatCode="&quot;$&quot;#,##0.00\ ;\(&quot;$&quot;#,##0.00\)"/>
    <numFmt numFmtId="166" formatCode="0.0%"/>
    <numFmt numFmtId="167" formatCode="0.0"/>
    <numFmt numFmtId="168" formatCode="#,##0.0_);\(#,##0.0\)"/>
    <numFmt numFmtId="169" formatCode="#,##0.0"/>
    <numFmt numFmtId="170" formatCode="&quot;$&quot;#,##0\ ;\(&quot;$&quot;#,##0\)"/>
    <numFmt numFmtId="171" formatCode="0.0_);\(0.0\)"/>
    <numFmt numFmtId="172" formatCode="0_);\(0\)"/>
    <numFmt numFmtId="173" formatCode="0.000"/>
    <numFmt numFmtId="174" formatCode="#,##0;\-#,##0;&quot;-&quot;"/>
    <numFmt numFmtId="175" formatCode="&quot;$&quot;#,##0.00_%_);\(&quot;$&quot;#,##0.00\)_%;&quot;$&quot;#,##0.00_%_);@_%_)"/>
    <numFmt numFmtId="176" formatCode="&quot;$&quot;#,##0.0;[Red]\(&quot;$&quot;#,##0.0\)"/>
    <numFmt numFmtId="177" formatCode="0.00_);[Red]\(0.00\)"/>
    <numFmt numFmtId="178" formatCode="#,##0.0;\(#,##0.0\)"/>
    <numFmt numFmtId="179" formatCode="#,##0.000;\(#,##0.000\)"/>
    <numFmt numFmtId="180" formatCode="#,##0.0\x;\(#,##0.0\)\x"/>
    <numFmt numFmtId="181" formatCode="#,##0.0\x"/>
    <numFmt numFmtId="182" formatCode="#,##0.0_);\(#,##0.0\);_(* &quot;-&quot;_)"/>
    <numFmt numFmtId="183" formatCode="_(&quot;$&quot;* #,##0.00_);_(&quot;$&quot;* \(#,##0.00\);_(* &quot;-&quot;_);_(@_)"/>
    <numFmt numFmtId="184" formatCode="#,##0.00%"/>
    <numFmt numFmtId="185" formatCode="_(&quot;$&quot;* #,##0.0_);_(&quot;$&quot;* \(#,##0.0\);_(* &quot;-&quot;_);_(@_)"/>
    <numFmt numFmtId="186" formatCode="#,##0.00\x"/>
    <numFmt numFmtId="187" formatCode="_ [$€-2]\ * #,##0.00_ ;_ [$€-2]\ * \-#,##0.00_ ;_ [$€-2]\ * &quot;-&quot;??_ "/>
    <numFmt numFmtId="188" formatCode="&quot;$&quot;#,##0.000_);\(&quot;$&quot;#,##0.000\)"/>
    <numFmt numFmtId="189" formatCode="&quot;$&quot;\ #,##0_);\(&quot;$&quot;\ #,##0\);&quot;-&quot;"/>
    <numFmt numFmtId="190" formatCode="[$$-409]#,##0.00_);\([$$-409]#,##0.00\)"/>
    <numFmt numFmtId="191" formatCode="0.0000"/>
    <numFmt numFmtId="192" formatCode="&quot;$&quot;#,##0.0\ ;\(&quot;$&quot;#,##0.0\)"/>
    <numFmt numFmtId="193" formatCode="#,##0,_ ;[Red]\-#,##0,\ "/>
    <numFmt numFmtId="194" formatCode="#,##0.0,_ ;[Red]\-#,##0.0,\ "/>
    <numFmt numFmtId="195" formatCode="#,##0.00,,_ ;[Red]\-#,##0.00,,\ "/>
    <numFmt numFmtId="196" formatCode="yyyy"/>
    <numFmt numFmtId="197" formatCode="mmm\-yyyy"/>
    <numFmt numFmtId="198" formatCode="_-* #,##0\ _D_M_-;\-* #,##0\ _D_M_-;_-* &quot;-&quot;\ _D_M_-;_-@_-"/>
    <numFmt numFmtId="199" formatCode="0.0%;[Red]\-0.0%"/>
    <numFmt numFmtId="200" formatCode=";;;"/>
    <numFmt numFmtId="201" formatCode="_-&quot;£ &quot;\ * #,##0_-;\-&quot;£ &quot;\ * #,##0_-;_-&quot;£ &quot;\ * &quot;-&quot;_-;_-@_-"/>
    <numFmt numFmtId="202" formatCode="#,##0.000"/>
    <numFmt numFmtId="203" formatCode="General_)"/>
    <numFmt numFmtId="204" formatCode="0_)"/>
    <numFmt numFmtId="205" formatCode="_(* #,##0_);_(* \(#,##0\);_(* \-_);_(@_)"/>
    <numFmt numFmtId="206" formatCode="0.0_)"/>
    <numFmt numFmtId="207" formatCode="#,###,##0"/>
    <numFmt numFmtId="208" formatCode="&quot;$&quot;#,##0.000\ ;\(&quot;$&quot;#,##0.000\)"/>
    <numFmt numFmtId="209" formatCode="0.00_);\(0.00\)"/>
    <numFmt numFmtId="210" formatCode="_(* #,##0.0_);_(* \(#,##0.0\);_(* &quot;-&quot;??_);_(@_)"/>
    <numFmt numFmtId="211" formatCode="&quot;$&quot;#,##0.0_);\(&quot;$&quot;#,##0.0\)"/>
    <numFmt numFmtId="212" formatCode="0.0\x"/>
    <numFmt numFmtId="213" formatCode="m/d/yy"/>
    <numFmt numFmtId="214" formatCode="0.0&quot;%&quot;"/>
    <numFmt numFmtId="215" formatCode="0.0\x;\ \(0.0\x\)"/>
    <numFmt numFmtId="216" formatCode="0.0&quot;x&quot;"/>
    <numFmt numFmtId="217" formatCode="0.000_);\(0.000\)"/>
    <numFmt numFmtId="218" formatCode="_(#,##0.0_);_(\(#,##0.0\);_(&quot;—&quot;_);_(@_)"/>
    <numFmt numFmtId="219" formatCode="_(* #,##0_);_(* \(#,##0\);_(* &quot;-&quot;??_);_(@_)"/>
    <numFmt numFmtId="220" formatCode="_(#,##0_);_(\(#,##0\);_(&quot;—&quot;_);_(@_)"/>
    <numFmt numFmtId="221" formatCode="&quot;$&quot;#,##0.0"/>
    <numFmt numFmtId="222" formatCode="&quot;$&quot;#,##0.0000_);\(&quot;$&quot;#,##0.0000\)"/>
    <numFmt numFmtId="223" formatCode="_(&quot;$&quot;* #,##0_);_(&quot;$&quot;* \(#,##0\);_(&quot;$&quot;* &quot;-&quot;??_);_(@_)"/>
    <numFmt numFmtId="224" formatCode="0.000%"/>
    <numFmt numFmtId="225" formatCode="#,##0.000_);\(#,##0.000\)"/>
    <numFmt numFmtId="226" formatCode="&quot;$&quot;#,##0"/>
  </numFmts>
  <fonts count="217">
    <font>
      <sz val="8"/>
      <color indexed="24"/>
      <name val="Arial"/>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theme="1"/>
      <name val="Cambria"/>
      <family val="2"/>
      <scheme val="minor"/>
    </font>
    <font>
      <sz val="11"/>
      <color indexed="8"/>
      <name val="Calibri"/>
      <family val="2"/>
    </font>
    <font>
      <sz val="10"/>
      <name val="Arial"/>
      <family val="2"/>
    </font>
    <font>
      <sz val="8"/>
      <name val="Arial"/>
      <family val="2"/>
    </font>
    <font>
      <sz val="8"/>
      <color indexed="24"/>
      <name val="Arial"/>
      <family val="2"/>
    </font>
    <font>
      <sz val="11"/>
      <color indexed="8"/>
      <name val="Calibri"/>
      <family val="2"/>
    </font>
    <font>
      <sz val="10"/>
      <name val="Times New Roman"/>
      <family val="1"/>
    </font>
    <font>
      <b/>
      <sz val="9"/>
      <name val="Arial"/>
      <family val="2"/>
    </font>
    <font>
      <sz val="9"/>
      <name val="Arial"/>
      <family val="2"/>
    </font>
    <font>
      <b/>
      <i/>
      <sz val="9"/>
      <name val="Arial"/>
      <family val="2"/>
    </font>
    <font>
      <b/>
      <sz val="8"/>
      <name val="Arial"/>
      <family val="2"/>
    </font>
    <font>
      <sz val="10"/>
      <color indexed="8"/>
      <name val="Arial"/>
      <family val="2"/>
    </font>
    <font>
      <b/>
      <sz val="12"/>
      <name val="Arial"/>
      <family val="2"/>
    </font>
    <font>
      <b/>
      <u val="singleAccounting"/>
      <sz val="8"/>
      <name val="Arial"/>
      <family val="2"/>
    </font>
    <font>
      <sz val="8"/>
      <name val="Palatino"/>
      <family val="1"/>
    </font>
    <font>
      <sz val="8"/>
      <name val="Tms Rmn"/>
    </font>
    <font>
      <sz val="12"/>
      <name val="Arial"/>
      <family val="2"/>
    </font>
    <font>
      <sz val="10"/>
      <name val="Courier"/>
      <family val="3"/>
    </font>
    <font>
      <sz val="10"/>
      <name val="Arial Narrow"/>
      <family val="2"/>
    </font>
    <font>
      <sz val="10"/>
      <name val="MS Sans Serif"/>
      <family val="2"/>
    </font>
    <font>
      <b/>
      <sz val="10"/>
      <name val="MS Sans Serif"/>
      <family val="2"/>
    </font>
    <font>
      <b/>
      <sz val="13"/>
      <color indexed="8"/>
      <name val="Verdana"/>
      <family val="2"/>
    </font>
    <font>
      <b/>
      <sz val="8"/>
      <color indexed="9"/>
      <name val="Verdana"/>
      <family val="2"/>
    </font>
    <font>
      <b/>
      <sz val="8"/>
      <color indexed="8"/>
      <name val="Arial"/>
      <family val="2"/>
    </font>
    <font>
      <sz val="8"/>
      <color indexed="8"/>
      <name val="Arial"/>
      <family val="2"/>
    </font>
    <font>
      <i/>
      <sz val="8"/>
      <color indexed="8"/>
      <name val="Arial"/>
      <family val="2"/>
    </font>
    <font>
      <sz val="2"/>
      <color indexed="9"/>
      <name val="Symbol"/>
      <family val="1"/>
      <charset val="2"/>
    </font>
    <font>
      <sz val="8"/>
      <color indexed="39"/>
      <name val="Arial"/>
      <family val="2"/>
    </font>
    <font>
      <u/>
      <sz val="8"/>
      <name val="Arial"/>
      <family val="2"/>
    </font>
    <font>
      <sz val="10"/>
      <name val="Arial"/>
      <family val="2"/>
    </font>
    <font>
      <b/>
      <sz val="10"/>
      <name val="Arial"/>
      <family val="2"/>
    </font>
    <font>
      <sz val="10"/>
      <color indexed="9"/>
      <name val="Arial"/>
      <family val="2"/>
    </font>
    <font>
      <b/>
      <sz val="10"/>
      <color indexed="8"/>
      <name val="Arial"/>
      <family val="2"/>
    </font>
    <font>
      <i/>
      <sz val="9"/>
      <name val="Arial"/>
      <family val="2"/>
    </font>
    <font>
      <b/>
      <i/>
      <sz val="10"/>
      <color indexed="8"/>
      <name val="Arial"/>
      <family val="2"/>
    </font>
    <font>
      <b/>
      <i/>
      <sz val="10"/>
      <name val="Arial"/>
      <family val="2"/>
    </font>
    <font>
      <i/>
      <sz val="10"/>
      <name val="Arial"/>
      <family val="2"/>
    </font>
    <font>
      <i/>
      <sz val="8"/>
      <color indexed="24"/>
      <name val="Arial"/>
      <family val="2"/>
    </font>
    <font>
      <sz val="9"/>
      <color indexed="17"/>
      <name val="Helv"/>
    </font>
    <font>
      <b/>
      <sz val="11"/>
      <color indexed="12"/>
      <name val="Arial"/>
      <family val="2"/>
    </font>
    <font>
      <sz val="10"/>
      <color indexed="8"/>
      <name val="Calibri"/>
      <family val="2"/>
    </font>
    <font>
      <sz val="9"/>
      <name val="Helv"/>
    </font>
    <font>
      <b/>
      <sz val="6"/>
      <color indexed="9"/>
      <name val="Arial"/>
      <family val="2"/>
    </font>
    <font>
      <sz val="9"/>
      <color indexed="8"/>
      <name val="Helv"/>
    </font>
    <font>
      <b/>
      <u/>
      <sz val="9"/>
      <name val="Helv"/>
    </font>
    <font>
      <b/>
      <sz val="9"/>
      <name val="Helv"/>
    </font>
    <font>
      <sz val="9"/>
      <color indexed="39"/>
      <name val="Helv"/>
    </font>
    <font>
      <sz val="8"/>
      <color indexed="12"/>
      <name val="Arial"/>
      <family val="2"/>
    </font>
    <font>
      <sz val="10"/>
      <color indexed="12"/>
      <name val="Arial"/>
      <family val="2"/>
    </font>
    <font>
      <sz val="10"/>
      <name val="GillSans"/>
    </font>
    <font>
      <sz val="9"/>
      <color indexed="20"/>
      <name val="Helv"/>
    </font>
    <font>
      <sz val="8"/>
      <color indexed="20"/>
      <name val="Helv"/>
    </font>
    <font>
      <b/>
      <sz val="10"/>
      <color indexed="8"/>
      <name val="Calibri"/>
      <family val="2"/>
    </font>
    <font>
      <sz val="10"/>
      <name val="ZapfHumnst BT"/>
    </font>
    <font>
      <sz val="8"/>
      <name val="Helv"/>
    </font>
    <font>
      <sz val="12"/>
      <name val="Helv"/>
    </font>
    <font>
      <sz val="11"/>
      <color indexed="8"/>
      <name val="Arial"/>
      <family val="2"/>
    </font>
    <font>
      <b/>
      <sz val="12"/>
      <color indexed="8"/>
      <name val="Arial"/>
      <family val="2"/>
    </font>
    <font>
      <sz val="8"/>
      <color indexed="12"/>
      <name val="Arial MT"/>
      <family val="2"/>
    </font>
    <font>
      <b/>
      <sz val="14"/>
      <name val="CG Times (WN)"/>
      <family val="1"/>
    </font>
    <font>
      <sz val="8"/>
      <color indexed="8"/>
      <name val="Arial MT"/>
      <family val="2"/>
    </font>
    <font>
      <sz val="9"/>
      <name val="Geneva"/>
    </font>
    <font>
      <sz val="8"/>
      <name val="Times"/>
      <family val="1"/>
    </font>
    <font>
      <sz val="10"/>
      <name val="Arial Cyr"/>
      <charset val="204"/>
    </font>
    <font>
      <sz val="8"/>
      <color indexed="29"/>
      <name val="Arial MT"/>
      <family val="2"/>
    </font>
    <font>
      <b/>
      <sz val="8"/>
      <color indexed="14"/>
      <name val="Arial MT"/>
      <family val="2"/>
    </font>
    <font>
      <sz val="8"/>
      <color indexed="10"/>
      <name val="Arial MT"/>
      <family val="2"/>
    </font>
    <font>
      <sz val="2"/>
      <color indexed="9"/>
      <name val="Symbol"/>
      <family val="1"/>
    </font>
    <font>
      <sz val="8"/>
      <color indexed="15"/>
      <name val="Arial MT"/>
      <family val="2"/>
    </font>
    <font>
      <sz val="11"/>
      <color theme="1"/>
      <name val="Cambria"/>
      <family val="2"/>
      <scheme val="minor"/>
    </font>
    <font>
      <b/>
      <sz val="10"/>
      <color rgb="FF000000"/>
      <name val="Arial"/>
      <family val="2"/>
    </font>
    <font>
      <sz val="10"/>
      <color rgb="FF000000"/>
      <name val="Arial"/>
      <family val="2"/>
    </font>
    <font>
      <u/>
      <sz val="8"/>
      <color theme="10"/>
      <name val="Arial"/>
      <family val="2"/>
    </font>
    <font>
      <u/>
      <sz val="11"/>
      <color theme="10"/>
      <name val="Calibri"/>
      <family val="2"/>
    </font>
    <font>
      <u/>
      <sz val="6.6"/>
      <color theme="10"/>
      <name val="Calibri"/>
      <family val="2"/>
    </font>
    <font>
      <sz val="10"/>
      <color theme="1"/>
      <name val="Arial"/>
      <family val="2"/>
    </font>
    <font>
      <sz val="11"/>
      <color theme="1"/>
      <name val="Arial"/>
      <family val="2"/>
    </font>
    <font>
      <sz val="6"/>
      <color theme="1"/>
      <name val="Arial"/>
      <family val="2"/>
    </font>
    <font>
      <sz val="9"/>
      <color theme="1"/>
      <name val="Arial"/>
      <family val="2"/>
    </font>
    <font>
      <b/>
      <sz val="9"/>
      <color theme="1"/>
      <name val="Arial"/>
      <family val="2"/>
    </font>
    <font>
      <b/>
      <sz val="9"/>
      <color rgb="FFCC3300"/>
      <name val="Arial"/>
      <family val="2"/>
    </font>
    <font>
      <sz val="9"/>
      <color rgb="FFCC3300"/>
      <name val="Arial"/>
      <family val="2"/>
    </font>
    <font>
      <sz val="9"/>
      <color rgb="FFC00000"/>
      <name val="Arial"/>
      <family val="2"/>
    </font>
    <font>
      <b/>
      <sz val="9"/>
      <color rgb="FFC00000"/>
      <name val="Arial"/>
      <family val="2"/>
    </font>
    <font>
      <sz val="9"/>
      <color rgb="FF0070C0"/>
      <name val="Arial"/>
      <family val="2"/>
    </font>
    <font>
      <b/>
      <sz val="10"/>
      <color theme="0"/>
      <name val="Arial"/>
      <family val="2"/>
    </font>
    <font>
      <b/>
      <sz val="10"/>
      <color theme="1"/>
      <name val="Arial"/>
      <family val="2"/>
    </font>
    <font>
      <b/>
      <i/>
      <sz val="10"/>
      <color theme="1"/>
      <name val="Arial"/>
      <family val="2"/>
    </font>
    <font>
      <sz val="10"/>
      <color rgb="FF0070C0"/>
      <name val="Arial"/>
      <family val="2"/>
    </font>
    <font>
      <i/>
      <sz val="8"/>
      <color theme="1"/>
      <name val="Arial"/>
      <family val="2"/>
    </font>
    <font>
      <i/>
      <sz val="8"/>
      <name val="Arial"/>
      <family val="2"/>
    </font>
    <font>
      <sz val="8"/>
      <color rgb="FF0070C0"/>
      <name val="Arial"/>
      <family val="2"/>
    </font>
    <font>
      <b/>
      <sz val="8"/>
      <color rgb="FF004165"/>
      <name val="Arial"/>
      <family val="2"/>
    </font>
    <font>
      <b/>
      <sz val="11"/>
      <color theme="0"/>
      <name val="Cambria"/>
      <family val="2"/>
      <scheme val="minor"/>
    </font>
    <font>
      <b/>
      <sz val="11"/>
      <color theme="1"/>
      <name val="Cambria"/>
      <family val="2"/>
      <scheme val="minor"/>
    </font>
    <font>
      <b/>
      <sz val="9"/>
      <color rgb="FF00B050"/>
      <name val="Arial"/>
      <family val="2"/>
    </font>
    <font>
      <b/>
      <sz val="9"/>
      <color rgb="FF0000FF"/>
      <name val="Arial"/>
      <family val="2"/>
    </font>
    <font>
      <sz val="9"/>
      <color rgb="FF0000FF"/>
      <name val="Arial"/>
      <family val="2"/>
    </font>
    <font>
      <sz val="8"/>
      <color rgb="FF0000FF"/>
      <name val="Arial"/>
      <family val="2"/>
    </font>
    <font>
      <sz val="8"/>
      <color rgb="FFFF0000"/>
      <name val="Arial"/>
      <family val="2"/>
    </font>
    <font>
      <sz val="9"/>
      <color rgb="FFFF0000"/>
      <name val="Arial"/>
      <family val="2"/>
    </font>
    <font>
      <i/>
      <sz val="9"/>
      <color rgb="FF0000FF"/>
      <name val="Arial"/>
      <family val="2"/>
    </font>
    <font>
      <b/>
      <i/>
      <sz val="9"/>
      <color rgb="FF0000FF"/>
      <name val="Arial"/>
      <family val="2"/>
    </font>
    <font>
      <sz val="11"/>
      <color theme="1"/>
      <name val="Verdana"/>
      <family val="2"/>
    </font>
    <font>
      <b/>
      <sz val="16"/>
      <color theme="0"/>
      <name val="Cambria"/>
      <family val="1"/>
    </font>
    <font>
      <b/>
      <i/>
      <sz val="11"/>
      <color theme="0" tint="-0.14999847407452621"/>
      <name val="Verdana"/>
      <family val="2"/>
    </font>
    <font>
      <sz val="8"/>
      <color theme="1"/>
      <name val="Verdana"/>
      <family val="2"/>
    </font>
    <font>
      <b/>
      <sz val="12"/>
      <color theme="0"/>
      <name val="Cambria"/>
      <family val="1"/>
    </font>
    <font>
      <b/>
      <sz val="11"/>
      <color theme="1"/>
      <name val="Verdana"/>
      <family val="2"/>
    </font>
    <font>
      <b/>
      <sz val="11"/>
      <color theme="4" tint="-0.249977111117893"/>
      <name val="Verdana"/>
      <family val="2"/>
    </font>
    <font>
      <b/>
      <sz val="11"/>
      <color theme="4" tint="-0.499984740745262"/>
      <name val="Cambria"/>
      <family val="2"/>
      <scheme val="minor"/>
    </font>
    <font>
      <b/>
      <sz val="8"/>
      <color theme="1"/>
      <name val="Cambria"/>
      <family val="2"/>
      <scheme val="minor"/>
    </font>
    <font>
      <sz val="8"/>
      <color theme="1"/>
      <name val="Cambria"/>
      <family val="2"/>
      <scheme val="minor"/>
    </font>
    <font>
      <b/>
      <sz val="10"/>
      <color theme="1"/>
      <name val="Cambria"/>
      <family val="2"/>
      <scheme val="minor"/>
    </font>
    <font>
      <b/>
      <sz val="10"/>
      <name val="Cambria"/>
      <family val="2"/>
      <scheme val="minor"/>
    </font>
    <font>
      <b/>
      <sz val="10"/>
      <color theme="1"/>
      <name val="Arial Narrow"/>
      <family val="2"/>
    </font>
    <font>
      <sz val="8"/>
      <color theme="1"/>
      <name val="Cambria"/>
      <family val="1"/>
    </font>
    <font>
      <b/>
      <sz val="9"/>
      <color rgb="FF004165"/>
      <name val="Cambria"/>
      <family val="2"/>
      <scheme val="minor"/>
    </font>
    <font>
      <sz val="11"/>
      <color rgb="FF004165"/>
      <name val="Cambria"/>
      <family val="2"/>
      <scheme val="minor"/>
    </font>
    <font>
      <sz val="8"/>
      <color theme="4" tint="0.79998168889431442"/>
      <name val="Cambria"/>
      <family val="2"/>
      <scheme val="minor"/>
    </font>
    <font>
      <sz val="7"/>
      <color theme="1"/>
      <name val="Cambria"/>
      <family val="2"/>
      <scheme val="minor"/>
    </font>
    <font>
      <sz val="11"/>
      <color rgb="FF277995"/>
      <name val="Cambria"/>
      <family val="2"/>
      <scheme val="minor"/>
    </font>
    <font>
      <sz val="10"/>
      <color rgb="FF000000"/>
      <name val="Times New Roman"/>
      <family val="1"/>
    </font>
    <font>
      <sz val="11"/>
      <color rgb="FFC00000"/>
      <name val="Cambria"/>
      <family val="2"/>
      <scheme val="minor"/>
    </font>
    <font>
      <sz val="11"/>
      <name val="Cambria"/>
      <family val="2"/>
      <scheme val="minor"/>
    </font>
    <font>
      <sz val="10"/>
      <color theme="1"/>
      <name val="Cambria"/>
      <family val="2"/>
      <scheme val="minor"/>
    </font>
    <font>
      <sz val="9"/>
      <name val="Cambria"/>
      <family val="2"/>
      <scheme val="minor"/>
    </font>
    <font>
      <sz val="10"/>
      <color theme="1"/>
      <name val="Verdana"/>
      <family val="2"/>
    </font>
    <font>
      <b/>
      <sz val="10"/>
      <color rgb="FF277995"/>
      <name val="Cambria"/>
      <family val="2"/>
      <scheme val="minor"/>
    </font>
    <font>
      <b/>
      <sz val="10"/>
      <color rgb="FF0070C0"/>
      <name val="Cambria"/>
      <family val="2"/>
      <scheme val="minor"/>
    </font>
    <font>
      <b/>
      <sz val="9"/>
      <name val="Cambria"/>
      <family val="2"/>
      <scheme val="minor"/>
    </font>
    <font>
      <sz val="8"/>
      <name val="Cambria"/>
      <family val="2"/>
      <scheme val="minor"/>
    </font>
    <font>
      <sz val="8"/>
      <color theme="0"/>
      <name val="Cambria"/>
      <family val="2"/>
      <scheme val="minor"/>
    </font>
    <font>
      <b/>
      <sz val="11"/>
      <color rgb="FF004165"/>
      <name val="Cambria"/>
      <family val="2"/>
      <scheme val="minor"/>
    </font>
    <font>
      <b/>
      <sz val="8"/>
      <color theme="0" tint="-0.499984740745262"/>
      <name val="Cambria"/>
      <family val="2"/>
      <scheme val="minor"/>
    </font>
    <font>
      <sz val="8"/>
      <color rgb="FFC8E6F0"/>
      <name val="Cambria"/>
      <family val="2"/>
      <scheme val="minor"/>
    </font>
    <font>
      <sz val="7"/>
      <name val="Cambria"/>
      <family val="2"/>
      <scheme val="minor"/>
    </font>
    <font>
      <b/>
      <sz val="11"/>
      <color rgb="FF002060"/>
      <name val="Cambria"/>
      <family val="2"/>
      <scheme val="minor"/>
    </font>
    <font>
      <sz val="10"/>
      <color theme="1"/>
      <name val="Cambria"/>
      <family val="1"/>
    </font>
    <font>
      <b/>
      <sz val="11"/>
      <name val="Helvetica"/>
      <family val="2"/>
    </font>
    <font>
      <sz val="11"/>
      <color rgb="FF000000"/>
      <name val="Helvetica"/>
      <family val="2"/>
    </font>
    <font>
      <sz val="8"/>
      <color rgb="FF000000"/>
      <name val="Helvetica"/>
      <family val="2"/>
    </font>
    <font>
      <sz val="11"/>
      <name val="Helvetica"/>
      <family val="2"/>
    </font>
    <font>
      <b/>
      <sz val="11"/>
      <color rgb="FF000000"/>
      <name val="Helvetica"/>
      <family val="2"/>
    </font>
    <font>
      <b/>
      <sz val="8"/>
      <color rgb="FF004165"/>
      <name val="Helvetica"/>
    </font>
    <font>
      <b/>
      <sz val="8"/>
      <color theme="4"/>
      <name val="Helvetica"/>
    </font>
    <font>
      <sz val="8"/>
      <color theme="4"/>
      <name val="Helvetica"/>
      <family val="2"/>
    </font>
    <font>
      <sz val="8"/>
      <name val="Helvetica"/>
      <family val="2"/>
    </font>
    <font>
      <sz val="10"/>
      <color rgb="FF004165"/>
      <name val="Helvetica"/>
      <family val="2"/>
    </font>
    <font>
      <b/>
      <sz val="10"/>
      <color rgb="FF004165"/>
      <name val="Helvetica"/>
      <family val="2"/>
    </font>
    <font>
      <b/>
      <sz val="10"/>
      <color theme="4"/>
      <name val="Helvetica"/>
      <family val="2"/>
    </font>
    <font>
      <sz val="10"/>
      <color rgb="FF000000"/>
      <name val="Helvetica"/>
      <family val="2"/>
    </font>
    <font>
      <sz val="10"/>
      <color theme="4"/>
      <name val="Helvetica"/>
      <family val="2"/>
    </font>
    <font>
      <sz val="10"/>
      <name val="Helvetica"/>
      <family val="2"/>
    </font>
    <font>
      <b/>
      <sz val="10"/>
      <color theme="5"/>
      <name val="Helvetica"/>
      <family val="2"/>
    </font>
    <font>
      <b/>
      <sz val="10"/>
      <name val="Helvetica"/>
      <family val="2"/>
    </font>
    <font>
      <b/>
      <sz val="10"/>
      <color rgb="FF000000"/>
      <name val="Helvetica"/>
      <family val="2"/>
    </font>
    <font>
      <b/>
      <sz val="10"/>
      <name val="Helvetica"/>
    </font>
    <font>
      <sz val="10"/>
      <name val="Helvetica"/>
    </font>
    <font>
      <b/>
      <sz val="10"/>
      <color rgb="FF000000"/>
      <name val="Helvetica"/>
    </font>
    <font>
      <sz val="8"/>
      <color rgb="FF000000"/>
      <name val="Arial"/>
      <family val="2"/>
    </font>
    <font>
      <b/>
      <sz val="10"/>
      <color rgb="FF00B050"/>
      <name val="Helvetica"/>
    </font>
    <font>
      <sz val="8"/>
      <name val="Arial"/>
      <family val="2"/>
    </font>
    <font>
      <b/>
      <sz val="10"/>
      <color theme="4"/>
      <name val="Arial"/>
      <family val="2"/>
    </font>
    <font>
      <b/>
      <sz val="10"/>
      <color rgb="FF0000FF"/>
      <name val="Arial"/>
      <family val="2"/>
    </font>
    <font>
      <sz val="10"/>
      <color rgb="FF0000FF"/>
      <name val="Arial"/>
      <family val="2"/>
    </font>
    <font>
      <sz val="10"/>
      <color rgb="FF00B050"/>
      <name val="Arial"/>
      <family val="2"/>
    </font>
    <font>
      <b/>
      <sz val="10"/>
      <color rgb="FF00B050"/>
      <name val="Arial"/>
      <family val="2"/>
    </font>
    <font>
      <sz val="10"/>
      <color theme="0"/>
      <name val="Arial"/>
      <family val="2"/>
    </font>
    <font>
      <b/>
      <i/>
      <sz val="10"/>
      <color theme="4"/>
      <name val="Arial"/>
      <family val="2"/>
    </font>
    <font>
      <b/>
      <sz val="10"/>
      <color theme="1"/>
      <name val="Cambria"/>
      <family val="1"/>
    </font>
    <font>
      <sz val="10"/>
      <color rgb="FF00B050"/>
      <name val="Cambria"/>
      <family val="1"/>
    </font>
    <font>
      <sz val="10"/>
      <color rgb="FF000000"/>
      <name val="Times New Roman"/>
      <family val="1"/>
    </font>
    <font>
      <b/>
      <sz val="12"/>
      <color rgb="FF000000"/>
      <name val="Arial"/>
      <family val="2"/>
    </font>
    <font>
      <i/>
      <sz val="10"/>
      <color rgb="FF000000"/>
      <name val="Arial"/>
      <family val="2"/>
    </font>
    <font>
      <i/>
      <sz val="10"/>
      <color rgb="FF0000FF"/>
      <name val="Arial"/>
      <family val="2"/>
    </font>
    <font>
      <sz val="10"/>
      <color theme="6"/>
      <name val="Arial"/>
      <family val="2"/>
    </font>
    <font>
      <b/>
      <i/>
      <sz val="10"/>
      <color rgb="FF000000"/>
      <name val="Arial"/>
      <family val="2"/>
    </font>
    <font>
      <i/>
      <sz val="10"/>
      <color rgb="FFFF0000"/>
      <name val="Arial"/>
      <family val="2"/>
    </font>
    <font>
      <b/>
      <i/>
      <sz val="10"/>
      <color rgb="FF00B050"/>
      <name val="Arial"/>
      <family val="2"/>
    </font>
    <font>
      <b/>
      <i/>
      <sz val="10"/>
      <color rgb="FF0000FF"/>
      <name val="Arial"/>
      <family val="2"/>
    </font>
    <font>
      <i/>
      <sz val="9"/>
      <color rgb="FFC00000"/>
      <name val="Arial"/>
      <family val="2"/>
    </font>
    <font>
      <b/>
      <sz val="9"/>
      <color rgb="FFFFC000"/>
      <name val="Arial"/>
      <family val="2"/>
    </font>
    <font>
      <b/>
      <sz val="10"/>
      <color rgb="FFFFC000"/>
      <name val="Arial"/>
      <family val="2"/>
    </font>
    <font>
      <sz val="10"/>
      <color rgb="FF00CC00"/>
      <name val="Cambria"/>
      <family val="1"/>
    </font>
    <font>
      <i/>
      <sz val="10"/>
      <color theme="1"/>
      <name val="Cambria"/>
      <family val="1"/>
    </font>
    <font>
      <u/>
      <sz val="10"/>
      <color theme="1"/>
      <name val="Cambria"/>
      <family val="1"/>
    </font>
    <font>
      <sz val="10"/>
      <color rgb="FF008000"/>
      <name val="Cambria"/>
      <family val="1"/>
    </font>
    <font>
      <sz val="10"/>
      <name val="Cambria"/>
      <family val="1"/>
    </font>
    <font>
      <u/>
      <sz val="10"/>
      <color theme="10"/>
      <name val="Times New Roman"/>
      <family val="1"/>
    </font>
    <font>
      <i/>
      <sz val="9"/>
      <color theme="1"/>
      <name val="Arial"/>
      <family val="2"/>
    </font>
    <font>
      <sz val="8"/>
      <name val="Arial"/>
      <family val="2"/>
    </font>
    <font>
      <sz val="8"/>
      <color theme="1"/>
      <name val="Arial"/>
      <family val="2"/>
    </font>
    <font>
      <sz val="10"/>
      <color indexed="24"/>
      <name val="Arial"/>
      <family val="2"/>
    </font>
    <font>
      <sz val="8"/>
      <color rgb="FF008000"/>
      <name val="Arial"/>
      <family val="2"/>
    </font>
    <font>
      <b/>
      <sz val="10"/>
      <color rgb="FF004165"/>
      <name val="Helvetica"/>
    </font>
    <font>
      <sz val="10"/>
      <color rgb="FF000000"/>
      <name val="Helvetica"/>
    </font>
    <font>
      <i/>
      <sz val="9"/>
      <color rgb="FF00B050"/>
      <name val="Arial"/>
      <family val="2"/>
    </font>
    <font>
      <sz val="9"/>
      <color rgb="FF00B050"/>
      <name val="Arial"/>
      <family val="2"/>
    </font>
    <font>
      <sz val="10"/>
      <color rgb="FF008000"/>
      <name val="Arial"/>
      <family val="2"/>
    </font>
    <font>
      <b/>
      <sz val="9"/>
      <color indexed="81"/>
      <name val="Tahoma"/>
      <family val="2"/>
    </font>
    <font>
      <sz val="9"/>
      <color indexed="81"/>
      <name val="Tahoma"/>
      <family val="2"/>
    </font>
    <font>
      <sz val="8"/>
      <name val="Arial"/>
      <family val="2"/>
    </font>
    <font>
      <sz val="8"/>
      <color theme="0"/>
      <name val="Arial"/>
      <family val="2"/>
    </font>
    <font>
      <sz val="10"/>
      <color theme="0"/>
      <name val="Cambria"/>
      <family val="1"/>
    </font>
    <font>
      <b/>
      <sz val="9"/>
      <color rgb="FF00CC00"/>
      <name val="Arial"/>
      <family val="2"/>
    </font>
    <font>
      <sz val="8"/>
      <color rgb="FF00CC00"/>
      <name val="Arial"/>
      <family val="2"/>
    </font>
    <font>
      <sz val="9"/>
      <color rgb="FF00CC00"/>
      <name val="Arial"/>
      <family val="2"/>
    </font>
  </fonts>
  <fills count="37">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26"/>
        <bgColor indexed="26"/>
      </patternFill>
    </fill>
    <fill>
      <patternFill patternType="solid">
        <fgColor indexed="22"/>
        <bgColor indexed="64"/>
      </patternFill>
    </fill>
    <fill>
      <patternFill patternType="solid">
        <fgColor indexed="56"/>
        <bgColor indexed="64"/>
      </patternFill>
    </fill>
    <fill>
      <patternFill patternType="solid">
        <fgColor indexed="22"/>
        <bgColor indexed="22"/>
      </patternFill>
    </fill>
    <fill>
      <patternFill patternType="solid">
        <fgColor indexed="40"/>
        <bgColor indexed="64"/>
      </patternFill>
    </fill>
    <fill>
      <patternFill patternType="solid">
        <fgColor indexed="26"/>
        <bgColor indexed="64"/>
      </patternFill>
    </fill>
    <fill>
      <patternFill patternType="mediumGray">
        <fgColor indexed="22"/>
      </patternFill>
    </fill>
    <fill>
      <patternFill patternType="solid">
        <fgColor indexed="63"/>
        <bgColor indexed="64"/>
      </patternFill>
    </fill>
    <fill>
      <patternFill patternType="lightGray">
        <fgColor indexed="9"/>
      </patternFill>
    </fill>
    <fill>
      <patternFill patternType="solid">
        <fgColor indexed="31"/>
        <bgColor indexed="31"/>
      </patternFill>
    </fill>
    <fill>
      <patternFill patternType="solid">
        <fgColor rgb="FF00224C"/>
        <bgColor indexed="64"/>
      </patternFill>
    </fill>
    <fill>
      <patternFill patternType="solid">
        <fgColor rgb="FFAEBC9E"/>
        <bgColor indexed="64"/>
      </patternFill>
    </fill>
    <fill>
      <patternFill patternType="solid">
        <fgColor theme="0"/>
        <bgColor indexed="64"/>
      </patternFill>
    </fill>
    <fill>
      <patternFill patternType="solid">
        <fgColor theme="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4165"/>
        <bgColor indexed="64"/>
      </patternFill>
    </fill>
    <fill>
      <patternFill patternType="solid">
        <fgColor rgb="FF277995"/>
        <bgColor indexed="64"/>
      </patternFill>
    </fill>
    <fill>
      <patternFill patternType="solid">
        <fgColor rgb="FF5BB4D3"/>
        <bgColor indexed="64"/>
      </patternFill>
    </fill>
    <fill>
      <patternFill patternType="solid">
        <fgColor theme="0" tint="-0.249977111117893"/>
        <bgColor indexed="64"/>
      </patternFill>
    </fill>
    <fill>
      <patternFill patternType="solid">
        <fgColor rgb="FFC8E6F0"/>
        <bgColor indexed="64"/>
      </patternFill>
    </fill>
    <fill>
      <patternFill patternType="solid">
        <fgColor rgb="FF5BB4D3"/>
        <bgColor rgb="FF000000"/>
      </patternFill>
    </fill>
    <fill>
      <patternFill patternType="solid">
        <fgColor rgb="FF004165"/>
        <bgColor rgb="FF000000"/>
      </patternFill>
    </fill>
    <fill>
      <patternFill patternType="solid">
        <fgColor theme="0" tint="-0.34998626667073579"/>
        <bgColor indexed="64"/>
      </patternFill>
    </fill>
    <fill>
      <patternFill patternType="solid">
        <fgColor rgb="FFFFFFFF"/>
        <bgColor indexed="64"/>
      </patternFill>
    </fill>
    <fill>
      <patternFill patternType="solid">
        <fgColor them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theme="2" tint="-0.249977111117893"/>
        <bgColor indexed="64"/>
      </patternFill>
    </fill>
    <fill>
      <patternFill patternType="solid">
        <fgColor theme="5" tint="0.749992370372631"/>
        <bgColor indexed="64"/>
      </patternFill>
    </fill>
    <fill>
      <patternFill patternType="solid">
        <fgColor theme="2" tint="-4.9989318521683403E-2"/>
        <bgColor indexed="64"/>
      </patternFill>
    </fill>
    <fill>
      <patternFill patternType="solid">
        <fgColor theme="4"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hair">
        <color indexed="64"/>
      </top>
      <bottom/>
      <diagonal/>
    </border>
    <border>
      <left/>
      <right/>
      <top/>
      <bottom style="medium">
        <color indexed="8"/>
      </bottom>
      <diagonal/>
    </border>
    <border>
      <left/>
      <right/>
      <top/>
      <bottom style="thin">
        <color indexed="8"/>
      </bottom>
      <diagonal/>
    </border>
    <border>
      <left/>
      <right/>
      <top style="medium">
        <color indexed="64"/>
      </top>
      <bottom style="medium">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thin">
        <color indexed="8"/>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n">
        <color indexed="64"/>
      </top>
      <bottom style="thick">
        <color indexed="64"/>
      </bottom>
      <diagonal/>
    </border>
    <border>
      <left/>
      <right/>
      <top/>
      <bottom style="thick">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ck">
        <color theme="0"/>
      </left>
      <right style="thick">
        <color theme="0"/>
      </right>
      <top style="thin">
        <color indexed="64"/>
      </top>
      <bottom/>
      <diagonal/>
    </border>
    <border>
      <left style="thick">
        <color theme="0"/>
      </left>
      <right style="thick">
        <color theme="0"/>
      </right>
      <top/>
      <bottom/>
      <diagonal/>
    </border>
    <border>
      <left style="thick">
        <color theme="0"/>
      </left>
      <right/>
      <top/>
      <bottom/>
      <diagonal/>
    </border>
    <border>
      <left/>
      <right style="thick">
        <color theme="0"/>
      </right>
      <top/>
      <bottom/>
      <diagonal/>
    </border>
    <border>
      <left/>
      <right/>
      <top style="medium">
        <color auto="1"/>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auto="1"/>
      </right>
      <top/>
      <bottom/>
      <diagonal/>
    </border>
    <border>
      <left style="medium">
        <color auto="1"/>
      </left>
      <right style="medium">
        <color auto="1"/>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style="thin">
        <color indexed="64"/>
      </bottom>
      <diagonal/>
    </border>
    <border>
      <left style="medium">
        <color auto="1"/>
      </left>
      <right style="medium">
        <color auto="1"/>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auto="1"/>
      </left>
      <right style="medium">
        <color auto="1"/>
      </right>
      <top/>
      <bottom style="medium">
        <color auto="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right/>
      <top/>
      <bottom style="medium">
        <color theme="4"/>
      </bottom>
      <diagonal/>
    </border>
    <border>
      <left/>
      <right/>
      <top style="hair">
        <color indexed="64"/>
      </top>
      <bottom style="thin">
        <color theme="1"/>
      </bottom>
      <diagonal/>
    </border>
    <border>
      <left/>
      <right/>
      <top style="hair">
        <color indexed="64"/>
      </top>
      <bottom style="hair">
        <color indexed="64"/>
      </bottom>
      <diagonal/>
    </border>
    <border>
      <left/>
      <right/>
      <top/>
      <bottom style="thin">
        <color theme="6"/>
      </bottom>
      <diagonal/>
    </border>
    <border>
      <left/>
      <right/>
      <top style="thin">
        <color theme="6"/>
      </top>
      <bottom style="thin">
        <color theme="6"/>
      </bottom>
      <diagonal/>
    </border>
    <border>
      <left/>
      <right/>
      <top style="thin">
        <color theme="6"/>
      </top>
      <bottom/>
      <diagonal/>
    </border>
    <border>
      <left style="hair">
        <color auto="1"/>
      </left>
      <right style="hair">
        <color auto="1"/>
      </right>
      <top style="hair">
        <color auto="1"/>
      </top>
      <bottom/>
      <diagonal/>
    </border>
    <border>
      <left style="hair">
        <color auto="1"/>
      </left>
      <right style="hair">
        <color auto="1"/>
      </right>
      <top/>
      <bottom/>
      <diagonal/>
    </border>
    <border>
      <left/>
      <right/>
      <top style="thin">
        <color theme="6"/>
      </top>
      <bottom style="thin">
        <color theme="0" tint="-0.14996795556505021"/>
      </bottom>
      <diagonal/>
    </border>
    <border>
      <left/>
      <right/>
      <top/>
      <bottom style="thin">
        <color theme="0" tint="-0.14996795556505021"/>
      </bottom>
      <diagonal/>
    </border>
  </borders>
  <cellStyleXfs count="398">
    <xf numFmtId="0" fontId="0" fillId="0" borderId="0"/>
    <xf numFmtId="0" fontId="11" fillId="0" borderId="0"/>
    <xf numFmtId="0" fontId="11" fillId="0" borderId="0"/>
    <xf numFmtId="0" fontId="11" fillId="0" borderId="0"/>
    <xf numFmtId="0" fontId="11" fillId="0" borderId="0"/>
    <xf numFmtId="0" fontId="11" fillId="0" borderId="0"/>
    <xf numFmtId="0" fontId="17" fillId="0" borderId="0">
      <alignment vertical="top"/>
    </xf>
    <xf numFmtId="0" fontId="11" fillId="0" borderId="0"/>
    <xf numFmtId="0" fontId="11" fillId="0" borderId="0"/>
    <xf numFmtId="3" fontId="47" fillId="2" borderId="1"/>
    <xf numFmtId="0" fontId="67" fillId="0" borderId="0"/>
    <xf numFmtId="174" fontId="20" fillId="0" borderId="0" applyFill="0" applyBorder="0" applyAlignment="0"/>
    <xf numFmtId="0" fontId="79" fillId="0" borderId="1" applyNumberFormat="0"/>
    <xf numFmtId="0" fontId="26" fillId="0" borderId="0">
      <alignment horizontal="centerContinuous"/>
    </xf>
    <xf numFmtId="0" fontId="26" fillId="0" borderId="0"/>
    <xf numFmtId="37" fontId="26" fillId="3" borderId="0"/>
    <xf numFmtId="0" fontId="68" fillId="0" borderId="0">
      <alignment horizontal="centerContinuous"/>
    </xf>
    <xf numFmtId="0" fontId="69" fillId="4" borderId="0"/>
    <xf numFmtId="0" fontId="19" fillId="0" borderId="0" applyNumberFormat="0" applyFill="0" applyBorder="0" applyProtection="0">
      <alignment wrapText="1"/>
    </xf>
    <xf numFmtId="0" fontId="21" fillId="0" borderId="0" applyNumberFormat="0" applyFill="0" applyBorder="0" applyProtection="0">
      <alignment wrapText="1"/>
    </xf>
    <xf numFmtId="0" fontId="21" fillId="0" borderId="0" applyNumberFormat="0" applyFill="0" applyBorder="0" applyProtection="0"/>
    <xf numFmtId="0" fontId="22" fillId="0" borderId="0" applyNumberFormat="0" applyFill="0" applyBorder="0" applyProtection="0">
      <alignment horizontal="center" wrapText="1"/>
    </xf>
    <xf numFmtId="0" fontId="19" fillId="0" borderId="2" applyNumberFormat="0" applyFill="0" applyProtection="0">
      <alignment horizontal="right" wrapText="1"/>
    </xf>
    <xf numFmtId="0" fontId="19" fillId="0" borderId="2" applyNumberFormat="0" applyFill="0" applyProtection="0">
      <alignment horizontal="left" wrapText="1"/>
    </xf>
    <xf numFmtId="0" fontId="39" fillId="5" borderId="0"/>
    <xf numFmtId="4" fontId="1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43" fontId="14" fillId="0" borderId="0" applyFont="0" applyFill="0" applyBorder="0" applyAlignment="0" applyProtection="0"/>
    <xf numFmtId="4" fontId="13" fillId="0" borderId="0" applyFont="0" applyFill="0" applyBorder="0" applyAlignment="0" applyProtection="0"/>
    <xf numFmtId="43" fontId="70" fillId="0" borderId="0" applyFont="0" applyFill="0" applyBorder="0" applyAlignment="0" applyProtection="0"/>
    <xf numFmtId="4" fontId="13" fillId="0" borderId="0" applyFont="0" applyFill="0" applyBorder="0" applyAlignment="0" applyProtection="0"/>
    <xf numFmtId="4" fontId="13" fillId="0" borderId="0" applyFont="0" applyFill="0" applyBorder="0" applyAlignment="0" applyProtection="0"/>
    <xf numFmtId="43" fontId="78" fillId="0" borderId="0" applyFont="0" applyFill="0" applyBorder="0" applyAlignment="0" applyProtection="0"/>
    <xf numFmtId="4" fontId="13"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7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05"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205" fontId="11" fillId="0" borderId="0" applyFont="0" applyFill="0" applyBorder="0" applyAlignment="0" applyProtection="0"/>
    <xf numFmtId="205" fontId="11" fillId="0" borderId="0" applyFont="0" applyFill="0" applyBorder="0" applyAlignment="0" applyProtection="0"/>
    <xf numFmtId="43" fontId="11" fillId="0" borderId="0" applyFont="0" applyFill="0" applyBorder="0" applyAlignment="0" applyProtection="0"/>
    <xf numFmtId="3" fontId="13" fillId="0" borderId="0" applyFont="0" applyFill="0" applyBorder="0" applyAlignment="0" applyProtection="0"/>
    <xf numFmtId="0" fontId="12" fillId="0" borderId="0"/>
    <xf numFmtId="0" fontId="48" fillId="0" borderId="0">
      <alignment horizontal="left" vertical="center" indent="1"/>
    </xf>
    <xf numFmtId="0" fontId="80" fillId="0" borderId="1" applyNumberFormat="0"/>
    <xf numFmtId="0" fontId="79" fillId="0" borderId="1" applyNumberFormat="0"/>
    <xf numFmtId="165" fontId="13" fillId="0" borderId="0" applyFont="0" applyFill="0" applyBorder="0" applyAlignment="0" applyProtection="0"/>
    <xf numFmtId="44" fontId="11" fillId="0" borderId="0" applyFont="0" applyFill="0" applyBorder="0" applyAlignment="0" applyProtection="0"/>
    <xf numFmtId="175" fontId="23" fillId="0" borderId="0" applyFont="0" applyFill="0" applyBorder="0" applyAlignment="0" applyProtection="0">
      <alignment horizontal="right"/>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14" fillId="0" borderId="0" applyFont="0" applyFill="0" applyBorder="0" applyAlignment="0" applyProtection="0"/>
    <xf numFmtId="175" fontId="23" fillId="0" borderId="0" applyFont="0" applyFill="0" applyBorder="0" applyAlignment="0" applyProtection="0">
      <alignment horizontal="right"/>
    </xf>
    <xf numFmtId="44" fontId="78" fillId="0" borderId="0" applyFont="0" applyFill="0" applyBorder="0" applyAlignment="0" applyProtection="0"/>
    <xf numFmtId="44" fontId="65" fillId="0" borderId="0" applyFont="0" applyFill="0" applyBorder="0" applyAlignment="0" applyProtection="0"/>
    <xf numFmtId="44" fontId="10"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166" fontId="13"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4" fillId="0" borderId="0" applyFont="0" applyFill="0" applyBorder="0" applyAlignment="0" applyProtection="0"/>
    <xf numFmtId="44" fontId="10" fillId="0" borderId="0" applyFont="0" applyFill="0" applyBorder="0" applyAlignment="0" applyProtection="0"/>
    <xf numFmtId="44" fontId="11" fillId="0" borderId="0" applyFont="0" applyFill="0" applyBorder="0" applyAlignment="0" applyProtection="0"/>
    <xf numFmtId="44" fontId="78" fillId="0" borderId="0" applyFont="0" applyFill="0" applyBorder="0" applyAlignment="0" applyProtection="0"/>
    <xf numFmtId="170" fontId="13" fillId="0" borderId="0" applyFont="0" applyFill="0" applyBorder="0" applyAlignment="0" applyProtection="0"/>
    <xf numFmtId="0" fontId="80" fillId="0" borderId="1" applyNumberFormat="0"/>
    <xf numFmtId="0" fontId="13" fillId="0" borderId="0" applyFont="0" applyFill="0" applyBorder="0" applyAlignment="0" applyProtection="0"/>
    <xf numFmtId="0" fontId="13" fillId="0" borderId="0" applyFont="0" applyFill="0" applyBorder="0" applyAlignment="0" applyProtection="0"/>
    <xf numFmtId="14" fontId="28" fillId="0" borderId="0"/>
    <xf numFmtId="193" fontId="49" fillId="0" borderId="0" applyFont="0" applyFill="0" applyBorder="0" applyAlignment="0" applyProtection="0"/>
    <xf numFmtId="194" fontId="49" fillId="0" borderId="0" applyFont="0" applyFill="0" applyBorder="0" applyAlignment="0" applyProtection="0"/>
    <xf numFmtId="195" fontId="49" fillId="0" borderId="0" applyFont="0" applyFill="0" applyBorder="0" applyAlignment="0" applyProtection="0"/>
    <xf numFmtId="3" fontId="50" fillId="0" borderId="3"/>
    <xf numFmtId="4" fontId="11" fillId="0" borderId="0">
      <alignment horizontal="right" vertical="center"/>
    </xf>
    <xf numFmtId="0" fontId="51" fillId="14" borderId="0" applyProtection="0">
      <alignment horizontal="left" vertical="center"/>
    </xf>
    <xf numFmtId="0" fontId="26" fillId="0" borderId="4"/>
    <xf numFmtId="206" fontId="26" fillId="7" borderId="0">
      <alignment horizontal="right"/>
    </xf>
    <xf numFmtId="176" fontId="24" fillId="0" borderId="0"/>
    <xf numFmtId="176" fontId="71" fillId="0" borderId="0"/>
    <xf numFmtId="187" fontId="11" fillId="0" borderId="0" applyFont="0" applyFill="0" applyBorder="0" applyAlignment="0" applyProtection="0"/>
    <xf numFmtId="3" fontId="39" fillId="0" borderId="0"/>
    <xf numFmtId="0" fontId="26" fillId="0" borderId="5"/>
    <xf numFmtId="3" fontId="52" fillId="8" borderId="1"/>
    <xf numFmtId="2" fontId="13" fillId="0" borderId="0" applyFont="0" applyFill="0" applyBorder="0" applyAlignment="0" applyProtection="0"/>
    <xf numFmtId="2" fontId="13" fillId="0" borderId="0" applyFont="0" applyFill="0" applyBorder="0" applyAlignment="0" applyProtection="0"/>
    <xf numFmtId="0" fontId="12" fillId="0" borderId="0" applyNumberFormat="0" applyFill="0" applyBorder="0" applyProtection="0">
      <alignment wrapText="1"/>
    </xf>
    <xf numFmtId="0" fontId="25" fillId="0" borderId="0" applyNumberFormat="0" applyFill="0" applyBorder="0" applyProtection="0">
      <alignment wrapText="1"/>
    </xf>
    <xf numFmtId="38" fontId="12" fillId="5" borderId="0" applyNumberFormat="0" applyBorder="0" applyAlignment="0" applyProtection="0"/>
    <xf numFmtId="0" fontId="68" fillId="0" borderId="0">
      <alignment horizontal="centerContinuous"/>
    </xf>
    <xf numFmtId="0" fontId="21" fillId="0" borderId="6" applyNumberFormat="0" applyAlignment="0" applyProtection="0">
      <alignment horizontal="left"/>
    </xf>
    <xf numFmtId="0" fontId="21" fillId="0" borderId="7">
      <alignment horizontal="left"/>
    </xf>
    <xf numFmtId="0" fontId="53" fillId="0" borderId="0">
      <alignment vertical="center"/>
    </xf>
    <xf numFmtId="0" fontId="54" fillId="0" borderId="0"/>
    <xf numFmtId="0" fontId="50" fillId="0" borderId="0"/>
    <xf numFmtId="0" fontId="81" fillId="0" borderId="0" applyNumberFormat="0" applyFill="0" applyBorder="0" applyAlignment="0" applyProtection="0"/>
    <xf numFmtId="0" fontId="82" fillId="0" borderId="0" applyNumberFormat="0" applyFill="0" applyBorder="0" applyAlignment="0" applyProtection="0">
      <alignment vertical="top"/>
      <protection locked="0"/>
    </xf>
    <xf numFmtId="0" fontId="82"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9" fontId="55" fillId="0" borderId="0"/>
    <xf numFmtId="166" fontId="55" fillId="0" borderId="0"/>
    <xf numFmtId="10" fontId="55" fillId="0" borderId="0"/>
    <xf numFmtId="169" fontId="55" fillId="0" borderId="0"/>
    <xf numFmtId="4" fontId="55" fillId="0" borderId="0"/>
    <xf numFmtId="10" fontId="12" fillId="9" borderId="1" applyNumberFormat="0" applyBorder="0" applyAlignment="0" applyProtection="0"/>
    <xf numFmtId="3" fontId="56" fillId="5" borderId="0">
      <protection locked="0"/>
    </xf>
    <xf numFmtId="4" fontId="57" fillId="5" borderId="0">
      <protection locked="0"/>
    </xf>
    <xf numFmtId="0" fontId="36" fillId="5" borderId="0"/>
    <xf numFmtId="1" fontId="57" fillId="5" borderId="0">
      <protection locked="0"/>
    </xf>
    <xf numFmtId="196" fontId="49" fillId="0" borderId="0" applyFont="0" applyFill="0" applyBorder="0" applyAlignment="0" applyProtection="0"/>
    <xf numFmtId="0" fontId="12" fillId="0" borderId="0" applyNumberFormat="0" applyFill="0" applyBorder="0" applyProtection="0">
      <alignment horizontal="left"/>
    </xf>
    <xf numFmtId="0" fontId="19" fillId="0" borderId="0" applyNumberFormat="0" applyFill="0" applyBorder="0" applyProtection="0">
      <alignment horizontal="left"/>
    </xf>
    <xf numFmtId="43" fontId="11" fillId="0" borderId="0" applyFont="0" applyFill="0" applyBorder="0" applyAlignment="0" applyProtection="0"/>
    <xf numFmtId="0" fontId="26" fillId="0" borderId="8" applyNumberFormat="0" applyAlignment="0">
      <alignment horizontal="left"/>
    </xf>
    <xf numFmtId="197" fontId="49" fillId="0" borderId="0" applyFont="0" applyFill="0" applyBorder="0" applyAlignment="0" applyProtection="0"/>
    <xf numFmtId="198" fontId="11" fillId="0" borderId="0" applyFont="0" applyFill="0" applyBorder="0" applyAlignment="0" applyProtection="0"/>
    <xf numFmtId="0" fontId="15" fillId="0" borderId="0"/>
    <xf numFmtId="177" fontId="11" fillId="0" borderId="0"/>
    <xf numFmtId="0" fontId="78" fillId="0" borderId="0"/>
    <xf numFmtId="0" fontId="78" fillId="0" borderId="0"/>
    <xf numFmtId="0" fontId="25" fillId="0" borderId="0"/>
    <xf numFmtId="0" fontId="78" fillId="0" borderId="0"/>
    <xf numFmtId="0" fontId="25" fillId="0" borderId="0"/>
    <xf numFmtId="0" fontId="78" fillId="0" borderId="0"/>
    <xf numFmtId="0" fontId="11" fillId="0" borderId="0"/>
    <xf numFmtId="0" fontId="78" fillId="0" borderId="0"/>
    <xf numFmtId="0" fontId="84" fillId="0" borderId="0"/>
    <xf numFmtId="0" fontId="11" fillId="0" borderId="0"/>
    <xf numFmtId="0" fontId="11" fillId="0" borderId="0"/>
    <xf numFmtId="0" fontId="11" fillId="0" borderId="0"/>
    <xf numFmtId="0" fontId="78" fillId="0" borderId="0"/>
    <xf numFmtId="0" fontId="78" fillId="0" borderId="0"/>
    <xf numFmtId="0" fontId="78" fillId="0" borderId="0"/>
    <xf numFmtId="0" fontId="78" fillId="0" borderId="0"/>
    <xf numFmtId="0" fontId="84" fillId="0" borderId="0"/>
    <xf numFmtId="0" fontId="78" fillId="0" borderId="0"/>
    <xf numFmtId="0" fontId="11" fillId="0" borderId="0"/>
    <xf numFmtId="0" fontId="11" fillId="0" borderId="0"/>
    <xf numFmtId="0" fontId="11" fillId="0" borderId="0"/>
    <xf numFmtId="0" fontId="11" fillId="0" borderId="0"/>
    <xf numFmtId="0" fontId="11" fillId="0" borderId="0"/>
    <xf numFmtId="0" fontId="85" fillId="0" borderId="0"/>
    <xf numFmtId="0" fontId="78" fillId="0" borderId="0"/>
    <xf numFmtId="0" fontId="85" fillId="0" borderId="0"/>
    <xf numFmtId="0" fontId="85" fillId="0" borderId="0"/>
    <xf numFmtId="0" fontId="78" fillId="0" borderId="0"/>
    <xf numFmtId="0" fontId="14" fillId="0" borderId="0"/>
    <xf numFmtId="0" fontId="11" fillId="0" borderId="0"/>
    <xf numFmtId="0" fontId="14" fillId="0" borderId="0"/>
    <xf numFmtId="0" fontId="11" fillId="0" borderId="0"/>
    <xf numFmtId="0" fontId="11" fillId="0" borderId="0"/>
    <xf numFmtId="0" fontId="70" fillId="0" borderId="0"/>
    <xf numFmtId="0" fontId="11" fillId="0" borderId="0"/>
    <xf numFmtId="0" fontId="11" fillId="0" borderId="0"/>
    <xf numFmtId="0" fontId="13" fillId="0" borderId="0"/>
    <xf numFmtId="0" fontId="13" fillId="0" borderId="0"/>
    <xf numFmtId="0" fontId="13" fillId="0" borderId="0"/>
    <xf numFmtId="0" fontId="12" fillId="0" borderId="0"/>
    <xf numFmtId="0" fontId="14" fillId="0" borderId="0"/>
    <xf numFmtId="0" fontId="11" fillId="0" borderId="0"/>
    <xf numFmtId="0" fontId="14" fillId="0" borderId="0"/>
    <xf numFmtId="0" fontId="10" fillId="0" borderId="0"/>
    <xf numFmtId="0" fontId="10" fillId="0" borderId="0"/>
    <xf numFmtId="0" fontId="26" fillId="0" borderId="0"/>
    <xf numFmtId="0" fontId="13" fillId="0" borderId="0"/>
    <xf numFmtId="0" fontId="13" fillId="0" borderId="0"/>
    <xf numFmtId="0" fontId="13" fillId="0" borderId="0"/>
    <xf numFmtId="0" fontId="12" fillId="0" borderId="0"/>
    <xf numFmtId="0" fontId="38" fillId="0" borderId="0"/>
    <xf numFmtId="0" fontId="11" fillId="0" borderId="0"/>
    <xf numFmtId="0" fontId="11" fillId="0" borderId="0"/>
    <xf numFmtId="0" fontId="70" fillId="0" borderId="0"/>
    <xf numFmtId="0" fontId="11" fillId="0" borderId="0"/>
    <xf numFmtId="0" fontId="72" fillId="0" borderId="0"/>
    <xf numFmtId="0" fontId="11" fillId="0" borderId="0"/>
    <xf numFmtId="39" fontId="26" fillId="4" borderId="0"/>
    <xf numFmtId="178" fontId="12" fillId="0" borderId="0" applyFill="0" applyBorder="0" applyProtection="0">
      <alignment horizontal="right" wrapText="1"/>
    </xf>
    <xf numFmtId="178" fontId="19" fillId="0" borderId="0" applyFill="0" applyBorder="0" applyProtection="0">
      <alignment horizontal="right" wrapText="1"/>
    </xf>
    <xf numFmtId="179" fontId="12" fillId="0" borderId="0" applyFill="0" applyBorder="0" applyProtection="0">
      <alignment horizontal="right" wrapText="1"/>
    </xf>
    <xf numFmtId="179" fontId="19" fillId="0" borderId="0" applyFill="0" applyBorder="0" applyProtection="0">
      <alignment horizontal="right" wrapText="1"/>
    </xf>
    <xf numFmtId="178" fontId="12" fillId="0" borderId="0" applyFill="0" applyBorder="0" applyProtection="0">
      <alignment horizontal="right" wrapText="1"/>
    </xf>
    <xf numFmtId="178" fontId="19" fillId="0" borderId="0" applyFill="0" applyBorder="0" applyProtection="0">
      <alignment horizontal="right" wrapText="1"/>
    </xf>
    <xf numFmtId="180" fontId="12" fillId="0" borderId="0" applyFill="0" applyBorder="0" applyProtection="0">
      <alignment horizontal="right" wrapText="1"/>
    </xf>
    <xf numFmtId="180" fontId="19" fillId="0" borderId="0" applyFill="0" applyBorder="0" applyProtection="0">
      <alignment horizontal="right" wrapText="1"/>
    </xf>
    <xf numFmtId="3" fontId="50" fillId="0" borderId="0"/>
    <xf numFmtId="0" fontId="73" fillId="0" borderId="0">
      <alignment vertical="center"/>
    </xf>
    <xf numFmtId="37" fontId="27" fillId="2" borderId="0" applyAlignment="0"/>
    <xf numFmtId="10" fontId="13" fillId="0" borderId="0" applyFont="0" applyFill="0" applyBorder="0" applyAlignment="0" applyProtection="0"/>
    <xf numFmtId="10" fontId="58" fillId="0" borderId="9" applyFont="0" applyFill="0" applyAlignment="0" applyProtection="0"/>
    <xf numFmtId="10" fontId="11" fillId="0" borderId="0" applyFont="0" applyFill="0" applyBorder="0" applyAlignment="0" applyProtection="0"/>
    <xf numFmtId="9" fontId="10" fillId="0" borderId="0" applyFont="0" applyFill="0" applyBorder="0" applyAlignment="0" applyProtection="0"/>
    <xf numFmtId="9" fontId="7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78"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0" fillId="0" borderId="0" applyFont="0" applyFill="0" applyBorder="0" applyAlignment="0" applyProtection="0"/>
    <xf numFmtId="9" fontId="78" fillId="0" borderId="0" applyFont="0" applyFill="0" applyBorder="0" applyAlignment="0" applyProtection="0"/>
    <xf numFmtId="9" fontId="10" fillId="0" borderId="0" applyFont="0" applyFill="0" applyBorder="0" applyAlignment="0" applyProtection="0"/>
    <xf numFmtId="9" fontId="14" fillId="0" borderId="0" applyFont="0" applyFill="0" applyBorder="0" applyAlignment="0" applyProtection="0"/>
    <xf numFmtId="9" fontId="10" fillId="0" borderId="0" applyFont="0" applyFill="0" applyBorder="0" applyAlignment="0" applyProtection="0"/>
    <xf numFmtId="10" fontId="13"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10" fontId="13"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0" fillId="0" borderId="0" applyFont="0" applyFill="0" applyBorder="0" applyAlignment="0" applyProtection="0"/>
    <xf numFmtId="9" fontId="11" fillId="0" borderId="0" applyFont="0" applyFill="0" applyBorder="0" applyAlignment="0" applyProtection="0"/>
    <xf numFmtId="10" fontId="13" fillId="0" borderId="0" applyFont="0" applyFill="0" applyBorder="0" applyAlignment="0" applyProtection="0"/>
    <xf numFmtId="9" fontId="78" fillId="0" borderId="0" applyFont="0" applyFill="0" applyBorder="0" applyAlignment="0" applyProtection="0"/>
    <xf numFmtId="9" fontId="65" fillId="0" borderId="0" applyFont="0" applyFill="0" applyBorder="0" applyAlignment="0" applyProtection="0"/>
    <xf numFmtId="10" fontId="13" fillId="0" borderId="0" applyFont="0" applyFill="0" applyBorder="0" applyAlignment="0" applyProtection="0"/>
    <xf numFmtId="10" fontId="13" fillId="0" borderId="0" applyFont="0" applyFill="0" applyBorder="0" applyAlignment="0" applyProtection="0"/>
    <xf numFmtId="9" fontId="78" fillId="0" borderId="0" applyFont="0" applyFill="0" applyBorder="0" applyAlignment="0" applyProtection="0"/>
    <xf numFmtId="9" fontId="65"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10" fontId="13" fillId="0" borderId="0" applyFont="0" applyFill="0" applyBorder="0" applyAlignment="0" applyProtection="0"/>
    <xf numFmtId="10" fontId="13" fillId="0" borderId="0" applyFont="0" applyFill="0" applyBorder="0" applyAlignment="0" applyProtection="0"/>
    <xf numFmtId="10" fontId="13" fillId="0" borderId="0" applyFont="0" applyFill="0" applyBorder="0" applyAlignment="0" applyProtection="0"/>
    <xf numFmtId="9" fontId="11" fillId="0" borderId="0" applyFont="0" applyFill="0" applyBorder="0" applyAlignment="0" applyProtection="0"/>
    <xf numFmtId="9" fontId="78" fillId="0" borderId="0" applyFont="0" applyFill="0" applyBorder="0" applyAlignment="0" applyProtection="0"/>
    <xf numFmtId="0" fontId="74" fillId="0" borderId="0"/>
    <xf numFmtId="9" fontId="52" fillId="0" borderId="3"/>
    <xf numFmtId="199" fontId="49" fillId="0" borderId="0" applyFont="0" applyFill="0" applyBorder="0" applyAlignment="0" applyProtection="0">
      <protection hidden="1"/>
    </xf>
    <xf numFmtId="0" fontId="28" fillId="0" borderId="0" applyNumberFormat="0" applyFont="0" applyFill="0" applyBorder="0" applyAlignment="0" applyProtection="0">
      <alignment horizontal="left"/>
    </xf>
    <xf numFmtId="15" fontId="28" fillId="0" borderId="0" applyFont="0" applyFill="0" applyBorder="0" applyAlignment="0" applyProtection="0"/>
    <xf numFmtId="4" fontId="28" fillId="0" borderId="0" applyFont="0" applyFill="0" applyBorder="0" applyAlignment="0" applyProtection="0"/>
    <xf numFmtId="0" fontId="29" fillId="0" borderId="10">
      <alignment horizontal="center"/>
    </xf>
    <xf numFmtId="3" fontId="28" fillId="0" borderId="0" applyFont="0" applyFill="0" applyBorder="0" applyAlignment="0" applyProtection="0"/>
    <xf numFmtId="0" fontId="28" fillId="10" borderId="0" applyNumberFormat="0" applyFont="0" applyBorder="0" applyAlignment="0" applyProtection="0"/>
    <xf numFmtId="0" fontId="75" fillId="0" borderId="0"/>
    <xf numFmtId="0" fontId="75" fillId="0" borderId="0"/>
    <xf numFmtId="3" fontId="59" fillId="0" borderId="0"/>
    <xf numFmtId="4" fontId="59" fillId="0" borderId="0"/>
    <xf numFmtId="166" fontId="60" fillId="0" borderId="0"/>
    <xf numFmtId="3" fontId="47" fillId="2" borderId="0"/>
    <xf numFmtId="3" fontId="33" fillId="9" borderId="0"/>
    <xf numFmtId="206" fontId="26" fillId="0" borderId="11">
      <alignment horizontal="right"/>
    </xf>
    <xf numFmtId="0" fontId="61" fillId="0" borderId="12" applyNumberFormat="0" applyFont="0" applyFill="0" applyAlignment="0" applyProtection="0"/>
    <xf numFmtId="0" fontId="61" fillId="0" borderId="13" applyNumberFormat="0" applyFont="0" applyFill="0" applyAlignment="0" applyProtection="0"/>
    <xf numFmtId="166" fontId="50" fillId="0" borderId="0"/>
    <xf numFmtId="0" fontId="11" fillId="0" borderId="0"/>
    <xf numFmtId="0" fontId="17" fillId="0" borderId="0">
      <alignment vertical="top"/>
    </xf>
    <xf numFmtId="0" fontId="11" fillId="0" borderId="0" applyNumberFormat="0" applyFill="0" applyBorder="0" applyAlignment="0" applyProtection="0"/>
    <xf numFmtId="0" fontId="30" fillId="0" borderId="0" applyNumberFormat="0" applyFill="0" applyBorder="0" applyProtection="0"/>
    <xf numFmtId="0" fontId="31" fillId="6" borderId="0" applyNumberFormat="0" applyBorder="0" applyProtection="0"/>
    <xf numFmtId="0" fontId="32" fillId="11" borderId="0" applyNumberFormat="0" applyBorder="0" applyProtection="0"/>
    <xf numFmtId="0" fontId="33" fillId="0" borderId="0" applyNumberFormat="0" applyFill="0" applyBorder="0" applyProtection="0"/>
    <xf numFmtId="0" fontId="32" fillId="0" borderId="0" applyNumberFormat="0" applyFill="0" applyBorder="0" applyProtection="0"/>
    <xf numFmtId="0" fontId="34" fillId="0" borderId="0" applyNumberFormat="0" applyFill="0" applyBorder="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11" fillId="0" borderId="0" applyNumberFormat="0" applyFont="0" applyFill="0" applyBorder="0" applyAlignment="0" applyProtection="0"/>
    <xf numFmtId="0" fontId="35" fillId="0" borderId="0" applyNumberFormat="0" applyFill="0" applyBorder="0" applyProtection="0"/>
    <xf numFmtId="0" fontId="76" fillId="0" borderId="0" applyNumberFormat="0" applyFill="0" applyBorder="0" applyProtection="0"/>
    <xf numFmtId="4" fontId="12" fillId="0" borderId="0" applyFill="0" applyBorder="0" applyProtection="0">
      <alignment wrapText="1"/>
    </xf>
    <xf numFmtId="0" fontId="12" fillId="0" borderId="0" applyNumberFormat="0" applyFill="0" applyBorder="0" applyProtection="0">
      <alignment horizontal="left" vertical="top" wrapText="1"/>
    </xf>
    <xf numFmtId="0" fontId="19" fillId="0" borderId="0" applyNumberFormat="0" applyFill="0" applyBorder="0" applyProtection="0">
      <alignment horizontal="left" vertical="top" wrapText="1"/>
    </xf>
    <xf numFmtId="4" fontId="36" fillId="0" borderId="0" applyFill="0" applyBorder="0" applyProtection="0">
      <alignment horizontal="center" wrapText="1"/>
    </xf>
    <xf numFmtId="181" fontId="36" fillId="0" borderId="0" applyFill="0" applyBorder="0" applyProtection="0">
      <alignment horizontal="right" wrapText="1"/>
    </xf>
    <xf numFmtId="169" fontId="36" fillId="0" borderId="0" applyFill="0" applyBorder="0" applyProtection="0">
      <alignment horizontal="right" wrapText="1"/>
    </xf>
    <xf numFmtId="182" fontId="36" fillId="0" borderId="0" applyFill="0" applyBorder="0" applyProtection="0">
      <alignment horizontal="right" wrapText="1"/>
    </xf>
    <xf numFmtId="3" fontId="36" fillId="0" borderId="0" applyFill="0" applyBorder="0" applyProtection="0">
      <alignment horizontal="center" wrapText="1"/>
    </xf>
    <xf numFmtId="183" fontId="36" fillId="0" borderId="0" applyFill="0" applyBorder="0" applyProtection="0">
      <alignment horizontal="right"/>
    </xf>
    <xf numFmtId="183" fontId="36" fillId="0" borderId="0" applyFill="0" applyBorder="0" applyProtection="0">
      <alignment horizontal="right"/>
    </xf>
    <xf numFmtId="0" fontId="19" fillId="0" borderId="0" applyNumberFormat="0" applyFill="0" applyBorder="0" applyProtection="0">
      <alignment wrapText="1"/>
    </xf>
    <xf numFmtId="0" fontId="12" fillId="0" borderId="0" applyNumberFormat="0" applyFill="0" applyBorder="0" applyProtection="0">
      <alignment wrapText="1"/>
    </xf>
    <xf numFmtId="0" fontId="12" fillId="0" borderId="0" applyNumberFormat="0" applyFill="0" applyBorder="0" applyProtection="0">
      <alignment horizontal="right" wrapText="1"/>
    </xf>
    <xf numFmtId="0" fontId="12" fillId="0" borderId="0" applyNumberFormat="0" applyFill="0" applyBorder="0" applyProtection="0">
      <alignment horizontal="left" vertical="top" wrapText="1"/>
    </xf>
    <xf numFmtId="0" fontId="16" fillId="0" borderId="14" applyNumberFormat="0" applyFill="0" applyProtection="0">
      <alignment horizontal="left" wrapText="1"/>
    </xf>
    <xf numFmtId="0" fontId="16" fillId="0" borderId="0" applyNumberFormat="0" applyFill="0" applyBorder="0" applyProtection="0">
      <alignment horizontal="right" wrapText="1"/>
    </xf>
    <xf numFmtId="184" fontId="12" fillId="0" borderId="0" applyFill="0" applyBorder="0" applyProtection="0">
      <alignment horizontal="right" wrapText="1"/>
    </xf>
    <xf numFmtId="169" fontId="12" fillId="0" borderId="0" applyFill="0" applyBorder="0" applyProtection="0">
      <alignment horizontal="right" wrapText="1"/>
    </xf>
    <xf numFmtId="4" fontId="12" fillId="0" borderId="0" applyFill="0" applyBorder="0" applyProtection="0">
      <alignment horizontal="right" wrapText="1"/>
    </xf>
    <xf numFmtId="169" fontId="12" fillId="0" borderId="0" applyFill="0" applyBorder="0" applyProtection="0">
      <alignment horizontal="right" wrapText="1"/>
    </xf>
    <xf numFmtId="3" fontId="12" fillId="0" borderId="0" applyFill="0" applyBorder="0" applyProtection="0">
      <alignment horizontal="right" wrapText="1"/>
    </xf>
    <xf numFmtId="44" fontId="12" fillId="0" borderId="0" applyFill="0" applyBorder="0" applyProtection="0">
      <alignment horizontal="right" wrapText="1"/>
    </xf>
    <xf numFmtId="44" fontId="19" fillId="0" borderId="0" applyFill="0" applyBorder="0" applyProtection="0">
      <alignment horizontal="right" wrapText="1"/>
    </xf>
    <xf numFmtId="185" fontId="12" fillId="0" borderId="0" applyFill="0" applyBorder="0" applyProtection="0">
      <alignment horizontal="right" wrapText="1"/>
    </xf>
    <xf numFmtId="185" fontId="19" fillId="0" borderId="0" applyFill="0" applyBorder="0" applyProtection="0">
      <alignment horizontal="right" wrapText="1"/>
    </xf>
    <xf numFmtId="44" fontId="37" fillId="0" borderId="0" applyFill="0" applyBorder="0" applyProtection="0">
      <alignment horizontal="right" wrapText="1"/>
    </xf>
    <xf numFmtId="186" fontId="12" fillId="0" borderId="0" applyFill="0" applyBorder="0" applyProtection="0">
      <alignment horizontal="right" wrapText="1"/>
    </xf>
    <xf numFmtId="166" fontId="54" fillId="0" borderId="0"/>
    <xf numFmtId="166" fontId="54" fillId="0" borderId="0"/>
    <xf numFmtId="3" fontId="54" fillId="0" borderId="3"/>
    <xf numFmtId="3" fontId="54" fillId="0" borderId="0"/>
    <xf numFmtId="0" fontId="54" fillId="0" borderId="0"/>
    <xf numFmtId="0" fontId="86" fillId="15" borderId="0"/>
    <xf numFmtId="0" fontId="26" fillId="0" borderId="0">
      <alignment horizontal="centerContinuous"/>
    </xf>
    <xf numFmtId="0" fontId="68" fillId="0" borderId="0">
      <alignment horizontal="centerContinuous"/>
    </xf>
    <xf numFmtId="207" fontId="66" fillId="12" borderId="0" applyNumberFormat="0" applyBorder="0">
      <alignment horizontal="center"/>
      <protection locked="0"/>
    </xf>
    <xf numFmtId="0" fontId="77" fillId="0" borderId="0">
      <alignment horizontal="right"/>
    </xf>
    <xf numFmtId="20" fontId="28" fillId="0" borderId="0"/>
    <xf numFmtId="0" fontId="12" fillId="0" borderId="0"/>
    <xf numFmtId="0" fontId="26" fillId="0" borderId="0">
      <alignment horizontal="centerContinuous"/>
    </xf>
    <xf numFmtId="200" fontId="49" fillId="0" borderId="0" applyFont="0" applyFill="0" applyBorder="0" applyAlignment="0" applyProtection="0">
      <alignment vertical="center" wrapText="1"/>
      <protection hidden="1"/>
    </xf>
    <xf numFmtId="39" fontId="26" fillId="13" borderId="0"/>
    <xf numFmtId="201" fontId="62" fillId="0" borderId="0" applyFont="0" applyFill="0" applyBorder="0" applyAlignment="0" applyProtection="0"/>
    <xf numFmtId="202" fontId="63" fillId="0" borderId="0"/>
    <xf numFmtId="38" fontId="11" fillId="0" borderId="0">
      <alignment horizontal="right" vertical="center"/>
    </xf>
    <xf numFmtId="0" fontId="9" fillId="0" borderId="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8" fillId="0" borderId="0"/>
    <xf numFmtId="0" fontId="7" fillId="0" borderId="0"/>
    <xf numFmtId="0" fontId="6" fillId="0" borderId="0"/>
    <xf numFmtId="0" fontId="5" fillId="0" borderId="0"/>
    <xf numFmtId="43" fontId="5" fillId="0" borderId="0" applyFont="0" applyFill="0" applyBorder="0" applyAlignment="0" applyProtection="0"/>
    <xf numFmtId="44" fontId="5" fillId="0" borderId="0" applyFont="0" applyFill="0" applyBorder="0" applyAlignment="0" applyProtection="0"/>
    <xf numFmtId="0" fontId="84" fillId="0" borderId="0"/>
    <xf numFmtId="9" fontId="5" fillId="0" borderId="0" applyFont="0" applyFill="0" applyBorder="0" applyAlignment="0" applyProtection="0"/>
    <xf numFmtId="0" fontId="4" fillId="0" borderId="0"/>
    <xf numFmtId="203" fontId="64" fillId="0" borderId="0"/>
    <xf numFmtId="204" fontId="26" fillId="0" borderId="0"/>
    <xf numFmtId="0" fontId="4" fillId="0" borderId="0"/>
    <xf numFmtId="43" fontId="11"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9" fontId="131" fillId="0" borderId="0" applyFont="0" applyFill="0" applyBorder="0" applyAlignment="0" applyProtection="0"/>
    <xf numFmtId="9" fontId="4" fillId="0" borderId="0" applyFont="0" applyFill="0" applyBorder="0" applyAlignment="0" applyProtection="0"/>
    <xf numFmtId="9" fontId="84" fillId="0" borderId="0" applyFont="0" applyFill="0" applyBorder="0" applyAlignment="0" applyProtection="0"/>
    <xf numFmtId="0" fontId="131" fillId="0" borderId="0"/>
    <xf numFmtId="0" fontId="131" fillId="0" borderId="0"/>
    <xf numFmtId="37" fontId="11" fillId="0" borderId="0"/>
    <xf numFmtId="0" fontId="3" fillId="0" borderId="0"/>
    <xf numFmtId="43" fontId="131" fillId="0" borderId="0" applyFont="0" applyFill="0" applyBorder="0" applyAlignment="0" applyProtection="0"/>
    <xf numFmtId="43" fontId="131" fillId="0" borderId="0" applyFont="0" applyFill="0" applyBorder="0" applyAlignment="0" applyProtection="0"/>
    <xf numFmtId="0" fontId="181" fillId="0" borderId="0"/>
    <xf numFmtId="0" fontId="131" fillId="0" borderId="0"/>
    <xf numFmtId="43" fontId="131" fillId="0" borderId="0" applyFont="0" applyFill="0" applyBorder="0" applyAlignment="0" applyProtection="0"/>
    <xf numFmtId="9" fontId="131" fillId="0" borderId="0" applyFont="0" applyFill="0" applyBorder="0" applyAlignment="0" applyProtection="0"/>
    <xf numFmtId="0" fontId="2" fillId="0" borderId="0"/>
    <xf numFmtId="43" fontId="84" fillId="0" borderId="0" applyFont="0" applyFill="0" applyBorder="0" applyAlignment="0" applyProtection="0"/>
    <xf numFmtId="0" fontId="1" fillId="0" borderId="0"/>
    <xf numFmtId="0" fontId="198" fillId="0" borderId="0" applyNumberFormat="0" applyFill="0" applyBorder="0" applyAlignment="0" applyProtection="0"/>
    <xf numFmtId="0" fontId="84" fillId="0" borderId="0"/>
    <xf numFmtId="0" fontId="131" fillId="0" borderId="0"/>
  </cellStyleXfs>
  <cellXfs count="1101">
    <xf numFmtId="0" fontId="0" fillId="0" borderId="0" xfId="0"/>
    <xf numFmtId="0" fontId="87" fillId="0" borderId="0" xfId="0" applyFont="1"/>
    <xf numFmtId="0" fontId="87" fillId="0" borderId="0" xfId="0" applyFont="1" applyAlignment="1">
      <alignment horizontal="center"/>
    </xf>
    <xf numFmtId="0" fontId="87" fillId="16" borderId="0" xfId="0" applyFont="1" applyFill="1"/>
    <xf numFmtId="0" fontId="88" fillId="16" borderId="0" xfId="0" applyFont="1" applyFill="1"/>
    <xf numFmtId="10" fontId="89" fillId="16" borderId="0" xfId="217" applyFont="1" applyFill="1" applyBorder="1"/>
    <xf numFmtId="0" fontId="91" fillId="16" borderId="0" xfId="0" applyFont="1" applyFill="1"/>
    <xf numFmtId="0" fontId="90" fillId="16" borderId="0" xfId="0" applyFont="1" applyFill="1"/>
    <xf numFmtId="0" fontId="92" fillId="16" borderId="0" xfId="0" applyFont="1" applyFill="1"/>
    <xf numFmtId="10" fontId="91" fillId="16" borderId="0" xfId="217" applyFont="1" applyFill="1" applyBorder="1"/>
    <xf numFmtId="166" fontId="17" fillId="16" borderId="0" xfId="217" applyNumberFormat="1" applyFont="1" applyFill="1" applyBorder="1" applyAlignment="1">
      <alignment horizontal="center"/>
    </xf>
    <xf numFmtId="0" fontId="11" fillId="2" borderId="0" xfId="165" applyFont="1" applyFill="1"/>
    <xf numFmtId="0" fontId="11" fillId="0" borderId="0" xfId="165" applyFont="1"/>
    <xf numFmtId="0" fontId="41" fillId="2" borderId="0" xfId="204" applyFont="1" applyFill="1" applyAlignment="1">
      <alignment horizontal="left"/>
    </xf>
    <xf numFmtId="0" fontId="20" fillId="2" borderId="0" xfId="204" applyFont="1" applyFill="1"/>
    <xf numFmtId="0" fontId="41" fillId="16" borderId="0" xfId="204" applyFont="1" applyFill="1"/>
    <xf numFmtId="0" fontId="41" fillId="2" borderId="0" xfId="204" applyFont="1" applyFill="1" applyAlignment="1">
      <alignment horizontal="center"/>
    </xf>
    <xf numFmtId="0" fontId="20" fillId="16" borderId="0" xfId="204" applyFont="1" applyFill="1"/>
    <xf numFmtId="170" fontId="11" fillId="2" borderId="0" xfId="204" applyNumberFormat="1" applyFill="1" applyAlignment="1">
      <alignment horizontal="center"/>
    </xf>
    <xf numFmtId="0" fontId="39" fillId="0" borderId="0" xfId="165" applyFont="1"/>
    <xf numFmtId="170" fontId="39" fillId="2" borderId="0" xfId="204" applyNumberFormat="1" applyFont="1" applyFill="1" applyAlignment="1">
      <alignment horizontal="center"/>
    </xf>
    <xf numFmtId="165" fontId="39" fillId="2" borderId="0" xfId="204" applyNumberFormat="1" applyFont="1" applyFill="1" applyAlignment="1">
      <alignment horizontal="center"/>
    </xf>
    <xf numFmtId="0" fontId="40" fillId="2" borderId="0" xfId="165" applyFont="1" applyFill="1"/>
    <xf numFmtId="170" fontId="11" fillId="16" borderId="0" xfId="165" applyNumberFormat="1" applyFont="1" applyFill="1"/>
    <xf numFmtId="0" fontId="11" fillId="16" borderId="0" xfId="165" applyFont="1" applyFill="1"/>
    <xf numFmtId="0" fontId="39" fillId="16" borderId="0" xfId="165" applyFont="1" applyFill="1"/>
    <xf numFmtId="2" fontId="11" fillId="0" borderId="0" xfId="165" applyNumberFormat="1" applyFont="1"/>
    <xf numFmtId="10" fontId="11" fillId="0" borderId="0" xfId="217" applyFont="1" applyBorder="1"/>
    <xf numFmtId="10" fontId="11" fillId="0" borderId="0" xfId="217" applyFont="1"/>
    <xf numFmtId="167" fontId="11" fillId="0" borderId="0" xfId="165" applyNumberFormat="1" applyFont="1"/>
    <xf numFmtId="2" fontId="11" fillId="2" borderId="0" xfId="204" applyNumberFormat="1" applyFill="1" applyAlignment="1">
      <alignment horizontal="left"/>
    </xf>
    <xf numFmtId="3" fontId="16" fillId="0" borderId="0" xfId="25" applyNumberFormat="1" applyFont="1" applyBorder="1" applyAlignment="1">
      <alignment horizontal="center"/>
    </xf>
    <xf numFmtId="167" fontId="17" fillId="0" borderId="0" xfId="0" applyNumberFormat="1" applyFont="1" applyAlignment="1">
      <alignment horizontal="center"/>
    </xf>
    <xf numFmtId="166" fontId="17" fillId="0" borderId="0" xfId="217" applyNumberFormat="1" applyFont="1" applyBorder="1" applyAlignment="1">
      <alignment horizontal="center"/>
    </xf>
    <xf numFmtId="0" fontId="17" fillId="0" borderId="0" xfId="0" applyFont="1" applyAlignment="1">
      <alignment horizontal="center"/>
    </xf>
    <xf numFmtId="166" fontId="16" fillId="0" borderId="0" xfId="217" applyNumberFormat="1" applyFont="1" applyBorder="1" applyAlignment="1">
      <alignment horizontal="center"/>
    </xf>
    <xf numFmtId="171" fontId="17" fillId="0" borderId="0" xfId="0" applyNumberFormat="1" applyFont="1" applyAlignment="1">
      <alignment horizontal="center"/>
    </xf>
    <xf numFmtId="171" fontId="17" fillId="0" borderId="0" xfId="217" applyNumberFormat="1" applyFont="1" applyBorder="1" applyAlignment="1">
      <alignment horizontal="center"/>
    </xf>
    <xf numFmtId="0" fontId="16" fillId="0" borderId="0" xfId="0" applyFont="1" applyAlignment="1">
      <alignment horizontal="center"/>
    </xf>
    <xf numFmtId="7" fontId="16" fillId="0" borderId="0" xfId="0" applyNumberFormat="1" applyFont="1" applyAlignment="1">
      <alignment horizontal="center"/>
    </xf>
    <xf numFmtId="10" fontId="17" fillId="0" borderId="2" xfId="217" applyFont="1" applyBorder="1" applyAlignment="1">
      <alignment horizontal="center"/>
    </xf>
    <xf numFmtId="167" fontId="11" fillId="0" borderId="2" xfId="165" applyNumberFormat="1" applyFont="1" applyBorder="1"/>
    <xf numFmtId="166" fontId="17" fillId="0" borderId="0" xfId="217" applyNumberFormat="1" applyFont="1" applyFill="1" applyBorder="1" applyAlignment="1">
      <alignment horizontal="center"/>
    </xf>
    <xf numFmtId="166" fontId="16" fillId="0" borderId="2" xfId="217" applyNumberFormat="1" applyFont="1" applyFill="1" applyBorder="1" applyAlignment="1">
      <alignment horizontal="center"/>
    </xf>
    <xf numFmtId="166" fontId="17" fillId="0" borderId="0" xfId="0" applyNumberFormat="1" applyFont="1" applyAlignment="1">
      <alignment horizontal="center"/>
    </xf>
    <xf numFmtId="3" fontId="16" fillId="0" borderId="0" xfId="25" applyNumberFormat="1" applyFont="1" applyFill="1" applyBorder="1" applyAlignment="1">
      <alignment horizontal="center"/>
    </xf>
    <xf numFmtId="167" fontId="16" fillId="0" borderId="0" xfId="0" applyNumberFormat="1" applyFont="1" applyAlignment="1">
      <alignment horizontal="center"/>
    </xf>
    <xf numFmtId="166" fontId="16" fillId="0" borderId="0" xfId="217" applyNumberFormat="1" applyFont="1" applyFill="1" applyBorder="1" applyAlignment="1">
      <alignment horizontal="center"/>
    </xf>
    <xf numFmtId="0" fontId="20" fillId="16" borderId="0" xfId="204" applyFont="1" applyFill="1" applyAlignment="1">
      <alignment horizontal="left" indent="1"/>
    </xf>
    <xf numFmtId="0" fontId="16" fillId="0" borderId="17" xfId="165" applyFont="1" applyBorder="1"/>
    <xf numFmtId="10" fontId="42" fillId="0" borderId="17" xfId="217" applyFont="1" applyBorder="1" applyAlignment="1"/>
    <xf numFmtId="0" fontId="17" fillId="0" borderId="17" xfId="165" applyFont="1" applyBorder="1"/>
    <xf numFmtId="0" fontId="16" fillId="0" borderId="16" xfId="165" applyFont="1" applyBorder="1"/>
    <xf numFmtId="10" fontId="18" fillId="0" borderId="9" xfId="217" applyFont="1" applyBorder="1" applyAlignment="1"/>
    <xf numFmtId="10" fontId="18" fillId="0" borderId="17" xfId="217" applyFont="1" applyBorder="1" applyAlignment="1"/>
    <xf numFmtId="0" fontId="17" fillId="0" borderId="1" xfId="165" applyFont="1" applyBorder="1"/>
    <xf numFmtId="0" fontId="16" fillId="2" borderId="1" xfId="165" applyFont="1" applyFill="1" applyBorder="1"/>
    <xf numFmtId="0" fontId="42" fillId="2" borderId="17" xfId="165" applyFont="1" applyFill="1" applyBorder="1"/>
    <xf numFmtId="10" fontId="42" fillId="0" borderId="9" xfId="217" applyFont="1" applyBorder="1" applyAlignment="1"/>
    <xf numFmtId="37" fontId="17" fillId="0" borderId="0" xfId="25" applyNumberFormat="1" applyFont="1" applyFill="1" applyBorder="1" applyAlignment="1">
      <alignment horizontal="center"/>
    </xf>
    <xf numFmtId="37" fontId="17" fillId="0" borderId="0" xfId="0" applyNumberFormat="1" applyFont="1" applyAlignment="1">
      <alignment horizontal="center"/>
    </xf>
    <xf numFmtId="171" fontId="93" fillId="0" borderId="0" xfId="0" applyNumberFormat="1" applyFont="1" applyAlignment="1">
      <alignment horizontal="center"/>
    </xf>
    <xf numFmtId="37" fontId="16" fillId="0" borderId="0" xfId="25" applyNumberFormat="1" applyFont="1" applyFill="1" applyBorder="1" applyAlignment="1">
      <alignment horizontal="center"/>
    </xf>
    <xf numFmtId="37" fontId="17" fillId="0" borderId="0" xfId="217" applyNumberFormat="1" applyFont="1" applyFill="1" applyBorder="1" applyAlignment="1">
      <alignment horizontal="center"/>
    </xf>
    <xf numFmtId="37" fontId="16" fillId="0" borderId="0" xfId="0" applyNumberFormat="1" applyFont="1" applyAlignment="1">
      <alignment horizontal="center"/>
    </xf>
    <xf numFmtId="166" fontId="16" fillId="0" borderId="15" xfId="217" applyNumberFormat="1" applyFont="1" applyFill="1" applyBorder="1" applyAlignment="1">
      <alignment horizontal="center"/>
    </xf>
    <xf numFmtId="37" fontId="16" fillId="0" borderId="18" xfId="25" applyNumberFormat="1" applyFont="1" applyFill="1" applyBorder="1" applyAlignment="1">
      <alignment horizontal="center"/>
    </xf>
    <xf numFmtId="0" fontId="88" fillId="0" borderId="0" xfId="0" applyFont="1" applyAlignment="1">
      <alignment horizontal="center"/>
    </xf>
    <xf numFmtId="172" fontId="17" fillId="0" borderId="0" xfId="0" applyNumberFormat="1" applyFont="1" applyAlignment="1">
      <alignment horizontal="center"/>
    </xf>
    <xf numFmtId="7" fontId="17" fillId="0" borderId="7" xfId="0" applyNumberFormat="1" applyFont="1" applyBorder="1" applyAlignment="1">
      <alignment horizontal="center"/>
    </xf>
    <xf numFmtId="7" fontId="16" fillId="0" borderId="19" xfId="0" applyNumberFormat="1" applyFont="1" applyBorder="1" applyAlignment="1">
      <alignment horizontal="center"/>
    </xf>
    <xf numFmtId="7" fontId="16" fillId="0" borderId="7" xfId="0" applyNumberFormat="1" applyFont="1" applyBorder="1" applyAlignment="1">
      <alignment horizontal="center"/>
    </xf>
    <xf numFmtId="0" fontId="94" fillId="17" borderId="21" xfId="0" applyFont="1" applyFill="1" applyBorder="1" applyAlignment="1">
      <alignment horizontal="center"/>
    </xf>
    <xf numFmtId="10" fontId="17" fillId="0" borderId="2" xfId="217" applyFont="1" applyFill="1" applyBorder="1" applyAlignment="1">
      <alignment horizontal="center"/>
    </xf>
    <xf numFmtId="172" fontId="16" fillId="0" borderId="0" xfId="0" applyNumberFormat="1" applyFont="1" applyAlignment="1">
      <alignment horizontal="center"/>
    </xf>
    <xf numFmtId="37" fontId="17" fillId="0" borderId="0" xfId="25" applyNumberFormat="1" applyFont="1" applyBorder="1" applyAlignment="1">
      <alignment horizontal="center"/>
    </xf>
    <xf numFmtId="37" fontId="16" fillId="0" borderId="0" xfId="25" applyNumberFormat="1" applyFont="1" applyBorder="1" applyAlignment="1">
      <alignment horizontal="center"/>
    </xf>
    <xf numFmtId="7" fontId="17" fillId="0" borderId="19" xfId="0" applyNumberFormat="1" applyFont="1" applyBorder="1" applyAlignment="1">
      <alignment horizontal="center"/>
    </xf>
    <xf numFmtId="7" fontId="16" fillId="0" borderId="15" xfId="0" applyNumberFormat="1" applyFont="1" applyBorder="1" applyAlignment="1">
      <alignment horizontal="center"/>
    </xf>
    <xf numFmtId="166" fontId="39" fillId="16" borderId="0" xfId="231" applyNumberFormat="1" applyFont="1" applyFill="1" applyBorder="1" applyAlignment="1">
      <alignment horizontal="center"/>
    </xf>
    <xf numFmtId="164" fontId="11" fillId="18" borderId="16" xfId="165" quotePrefix="1" applyNumberFormat="1" applyFont="1" applyFill="1" applyBorder="1" applyAlignment="1">
      <alignment horizontal="center"/>
    </xf>
    <xf numFmtId="164" fontId="11" fillId="18" borderId="17" xfId="165" quotePrefix="1" applyNumberFormat="1" applyFont="1" applyFill="1" applyBorder="1" applyAlignment="1">
      <alignment horizontal="center"/>
    </xf>
    <xf numFmtId="164" fontId="11" fillId="18" borderId="9" xfId="165" quotePrefix="1" applyNumberFormat="1" applyFont="1" applyFill="1" applyBorder="1" applyAlignment="1">
      <alignment horizontal="center"/>
    </xf>
    <xf numFmtId="170" fontId="39" fillId="2" borderId="0" xfId="204" applyNumberFormat="1" applyFont="1" applyFill="1" applyAlignment="1">
      <alignment horizontal="centerContinuous"/>
    </xf>
    <xf numFmtId="170" fontId="11" fillId="2" borderId="0" xfId="204" applyNumberFormat="1" applyFill="1" applyAlignment="1">
      <alignment horizontal="centerContinuous"/>
    </xf>
    <xf numFmtId="1" fontId="11" fillId="2" borderId="0" xfId="204" applyNumberFormat="1" applyFill="1" applyAlignment="1">
      <alignment horizontal="centerContinuous"/>
    </xf>
    <xf numFmtId="1" fontId="11" fillId="16" borderId="0" xfId="204" applyNumberFormat="1" applyFill="1"/>
    <xf numFmtId="168" fontId="11" fillId="16" borderId="0" xfId="165" applyNumberFormat="1" applyFont="1" applyFill="1" applyAlignment="1">
      <alignment horizontal="centerContinuous"/>
    </xf>
    <xf numFmtId="170" fontId="39" fillId="16" borderId="0" xfId="204" applyNumberFormat="1" applyFont="1" applyFill="1" applyAlignment="1">
      <alignment horizontal="centerContinuous"/>
    </xf>
    <xf numFmtId="9" fontId="11" fillId="16" borderId="0" xfId="217" applyNumberFormat="1" applyFont="1" applyFill="1" applyBorder="1" applyAlignment="1">
      <alignment horizontal="centerContinuous"/>
    </xf>
    <xf numFmtId="9" fontId="39" fillId="16" borderId="0" xfId="217" applyNumberFormat="1" applyFont="1" applyFill="1" applyBorder="1" applyAlignment="1">
      <alignment horizontal="centerContinuous"/>
    </xf>
    <xf numFmtId="0" fontId="43" fillId="16" borderId="0" xfId="204" applyFont="1" applyFill="1"/>
    <xf numFmtId="1" fontId="45" fillId="2" borderId="0" xfId="204" applyNumberFormat="1" applyFont="1" applyFill="1" applyAlignment="1">
      <alignment horizontal="center"/>
    </xf>
    <xf numFmtId="165" fontId="44" fillId="2" borderId="0" xfId="204" applyNumberFormat="1" applyFont="1" applyFill="1" applyAlignment="1">
      <alignment horizontal="center"/>
    </xf>
    <xf numFmtId="0" fontId="94" fillId="17" borderId="15" xfId="0" applyFont="1" applyFill="1" applyBorder="1"/>
    <xf numFmtId="0" fontId="94" fillId="17" borderId="22" xfId="0" applyFont="1" applyFill="1" applyBorder="1" applyAlignment="1">
      <alignment horizontal="centerContinuous"/>
    </xf>
    <xf numFmtId="0" fontId="95" fillId="18" borderId="0" xfId="0" applyFont="1" applyFill="1"/>
    <xf numFmtId="189" fontId="95" fillId="18" borderId="23" xfId="0" applyNumberFormat="1" applyFont="1" applyFill="1" applyBorder="1" applyAlignment="1">
      <alignment horizontal="centerContinuous"/>
    </xf>
    <xf numFmtId="0" fontId="0" fillId="18" borderId="24" xfId="0" applyFill="1" applyBorder="1" applyAlignment="1">
      <alignment horizontal="centerContinuous"/>
    </xf>
    <xf numFmtId="0" fontId="96" fillId="18" borderId="0" xfId="0" applyFont="1" applyFill="1"/>
    <xf numFmtId="164" fontId="96" fillId="18" borderId="23" xfId="0" applyNumberFormat="1" applyFont="1" applyFill="1" applyBorder="1" applyAlignment="1">
      <alignment horizontal="centerContinuous"/>
    </xf>
    <xf numFmtId="164" fontId="46" fillId="18" borderId="24" xfId="0" applyNumberFormat="1" applyFont="1" applyFill="1" applyBorder="1" applyAlignment="1">
      <alignment horizontal="centerContinuous"/>
    </xf>
    <xf numFmtId="166" fontId="11" fillId="16" borderId="0" xfId="165" applyNumberFormat="1" applyFont="1" applyFill="1" applyAlignment="1">
      <alignment horizontal="centerContinuous"/>
    </xf>
    <xf numFmtId="166" fontId="39" fillId="16" borderId="0" xfId="204" applyNumberFormat="1" applyFont="1" applyFill="1" applyAlignment="1">
      <alignment horizontal="centerContinuous"/>
    </xf>
    <xf numFmtId="0" fontId="87" fillId="0" borderId="0" xfId="0" applyFont="1" applyAlignment="1">
      <alignment horizontal="left"/>
    </xf>
    <xf numFmtId="0" fontId="17" fillId="0" borderId="17" xfId="165" applyFont="1" applyBorder="1" applyAlignment="1">
      <alignment horizontal="left" indent="1"/>
    </xf>
    <xf numFmtId="7" fontId="11" fillId="16" borderId="0" xfId="165" applyNumberFormat="1" applyFont="1" applyFill="1"/>
    <xf numFmtId="0" fontId="94" fillId="17" borderId="18" xfId="0" applyFont="1" applyFill="1" applyBorder="1" applyAlignment="1">
      <alignment horizontal="center"/>
    </xf>
    <xf numFmtId="3" fontId="16" fillId="16" borderId="0" xfId="25" applyNumberFormat="1" applyFont="1" applyFill="1" applyBorder="1" applyAlignment="1">
      <alignment horizontal="center"/>
    </xf>
    <xf numFmtId="0" fontId="16" fillId="0" borderId="0" xfId="165" applyFont="1"/>
    <xf numFmtId="0" fontId="94" fillId="17" borderId="0" xfId="0" applyFont="1" applyFill="1"/>
    <xf numFmtId="37" fontId="11" fillId="16" borderId="0" xfId="165" applyNumberFormat="1" applyFont="1" applyFill="1" applyAlignment="1">
      <alignment horizontal="centerContinuous"/>
    </xf>
    <xf numFmtId="37" fontId="39" fillId="16" borderId="0" xfId="165" applyNumberFormat="1" applyFont="1" applyFill="1" applyAlignment="1">
      <alignment horizontal="centerContinuous"/>
    </xf>
    <xf numFmtId="37" fontId="11" fillId="0" borderId="0" xfId="165" applyNumberFormat="1" applyFont="1"/>
    <xf numFmtId="37" fontId="11" fillId="0" borderId="0" xfId="217" applyNumberFormat="1" applyFont="1" applyBorder="1" applyAlignment="1"/>
    <xf numFmtId="37" fontId="11" fillId="16" borderId="2" xfId="165" applyNumberFormat="1" applyFont="1" applyFill="1" applyBorder="1" applyAlignment="1">
      <alignment horizontal="centerContinuous"/>
    </xf>
    <xf numFmtId="170" fontId="11" fillId="16" borderId="0" xfId="165" applyNumberFormat="1" applyFont="1" applyFill="1" applyAlignment="1">
      <alignment horizontal="centerContinuous"/>
    </xf>
    <xf numFmtId="170" fontId="11" fillId="16" borderId="0" xfId="204" applyNumberFormat="1" applyFill="1" applyAlignment="1">
      <alignment horizontal="centerContinuous"/>
    </xf>
    <xf numFmtId="170" fontId="20" fillId="16" borderId="0" xfId="204" applyNumberFormat="1" applyFont="1" applyFill="1" applyAlignment="1">
      <alignment horizontal="centerContinuous"/>
    </xf>
    <xf numFmtId="170" fontId="40" fillId="2" borderId="0" xfId="165" applyNumberFormat="1" applyFont="1" applyFill="1"/>
    <xf numFmtId="170" fontId="40" fillId="16" borderId="0" xfId="165" applyNumberFormat="1" applyFont="1" applyFill="1"/>
    <xf numFmtId="170" fontId="11" fillId="0" borderId="0" xfId="165" applyNumberFormat="1" applyFont="1" applyAlignment="1">
      <alignment horizontal="centerContinuous"/>
    </xf>
    <xf numFmtId="188" fontId="11" fillId="16" borderId="0" xfId="165" applyNumberFormat="1" applyFont="1" applyFill="1"/>
    <xf numFmtId="10" fontId="11" fillId="16" borderId="0" xfId="217" applyFont="1" applyFill="1" applyBorder="1"/>
    <xf numFmtId="168" fontId="87" fillId="0" borderId="0" xfId="0" applyNumberFormat="1" applyFont="1"/>
    <xf numFmtId="190" fontId="11" fillId="16" borderId="0" xfId="165" applyNumberFormat="1" applyFont="1" applyFill="1" applyAlignment="1">
      <alignment horizontal="centerContinuous"/>
    </xf>
    <xf numFmtId="0" fontId="87" fillId="16" borderId="0" xfId="0" applyFont="1" applyFill="1" applyAlignment="1">
      <alignment horizontal="center"/>
    </xf>
    <xf numFmtId="172" fontId="17" fillId="0" borderId="0" xfId="217" applyNumberFormat="1" applyFont="1" applyBorder="1" applyAlignment="1">
      <alignment horizontal="center"/>
    </xf>
    <xf numFmtId="10" fontId="16" fillId="0" borderId="0" xfId="217" applyFont="1" applyFill="1" applyBorder="1" applyAlignment="1">
      <alignment horizontal="center"/>
    </xf>
    <xf numFmtId="5" fontId="11" fillId="16" borderId="0" xfId="204" applyNumberFormat="1" applyFill="1" applyAlignment="1">
      <alignment horizontal="centerContinuous"/>
    </xf>
    <xf numFmtId="3" fontId="16" fillId="0" borderId="18" xfId="25" applyNumberFormat="1" applyFont="1" applyFill="1" applyBorder="1" applyAlignment="1">
      <alignment horizontal="center"/>
    </xf>
    <xf numFmtId="2" fontId="11" fillId="16" borderId="0" xfId="217" applyNumberFormat="1" applyFont="1" applyFill="1" applyBorder="1" applyAlignment="1">
      <alignment horizontal="centerContinuous"/>
    </xf>
    <xf numFmtId="2" fontId="11" fillId="16" borderId="0" xfId="165" applyNumberFormat="1" applyFont="1" applyFill="1" applyAlignment="1">
      <alignment horizontal="centerContinuous"/>
    </xf>
    <xf numFmtId="168" fontId="87" fillId="0" borderId="0" xfId="0" applyNumberFormat="1" applyFont="1" applyAlignment="1">
      <alignment horizontal="center"/>
    </xf>
    <xf numFmtId="188" fontId="87" fillId="0" borderId="0" xfId="0" applyNumberFormat="1" applyFont="1" applyAlignment="1">
      <alignment horizontal="center"/>
    </xf>
    <xf numFmtId="191" fontId="16" fillId="0" borderId="0" xfId="0" applyNumberFormat="1" applyFont="1" applyAlignment="1">
      <alignment horizontal="center"/>
    </xf>
    <xf numFmtId="39" fontId="87" fillId="0" borderId="0" xfId="0" applyNumberFormat="1" applyFont="1"/>
    <xf numFmtId="188" fontId="87" fillId="0" borderId="0" xfId="0" quotePrefix="1" applyNumberFormat="1" applyFont="1" applyAlignment="1">
      <alignment horizontal="center"/>
    </xf>
    <xf numFmtId="4" fontId="87" fillId="0" borderId="0" xfId="25" quotePrefix="1" applyFont="1" applyBorder="1" applyAlignment="1">
      <alignment horizontal="center"/>
    </xf>
    <xf numFmtId="170" fontId="97" fillId="16" borderId="0" xfId="204" applyNumberFormat="1" applyFont="1" applyFill="1" applyAlignment="1">
      <alignment horizontal="centerContinuous"/>
    </xf>
    <xf numFmtId="170" fontId="97" fillId="16" borderId="0" xfId="165" applyNumberFormat="1" applyFont="1" applyFill="1" applyAlignment="1">
      <alignment horizontal="centerContinuous"/>
    </xf>
    <xf numFmtId="5" fontId="87" fillId="0" borderId="0" xfId="0" applyNumberFormat="1" applyFont="1" applyAlignment="1">
      <alignment horizontal="center"/>
    </xf>
    <xf numFmtId="166" fontId="16" fillId="16" borderId="0" xfId="217" applyNumberFormat="1" applyFont="1" applyFill="1" applyBorder="1" applyAlignment="1">
      <alignment horizontal="center"/>
    </xf>
    <xf numFmtId="167" fontId="16" fillId="16" borderId="0" xfId="0" applyNumberFormat="1" applyFont="1" applyFill="1" applyAlignment="1">
      <alignment horizontal="center"/>
    </xf>
    <xf numFmtId="37" fontId="17" fillId="16" borderId="0" xfId="25" applyNumberFormat="1" applyFont="1" applyFill="1" applyBorder="1" applyAlignment="1">
      <alignment horizontal="center"/>
    </xf>
    <xf numFmtId="37" fontId="16" fillId="16" borderId="0" xfId="25" applyNumberFormat="1" applyFont="1" applyFill="1" applyBorder="1" applyAlignment="1">
      <alignment horizontal="center"/>
    </xf>
    <xf numFmtId="7" fontId="16" fillId="16" borderId="0" xfId="0" applyNumberFormat="1" applyFont="1" applyFill="1" applyAlignment="1">
      <alignment horizontal="center"/>
    </xf>
    <xf numFmtId="171" fontId="17" fillId="16" borderId="0" xfId="0" applyNumberFormat="1" applyFont="1" applyFill="1" applyAlignment="1">
      <alignment horizontal="center"/>
    </xf>
    <xf numFmtId="166" fontId="39" fillId="16" borderId="0" xfId="239" applyNumberFormat="1" applyFont="1" applyFill="1" applyBorder="1" applyAlignment="1">
      <alignment horizontal="center"/>
    </xf>
    <xf numFmtId="166" fontId="18" fillId="0" borderId="0" xfId="217" applyNumberFormat="1" applyFont="1" applyFill="1" applyBorder="1" applyAlignment="1">
      <alignment horizontal="center"/>
    </xf>
    <xf numFmtId="166" fontId="18" fillId="0" borderId="0" xfId="217" applyNumberFormat="1" applyFont="1" applyBorder="1" applyAlignment="1">
      <alignment horizontal="center"/>
    </xf>
    <xf numFmtId="7" fontId="87" fillId="0" borderId="0" xfId="0" quotePrefix="1" applyNumberFormat="1" applyFont="1" applyAlignment="1">
      <alignment horizontal="center"/>
    </xf>
    <xf numFmtId="0" fontId="41" fillId="16" borderId="18" xfId="204" applyFont="1" applyFill="1" applyBorder="1"/>
    <xf numFmtId="170" fontId="39" fillId="2" borderId="18" xfId="204" applyNumberFormat="1" applyFont="1" applyFill="1" applyBorder="1" applyAlignment="1">
      <alignment horizontal="center"/>
    </xf>
    <xf numFmtId="168" fontId="16" fillId="0" borderId="0" xfId="0" applyNumberFormat="1" applyFont="1" applyAlignment="1">
      <alignment horizontal="center"/>
    </xf>
    <xf numFmtId="168" fontId="17" fillId="0" borderId="0" xfId="25" applyNumberFormat="1" applyFont="1" applyFill="1" applyBorder="1" applyAlignment="1">
      <alignment horizontal="center"/>
    </xf>
    <xf numFmtId="192" fontId="39" fillId="16" borderId="0" xfId="204" applyNumberFormat="1" applyFont="1" applyFill="1" applyAlignment="1">
      <alignment horizontal="centerContinuous"/>
    </xf>
    <xf numFmtId="168" fontId="17" fillId="0" borderId="0" xfId="165" applyNumberFormat="1" applyFont="1" applyAlignment="1">
      <alignment horizontal="center"/>
    </xf>
    <xf numFmtId="168" fontId="17" fillId="0" borderId="0" xfId="0" applyNumberFormat="1" applyFont="1" applyAlignment="1">
      <alignment horizontal="center"/>
    </xf>
    <xf numFmtId="0" fontId="98" fillId="0" borderId="0" xfId="0" applyFont="1"/>
    <xf numFmtId="0" fontId="34" fillId="16" borderId="0" xfId="204" applyFont="1" applyFill="1"/>
    <xf numFmtId="168" fontId="16" fillId="0" borderId="0" xfId="25" applyNumberFormat="1" applyFont="1" applyBorder="1" applyAlignment="1">
      <alignment horizontal="center"/>
    </xf>
    <xf numFmtId="39" fontId="16" fillId="0" borderId="0" xfId="25" applyNumberFormat="1" applyFont="1" applyBorder="1" applyAlignment="1">
      <alignment horizontal="center"/>
    </xf>
    <xf numFmtId="39" fontId="16" fillId="0" borderId="0" xfId="0" applyNumberFormat="1" applyFont="1" applyAlignment="1">
      <alignment horizontal="center"/>
    </xf>
    <xf numFmtId="0" fontId="81" fillId="0" borderId="0" xfId="125" applyBorder="1" applyAlignment="1"/>
    <xf numFmtId="0" fontId="17" fillId="16" borderId="0" xfId="0" applyFont="1" applyFill="1" applyAlignment="1">
      <alignment horizontal="center"/>
    </xf>
    <xf numFmtId="4" fontId="12" fillId="16" borderId="0" xfId="25" applyFont="1" applyFill="1" applyBorder="1" applyAlignment="1">
      <alignment horizontal="center"/>
    </xf>
    <xf numFmtId="166" fontId="18" fillId="16" borderId="0" xfId="217" applyNumberFormat="1" applyFont="1" applyFill="1" applyBorder="1" applyAlignment="1">
      <alignment horizontal="center"/>
    </xf>
    <xf numFmtId="37" fontId="17" fillId="16" borderId="0" xfId="0" applyNumberFormat="1" applyFont="1" applyFill="1" applyAlignment="1">
      <alignment horizontal="center"/>
    </xf>
    <xf numFmtId="171" fontId="93" fillId="16" borderId="0" xfId="0" applyNumberFormat="1" applyFont="1" applyFill="1" applyAlignment="1">
      <alignment horizontal="center"/>
    </xf>
    <xf numFmtId="172" fontId="16" fillId="16" borderId="0" xfId="0" applyNumberFormat="1" applyFont="1" applyFill="1" applyAlignment="1">
      <alignment horizontal="center"/>
    </xf>
    <xf numFmtId="172" fontId="93" fillId="16" borderId="0" xfId="217" applyNumberFormat="1" applyFont="1" applyFill="1" applyBorder="1" applyAlignment="1">
      <alignment horizontal="center"/>
    </xf>
    <xf numFmtId="172" fontId="17" fillId="16" borderId="0" xfId="0" applyNumberFormat="1" applyFont="1" applyFill="1" applyAlignment="1">
      <alignment horizontal="center"/>
    </xf>
    <xf numFmtId="167" fontId="17" fillId="16" borderId="0" xfId="0" applyNumberFormat="1" applyFont="1" applyFill="1" applyAlignment="1">
      <alignment horizontal="center"/>
    </xf>
    <xf numFmtId="7" fontId="17" fillId="16" borderId="7" xfId="0" applyNumberFormat="1" applyFont="1" applyFill="1" applyBorder="1" applyAlignment="1">
      <alignment horizontal="center"/>
    </xf>
    <xf numFmtId="7" fontId="16" fillId="16" borderId="7" xfId="0" applyNumberFormat="1" applyFont="1" applyFill="1" applyBorder="1" applyAlignment="1">
      <alignment horizontal="center"/>
    </xf>
    <xf numFmtId="7" fontId="87" fillId="0" borderId="0" xfId="0" applyNumberFormat="1" applyFont="1" applyAlignment="1">
      <alignment horizontal="center"/>
    </xf>
    <xf numFmtId="168" fontId="17" fillId="16" borderId="0" xfId="165" applyNumberFormat="1" applyFont="1" applyFill="1" applyAlignment="1">
      <alignment horizontal="center"/>
    </xf>
    <xf numFmtId="3" fontId="18" fillId="16" borderId="0" xfId="25" applyNumberFormat="1" applyFont="1" applyFill="1" applyBorder="1" applyAlignment="1">
      <alignment horizontal="center"/>
    </xf>
    <xf numFmtId="172" fontId="17" fillId="0" borderId="0" xfId="217" applyNumberFormat="1" applyFont="1" applyFill="1" applyBorder="1" applyAlignment="1">
      <alignment horizontal="center"/>
    </xf>
    <xf numFmtId="3" fontId="16" fillId="16" borderId="18" xfId="25" applyNumberFormat="1" applyFont="1" applyFill="1" applyBorder="1" applyAlignment="1">
      <alignment horizontal="center"/>
    </xf>
    <xf numFmtId="166" fontId="16" fillId="16" borderId="2" xfId="217" applyNumberFormat="1" applyFont="1" applyFill="1" applyBorder="1" applyAlignment="1">
      <alignment horizontal="center"/>
    </xf>
    <xf numFmtId="166" fontId="17" fillId="16" borderId="0" xfId="0" applyNumberFormat="1" applyFont="1" applyFill="1" applyAlignment="1">
      <alignment horizontal="center"/>
    </xf>
    <xf numFmtId="208" fontId="11" fillId="16" borderId="0" xfId="165" applyNumberFormat="1" applyFont="1" applyFill="1"/>
    <xf numFmtId="5" fontId="87" fillId="0" borderId="0" xfId="0" quotePrefix="1" applyNumberFormat="1" applyFont="1" applyAlignment="1">
      <alignment horizontal="center"/>
    </xf>
    <xf numFmtId="168" fontId="16" fillId="16" borderId="0" xfId="25" applyNumberFormat="1" applyFont="1" applyFill="1" applyBorder="1" applyAlignment="1">
      <alignment horizontal="center"/>
    </xf>
    <xf numFmtId="3" fontId="16" fillId="19" borderId="0" xfId="25" applyNumberFormat="1" applyFont="1" applyFill="1" applyBorder="1" applyAlignment="1">
      <alignment horizontal="center"/>
    </xf>
    <xf numFmtId="188" fontId="87" fillId="16" borderId="0" xfId="0" quotePrefix="1" applyNumberFormat="1" applyFont="1" applyFill="1" applyAlignment="1">
      <alignment horizontal="center"/>
    </xf>
    <xf numFmtId="0" fontId="40" fillId="16" borderId="0" xfId="165" applyFont="1" applyFill="1"/>
    <xf numFmtId="7" fontId="17" fillId="16" borderId="0" xfId="0" applyNumberFormat="1" applyFont="1" applyFill="1" applyAlignment="1">
      <alignment horizontal="center"/>
    </xf>
    <xf numFmtId="170" fontId="20" fillId="0" borderId="0" xfId="204" applyNumberFormat="1" applyFont="1" applyAlignment="1">
      <alignment horizontal="centerContinuous"/>
    </xf>
    <xf numFmtId="9" fontId="12" fillId="16" borderId="0" xfId="217" applyNumberFormat="1" applyFont="1" applyFill="1" applyBorder="1" applyAlignment="1">
      <alignment horizontal="center"/>
    </xf>
    <xf numFmtId="172" fontId="17" fillId="16" borderId="0" xfId="217" applyNumberFormat="1" applyFont="1" applyFill="1" applyBorder="1" applyAlignment="1">
      <alignment horizontal="center"/>
    </xf>
    <xf numFmtId="166" fontId="42" fillId="0" borderId="0" xfId="217" applyNumberFormat="1" applyFont="1" applyFill="1" applyBorder="1" applyAlignment="1">
      <alignment horizontal="center"/>
    </xf>
    <xf numFmtId="166" fontId="42" fillId="0" borderId="0" xfId="217" applyNumberFormat="1" applyFont="1" applyBorder="1" applyAlignment="1">
      <alignment horizontal="center"/>
    </xf>
    <xf numFmtId="166" fontId="42" fillId="16" borderId="0" xfId="217" applyNumberFormat="1" applyFont="1" applyFill="1" applyBorder="1" applyAlignment="1">
      <alignment horizontal="center"/>
    </xf>
    <xf numFmtId="7" fontId="87" fillId="16" borderId="0" xfId="0" quotePrefix="1" applyNumberFormat="1" applyFont="1" applyFill="1" applyAlignment="1">
      <alignment horizontal="center"/>
    </xf>
    <xf numFmtId="188" fontId="87" fillId="16" borderId="0" xfId="0" quotePrefix="1" applyNumberFormat="1" applyFont="1" applyFill="1" applyAlignment="1">
      <alignment horizontal="left"/>
    </xf>
    <xf numFmtId="37" fontId="11" fillId="16" borderId="0" xfId="165" applyNumberFormat="1" applyFont="1" applyFill="1"/>
    <xf numFmtId="37" fontId="11" fillId="16" borderId="0" xfId="217" applyNumberFormat="1" applyFont="1" applyFill="1" applyBorder="1" applyAlignment="1"/>
    <xf numFmtId="39" fontId="17" fillId="16" borderId="0" xfId="0" applyNumberFormat="1" applyFont="1" applyFill="1" applyAlignment="1">
      <alignment horizontal="center"/>
    </xf>
    <xf numFmtId="173" fontId="16" fillId="16" borderId="0" xfId="0" applyNumberFormat="1" applyFont="1" applyFill="1" applyAlignment="1">
      <alignment horizontal="center"/>
    </xf>
    <xf numFmtId="169" fontId="87" fillId="0" borderId="0" xfId="0" applyNumberFormat="1" applyFont="1"/>
    <xf numFmtId="10" fontId="88" fillId="0" borderId="0" xfId="217" applyFont="1" applyBorder="1" applyAlignment="1">
      <alignment horizontal="center"/>
    </xf>
    <xf numFmtId="10" fontId="99" fillId="0" borderId="17" xfId="217" applyFont="1" applyBorder="1" applyAlignment="1">
      <alignment horizontal="left" indent="1"/>
    </xf>
    <xf numFmtId="166" fontId="12" fillId="0" borderId="0" xfId="217" applyNumberFormat="1" applyFont="1" applyFill="1" applyBorder="1" applyAlignment="1">
      <alignment horizontal="center"/>
    </xf>
    <xf numFmtId="9" fontId="12" fillId="0" borderId="0" xfId="217" applyNumberFormat="1" applyFont="1" applyFill="1" applyBorder="1" applyAlignment="1">
      <alignment horizontal="center"/>
    </xf>
    <xf numFmtId="9" fontId="100" fillId="16" borderId="0" xfId="217" applyNumberFormat="1" applyFont="1" applyFill="1" applyBorder="1" applyAlignment="1">
      <alignment horizontal="center"/>
    </xf>
    <xf numFmtId="10" fontId="99" fillId="0" borderId="9" xfId="217" applyFont="1" applyBorder="1" applyAlignment="1">
      <alignment horizontal="left" indent="1"/>
    </xf>
    <xf numFmtId="166" fontId="12" fillId="0" borderId="2" xfId="217" applyNumberFormat="1" applyFont="1" applyFill="1" applyBorder="1" applyAlignment="1">
      <alignment horizontal="center"/>
    </xf>
    <xf numFmtId="9" fontId="12" fillId="0" borderId="2" xfId="217" applyNumberFormat="1" applyFont="1" applyFill="1" applyBorder="1" applyAlignment="1">
      <alignment horizontal="center"/>
    </xf>
    <xf numFmtId="9" fontId="12" fillId="16" borderId="2" xfId="217" applyNumberFormat="1" applyFont="1" applyFill="1" applyBorder="1" applyAlignment="1">
      <alignment horizontal="center"/>
    </xf>
    <xf numFmtId="13" fontId="87" fillId="16" borderId="0" xfId="0" quotePrefix="1" applyNumberFormat="1" applyFont="1" applyFill="1" applyAlignment="1">
      <alignment horizontal="center"/>
    </xf>
    <xf numFmtId="165" fontId="88" fillId="0" borderId="0" xfId="71" applyFont="1" applyBorder="1" applyAlignment="1">
      <alignment horizontal="center"/>
    </xf>
    <xf numFmtId="3" fontId="11" fillId="16" borderId="0" xfId="25" applyNumberFormat="1" applyFont="1" applyFill="1" applyBorder="1"/>
    <xf numFmtId="9" fontId="12" fillId="16" borderId="20" xfId="217" applyNumberFormat="1" applyFont="1" applyFill="1" applyBorder="1" applyAlignment="1">
      <alignment horizontal="center"/>
    </xf>
    <xf numFmtId="202" fontId="11" fillId="0" borderId="0" xfId="25" applyNumberFormat="1" applyFont="1" applyBorder="1"/>
    <xf numFmtId="170" fontId="11" fillId="0" borderId="0" xfId="204" applyNumberFormat="1" applyAlignment="1">
      <alignment horizontal="centerContinuous"/>
    </xf>
    <xf numFmtId="209" fontId="16" fillId="16" borderId="0" xfId="0" applyNumberFormat="1" applyFont="1" applyFill="1" applyAlignment="1">
      <alignment horizontal="center"/>
    </xf>
    <xf numFmtId="0" fontId="101" fillId="16" borderId="0" xfId="0" applyFont="1" applyFill="1"/>
    <xf numFmtId="0" fontId="101" fillId="16" borderId="0" xfId="0" applyFont="1" applyFill="1" applyAlignment="1">
      <alignment horizontal="center"/>
    </xf>
    <xf numFmtId="14" fontId="101" fillId="16" borderId="0" xfId="0" applyNumberFormat="1" applyFont="1" applyFill="1" applyAlignment="1">
      <alignment horizontal="center"/>
    </xf>
    <xf numFmtId="10" fontId="12" fillId="0" borderId="17" xfId="217" applyFont="1" applyBorder="1" applyAlignment="1">
      <alignment horizontal="left" indent="1"/>
    </xf>
    <xf numFmtId="10" fontId="99" fillId="0" borderId="17" xfId="217" applyFont="1" applyBorder="1" applyAlignment="1">
      <alignment horizontal="left" indent="3"/>
    </xf>
    <xf numFmtId="13" fontId="12" fillId="16" borderId="0" xfId="217" applyNumberFormat="1" applyFont="1" applyFill="1" applyBorder="1" applyAlignment="1">
      <alignment horizontal="center"/>
    </xf>
    <xf numFmtId="10" fontId="12" fillId="0" borderId="17" xfId="217" applyFont="1" applyBorder="1" applyAlignment="1">
      <alignment horizontal="left" indent="2"/>
    </xf>
    <xf numFmtId="10" fontId="99" fillId="0" borderId="17" xfId="217" applyFont="1" applyBorder="1" applyAlignment="1">
      <alignment horizontal="left" indent="4"/>
    </xf>
    <xf numFmtId="10" fontId="12" fillId="0" borderId="17" xfId="217" applyFont="1" applyBorder="1" applyAlignment="1">
      <alignment horizontal="left" indent="3"/>
    </xf>
    <xf numFmtId="10" fontId="99" fillId="0" borderId="17" xfId="217" applyFont="1" applyBorder="1" applyAlignment="1">
      <alignment horizontal="left" indent="5"/>
    </xf>
    <xf numFmtId="10" fontId="17" fillId="16" borderId="2" xfId="217" applyFont="1" applyFill="1" applyBorder="1" applyAlignment="1">
      <alignment horizontal="center"/>
    </xf>
    <xf numFmtId="0" fontId="16" fillId="16" borderId="0" xfId="0" applyFont="1" applyFill="1" applyAlignment="1">
      <alignment horizontal="center"/>
    </xf>
    <xf numFmtId="9" fontId="100" fillId="16" borderId="0" xfId="217" applyNumberFormat="1" applyFont="1" applyFill="1" applyBorder="1" applyAlignment="1">
      <alignment horizontal="right"/>
    </xf>
    <xf numFmtId="9" fontId="12" fillId="16" borderId="0" xfId="217" applyNumberFormat="1" applyFont="1" applyFill="1" applyBorder="1" applyAlignment="1">
      <alignment horizontal="left"/>
    </xf>
    <xf numFmtId="0" fontId="95" fillId="16" borderId="0" xfId="0" applyFont="1" applyFill="1"/>
    <xf numFmtId="0" fontId="84" fillId="16" borderId="0" xfId="0" applyFont="1" applyFill="1" applyAlignment="1">
      <alignment horizontal="center"/>
    </xf>
    <xf numFmtId="3" fontId="16" fillId="16" borderId="17" xfId="25" applyNumberFormat="1" applyFont="1" applyFill="1" applyBorder="1" applyAlignment="1">
      <alignment horizontal="center"/>
    </xf>
    <xf numFmtId="166" fontId="17" fillId="16" borderId="17" xfId="217" applyNumberFormat="1" applyFont="1" applyFill="1" applyBorder="1" applyAlignment="1">
      <alignment horizontal="center"/>
    </xf>
    <xf numFmtId="9" fontId="12" fillId="16" borderId="17" xfId="217" applyNumberFormat="1" applyFont="1" applyFill="1" applyBorder="1" applyAlignment="1">
      <alignment horizontal="center"/>
    </xf>
    <xf numFmtId="3" fontId="12" fillId="16" borderId="17" xfId="25" applyNumberFormat="1" applyFont="1" applyFill="1" applyBorder="1" applyAlignment="1">
      <alignment horizontal="center"/>
    </xf>
    <xf numFmtId="166" fontId="12" fillId="16" borderId="17" xfId="217" applyNumberFormat="1" applyFont="1" applyFill="1" applyBorder="1" applyAlignment="1">
      <alignment horizontal="center"/>
    </xf>
    <xf numFmtId="3" fontId="16" fillId="16" borderId="16" xfId="25" applyNumberFormat="1" applyFont="1" applyFill="1" applyBorder="1" applyAlignment="1">
      <alignment horizontal="center"/>
    </xf>
    <xf numFmtId="166" fontId="16" fillId="16" borderId="9" xfId="217" applyNumberFormat="1" applyFont="1" applyFill="1" applyBorder="1" applyAlignment="1">
      <alignment horizontal="center"/>
    </xf>
    <xf numFmtId="9" fontId="12" fillId="16" borderId="16" xfId="217" applyNumberFormat="1" applyFont="1" applyFill="1" applyBorder="1" applyAlignment="1">
      <alignment horizontal="center"/>
    </xf>
    <xf numFmtId="9" fontId="12" fillId="16" borderId="9" xfId="217" applyNumberFormat="1" applyFont="1" applyFill="1" applyBorder="1" applyAlignment="1">
      <alignment horizontal="center"/>
    </xf>
    <xf numFmtId="0" fontId="16" fillId="16" borderId="17" xfId="0" applyFont="1" applyFill="1" applyBorder="1" applyAlignment="1">
      <alignment horizontal="center"/>
    </xf>
    <xf numFmtId="167" fontId="16" fillId="16" borderId="17" xfId="0" applyNumberFormat="1" applyFont="1" applyFill="1" applyBorder="1" applyAlignment="1">
      <alignment horizontal="center"/>
    </xf>
    <xf numFmtId="173" fontId="16" fillId="16" borderId="17" xfId="0" applyNumberFormat="1" applyFont="1" applyFill="1" applyBorder="1" applyAlignment="1">
      <alignment horizontal="center"/>
    </xf>
    <xf numFmtId="166" fontId="16" fillId="16" borderId="17" xfId="217" applyNumberFormat="1" applyFont="1" applyFill="1" applyBorder="1" applyAlignment="1">
      <alignment horizontal="center"/>
    </xf>
    <xf numFmtId="37" fontId="17" fillId="16" borderId="17" xfId="25" applyNumberFormat="1" applyFont="1" applyFill="1" applyBorder="1" applyAlignment="1">
      <alignment horizontal="center"/>
    </xf>
    <xf numFmtId="37" fontId="16" fillId="16" borderId="17" xfId="25" applyNumberFormat="1" applyFont="1" applyFill="1" applyBorder="1" applyAlignment="1">
      <alignment horizontal="center"/>
    </xf>
    <xf numFmtId="166" fontId="42" fillId="16" borderId="17" xfId="217" applyNumberFormat="1" applyFont="1" applyFill="1" applyBorder="1" applyAlignment="1">
      <alignment horizontal="center"/>
    </xf>
    <xf numFmtId="166" fontId="18" fillId="16" borderId="17" xfId="217" applyNumberFormat="1" applyFont="1" applyFill="1" applyBorder="1" applyAlignment="1">
      <alignment horizontal="center"/>
    </xf>
    <xf numFmtId="37" fontId="17" fillId="16" borderId="17" xfId="0" applyNumberFormat="1" applyFont="1" applyFill="1" applyBorder="1" applyAlignment="1">
      <alignment horizontal="center"/>
    </xf>
    <xf numFmtId="37" fontId="16" fillId="16" borderId="17" xfId="217" applyNumberFormat="1" applyFont="1" applyFill="1" applyBorder="1" applyAlignment="1">
      <alignment horizontal="center"/>
    </xf>
    <xf numFmtId="37" fontId="17" fillId="16" borderId="17" xfId="217" applyNumberFormat="1" applyFont="1" applyFill="1" applyBorder="1" applyAlignment="1">
      <alignment horizontal="center"/>
    </xf>
    <xf numFmtId="7" fontId="17" fillId="16" borderId="1" xfId="0" applyNumberFormat="1" applyFont="1" applyFill="1" applyBorder="1" applyAlignment="1">
      <alignment horizontal="center"/>
    </xf>
    <xf numFmtId="7" fontId="16" fillId="16" borderId="1" xfId="0" applyNumberFormat="1" applyFont="1" applyFill="1" applyBorder="1" applyAlignment="1">
      <alignment horizontal="center"/>
    </xf>
    <xf numFmtId="7" fontId="16" fillId="16" borderId="17" xfId="0" applyNumberFormat="1" applyFont="1" applyFill="1" applyBorder="1" applyAlignment="1">
      <alignment horizontal="center"/>
    </xf>
    <xf numFmtId="168" fontId="16" fillId="16" borderId="17" xfId="165" applyNumberFormat="1" applyFont="1" applyFill="1" applyBorder="1" applyAlignment="1">
      <alignment horizontal="center"/>
    </xf>
    <xf numFmtId="10" fontId="16" fillId="16" borderId="9" xfId="217" applyFont="1" applyFill="1" applyBorder="1" applyAlignment="1">
      <alignment horizontal="center"/>
    </xf>
    <xf numFmtId="0" fontId="104" fillId="0" borderId="17" xfId="165" applyFont="1" applyBorder="1"/>
    <xf numFmtId="3" fontId="105" fillId="16" borderId="17" xfId="25" applyNumberFormat="1" applyFont="1" applyFill="1" applyBorder="1" applyAlignment="1">
      <alignment horizontal="center"/>
    </xf>
    <xf numFmtId="166" fontId="106" fillId="16" borderId="17" xfId="217" applyNumberFormat="1" applyFont="1" applyFill="1" applyBorder="1" applyAlignment="1">
      <alignment horizontal="center"/>
    </xf>
    <xf numFmtId="9" fontId="107" fillId="16" borderId="17" xfId="217" applyNumberFormat="1" applyFont="1" applyFill="1" applyBorder="1" applyAlignment="1">
      <alignment horizontal="center"/>
    </xf>
    <xf numFmtId="3" fontId="105" fillId="16" borderId="18" xfId="25" applyNumberFormat="1" applyFont="1" applyFill="1" applyBorder="1" applyAlignment="1">
      <alignment horizontal="center"/>
    </xf>
    <xf numFmtId="166" fontId="105" fillId="16" borderId="2" xfId="217" applyNumberFormat="1" applyFont="1" applyFill="1" applyBorder="1" applyAlignment="1">
      <alignment horizontal="center"/>
    </xf>
    <xf numFmtId="9" fontId="107" fillId="16" borderId="2" xfId="217" applyNumberFormat="1" applyFont="1" applyFill="1" applyBorder="1" applyAlignment="1">
      <alignment horizontal="center"/>
    </xf>
    <xf numFmtId="37" fontId="106" fillId="16" borderId="0" xfId="0" applyNumberFormat="1" applyFont="1" applyFill="1" applyAlignment="1">
      <alignment horizontal="center"/>
    </xf>
    <xf numFmtId="172" fontId="105" fillId="16" borderId="0" xfId="0" applyNumberFormat="1" applyFont="1" applyFill="1" applyAlignment="1">
      <alignment horizontal="center"/>
    </xf>
    <xf numFmtId="172" fontId="109" fillId="16" borderId="0" xfId="0" applyNumberFormat="1" applyFont="1" applyFill="1" applyAlignment="1">
      <alignment horizontal="center"/>
    </xf>
    <xf numFmtId="172" fontId="106" fillId="16" borderId="0" xfId="0" applyNumberFormat="1" applyFont="1" applyFill="1" applyAlignment="1">
      <alignment horizontal="center"/>
    </xf>
    <xf numFmtId="7" fontId="106" fillId="16" borderId="7" xfId="0" applyNumberFormat="1" applyFont="1" applyFill="1" applyBorder="1" applyAlignment="1">
      <alignment horizontal="center"/>
    </xf>
    <xf numFmtId="7" fontId="105" fillId="16" borderId="7" xfId="0" applyNumberFormat="1" applyFont="1" applyFill="1" applyBorder="1" applyAlignment="1">
      <alignment horizontal="center"/>
    </xf>
    <xf numFmtId="168" fontId="106" fillId="16" borderId="0" xfId="165" applyNumberFormat="1" applyFont="1" applyFill="1" applyAlignment="1">
      <alignment horizontal="center"/>
    </xf>
    <xf numFmtId="3" fontId="107" fillId="16" borderId="17" xfId="25" applyNumberFormat="1" applyFont="1" applyFill="1" applyBorder="1" applyAlignment="1">
      <alignment horizontal="center"/>
    </xf>
    <xf numFmtId="9" fontId="108" fillId="16" borderId="17" xfId="217" applyNumberFormat="1" applyFont="1" applyFill="1" applyBorder="1" applyAlignment="1">
      <alignment horizontal="center"/>
    </xf>
    <xf numFmtId="3" fontId="105" fillId="16" borderId="16" xfId="25" applyNumberFormat="1" applyFont="1" applyFill="1" applyBorder="1" applyAlignment="1">
      <alignment horizontal="center"/>
    </xf>
    <xf numFmtId="166" fontId="105" fillId="16" borderId="9" xfId="217" applyNumberFormat="1" applyFont="1" applyFill="1" applyBorder="1" applyAlignment="1">
      <alignment horizontal="center"/>
    </xf>
    <xf numFmtId="9" fontId="107" fillId="16" borderId="9" xfId="217" applyNumberFormat="1" applyFont="1" applyFill="1" applyBorder="1" applyAlignment="1">
      <alignment horizontal="center"/>
    </xf>
    <xf numFmtId="166" fontId="105" fillId="16" borderId="17" xfId="217" applyNumberFormat="1" applyFont="1" applyFill="1" applyBorder="1" applyAlignment="1">
      <alignment horizontal="center"/>
    </xf>
    <xf numFmtId="167" fontId="105" fillId="16" borderId="17" xfId="0" applyNumberFormat="1" applyFont="1" applyFill="1" applyBorder="1" applyAlignment="1">
      <alignment horizontal="center"/>
    </xf>
    <xf numFmtId="37" fontId="106" fillId="16" borderId="17" xfId="25" applyNumberFormat="1" applyFont="1" applyFill="1" applyBorder="1" applyAlignment="1">
      <alignment horizontal="center"/>
    </xf>
    <xf numFmtId="37" fontId="105" fillId="16" borderId="17" xfId="25" applyNumberFormat="1" applyFont="1" applyFill="1" applyBorder="1" applyAlignment="1">
      <alignment horizontal="center"/>
    </xf>
    <xf numFmtId="166" fontId="110" fillId="16" borderId="17" xfId="217" applyNumberFormat="1" applyFont="1" applyFill="1" applyBorder="1" applyAlignment="1">
      <alignment horizontal="center"/>
    </xf>
    <xf numFmtId="166" fontId="111" fillId="16" borderId="17" xfId="217" applyNumberFormat="1" applyFont="1" applyFill="1" applyBorder="1" applyAlignment="1">
      <alignment horizontal="center"/>
    </xf>
    <xf numFmtId="0" fontId="105" fillId="16" borderId="17" xfId="0" applyFont="1" applyFill="1" applyBorder="1" applyAlignment="1">
      <alignment horizontal="center"/>
    </xf>
    <xf numFmtId="37" fontId="105" fillId="16" borderId="17" xfId="217" applyNumberFormat="1" applyFont="1" applyFill="1" applyBorder="1" applyAlignment="1">
      <alignment horizontal="center"/>
    </xf>
    <xf numFmtId="37" fontId="106" fillId="16" borderId="17" xfId="217" applyNumberFormat="1" applyFont="1" applyFill="1" applyBorder="1" applyAlignment="1">
      <alignment horizontal="center"/>
    </xf>
    <xf numFmtId="7" fontId="106" fillId="16" borderId="1" xfId="0" applyNumberFormat="1" applyFont="1" applyFill="1" applyBorder="1" applyAlignment="1">
      <alignment horizontal="center"/>
    </xf>
    <xf numFmtId="7" fontId="105" fillId="16" borderId="1" xfId="0" applyNumberFormat="1" applyFont="1" applyFill="1" applyBorder="1" applyAlignment="1">
      <alignment horizontal="center"/>
    </xf>
    <xf numFmtId="7" fontId="105" fillId="16" borderId="17" xfId="0" applyNumberFormat="1" applyFont="1" applyFill="1" applyBorder="1" applyAlignment="1">
      <alignment horizontal="center"/>
    </xf>
    <xf numFmtId="168" fontId="105" fillId="16" borderId="17" xfId="165" applyNumberFormat="1" applyFont="1" applyFill="1" applyBorder="1" applyAlignment="1">
      <alignment horizontal="center"/>
    </xf>
    <xf numFmtId="10" fontId="105" fillId="16" borderId="9" xfId="217" applyFont="1" applyFill="1" applyBorder="1" applyAlignment="1">
      <alignment horizontal="center"/>
    </xf>
    <xf numFmtId="0" fontId="102" fillId="22" borderId="28" xfId="371" applyFont="1" applyFill="1" applyBorder="1" applyAlignment="1">
      <alignment horizontal="center"/>
    </xf>
    <xf numFmtId="0" fontId="127" fillId="0" borderId="31" xfId="371" applyFont="1" applyBorder="1" applyAlignment="1">
      <alignment horizontal="right"/>
    </xf>
    <xf numFmtId="203" fontId="123" fillId="0" borderId="0" xfId="372" quotePrefix="1" applyFont="1" applyAlignment="1">
      <alignment horizontal="right"/>
    </xf>
    <xf numFmtId="204" fontId="102" fillId="22" borderId="40" xfId="373" applyFont="1" applyFill="1" applyBorder="1" applyAlignment="1">
      <alignment horizontal="center"/>
    </xf>
    <xf numFmtId="204" fontId="102" fillId="22" borderId="44" xfId="373" applyFont="1" applyFill="1" applyBorder="1" applyAlignment="1">
      <alignment horizontal="center"/>
    </xf>
    <xf numFmtId="203" fontId="139" fillId="19" borderId="42" xfId="372" applyFont="1" applyFill="1" applyBorder="1" applyAlignment="1">
      <alignment horizontal="center"/>
    </xf>
    <xf numFmtId="203" fontId="139" fillId="19" borderId="17" xfId="372" applyFont="1" applyFill="1" applyBorder="1" applyAlignment="1">
      <alignment horizontal="center"/>
    </xf>
    <xf numFmtId="203" fontId="139" fillId="19" borderId="15" xfId="372" applyFont="1" applyFill="1" applyBorder="1" applyAlignment="1">
      <alignment horizontal="center"/>
    </xf>
    <xf numFmtId="203" fontId="139" fillId="19" borderId="43" xfId="372" applyFont="1" applyFill="1" applyBorder="1" applyAlignment="1">
      <alignment horizontal="center"/>
    </xf>
    <xf numFmtId="203" fontId="139" fillId="19" borderId="30" xfId="372" applyFont="1" applyFill="1" applyBorder="1" applyAlignment="1">
      <alignment horizontal="center"/>
    </xf>
    <xf numFmtId="17" fontId="123" fillId="0" borderId="0" xfId="372" applyNumberFormat="1" applyFont="1" applyAlignment="1">
      <alignment horizontal="right"/>
    </xf>
    <xf numFmtId="17" fontId="102" fillId="22" borderId="45" xfId="373" applyNumberFormat="1" applyFont="1" applyFill="1" applyBorder="1" applyAlignment="1">
      <alignment horizontal="center"/>
    </xf>
    <xf numFmtId="0" fontId="140" fillId="25" borderId="47" xfId="375" applyNumberFormat="1" applyFont="1" applyFill="1" applyBorder="1" applyAlignment="1" applyProtection="1">
      <alignment horizontal="center"/>
    </xf>
    <xf numFmtId="0" fontId="140" fillId="25" borderId="48" xfId="375" applyNumberFormat="1" applyFont="1" applyFill="1" applyBorder="1" applyAlignment="1" applyProtection="1">
      <alignment horizontal="center"/>
    </xf>
    <xf numFmtId="0" fontId="141" fillId="26" borderId="49" xfId="375" applyNumberFormat="1" applyFont="1" applyFill="1" applyBorder="1" applyAlignment="1" applyProtection="1">
      <alignment horizontal="center"/>
    </xf>
    <xf numFmtId="0" fontId="141" fillId="26" borderId="50" xfId="375" applyNumberFormat="1" applyFont="1" applyFill="1" applyBorder="1" applyAlignment="1" applyProtection="1">
      <alignment horizontal="center"/>
    </xf>
    <xf numFmtId="210" fontId="145" fillId="24" borderId="47" xfId="375" applyNumberFormat="1" applyFont="1" applyFill="1" applyBorder="1" applyProtection="1"/>
    <xf numFmtId="210" fontId="145" fillId="24" borderId="32" xfId="375" applyNumberFormat="1" applyFont="1" applyFill="1" applyBorder="1" applyProtection="1"/>
    <xf numFmtId="210" fontId="145" fillId="24" borderId="46" xfId="375" applyNumberFormat="1" applyFont="1" applyFill="1" applyBorder="1" applyProtection="1"/>
    <xf numFmtId="210" fontId="145" fillId="24" borderId="53" xfId="375" applyNumberFormat="1" applyFont="1" applyFill="1" applyBorder="1" applyProtection="1"/>
    <xf numFmtId="0" fontId="112" fillId="20" borderId="0" xfId="376" applyFont="1" applyFill="1"/>
    <xf numFmtId="0" fontId="113" fillId="20" borderId="0" xfId="376" applyFont="1" applyFill="1" applyAlignment="1">
      <alignment vertical="center"/>
    </xf>
    <xf numFmtId="0" fontId="114" fillId="20" borderId="0" xfId="376" applyFont="1" applyFill="1" applyAlignment="1">
      <alignment vertical="center"/>
    </xf>
    <xf numFmtId="0" fontId="112" fillId="0" borderId="0" xfId="376" applyFont="1"/>
    <xf numFmtId="0" fontId="115" fillId="27" borderId="29" xfId="376" applyFont="1" applyFill="1" applyBorder="1"/>
    <xf numFmtId="0" fontId="115" fillId="27" borderId="25" xfId="376" applyFont="1" applyFill="1" applyBorder="1"/>
    <xf numFmtId="0" fontId="115" fillId="27" borderId="26" xfId="376" applyFont="1" applyFill="1" applyBorder="1"/>
    <xf numFmtId="0" fontId="115" fillId="0" borderId="25" xfId="376" applyFont="1" applyBorder="1"/>
    <xf numFmtId="0" fontId="112" fillId="0" borderId="26" xfId="376" applyFont="1" applyBorder="1"/>
    <xf numFmtId="0" fontId="112" fillId="21" borderId="0" xfId="376" applyFont="1" applyFill="1"/>
    <xf numFmtId="0" fontId="115" fillId="27" borderId="55" xfId="376" applyFont="1" applyFill="1" applyBorder="1"/>
    <xf numFmtId="0" fontId="115" fillId="27" borderId="0" xfId="376" applyFont="1" applyFill="1"/>
    <xf numFmtId="0" fontId="115" fillId="27" borderId="27" xfId="376" applyFont="1" applyFill="1" applyBorder="1"/>
    <xf numFmtId="0" fontId="115" fillId="0" borderId="0" xfId="376" applyFont="1"/>
    <xf numFmtId="0" fontId="112" fillId="0" borderId="27" xfId="376" applyFont="1" applyBorder="1"/>
    <xf numFmtId="0" fontId="115" fillId="27" borderId="54" xfId="376" applyFont="1" applyFill="1" applyBorder="1"/>
    <xf numFmtId="0" fontId="115" fillId="27" borderId="6" xfId="376" applyFont="1" applyFill="1" applyBorder="1"/>
    <xf numFmtId="0" fontId="115" fillId="27" borderId="56" xfId="376" applyFont="1" applyFill="1" applyBorder="1"/>
    <xf numFmtId="0" fontId="116" fillId="21" borderId="0" xfId="376" applyFont="1" applyFill="1"/>
    <xf numFmtId="0" fontId="117" fillId="21" borderId="0" xfId="376" applyFont="1" applyFill="1"/>
    <xf numFmtId="0" fontId="118" fillId="0" borderId="0" xfId="376" applyFont="1"/>
    <xf numFmtId="0" fontId="117" fillId="0" borderId="0" xfId="376" applyFont="1"/>
    <xf numFmtId="0" fontId="119" fillId="0" borderId="0" xfId="376" applyFont="1" applyAlignment="1">
      <alignment horizontal="right"/>
    </xf>
    <xf numFmtId="0" fontId="120" fillId="0" borderId="0" xfId="376" applyFont="1"/>
    <xf numFmtId="0" fontId="103" fillId="0" borderId="0" xfId="376" applyFont="1"/>
    <xf numFmtId="0" fontId="121" fillId="0" borderId="0" xfId="376" applyFont="1" applyAlignment="1">
      <alignment vertical="top"/>
    </xf>
    <xf numFmtId="0" fontId="140" fillId="27" borderId="0" xfId="167" applyFont="1" applyFill="1" applyAlignment="1">
      <alignment horizontal="left" vertical="center"/>
    </xf>
    <xf numFmtId="0" fontId="122" fillId="23" borderId="1" xfId="376" applyFont="1" applyFill="1" applyBorder="1"/>
    <xf numFmtId="0" fontId="123" fillId="23" borderId="17" xfId="376" applyFont="1" applyFill="1" applyBorder="1"/>
    <xf numFmtId="0" fontId="122" fillId="23" borderId="19" xfId="376" applyFont="1" applyFill="1" applyBorder="1"/>
    <xf numFmtId="0" fontId="122" fillId="23" borderId="7" xfId="376" applyFont="1" applyFill="1" applyBorder="1"/>
    <xf numFmtId="0" fontId="124" fillId="23" borderId="7" xfId="376" applyFont="1" applyFill="1" applyBorder="1"/>
    <xf numFmtId="0" fontId="124" fillId="0" borderId="15" xfId="376" applyFont="1" applyBorder="1"/>
    <xf numFmtId="0" fontId="117" fillId="22" borderId="30" xfId="376" applyFont="1" applyFill="1" applyBorder="1" applyAlignment="1">
      <alignment horizontal="center" vertical="center" textRotation="90"/>
    </xf>
    <xf numFmtId="0" fontId="126" fillId="24" borderId="19" xfId="376" quotePrefix="1" applyFont="1" applyFill="1" applyBorder="1" applyAlignment="1">
      <alignment horizontal="right" vertical="top"/>
    </xf>
    <xf numFmtId="0" fontId="128" fillId="21" borderId="1" xfId="376" applyFont="1" applyFill="1" applyBorder="1" applyAlignment="1">
      <alignment vertical="top"/>
    </xf>
    <xf numFmtId="0" fontId="129" fillId="24" borderId="19" xfId="376" applyFont="1" applyFill="1" applyBorder="1"/>
    <xf numFmtId="0" fontId="121" fillId="24" borderId="7" xfId="376" applyFont="1" applyFill="1" applyBorder="1"/>
    <xf numFmtId="0" fontId="115" fillId="24" borderId="7" xfId="376" applyFont="1" applyFill="1" applyBorder="1"/>
    <xf numFmtId="0" fontId="115" fillId="0" borderId="15" xfId="376" applyFont="1" applyBorder="1"/>
    <xf numFmtId="0" fontId="112" fillId="27" borderId="55" xfId="376" applyFont="1" applyFill="1" applyBorder="1"/>
    <xf numFmtId="0" fontId="134" fillId="0" borderId="0" xfId="376" applyFont="1"/>
    <xf numFmtId="204" fontId="135" fillId="19" borderId="35" xfId="195" applyNumberFormat="1" applyFont="1" applyFill="1" applyBorder="1" applyAlignment="1">
      <alignment horizontal="center"/>
    </xf>
    <xf numFmtId="204" fontId="135" fillId="19" borderId="36" xfId="195" applyNumberFormat="1" applyFont="1" applyFill="1" applyBorder="1" applyAlignment="1">
      <alignment horizontal="center"/>
    </xf>
    <xf numFmtId="204" fontId="135" fillId="19" borderId="37" xfId="195" applyNumberFormat="1" applyFont="1" applyFill="1" applyBorder="1" applyAlignment="1">
      <alignment horizontal="center"/>
    </xf>
    <xf numFmtId="204" fontId="135" fillId="19" borderId="38" xfId="195" applyNumberFormat="1" applyFont="1" applyFill="1" applyBorder="1" applyAlignment="1">
      <alignment horizontal="center"/>
    </xf>
    <xf numFmtId="204" fontId="135" fillId="19" borderId="39" xfId="195" applyNumberFormat="1" applyFont="1" applyFill="1" applyBorder="1" applyAlignment="1">
      <alignment horizontal="center"/>
    </xf>
    <xf numFmtId="0" fontId="136" fillId="0" borderId="0" xfId="376" applyFont="1"/>
    <xf numFmtId="0" fontId="136" fillId="27" borderId="55" xfId="376" applyFont="1" applyFill="1" applyBorder="1"/>
    <xf numFmtId="0" fontId="137" fillId="0" borderId="42" xfId="195" applyFont="1" applyBorder="1" applyAlignment="1">
      <alignment horizontal="center"/>
    </xf>
    <xf numFmtId="0" fontId="137" fillId="0" borderId="17" xfId="195" applyFont="1" applyBorder="1" applyAlignment="1">
      <alignment horizontal="center"/>
    </xf>
    <xf numFmtId="0" fontId="137" fillId="19" borderId="15" xfId="195" applyFont="1" applyFill="1" applyBorder="1" applyAlignment="1">
      <alignment horizontal="center"/>
    </xf>
    <xf numFmtId="0" fontId="137" fillId="19" borderId="43" xfId="195" applyFont="1" applyFill="1" applyBorder="1" applyAlignment="1">
      <alignment horizontal="center"/>
    </xf>
    <xf numFmtId="0" fontId="137" fillId="0" borderId="30" xfId="195" applyFont="1" applyBorder="1" applyAlignment="1">
      <alignment horizontal="center"/>
    </xf>
    <xf numFmtId="0" fontId="138" fillId="0" borderId="17" xfId="195" applyFont="1" applyBorder="1" applyAlignment="1">
      <alignment horizontal="center"/>
    </xf>
    <xf numFmtId="0" fontId="138" fillId="19" borderId="15" xfId="195" applyFont="1" applyFill="1" applyBorder="1" applyAlignment="1">
      <alignment horizontal="center"/>
    </xf>
    <xf numFmtId="0" fontId="138" fillId="0" borderId="42" xfId="195" applyFont="1" applyBorder="1" applyAlignment="1">
      <alignment horizontal="center"/>
    </xf>
    <xf numFmtId="0" fontId="138" fillId="19" borderId="43" xfId="195" applyFont="1" applyFill="1" applyBorder="1" applyAlignment="1">
      <alignment horizontal="center"/>
    </xf>
    <xf numFmtId="1" fontId="135" fillId="19" borderId="42" xfId="195" applyNumberFormat="1" applyFont="1" applyFill="1" applyBorder="1" applyAlignment="1">
      <alignment horizontal="center"/>
    </xf>
    <xf numFmtId="1" fontId="135" fillId="19" borderId="17" xfId="195" applyNumberFormat="1" applyFont="1" applyFill="1" applyBorder="1" applyAlignment="1">
      <alignment horizontal="center"/>
    </xf>
    <xf numFmtId="1" fontId="135" fillId="19" borderId="15" xfId="195" applyNumberFormat="1" applyFont="1" applyFill="1" applyBorder="1" applyAlignment="1">
      <alignment horizontal="center"/>
    </xf>
    <xf numFmtId="1" fontId="135" fillId="19" borderId="43" xfId="195" applyNumberFormat="1" applyFont="1" applyFill="1" applyBorder="1" applyAlignment="1">
      <alignment horizontal="center"/>
    </xf>
    <xf numFmtId="1" fontId="135" fillId="19" borderId="30" xfId="195" applyNumberFormat="1" applyFont="1" applyFill="1" applyBorder="1" applyAlignment="1">
      <alignment horizontal="center"/>
    </xf>
    <xf numFmtId="0" fontId="140" fillId="25" borderId="53" xfId="375" applyNumberFormat="1" applyFont="1" applyFill="1" applyBorder="1" applyAlignment="1" applyProtection="1">
      <alignment horizontal="center"/>
    </xf>
    <xf numFmtId="0" fontId="142" fillId="19" borderId="16" xfId="376" applyFont="1" applyFill="1" applyBorder="1" applyAlignment="1">
      <alignment horizontal="right" vertical="center"/>
    </xf>
    <xf numFmtId="0" fontId="128" fillId="21" borderId="19" xfId="376" applyFont="1" applyFill="1" applyBorder="1" applyAlignment="1">
      <alignment vertical="center"/>
    </xf>
    <xf numFmtId="0" fontId="122" fillId="23" borderId="51" xfId="376" applyFont="1" applyFill="1" applyBorder="1" applyAlignment="1">
      <alignment horizontal="right" vertical="center"/>
    </xf>
    <xf numFmtId="40" fontId="134" fillId="0" borderId="28" xfId="376" applyNumberFormat="1" applyFont="1" applyBorder="1" applyAlignment="1">
      <alignment horizontal="center" vertical="center"/>
    </xf>
    <xf numFmtId="40" fontId="134" fillId="0" borderId="54" xfId="376" applyNumberFormat="1" applyFont="1" applyBorder="1" applyAlignment="1">
      <alignment horizontal="center" vertical="center"/>
    </xf>
    <xf numFmtId="0" fontId="143" fillId="19" borderId="9" xfId="376" applyFont="1" applyFill="1" applyBorder="1" applyAlignment="1">
      <alignment horizontal="right" vertical="center"/>
    </xf>
    <xf numFmtId="0" fontId="144" fillId="22" borderId="19" xfId="376" applyFont="1" applyFill="1" applyBorder="1" applyAlignment="1">
      <alignment vertical="top"/>
    </xf>
    <xf numFmtId="0" fontId="122" fillId="23" borderId="52" xfId="376" applyFont="1" applyFill="1" applyBorder="1" applyAlignment="1">
      <alignment horizontal="right"/>
    </xf>
    <xf numFmtId="0" fontId="136" fillId="27" borderId="27" xfId="376" applyFont="1" applyFill="1" applyBorder="1"/>
    <xf numFmtId="0" fontId="141" fillId="20" borderId="1" xfId="376" applyFont="1" applyFill="1" applyBorder="1" applyAlignment="1">
      <alignment horizontal="left" vertical="center"/>
    </xf>
    <xf numFmtId="2" fontId="134" fillId="0" borderId="28" xfId="376" applyNumberFormat="1" applyFont="1" applyBorder="1" applyAlignment="1">
      <alignment horizontal="center" vertical="center"/>
    </xf>
    <xf numFmtId="0" fontId="112" fillId="27" borderId="27" xfId="376" applyFont="1" applyFill="1" applyBorder="1"/>
    <xf numFmtId="38" fontId="134" fillId="0" borderId="28" xfId="376" applyNumberFormat="1" applyFont="1" applyBorder="1" applyAlignment="1">
      <alignment horizontal="center" vertical="center"/>
    </xf>
    <xf numFmtId="38" fontId="134" fillId="0" borderId="54" xfId="376" applyNumberFormat="1" applyFont="1" applyBorder="1" applyAlignment="1">
      <alignment horizontal="center" vertical="center"/>
    </xf>
    <xf numFmtId="0" fontId="146" fillId="19" borderId="16" xfId="376" applyFont="1" applyFill="1" applyBorder="1" applyAlignment="1">
      <alignment horizontal="right" vertical="center"/>
    </xf>
    <xf numFmtId="0" fontId="112" fillId="27" borderId="32" xfId="376" applyFont="1" applyFill="1" applyBorder="1"/>
    <xf numFmtId="0" fontId="140" fillId="27" borderId="10" xfId="167" applyFont="1" applyFill="1" applyBorder="1" applyAlignment="1">
      <alignment horizontal="left" vertical="center"/>
    </xf>
    <xf numFmtId="0" fontId="112" fillId="27" borderId="33" xfId="376" applyFont="1" applyFill="1" applyBorder="1"/>
    <xf numFmtId="0" fontId="104" fillId="16" borderId="0" xfId="0" applyFont="1" applyFill="1" applyAlignment="1">
      <alignment horizontal="center" wrapText="1"/>
    </xf>
    <xf numFmtId="0" fontId="104" fillId="16" borderId="17" xfId="0" applyFont="1" applyFill="1" applyBorder="1" applyAlignment="1">
      <alignment horizontal="center"/>
    </xf>
    <xf numFmtId="166" fontId="104" fillId="16" borderId="0" xfId="217" applyNumberFormat="1" applyFont="1" applyFill="1" applyBorder="1" applyAlignment="1">
      <alignment horizontal="center"/>
    </xf>
    <xf numFmtId="166" fontId="104" fillId="16" borderId="17" xfId="217" applyNumberFormat="1" applyFont="1" applyFill="1" applyBorder="1" applyAlignment="1">
      <alignment horizontal="center"/>
    </xf>
    <xf numFmtId="7" fontId="105" fillId="16" borderId="0" xfId="0" applyNumberFormat="1" applyFont="1" applyFill="1" applyAlignment="1">
      <alignment horizontal="center"/>
    </xf>
    <xf numFmtId="7" fontId="104" fillId="16" borderId="0" xfId="0" applyNumberFormat="1" applyFont="1" applyFill="1" applyAlignment="1">
      <alignment horizontal="center"/>
    </xf>
    <xf numFmtId="7" fontId="104" fillId="16" borderId="17" xfId="0" applyNumberFormat="1" applyFont="1" applyFill="1" applyBorder="1" applyAlignment="1">
      <alignment horizontal="center"/>
    </xf>
    <xf numFmtId="0" fontId="147" fillId="0" borderId="0" xfId="369" applyFont="1"/>
    <xf numFmtId="0" fontId="148" fillId="16" borderId="0" xfId="377" applyFont="1" applyFill="1" applyAlignment="1">
      <alignment vertical="center"/>
    </xf>
    <xf numFmtId="0" fontId="149" fillId="16" borderId="0" xfId="377" applyFont="1" applyFill="1" applyAlignment="1">
      <alignment vertical="center"/>
    </xf>
    <xf numFmtId="0" fontId="149" fillId="16" borderId="0" xfId="377" applyFont="1" applyFill="1" applyAlignment="1">
      <alignment horizontal="right" vertical="center"/>
    </xf>
    <xf numFmtId="5" fontId="150" fillId="28" borderId="0" xfId="377" applyNumberFormat="1" applyFont="1" applyFill="1" applyAlignment="1">
      <alignment horizontal="right" vertical="center"/>
    </xf>
    <xf numFmtId="211" fontId="149" fillId="28" borderId="0" xfId="377" applyNumberFormat="1" applyFont="1" applyFill="1" applyAlignment="1">
      <alignment horizontal="right" vertical="center"/>
    </xf>
    <xf numFmtId="0" fontId="149" fillId="16" borderId="0" xfId="377" applyFont="1" applyFill="1" applyAlignment="1">
      <alignment horizontal="center" vertical="center"/>
    </xf>
    <xf numFmtId="0" fontId="151" fillId="28" borderId="0" xfId="377" applyFont="1" applyFill="1" applyAlignment="1">
      <alignment vertical="center"/>
    </xf>
    <xf numFmtId="0" fontId="151" fillId="16" borderId="0" xfId="377" applyFont="1" applyFill="1" applyAlignment="1">
      <alignment vertical="center"/>
    </xf>
    <xf numFmtId="7" fontId="151" fillId="16" borderId="0" xfId="377" applyNumberFormat="1" applyFont="1" applyFill="1" applyAlignment="1">
      <alignment vertical="center"/>
    </xf>
    <xf numFmtId="0" fontId="150" fillId="16" borderId="0" xfId="377" applyFont="1" applyFill="1" applyAlignment="1">
      <alignment vertical="center"/>
    </xf>
    <xf numFmtId="0" fontId="150" fillId="16" borderId="0" xfId="377" applyFont="1" applyFill="1" applyAlignment="1">
      <alignment horizontal="center" vertical="center"/>
    </xf>
    <xf numFmtId="0" fontId="153" fillId="29" borderId="0" xfId="377" applyFont="1" applyFill="1"/>
    <xf numFmtId="0" fontId="154" fillId="29" borderId="57" xfId="377" applyFont="1" applyFill="1" applyBorder="1"/>
    <xf numFmtId="0" fontId="153" fillId="29" borderId="57" xfId="377" applyFont="1" applyFill="1" applyBorder="1" applyAlignment="1">
      <alignment horizontal="center"/>
    </xf>
    <xf numFmtId="0" fontId="155" fillId="16" borderId="0" xfId="377" applyFont="1" applyFill="1" applyAlignment="1">
      <alignment vertical="center"/>
    </xf>
    <xf numFmtId="0" fontId="155" fillId="28" borderId="0" xfId="377" applyFont="1" applyFill="1" applyAlignment="1">
      <alignment vertical="center"/>
    </xf>
    <xf numFmtId="0" fontId="156" fillId="16" borderId="0" xfId="377" applyFont="1" applyFill="1" applyAlignment="1">
      <alignment vertical="center"/>
    </xf>
    <xf numFmtId="0" fontId="157" fillId="29" borderId="0" xfId="377" applyFont="1" applyFill="1"/>
    <xf numFmtId="0" fontId="158" fillId="29" borderId="0" xfId="377" applyFont="1" applyFill="1"/>
    <xf numFmtId="0" fontId="158" fillId="29" borderId="0" xfId="377" applyFont="1" applyFill="1" applyAlignment="1">
      <alignment horizontal="center"/>
    </xf>
    <xf numFmtId="5" fontId="158" fillId="29" borderId="0" xfId="377" applyNumberFormat="1" applyFont="1" applyFill="1" applyAlignment="1">
      <alignment horizontal="center"/>
    </xf>
    <xf numFmtId="0" fontId="158" fillId="29" borderId="0" xfId="377" applyFont="1" applyFill="1" applyAlignment="1">
      <alignment horizontal="right"/>
    </xf>
    <xf numFmtId="0" fontId="157" fillId="29" borderId="0" xfId="377" applyFont="1" applyFill="1" applyAlignment="1">
      <alignment horizontal="center"/>
    </xf>
    <xf numFmtId="212" fontId="158" fillId="29" borderId="0" xfId="377" applyNumberFormat="1" applyFont="1" applyFill="1" applyAlignment="1">
      <alignment horizontal="center"/>
    </xf>
    <xf numFmtId="0" fontId="159" fillId="29" borderId="0" xfId="377" applyFont="1" applyFill="1" applyAlignment="1">
      <alignment horizontal="center"/>
    </xf>
    <xf numFmtId="0" fontId="160" fillId="16" borderId="0" xfId="377" applyFont="1" applyFill="1" applyAlignment="1">
      <alignment vertical="center"/>
    </xf>
    <xf numFmtId="0" fontId="159" fillId="16" borderId="0" xfId="377" applyFont="1" applyFill="1" applyAlignment="1">
      <alignment vertical="center"/>
    </xf>
    <xf numFmtId="0" fontId="159" fillId="16" borderId="0" xfId="377" applyFont="1" applyFill="1" applyAlignment="1">
      <alignment horizontal="center" vertical="center"/>
    </xf>
    <xf numFmtId="0" fontId="161" fillId="16" borderId="0" xfId="377" applyFont="1" applyFill="1" applyAlignment="1">
      <alignment horizontal="left" vertical="center"/>
    </xf>
    <xf numFmtId="7" fontId="159" fillId="16" borderId="0" xfId="377" applyNumberFormat="1" applyFont="1" applyFill="1" applyAlignment="1">
      <alignment horizontal="center" vertical="center"/>
    </xf>
    <xf numFmtId="0" fontId="162" fillId="16" borderId="0" xfId="377" applyFont="1" applyFill="1" applyAlignment="1">
      <alignment vertical="center"/>
    </xf>
    <xf numFmtId="0" fontId="162" fillId="0" borderId="0" xfId="377" applyFont="1" applyAlignment="1">
      <alignment vertical="center"/>
    </xf>
    <xf numFmtId="0" fontId="158" fillId="29" borderId="57" xfId="377" applyFont="1" applyFill="1" applyBorder="1" applyAlignment="1">
      <alignment horizontal="center"/>
    </xf>
    <xf numFmtId="5" fontId="158" fillId="29" borderId="57" xfId="377" applyNumberFormat="1" applyFont="1" applyFill="1" applyBorder="1" applyAlignment="1">
      <alignment horizontal="center"/>
    </xf>
    <xf numFmtId="0" fontId="157" fillId="29" borderId="57" xfId="377" applyFont="1" applyFill="1" applyBorder="1"/>
    <xf numFmtId="0" fontId="158" fillId="29" borderId="57" xfId="377" applyFont="1" applyFill="1" applyBorder="1"/>
    <xf numFmtId="213" fontId="158" fillId="29" borderId="57" xfId="377" applyNumberFormat="1" applyFont="1" applyFill="1" applyBorder="1" applyAlignment="1">
      <alignment horizontal="center"/>
    </xf>
    <xf numFmtId="0" fontId="158" fillId="29" borderId="57" xfId="377" applyFont="1" applyFill="1" applyBorder="1" applyAlignment="1">
      <alignment horizontal="right"/>
    </xf>
    <xf numFmtId="0" fontId="157" fillId="29" borderId="57" xfId="377" applyFont="1" applyFill="1" applyBorder="1" applyAlignment="1">
      <alignment horizontal="center"/>
    </xf>
    <xf numFmtId="0" fontId="158" fillId="29" borderId="57" xfId="377" quotePrefix="1" applyFont="1" applyFill="1" applyBorder="1" applyAlignment="1">
      <alignment horizontal="center"/>
    </xf>
    <xf numFmtId="212" fontId="158" fillId="29" borderId="57" xfId="377" quotePrefix="1" applyNumberFormat="1" applyFont="1" applyFill="1" applyBorder="1" applyAlignment="1">
      <alignment horizontal="center"/>
    </xf>
    <xf numFmtId="0" fontId="159" fillId="29" borderId="57" xfId="377" applyFont="1" applyFill="1" applyBorder="1" applyAlignment="1">
      <alignment horizontal="center"/>
    </xf>
    <xf numFmtId="212" fontId="158" fillId="29" borderId="57" xfId="377" applyNumberFormat="1" applyFont="1" applyFill="1" applyBorder="1" applyAlignment="1">
      <alignment horizontal="center"/>
    </xf>
    <xf numFmtId="0" fontId="160" fillId="16" borderId="57" xfId="377" applyFont="1" applyFill="1" applyBorder="1" applyAlignment="1">
      <alignment vertical="center"/>
    </xf>
    <xf numFmtId="0" fontId="159" fillId="29" borderId="57" xfId="377" quotePrefix="1" applyFont="1" applyFill="1" applyBorder="1" applyAlignment="1">
      <alignment horizontal="center"/>
    </xf>
    <xf numFmtId="213" fontId="158" fillId="29" borderId="0" xfId="377" applyNumberFormat="1" applyFont="1" applyFill="1" applyAlignment="1">
      <alignment horizontal="center"/>
    </xf>
    <xf numFmtId="212" fontId="158" fillId="29" borderId="0" xfId="377" quotePrefix="1" applyNumberFormat="1" applyFont="1" applyFill="1" applyAlignment="1">
      <alignment horizontal="center"/>
    </xf>
    <xf numFmtId="0" fontId="164" fillId="16" borderId="0" xfId="377" applyFont="1" applyFill="1" applyAlignment="1">
      <alignment vertical="center"/>
    </xf>
    <xf numFmtId="0" fontId="164" fillId="16" borderId="0" xfId="377" applyFont="1" applyFill="1" applyAlignment="1">
      <alignment horizontal="center" vertical="center"/>
    </xf>
    <xf numFmtId="0" fontId="164" fillId="16" borderId="0" xfId="377" applyFont="1" applyFill="1" applyAlignment="1">
      <alignment horizontal="left" vertical="center"/>
    </xf>
    <xf numFmtId="0" fontId="158" fillId="16" borderId="58" xfId="377" applyFont="1" applyFill="1" applyBorder="1" applyAlignment="1">
      <alignment vertical="center"/>
    </xf>
    <xf numFmtId="0" fontId="165" fillId="16" borderId="58" xfId="377" applyFont="1" applyFill="1" applyBorder="1" applyAlignment="1">
      <alignment vertical="center"/>
    </xf>
    <xf numFmtId="0" fontId="165" fillId="16" borderId="58" xfId="377" applyFont="1" applyFill="1" applyBorder="1" applyAlignment="1">
      <alignment horizontal="right" vertical="center"/>
    </xf>
    <xf numFmtId="169" fontId="165" fillId="16" borderId="58" xfId="377" applyNumberFormat="1" applyFont="1" applyFill="1" applyBorder="1" applyAlignment="1">
      <alignment vertical="center"/>
    </xf>
    <xf numFmtId="0" fontId="165" fillId="16" borderId="58" xfId="377" applyFont="1" applyFill="1" applyBorder="1" applyAlignment="1">
      <alignment horizontal="center" vertical="center"/>
    </xf>
    <xf numFmtId="214" fontId="165" fillId="16" borderId="58" xfId="377" applyNumberFormat="1" applyFont="1" applyFill="1" applyBorder="1" applyAlignment="1">
      <alignment horizontal="center" vertical="center"/>
    </xf>
    <xf numFmtId="0" fontId="166" fillId="16" borderId="59" xfId="377" applyFont="1" applyFill="1" applyBorder="1" applyAlignment="1">
      <alignment horizontal="center" vertical="center"/>
    </xf>
    <xf numFmtId="0" fontId="164" fillId="16" borderId="59" xfId="377" applyFont="1" applyFill="1" applyBorder="1" applyAlignment="1">
      <alignment vertical="center"/>
    </xf>
    <xf numFmtId="0" fontId="160" fillId="16" borderId="60" xfId="377" applyFont="1" applyFill="1" applyBorder="1" applyAlignment="1">
      <alignment vertical="center"/>
    </xf>
    <xf numFmtId="0" fontId="160" fillId="16" borderId="60" xfId="377" applyFont="1" applyFill="1" applyBorder="1" applyAlignment="1">
      <alignment horizontal="center" vertical="center"/>
    </xf>
    <xf numFmtId="7" fontId="160" fillId="16" borderId="61" xfId="377" applyNumberFormat="1" applyFont="1" applyFill="1" applyBorder="1" applyAlignment="1">
      <alignment horizontal="right" vertical="center"/>
    </xf>
    <xf numFmtId="169" fontId="160" fillId="16" borderId="60" xfId="377" applyNumberFormat="1" applyFont="1" applyFill="1" applyBorder="1" applyAlignment="1">
      <alignment vertical="center"/>
    </xf>
    <xf numFmtId="211" fontId="160" fillId="16" borderId="60" xfId="377" applyNumberFormat="1" applyFont="1" applyFill="1" applyBorder="1" applyAlignment="1">
      <alignment horizontal="right" vertical="center"/>
    </xf>
    <xf numFmtId="215" fontId="160" fillId="16" borderId="60" xfId="377" applyNumberFormat="1" applyFont="1" applyFill="1" applyBorder="1" applyAlignment="1">
      <alignment horizontal="center" vertical="center"/>
    </xf>
    <xf numFmtId="216" fontId="160" fillId="16" borderId="60" xfId="377" applyNumberFormat="1" applyFont="1" applyFill="1" applyBorder="1" applyAlignment="1">
      <alignment horizontal="center" vertical="center"/>
    </xf>
    <xf numFmtId="9" fontId="160" fillId="16" borderId="60" xfId="377" applyNumberFormat="1" applyFont="1" applyFill="1" applyBorder="1" applyAlignment="1">
      <alignment horizontal="center" vertical="center"/>
    </xf>
    <xf numFmtId="214" fontId="160" fillId="16" borderId="60" xfId="378" applyNumberFormat="1" applyFont="1" applyFill="1" applyBorder="1" applyAlignment="1">
      <alignment horizontal="center" vertical="center"/>
    </xf>
    <xf numFmtId="5" fontId="167" fillId="16" borderId="0" xfId="377" applyNumberFormat="1" applyFont="1" applyFill="1" applyAlignment="1">
      <alignment horizontal="center" vertical="center"/>
    </xf>
    <xf numFmtId="0" fontId="167" fillId="16" borderId="0" xfId="377" applyFont="1" applyFill="1" applyAlignment="1">
      <alignment horizontal="center" vertical="center"/>
    </xf>
    <xf numFmtId="7" fontId="167" fillId="16" borderId="0" xfId="377" applyNumberFormat="1" applyFont="1" applyFill="1" applyAlignment="1">
      <alignment horizontal="center" vertical="center"/>
    </xf>
    <xf numFmtId="0" fontId="160" fillId="16" borderId="62" xfId="377" applyFont="1" applyFill="1" applyBorder="1" applyAlignment="1">
      <alignment vertical="center"/>
    </xf>
    <xf numFmtId="169" fontId="160" fillId="28" borderId="62" xfId="377" applyNumberFormat="1" applyFont="1" applyFill="1" applyBorder="1" applyAlignment="1">
      <alignment vertical="center"/>
    </xf>
    <xf numFmtId="211" fontId="160" fillId="16" borderId="61" xfId="377" applyNumberFormat="1" applyFont="1" applyFill="1" applyBorder="1" applyAlignment="1">
      <alignment horizontal="right" vertical="center"/>
    </xf>
    <xf numFmtId="211" fontId="160" fillId="29" borderId="61" xfId="377" applyNumberFormat="1" applyFont="1" applyFill="1" applyBorder="1" applyAlignment="1">
      <alignment horizontal="right" vertical="center"/>
    </xf>
    <xf numFmtId="215" fontId="160" fillId="16" borderId="62" xfId="377" applyNumberFormat="1" applyFont="1" applyFill="1" applyBorder="1" applyAlignment="1">
      <alignment horizontal="center" vertical="center"/>
    </xf>
    <xf numFmtId="215" fontId="160" fillId="16" borderId="61" xfId="377" applyNumberFormat="1" applyFont="1" applyFill="1" applyBorder="1" applyAlignment="1">
      <alignment horizontal="center" vertical="center"/>
    </xf>
    <xf numFmtId="0" fontId="160" fillId="16" borderId="62" xfId="377" applyFont="1" applyFill="1" applyBorder="1" applyAlignment="1">
      <alignment horizontal="center" vertical="center"/>
    </xf>
    <xf numFmtId="216" fontId="160" fillId="16" borderId="62" xfId="377" applyNumberFormat="1" applyFont="1" applyFill="1" applyBorder="1" applyAlignment="1">
      <alignment horizontal="center" vertical="center"/>
    </xf>
    <xf numFmtId="9" fontId="160" fillId="16" borderId="62" xfId="377" applyNumberFormat="1" applyFont="1" applyFill="1" applyBorder="1" applyAlignment="1">
      <alignment horizontal="center" vertical="center"/>
    </xf>
    <xf numFmtId="214" fontId="160" fillId="29" borderId="62" xfId="378" applyNumberFormat="1" applyFont="1" applyFill="1" applyBorder="1" applyAlignment="1">
      <alignment horizontal="center" vertical="center"/>
    </xf>
    <xf numFmtId="0" fontId="160" fillId="16" borderId="61" xfId="377" applyFont="1" applyFill="1" applyBorder="1" applyAlignment="1">
      <alignment vertical="center"/>
    </xf>
    <xf numFmtId="0" fontId="160" fillId="16" borderId="61" xfId="377" applyFont="1" applyFill="1" applyBorder="1" applyAlignment="1">
      <alignment horizontal="center" vertical="center"/>
    </xf>
    <xf numFmtId="216" fontId="160" fillId="16" borderId="61" xfId="377" applyNumberFormat="1" applyFont="1" applyFill="1" applyBorder="1" applyAlignment="1">
      <alignment horizontal="center" vertical="center"/>
    </xf>
    <xf numFmtId="9" fontId="160" fillId="16" borderId="61" xfId="377" applyNumberFormat="1" applyFont="1" applyFill="1" applyBorder="1" applyAlignment="1">
      <alignment horizontal="center" vertical="center"/>
    </xf>
    <xf numFmtId="0" fontId="160" fillId="16" borderId="0" xfId="377" applyFont="1" applyFill="1" applyAlignment="1">
      <alignment horizontal="center" vertical="center"/>
    </xf>
    <xf numFmtId="7" fontId="160" fillId="16" borderId="0" xfId="377" applyNumberFormat="1" applyFont="1" applyFill="1" applyAlignment="1">
      <alignment horizontal="right" vertical="center"/>
    </xf>
    <xf numFmtId="211" fontId="160" fillId="16" borderId="0" xfId="377" applyNumberFormat="1" applyFont="1" applyFill="1" applyAlignment="1">
      <alignment horizontal="right" vertical="center"/>
    </xf>
    <xf numFmtId="211" fontId="160" fillId="29" borderId="0" xfId="377" applyNumberFormat="1" applyFont="1" applyFill="1" applyAlignment="1">
      <alignment horizontal="right" vertical="center"/>
    </xf>
    <xf numFmtId="211" fontId="168" fillId="30" borderId="0" xfId="377" applyNumberFormat="1" applyFont="1" applyFill="1" applyAlignment="1">
      <alignment horizontal="right" vertical="center"/>
    </xf>
    <xf numFmtId="211" fontId="168" fillId="30" borderId="0" xfId="377" applyNumberFormat="1" applyFont="1" applyFill="1" applyAlignment="1">
      <alignment vertical="center"/>
    </xf>
    <xf numFmtId="215" fontId="168" fillId="30" borderId="0" xfId="377" applyNumberFormat="1" applyFont="1" applyFill="1" applyAlignment="1">
      <alignment horizontal="center" vertical="center"/>
    </xf>
    <xf numFmtId="214" fontId="168" fillId="30" borderId="62" xfId="378" applyNumberFormat="1" applyFont="1" applyFill="1" applyBorder="1" applyAlignment="1">
      <alignment horizontal="center" vertical="center"/>
    </xf>
    <xf numFmtId="5" fontId="167" fillId="28" borderId="0" xfId="377" applyNumberFormat="1" applyFont="1" applyFill="1" applyAlignment="1">
      <alignment horizontal="center" vertical="center"/>
    </xf>
    <xf numFmtId="5" fontId="166" fillId="16" borderId="59" xfId="377" applyNumberFormat="1" applyFont="1" applyFill="1" applyBorder="1" applyAlignment="1">
      <alignment horizontal="center" vertical="center"/>
    </xf>
    <xf numFmtId="5" fontId="164" fillId="16" borderId="59" xfId="377" applyNumberFormat="1" applyFont="1" applyFill="1" applyBorder="1" applyAlignment="1">
      <alignment vertical="center"/>
    </xf>
    <xf numFmtId="9" fontId="168" fillId="30" borderId="0" xfId="379" applyFont="1" applyFill="1" applyAlignment="1">
      <alignment horizontal="center" vertical="center"/>
    </xf>
    <xf numFmtId="169" fontId="160" fillId="28" borderId="61" xfId="377" applyNumberFormat="1" applyFont="1" applyFill="1" applyBorder="1" applyAlignment="1">
      <alignment vertical="center"/>
    </xf>
    <xf numFmtId="5" fontId="167" fillId="16" borderId="0" xfId="380" applyNumberFormat="1" applyFont="1" applyFill="1" applyAlignment="1">
      <alignment horizontal="center" vertical="center"/>
    </xf>
    <xf numFmtId="5" fontId="162" fillId="16" borderId="0" xfId="377" applyNumberFormat="1" applyFont="1" applyFill="1" applyAlignment="1">
      <alignment vertical="center"/>
    </xf>
    <xf numFmtId="169" fontId="160" fillId="16" borderId="0" xfId="377" applyNumberFormat="1" applyFont="1" applyFill="1" applyAlignment="1">
      <alignment vertical="center"/>
    </xf>
    <xf numFmtId="211" fontId="168" fillId="16" borderId="0" xfId="377" applyNumberFormat="1" applyFont="1" applyFill="1" applyAlignment="1">
      <alignment horizontal="right" vertical="center"/>
    </xf>
    <xf numFmtId="211" fontId="168" fillId="16" borderId="0" xfId="377" applyNumberFormat="1" applyFont="1" applyFill="1" applyAlignment="1">
      <alignment vertical="center"/>
    </xf>
    <xf numFmtId="215" fontId="168" fillId="16" borderId="0" xfId="377" applyNumberFormat="1" applyFont="1" applyFill="1" applyAlignment="1">
      <alignment horizontal="center" vertical="center"/>
    </xf>
    <xf numFmtId="9" fontId="168" fillId="16" borderId="0" xfId="377" applyNumberFormat="1" applyFont="1" applyFill="1" applyAlignment="1">
      <alignment horizontal="center" vertical="center"/>
    </xf>
    <xf numFmtId="0" fontId="168" fillId="16" borderId="0" xfId="377" applyFont="1" applyFill="1" applyAlignment="1">
      <alignment horizontal="center" vertical="center"/>
    </xf>
    <xf numFmtId="215" fontId="166" fillId="16" borderId="0" xfId="377" applyNumberFormat="1" applyFont="1" applyFill="1" applyAlignment="1">
      <alignment horizontal="center" vertical="center"/>
    </xf>
    <xf numFmtId="0" fontId="166" fillId="16" borderId="0" xfId="377" applyFont="1" applyFill="1" applyAlignment="1">
      <alignment vertical="center"/>
    </xf>
    <xf numFmtId="9" fontId="166" fillId="16" borderId="0" xfId="377" applyNumberFormat="1" applyFont="1" applyFill="1" applyAlignment="1">
      <alignment horizontal="center" vertical="center"/>
    </xf>
    <xf numFmtId="166" fontId="168" fillId="16" borderId="0" xfId="377" applyNumberFormat="1" applyFont="1" applyFill="1" applyAlignment="1">
      <alignment horizontal="center" vertical="center"/>
    </xf>
    <xf numFmtId="0" fontId="160" fillId="31" borderId="0" xfId="377" applyFont="1" applyFill="1" applyAlignment="1">
      <alignment vertical="center"/>
    </xf>
    <xf numFmtId="0" fontId="160" fillId="31" borderId="0" xfId="377" applyFont="1" applyFill="1" applyAlignment="1">
      <alignment horizontal="center" vertical="center"/>
    </xf>
    <xf numFmtId="7" fontId="160" fillId="31" borderId="0" xfId="377" applyNumberFormat="1" applyFont="1" applyFill="1" applyAlignment="1">
      <alignment horizontal="right" vertical="center"/>
    </xf>
    <xf numFmtId="169" fontId="160" fillId="31" borderId="0" xfId="377" applyNumberFormat="1" applyFont="1" applyFill="1" applyAlignment="1">
      <alignment vertical="center"/>
    </xf>
    <xf numFmtId="211" fontId="160" fillId="31" borderId="0" xfId="377" applyNumberFormat="1" applyFont="1" applyFill="1" applyAlignment="1">
      <alignment horizontal="right" vertical="center"/>
    </xf>
    <xf numFmtId="215" fontId="160" fillId="31" borderId="0" xfId="377" applyNumberFormat="1" applyFont="1" applyFill="1" applyAlignment="1">
      <alignment horizontal="center" vertical="center"/>
    </xf>
    <xf numFmtId="216" fontId="160" fillId="31" borderId="0" xfId="377" applyNumberFormat="1" applyFont="1" applyFill="1" applyAlignment="1">
      <alignment horizontal="center" vertical="center"/>
    </xf>
    <xf numFmtId="9" fontId="160" fillId="31" borderId="0" xfId="377" applyNumberFormat="1" applyFont="1" applyFill="1" applyAlignment="1">
      <alignment horizontal="center" vertical="center"/>
    </xf>
    <xf numFmtId="214" fontId="160" fillId="31" borderId="0" xfId="378" applyNumberFormat="1" applyFont="1" applyFill="1" applyBorder="1" applyAlignment="1">
      <alignment horizontal="center" vertical="center"/>
    </xf>
    <xf numFmtId="166" fontId="168" fillId="16" borderId="0" xfId="379" applyNumberFormat="1" applyFont="1" applyFill="1" applyAlignment="1">
      <alignment horizontal="center" vertical="center"/>
    </xf>
    <xf numFmtId="215" fontId="162" fillId="16" borderId="0" xfId="377" applyNumberFormat="1" applyFont="1" applyFill="1" applyAlignment="1">
      <alignment vertical="center"/>
    </xf>
    <xf numFmtId="0" fontId="169" fillId="16" borderId="0" xfId="377" applyFont="1" applyFill="1" applyAlignment="1">
      <alignment vertical="center"/>
    </xf>
    <xf numFmtId="211" fontId="170" fillId="16" borderId="0" xfId="377" applyNumberFormat="1" applyFont="1" applyFill="1" applyAlignment="1">
      <alignment horizontal="center" vertical="center"/>
    </xf>
    <xf numFmtId="0" fontId="170" fillId="16" borderId="0" xfId="377" applyFont="1" applyFill="1" applyAlignment="1">
      <alignment horizontal="center" vertical="center"/>
    </xf>
    <xf numFmtId="7" fontId="170" fillId="16" borderId="0" xfId="377" applyNumberFormat="1" applyFont="1" applyFill="1" applyAlignment="1">
      <alignment horizontal="center" vertical="center"/>
    </xf>
    <xf numFmtId="0" fontId="169" fillId="16" borderId="0" xfId="377" applyFont="1" applyFill="1"/>
    <xf numFmtId="0" fontId="80" fillId="16" borderId="0" xfId="377" applyFont="1" applyFill="1" applyAlignment="1">
      <alignment vertical="center"/>
    </xf>
    <xf numFmtId="0" fontId="150" fillId="16" borderId="0" xfId="377" applyFont="1" applyFill="1" applyAlignment="1">
      <alignment horizontal="right" vertical="center"/>
    </xf>
    <xf numFmtId="0" fontId="156" fillId="16" borderId="0" xfId="377" applyFont="1" applyFill="1" applyAlignment="1">
      <alignment horizontal="center" vertical="center"/>
    </xf>
    <xf numFmtId="0" fontId="156" fillId="16" borderId="0" xfId="377" applyFont="1" applyFill="1" applyAlignment="1">
      <alignment horizontal="right" vertical="center"/>
    </xf>
    <xf numFmtId="0" fontId="156" fillId="0" borderId="0" xfId="377" applyFont="1" applyAlignment="1">
      <alignment vertical="center"/>
    </xf>
    <xf numFmtId="0" fontId="156" fillId="0" borderId="0" xfId="377" applyFont="1" applyAlignment="1">
      <alignment horizontal="right" vertical="center"/>
    </xf>
    <xf numFmtId="0" fontId="156" fillId="0" borderId="0" xfId="377" applyFont="1" applyAlignment="1">
      <alignment horizontal="center" vertical="center"/>
    </xf>
    <xf numFmtId="3" fontId="104" fillId="16" borderId="0" xfId="25" applyNumberFormat="1" applyFont="1" applyFill="1" applyBorder="1" applyAlignment="1">
      <alignment horizontal="center"/>
    </xf>
    <xf numFmtId="1" fontId="104" fillId="28" borderId="17" xfId="0" applyNumberFormat="1" applyFont="1" applyFill="1" applyBorder="1" applyAlignment="1">
      <alignment horizontal="center"/>
    </xf>
    <xf numFmtId="1" fontId="104" fillId="28" borderId="0" xfId="0" applyNumberFormat="1" applyFont="1" applyFill="1" applyAlignment="1">
      <alignment horizontal="center" wrapText="1"/>
    </xf>
    <xf numFmtId="7" fontId="104" fillId="28" borderId="17" xfId="0" applyNumberFormat="1" applyFont="1" applyFill="1" applyBorder="1" applyAlignment="1">
      <alignment horizontal="center"/>
    </xf>
    <xf numFmtId="1" fontId="104" fillId="16" borderId="17" xfId="0" applyNumberFormat="1" applyFont="1" applyFill="1" applyBorder="1" applyAlignment="1">
      <alignment horizontal="center"/>
    </xf>
    <xf numFmtId="0" fontId="80" fillId="16" borderId="0" xfId="382" applyFont="1" applyFill="1" applyAlignment="1">
      <alignment wrapText="1"/>
    </xf>
    <xf numFmtId="0" fontId="80" fillId="16" borderId="0" xfId="382" applyFont="1" applyFill="1" applyAlignment="1">
      <alignment horizontal="center" wrapText="1"/>
    </xf>
    <xf numFmtId="0" fontId="80" fillId="16" borderId="0" xfId="382" applyFont="1" applyFill="1" applyAlignment="1">
      <alignment horizontal="right" wrapText="1"/>
    </xf>
    <xf numFmtId="0" fontId="11" fillId="16" borderId="0" xfId="382" applyFont="1" applyFill="1" applyAlignment="1">
      <alignment wrapText="1"/>
    </xf>
    <xf numFmtId="0" fontId="79" fillId="16" borderId="0" xfId="382" applyFont="1" applyFill="1" applyAlignment="1">
      <alignment horizontal="center" wrapText="1"/>
    </xf>
    <xf numFmtId="0" fontId="80" fillId="16" borderId="0" xfId="383" applyFont="1" applyFill="1" applyAlignment="1">
      <alignment horizontal="right" wrapText="1"/>
    </xf>
    <xf numFmtId="0" fontId="11" fillId="16" borderId="0" xfId="383" applyFont="1" applyFill="1" applyAlignment="1">
      <alignment horizontal="right" wrapText="1"/>
    </xf>
    <xf numFmtId="0" fontId="80" fillId="16" borderId="63" xfId="382" applyFont="1" applyFill="1" applyBorder="1" applyAlignment="1">
      <alignment horizontal="center" wrapText="1"/>
    </xf>
    <xf numFmtId="0" fontId="94" fillId="32" borderId="0" xfId="382" applyFont="1" applyFill="1" applyAlignment="1">
      <alignment wrapText="1"/>
    </xf>
    <xf numFmtId="172" fontId="94" fillId="32" borderId="0" xfId="384" applyNumberFormat="1" applyFont="1" applyFill="1" applyAlignment="1">
      <alignment horizontal="center"/>
    </xf>
    <xf numFmtId="172" fontId="39" fillId="32" borderId="64" xfId="384" applyNumberFormat="1" applyFont="1" applyFill="1" applyBorder="1" applyAlignment="1">
      <alignment horizontal="center"/>
    </xf>
    <xf numFmtId="172" fontId="39" fillId="32" borderId="0" xfId="384" applyNumberFormat="1" applyFont="1" applyFill="1" applyAlignment="1">
      <alignment horizontal="center"/>
    </xf>
    <xf numFmtId="172" fontId="39" fillId="32" borderId="0" xfId="384" applyNumberFormat="1" applyFont="1" applyFill="1" applyAlignment="1">
      <alignment horizontal="right"/>
    </xf>
    <xf numFmtId="0" fontId="39" fillId="32" borderId="34" xfId="383" applyFont="1" applyFill="1" applyBorder="1" applyAlignment="1">
      <alignment horizontal="right" wrapText="1"/>
    </xf>
    <xf numFmtId="0" fontId="39" fillId="32" borderId="0" xfId="383" applyFont="1" applyFill="1" applyAlignment="1">
      <alignment horizontal="right" wrapText="1"/>
    </xf>
    <xf numFmtId="0" fontId="94" fillId="32" borderId="0" xfId="383" applyFont="1" applyFill="1" applyAlignment="1">
      <alignment horizontal="right" wrapText="1"/>
    </xf>
    <xf numFmtId="0" fontId="94" fillId="32" borderId="34" xfId="383" applyFont="1" applyFill="1" applyBorder="1" applyAlignment="1">
      <alignment horizontal="right" wrapText="1"/>
    </xf>
    <xf numFmtId="0" fontId="94" fillId="32" borderId="34" xfId="385" applyFont="1" applyFill="1" applyBorder="1" applyAlignment="1">
      <alignment horizontal="right"/>
    </xf>
    <xf numFmtId="0" fontId="94" fillId="16" borderId="0" xfId="382" applyFont="1" applyFill="1" applyAlignment="1">
      <alignment wrapText="1"/>
    </xf>
    <xf numFmtId="0" fontId="172" fillId="16" borderId="0" xfId="383" applyFont="1" applyFill="1" applyAlignment="1">
      <alignment wrapText="1"/>
    </xf>
    <xf numFmtId="172" fontId="94" fillId="16" borderId="0" xfId="384" applyNumberFormat="1" applyFont="1" applyFill="1" applyAlignment="1">
      <alignment horizontal="center"/>
    </xf>
    <xf numFmtId="172" fontId="94" fillId="16" borderId="64" xfId="384" applyNumberFormat="1" applyFont="1" applyFill="1" applyBorder="1" applyAlignment="1">
      <alignment horizontal="center"/>
    </xf>
    <xf numFmtId="172" fontId="94" fillId="16" borderId="0" xfId="384" applyNumberFormat="1" applyFont="1" applyFill="1" applyAlignment="1">
      <alignment horizontal="right"/>
    </xf>
    <xf numFmtId="171" fontId="173" fillId="16" borderId="0" xfId="384" applyNumberFormat="1" applyFont="1" applyFill="1" applyAlignment="1">
      <alignment horizontal="right"/>
    </xf>
    <xf numFmtId="171" fontId="174" fillId="16" borderId="41" xfId="384" applyNumberFormat="1" applyFont="1" applyFill="1" applyBorder="1" applyAlignment="1">
      <alignment horizontal="center"/>
    </xf>
    <xf numFmtId="171" fontId="39" fillId="16" borderId="0" xfId="384" applyNumberFormat="1" applyFont="1" applyFill="1" applyAlignment="1">
      <alignment horizontal="right"/>
    </xf>
    <xf numFmtId="171" fontId="11" fillId="16" borderId="41" xfId="384" applyNumberFormat="1" applyFill="1" applyBorder="1" applyAlignment="1">
      <alignment horizontal="center"/>
    </xf>
    <xf numFmtId="0" fontId="39" fillId="16" borderId="0" xfId="382" applyFont="1" applyFill="1" applyAlignment="1">
      <alignment wrapText="1"/>
    </xf>
    <xf numFmtId="0" fontId="11" fillId="16" borderId="0" xfId="383" applyFont="1" applyFill="1" applyAlignment="1">
      <alignment wrapText="1"/>
    </xf>
    <xf numFmtId="171" fontId="11" fillId="16" borderId="41" xfId="384" applyNumberFormat="1" applyFill="1" applyBorder="1" applyAlignment="1">
      <alignment horizontal="right"/>
    </xf>
    <xf numFmtId="171" fontId="11" fillId="0" borderId="0" xfId="384" applyNumberFormat="1" applyAlignment="1">
      <alignment horizontal="right"/>
    </xf>
    <xf numFmtId="171" fontId="11" fillId="16" borderId="0" xfId="384" applyNumberFormat="1" applyFill="1"/>
    <xf numFmtId="171" fontId="11" fillId="16" borderId="41" xfId="384" applyNumberFormat="1" applyFill="1" applyBorder="1"/>
    <xf numFmtId="171" fontId="11" fillId="16" borderId="0" xfId="384" applyNumberFormat="1" applyFill="1" applyAlignment="1">
      <alignment horizontal="right"/>
    </xf>
    <xf numFmtId="171" fontId="174" fillId="16" borderId="0" xfId="384" applyNumberFormat="1" applyFont="1" applyFill="1" applyAlignment="1">
      <alignment horizontal="right"/>
    </xf>
    <xf numFmtId="171" fontId="174" fillId="16" borderId="0" xfId="384" applyNumberFormat="1" applyFont="1" applyFill="1"/>
    <xf numFmtId="171" fontId="174" fillId="16" borderId="41" xfId="384" applyNumberFormat="1" applyFont="1" applyFill="1" applyBorder="1"/>
    <xf numFmtId="171" fontId="174" fillId="16" borderId="41" xfId="384" applyNumberFormat="1" applyFont="1" applyFill="1" applyBorder="1" applyAlignment="1">
      <alignment horizontal="right"/>
    </xf>
    <xf numFmtId="0" fontId="11" fillId="16" borderId="0" xfId="382" applyFont="1" applyFill="1" applyAlignment="1">
      <alignment horizontal="left" wrapText="1"/>
    </xf>
    <xf numFmtId="172" fontId="11" fillId="16" borderId="0" xfId="384" applyNumberFormat="1" applyFill="1" applyAlignment="1">
      <alignment horizontal="center"/>
    </xf>
    <xf numFmtId="217" fontId="11" fillId="16" borderId="64" xfId="384" applyNumberFormat="1" applyFill="1" applyBorder="1" applyAlignment="1">
      <alignment horizontal="center"/>
    </xf>
    <xf numFmtId="172" fontId="11" fillId="16" borderId="0" xfId="384" applyNumberFormat="1" applyFill="1" applyAlignment="1">
      <alignment horizontal="right"/>
    </xf>
    <xf numFmtId="209" fontId="11" fillId="16" borderId="0" xfId="384" applyNumberFormat="1" applyFill="1" applyAlignment="1">
      <alignment horizontal="center"/>
    </xf>
    <xf numFmtId="171" fontId="11" fillId="28" borderId="0" xfId="384" applyNumberFormat="1" applyFill="1" applyAlignment="1">
      <alignment horizontal="right"/>
    </xf>
    <xf numFmtId="171" fontId="174" fillId="28" borderId="0" xfId="384" applyNumberFormat="1" applyFont="1" applyFill="1" applyAlignment="1">
      <alignment horizontal="right"/>
    </xf>
    <xf numFmtId="171" fontId="174" fillId="0" borderId="0" xfId="384" applyNumberFormat="1" applyFont="1" applyAlignment="1">
      <alignment horizontal="right"/>
    </xf>
    <xf numFmtId="0" fontId="175" fillId="16" borderId="0" xfId="382" applyFont="1" applyFill="1" applyAlignment="1">
      <alignment wrapText="1"/>
    </xf>
    <xf numFmtId="172" fontId="176" fillId="16" borderId="0" xfId="384" applyNumberFormat="1" applyFont="1" applyFill="1" applyAlignment="1">
      <alignment horizontal="center"/>
    </xf>
    <xf numFmtId="172" fontId="176" fillId="16" borderId="64" xfId="384" applyNumberFormat="1" applyFont="1" applyFill="1" applyBorder="1" applyAlignment="1">
      <alignment horizontal="center"/>
    </xf>
    <xf numFmtId="172" fontId="176" fillId="16" borderId="0" xfId="384" applyNumberFormat="1" applyFont="1" applyFill="1" applyAlignment="1">
      <alignment horizontal="right"/>
    </xf>
    <xf numFmtId="171" fontId="175" fillId="16" borderId="0" xfId="384" applyNumberFormat="1" applyFont="1" applyFill="1" applyAlignment="1">
      <alignment horizontal="right"/>
    </xf>
    <xf numFmtId="171" fontId="175" fillId="16" borderId="41" xfId="384" applyNumberFormat="1" applyFont="1" applyFill="1" applyBorder="1" applyAlignment="1">
      <alignment horizontal="right"/>
    </xf>
    <xf numFmtId="171" fontId="175" fillId="28" borderId="0" xfId="384" applyNumberFormat="1" applyFont="1" applyFill="1" applyAlignment="1">
      <alignment horizontal="right"/>
    </xf>
    <xf numFmtId="171" fontId="175" fillId="0" borderId="0" xfId="384" applyNumberFormat="1" applyFont="1" applyAlignment="1">
      <alignment horizontal="right"/>
    </xf>
    <xf numFmtId="0" fontId="39" fillId="23" borderId="0" xfId="382" applyFont="1" applyFill="1" applyAlignment="1">
      <alignment wrapText="1"/>
    </xf>
    <xf numFmtId="172" fontId="94" fillId="23" borderId="0" xfId="384" applyNumberFormat="1" applyFont="1" applyFill="1" applyAlignment="1">
      <alignment horizontal="center"/>
    </xf>
    <xf numFmtId="172" fontId="94" fillId="23" borderId="64" xfId="384" applyNumberFormat="1" applyFont="1" applyFill="1" applyBorder="1" applyAlignment="1">
      <alignment horizontal="center"/>
    </xf>
    <xf numFmtId="172" fontId="94" fillId="23" borderId="0" xfId="384" applyNumberFormat="1" applyFont="1" applyFill="1" applyAlignment="1">
      <alignment horizontal="right"/>
    </xf>
    <xf numFmtId="171" fontId="39" fillId="23" borderId="0" xfId="384" applyNumberFormat="1" applyFont="1" applyFill="1" applyAlignment="1">
      <alignment horizontal="right"/>
    </xf>
    <xf numFmtId="171" fontId="39" fillId="23" borderId="41" xfId="384" applyNumberFormat="1" applyFont="1" applyFill="1" applyBorder="1" applyAlignment="1">
      <alignment horizontal="right"/>
    </xf>
    <xf numFmtId="171" fontId="39" fillId="33" borderId="0" xfId="384" applyNumberFormat="1" applyFont="1" applyFill="1" applyAlignment="1">
      <alignment horizontal="right"/>
    </xf>
    <xf numFmtId="171" fontId="173" fillId="23" borderId="0" xfId="384" applyNumberFormat="1" applyFont="1" applyFill="1" applyAlignment="1">
      <alignment horizontal="right"/>
    </xf>
    <xf numFmtId="171" fontId="173" fillId="23" borderId="41" xfId="384" applyNumberFormat="1" applyFont="1" applyFill="1" applyBorder="1" applyAlignment="1">
      <alignment horizontal="right"/>
    </xf>
    <xf numFmtId="0" fontId="94" fillId="23" borderId="0" xfId="382" applyFont="1" applyFill="1" applyAlignment="1">
      <alignment wrapText="1"/>
    </xf>
    <xf numFmtId="171" fontId="11" fillId="16" borderId="64" xfId="384" applyNumberFormat="1" applyFill="1" applyBorder="1" applyAlignment="1">
      <alignment horizontal="center"/>
    </xf>
    <xf numFmtId="171" fontId="176" fillId="16" borderId="0" xfId="384" applyNumberFormat="1" applyFont="1" applyFill="1" applyAlignment="1">
      <alignment horizontal="right"/>
    </xf>
    <xf numFmtId="171" fontId="176" fillId="16" borderId="41" xfId="384" applyNumberFormat="1" applyFont="1" applyFill="1" applyBorder="1" applyAlignment="1">
      <alignment horizontal="right"/>
    </xf>
    <xf numFmtId="171" fontId="175" fillId="16" borderId="0" xfId="384" quotePrefix="1" applyNumberFormat="1" applyFont="1" applyFill="1" applyAlignment="1">
      <alignment horizontal="right"/>
    </xf>
    <xf numFmtId="171" fontId="11" fillId="16" borderId="0" xfId="384" quotePrefix="1" applyNumberFormat="1" applyFill="1" applyAlignment="1">
      <alignment horizontal="right"/>
    </xf>
    <xf numFmtId="171" fontId="39" fillId="16" borderId="41" xfId="384" applyNumberFormat="1" applyFont="1" applyFill="1" applyBorder="1" applyAlignment="1">
      <alignment horizontal="right"/>
    </xf>
    <xf numFmtId="171" fontId="176" fillId="28" borderId="41" xfId="384" applyNumberFormat="1" applyFont="1" applyFill="1" applyBorder="1" applyAlignment="1">
      <alignment horizontal="right"/>
    </xf>
    <xf numFmtId="0" fontId="176" fillId="16" borderId="0" xfId="382" applyFont="1" applyFill="1" applyAlignment="1">
      <alignment wrapText="1"/>
    </xf>
    <xf numFmtId="172" fontId="177" fillId="16" borderId="0" xfId="384" applyNumberFormat="1" applyFont="1" applyFill="1" applyAlignment="1">
      <alignment horizontal="center"/>
    </xf>
    <xf numFmtId="172" fontId="177" fillId="16" borderId="64" xfId="384" applyNumberFormat="1" applyFont="1" applyFill="1" applyBorder="1" applyAlignment="1">
      <alignment horizontal="center"/>
    </xf>
    <xf numFmtId="172" fontId="177" fillId="16" borderId="0" xfId="384" applyNumberFormat="1" applyFont="1" applyFill="1" applyAlignment="1">
      <alignment horizontal="right"/>
    </xf>
    <xf numFmtId="209" fontId="11" fillId="16" borderId="0" xfId="384" applyNumberFormat="1" applyFill="1" applyAlignment="1">
      <alignment horizontal="right"/>
    </xf>
    <xf numFmtId="172" fontId="11" fillId="16" borderId="41" xfId="384" applyNumberFormat="1" applyFill="1" applyBorder="1" applyAlignment="1">
      <alignment horizontal="right"/>
    </xf>
    <xf numFmtId="172" fontId="174" fillId="16" borderId="0" xfId="384" applyNumberFormat="1" applyFont="1" applyFill="1" applyAlignment="1">
      <alignment horizontal="right"/>
    </xf>
    <xf numFmtId="172" fontId="174" fillId="16" borderId="41" xfId="384" applyNumberFormat="1" applyFont="1" applyFill="1" applyBorder="1" applyAlignment="1">
      <alignment horizontal="right"/>
    </xf>
    <xf numFmtId="0" fontId="177" fillId="16" borderId="0" xfId="382" applyFont="1" applyFill="1" applyAlignment="1">
      <alignment wrapText="1"/>
    </xf>
    <xf numFmtId="172" fontId="11" fillId="28" borderId="0" xfId="384" applyNumberFormat="1" applyFill="1" applyAlignment="1">
      <alignment horizontal="right"/>
    </xf>
    <xf numFmtId="0" fontId="178" fillId="16" borderId="0" xfId="382" applyFont="1" applyFill="1" applyAlignment="1">
      <alignment wrapText="1"/>
    </xf>
    <xf numFmtId="0" fontId="80" fillId="16" borderId="0" xfId="382" applyFont="1" applyFill="1" applyAlignment="1">
      <alignment horizontal="left"/>
    </xf>
    <xf numFmtId="0" fontId="11" fillId="16" borderId="41" xfId="382" applyFont="1" applyFill="1" applyBorder="1" applyAlignment="1">
      <alignment wrapText="1"/>
    </xf>
    <xf numFmtId="0" fontId="174" fillId="16" borderId="0" xfId="382" applyFont="1" applyFill="1" applyAlignment="1">
      <alignment wrapText="1"/>
    </xf>
    <xf numFmtId="0" fontId="174" fillId="16" borderId="41" xfId="382" applyFont="1" applyFill="1" applyBorder="1" applyAlignment="1">
      <alignment wrapText="1"/>
    </xf>
    <xf numFmtId="0" fontId="80" fillId="16" borderId="0" xfId="382" applyFont="1" applyFill="1" applyAlignment="1">
      <alignment horizontal="left" wrapText="1" indent="1"/>
    </xf>
    <xf numFmtId="218" fontId="80" fillId="16" borderId="0" xfId="382" applyNumberFormat="1" applyFont="1" applyFill="1" applyAlignment="1">
      <alignment horizontal="right"/>
    </xf>
    <xf numFmtId="0" fontId="80" fillId="16" borderId="0" xfId="382" applyFont="1" applyFill="1" applyAlignment="1">
      <alignment horizontal="right"/>
    </xf>
    <xf numFmtId="218" fontId="11" fillId="16" borderId="0" xfId="382" applyNumberFormat="1" applyFont="1" applyFill="1" applyAlignment="1">
      <alignment horizontal="right"/>
    </xf>
    <xf numFmtId="219" fontId="11" fillId="16" borderId="41" xfId="386" applyNumberFormat="1" applyFont="1" applyFill="1" applyBorder="1" applyAlignment="1">
      <alignment horizontal="right"/>
    </xf>
    <xf numFmtId="220" fontId="11" fillId="16" borderId="0" xfId="386" applyNumberFormat="1" applyFont="1" applyFill="1" applyAlignment="1">
      <alignment horizontal="right"/>
    </xf>
    <xf numFmtId="219" fontId="11" fillId="16" borderId="0" xfId="386" applyNumberFormat="1" applyFont="1" applyFill="1" applyAlignment="1">
      <alignment horizontal="right"/>
    </xf>
    <xf numFmtId="219" fontId="174" fillId="16" borderId="41" xfId="386" applyNumberFormat="1" applyFont="1" applyFill="1" applyBorder="1" applyAlignment="1">
      <alignment horizontal="right"/>
    </xf>
    <xf numFmtId="219" fontId="174" fillId="16" borderId="0" xfId="386" applyNumberFormat="1" applyFont="1" applyFill="1" applyAlignment="1">
      <alignment horizontal="right"/>
    </xf>
    <xf numFmtId="211" fontId="80" fillId="16" borderId="0" xfId="382" applyNumberFormat="1" applyFont="1" applyFill="1" applyAlignment="1">
      <alignment horizontal="right"/>
    </xf>
    <xf numFmtId="212" fontId="80" fillId="16" borderId="0" xfId="382" applyNumberFormat="1" applyFont="1" applyFill="1" applyAlignment="1">
      <alignment horizontal="right"/>
    </xf>
    <xf numFmtId="221" fontId="80" fillId="16" borderId="0" xfId="382" applyNumberFormat="1" applyFont="1" applyFill="1" applyAlignment="1">
      <alignment horizontal="right"/>
    </xf>
    <xf numFmtId="167" fontId="11" fillId="16" borderId="0" xfId="382" applyNumberFormat="1" applyFont="1" applyFill="1" applyAlignment="1">
      <alignment horizontal="right"/>
    </xf>
    <xf numFmtId="0" fontId="79" fillId="16" borderId="0" xfId="382" applyFont="1" applyFill="1" applyAlignment="1">
      <alignment horizontal="left"/>
    </xf>
    <xf numFmtId="212" fontId="79" fillId="16" borderId="0" xfId="382" applyNumberFormat="1" applyFont="1" applyFill="1" applyAlignment="1">
      <alignment horizontal="right"/>
    </xf>
    <xf numFmtId="212" fontId="79" fillId="16" borderId="0" xfId="382" applyNumberFormat="1" applyFont="1" applyFill="1" applyAlignment="1">
      <alignment horizontal="center"/>
    </xf>
    <xf numFmtId="218" fontId="79" fillId="16" borderId="0" xfId="382" applyNumberFormat="1" applyFont="1" applyFill="1" applyAlignment="1">
      <alignment horizontal="right"/>
    </xf>
    <xf numFmtId="212" fontId="39" fillId="16" borderId="0" xfId="382" applyNumberFormat="1" applyFont="1" applyFill="1" applyAlignment="1">
      <alignment horizontal="right"/>
    </xf>
    <xf numFmtId="212" fontId="39" fillId="16" borderId="41" xfId="382" applyNumberFormat="1" applyFont="1" applyFill="1" applyBorder="1" applyAlignment="1">
      <alignment horizontal="right"/>
    </xf>
    <xf numFmtId="212" fontId="173" fillId="16" borderId="0" xfId="382" applyNumberFormat="1" applyFont="1" applyFill="1" applyAlignment="1">
      <alignment horizontal="right"/>
    </xf>
    <xf numFmtId="212" fontId="173" fillId="16" borderId="41" xfId="382" applyNumberFormat="1" applyFont="1" applyFill="1" applyBorder="1" applyAlignment="1">
      <alignment horizontal="right"/>
    </xf>
    <xf numFmtId="212" fontId="11" fillId="16" borderId="0" xfId="382" applyNumberFormat="1" applyFont="1" applyFill="1" applyAlignment="1">
      <alignment horizontal="right"/>
    </xf>
    <xf numFmtId="212" fontId="11" fillId="16" borderId="41" xfId="382" applyNumberFormat="1" applyFont="1" applyFill="1" applyBorder="1" applyAlignment="1">
      <alignment horizontal="right"/>
    </xf>
    <xf numFmtId="212" fontId="174" fillId="16" borderId="0" xfId="382" applyNumberFormat="1" applyFont="1" applyFill="1" applyAlignment="1">
      <alignment horizontal="right"/>
    </xf>
    <xf numFmtId="212" fontId="174" fillId="16" borderId="41" xfId="382" applyNumberFormat="1" applyFont="1" applyFill="1" applyBorder="1" applyAlignment="1">
      <alignment horizontal="right"/>
    </xf>
    <xf numFmtId="210" fontId="80" fillId="16" borderId="0" xfId="387" applyNumberFormat="1" applyFont="1" applyFill="1" applyAlignment="1">
      <alignment horizontal="right"/>
    </xf>
    <xf numFmtId="210" fontId="11" fillId="16" borderId="41" xfId="386" applyNumberFormat="1" applyFont="1" applyFill="1" applyBorder="1" applyAlignment="1">
      <alignment horizontal="right"/>
    </xf>
    <xf numFmtId="210" fontId="80" fillId="16" borderId="0" xfId="382" applyNumberFormat="1" applyFont="1" applyFill="1" applyAlignment="1">
      <alignment horizontal="left"/>
    </xf>
    <xf numFmtId="210" fontId="11" fillId="16" borderId="0" xfId="382" applyNumberFormat="1" applyFont="1" applyFill="1" applyAlignment="1">
      <alignment horizontal="left"/>
    </xf>
    <xf numFmtId="210" fontId="11" fillId="16" borderId="41" xfId="386" applyNumberFormat="1" applyFont="1" applyFill="1" applyBorder="1" applyAlignment="1">
      <alignment horizontal="left"/>
    </xf>
    <xf numFmtId="219" fontId="11" fillId="16" borderId="0" xfId="386" applyNumberFormat="1" applyFont="1" applyFill="1" applyAlignment="1">
      <alignment horizontal="left"/>
    </xf>
    <xf numFmtId="219" fontId="11" fillId="16" borderId="41" xfId="386" applyNumberFormat="1" applyFont="1" applyFill="1" applyBorder="1" applyAlignment="1">
      <alignment horizontal="left"/>
    </xf>
    <xf numFmtId="219" fontId="174" fillId="16" borderId="0" xfId="386" applyNumberFormat="1" applyFont="1" applyFill="1" applyAlignment="1">
      <alignment horizontal="left"/>
    </xf>
    <xf numFmtId="219" fontId="174" fillId="16" borderId="41" xfId="386" applyNumberFormat="1" applyFont="1" applyFill="1" applyBorder="1" applyAlignment="1">
      <alignment horizontal="left"/>
    </xf>
    <xf numFmtId="0" fontId="173" fillId="16" borderId="0" xfId="382" applyFont="1" applyFill="1" applyAlignment="1">
      <alignment wrapText="1"/>
    </xf>
    <xf numFmtId="171" fontId="173" fillId="16" borderId="41" xfId="384" applyNumberFormat="1" applyFont="1" applyFill="1" applyBorder="1" applyAlignment="1">
      <alignment horizontal="right"/>
    </xf>
    <xf numFmtId="172" fontId="11" fillId="16" borderId="64" xfId="384" applyNumberFormat="1" applyFill="1" applyBorder="1" applyAlignment="1">
      <alignment horizontal="center"/>
    </xf>
    <xf numFmtId="217" fontId="175" fillId="16" borderId="0" xfId="384" applyNumberFormat="1" applyFont="1" applyFill="1"/>
    <xf numFmtId="172" fontId="11" fillId="16" borderId="0" xfId="384" applyNumberFormat="1" applyFill="1"/>
    <xf numFmtId="172" fontId="174" fillId="16" borderId="0" xfId="384" applyNumberFormat="1" applyFont="1" applyFill="1"/>
    <xf numFmtId="209" fontId="175" fillId="16" borderId="0" xfId="384" applyNumberFormat="1" applyFont="1" applyFill="1"/>
    <xf numFmtId="172" fontId="39" fillId="16" borderId="0" xfId="384" applyNumberFormat="1" applyFont="1" applyFill="1" applyAlignment="1">
      <alignment horizontal="center"/>
    </xf>
    <xf numFmtId="172" fontId="39" fillId="16" borderId="0" xfId="384" applyNumberFormat="1" applyFont="1" applyFill="1" applyAlignment="1">
      <alignment horizontal="right"/>
    </xf>
    <xf numFmtId="209" fontId="176" fillId="16" borderId="0" xfId="384" applyNumberFormat="1" applyFont="1" applyFill="1"/>
    <xf numFmtId="166" fontId="39" fillId="16" borderId="0" xfId="379" applyNumberFormat="1" applyFont="1" applyFill="1" applyBorder="1" applyAlignment="1"/>
    <xf numFmtId="166" fontId="11" fillId="16" borderId="46" xfId="379" applyNumberFormat="1" applyFont="1" applyFill="1" applyBorder="1" applyAlignment="1">
      <alignment horizontal="right"/>
    </xf>
    <xf numFmtId="166" fontId="11" fillId="16" borderId="0" xfId="379" applyNumberFormat="1" applyFont="1" applyFill="1" applyBorder="1" applyAlignment="1"/>
    <xf numFmtId="166" fontId="11" fillId="16" borderId="46" xfId="379" applyNumberFormat="1" applyFont="1" applyFill="1" applyBorder="1" applyAlignment="1"/>
    <xf numFmtId="166" fontId="39" fillId="16" borderId="46" xfId="379" applyNumberFormat="1" applyFont="1" applyFill="1" applyBorder="1" applyAlignment="1"/>
    <xf numFmtId="37" fontId="80" fillId="16" borderId="0" xfId="382" applyNumberFormat="1" applyFont="1" applyFill="1" applyAlignment="1">
      <alignment horizontal="right" wrapText="1"/>
    </xf>
    <xf numFmtId="0" fontId="169" fillId="16" borderId="0" xfId="382" applyFont="1" applyFill="1"/>
    <xf numFmtId="167" fontId="80" fillId="16" borderId="0" xfId="382" applyNumberFormat="1" applyFont="1" applyFill="1" applyAlignment="1">
      <alignment wrapText="1"/>
    </xf>
    <xf numFmtId="219" fontId="80" fillId="16" borderId="0" xfId="386" applyNumberFormat="1" applyFont="1" applyFill="1" applyAlignment="1">
      <alignment wrapText="1"/>
    </xf>
    <xf numFmtId="171" fontId="80" fillId="16" borderId="0" xfId="382" applyNumberFormat="1" applyFont="1" applyFill="1" applyAlignment="1">
      <alignment wrapText="1"/>
    </xf>
    <xf numFmtId="167" fontId="11" fillId="16" borderId="0" xfId="382" applyNumberFormat="1" applyFont="1" applyFill="1" applyAlignment="1">
      <alignment wrapText="1"/>
    </xf>
    <xf numFmtId="1" fontId="80" fillId="16" borderId="0" xfId="382" applyNumberFormat="1" applyFont="1" applyFill="1" applyAlignment="1">
      <alignment wrapText="1"/>
    </xf>
    <xf numFmtId="0" fontId="169" fillId="16" borderId="0" xfId="382" applyFont="1" applyFill="1" applyAlignment="1">
      <alignment wrapText="1"/>
    </xf>
    <xf numFmtId="37" fontId="80" fillId="16" borderId="0" xfId="382" applyNumberFormat="1" applyFont="1" applyFill="1" applyAlignment="1">
      <alignment horizontal="center" wrapText="1"/>
    </xf>
    <xf numFmtId="0" fontId="179" fillId="0" borderId="0" xfId="369" applyFont="1"/>
    <xf numFmtId="0" fontId="179" fillId="34" borderId="0" xfId="369" applyFont="1" applyFill="1"/>
    <xf numFmtId="0" fontId="180" fillId="0" borderId="0" xfId="369" applyFont="1"/>
    <xf numFmtId="0" fontId="181" fillId="16" borderId="0" xfId="388" applyFill="1" applyAlignment="1">
      <alignment wrapText="1"/>
    </xf>
    <xf numFmtId="0" fontId="80" fillId="16" borderId="0" xfId="388" applyFont="1" applyFill="1"/>
    <xf numFmtId="0" fontId="182" fillId="16" borderId="29" xfId="389" applyFont="1" applyFill="1" applyBorder="1" applyAlignment="1">
      <alignment horizontal="left" wrapText="1"/>
    </xf>
    <xf numFmtId="0" fontId="182" fillId="16" borderId="25" xfId="389" applyFont="1" applyFill="1" applyBorder="1" applyAlignment="1">
      <alignment wrapText="1"/>
    </xf>
    <xf numFmtId="0" fontId="80" fillId="16" borderId="25" xfId="389" applyFont="1" applyFill="1" applyBorder="1" applyAlignment="1">
      <alignment horizontal="left"/>
    </xf>
    <xf numFmtId="219" fontId="80" fillId="16" borderId="25" xfId="390" applyNumberFormat="1" applyFont="1" applyFill="1" applyBorder="1" applyAlignment="1">
      <alignment horizontal="left"/>
    </xf>
    <xf numFmtId="0" fontId="80" fillId="16" borderId="25" xfId="389" applyFont="1" applyFill="1" applyBorder="1" applyAlignment="1">
      <alignment wrapText="1"/>
    </xf>
    <xf numFmtId="7" fontId="80" fillId="16" borderId="25" xfId="389" applyNumberFormat="1" applyFont="1" applyFill="1" applyBorder="1" applyAlignment="1">
      <alignment horizontal="left"/>
    </xf>
    <xf numFmtId="219" fontId="80" fillId="16" borderId="25" xfId="390" applyNumberFormat="1" applyFont="1" applyFill="1" applyBorder="1" applyAlignment="1">
      <alignment wrapText="1"/>
    </xf>
    <xf numFmtId="219" fontId="80" fillId="16" borderId="25" xfId="390" applyNumberFormat="1" applyFont="1" applyFill="1" applyBorder="1" applyAlignment="1">
      <alignment horizontal="right" wrapText="1"/>
    </xf>
    <xf numFmtId="219" fontId="80" fillId="16" borderId="25" xfId="389" applyNumberFormat="1" applyFont="1" applyFill="1" applyBorder="1" applyAlignment="1">
      <alignment horizontal="right" wrapText="1"/>
    </xf>
    <xf numFmtId="0" fontId="80" fillId="16" borderId="25" xfId="389" applyFont="1" applyFill="1" applyBorder="1" applyAlignment="1">
      <alignment horizontal="right" wrapText="1"/>
    </xf>
    <xf numFmtId="9" fontId="80" fillId="16" borderId="25" xfId="391" applyFont="1" applyFill="1" applyBorder="1" applyAlignment="1">
      <alignment horizontal="right" wrapText="1"/>
    </xf>
    <xf numFmtId="43" fontId="80" fillId="16" borderId="25" xfId="389" applyNumberFormat="1" applyFont="1" applyFill="1" applyBorder="1" applyAlignment="1">
      <alignment horizontal="right" wrapText="1"/>
    </xf>
    <xf numFmtId="0" fontId="80" fillId="16" borderId="0" xfId="389" applyFont="1" applyFill="1" applyAlignment="1">
      <alignment wrapText="1"/>
    </xf>
    <xf numFmtId="0" fontId="79" fillId="16" borderId="55" xfId="389" applyFont="1" applyFill="1" applyBorder="1" applyAlignment="1">
      <alignment horizontal="left" wrapText="1"/>
    </xf>
    <xf numFmtId="0" fontId="80" fillId="16" borderId="0" xfId="389" applyFont="1" applyFill="1" applyAlignment="1">
      <alignment horizontal="right" wrapText="1"/>
    </xf>
    <xf numFmtId="0" fontId="79" fillId="16" borderId="0" xfId="389" applyFont="1" applyFill="1" applyAlignment="1">
      <alignment wrapText="1"/>
    </xf>
    <xf numFmtId="0" fontId="80" fillId="16" borderId="0" xfId="389" applyFont="1" applyFill="1" applyAlignment="1">
      <alignment horizontal="left"/>
    </xf>
    <xf numFmtId="0" fontId="94" fillId="16" borderId="55" xfId="389" applyFont="1" applyFill="1" applyBorder="1" applyAlignment="1">
      <alignment horizontal="left" wrapText="1"/>
    </xf>
    <xf numFmtId="0" fontId="39" fillId="32" borderId="0" xfId="389" applyFont="1" applyFill="1" applyAlignment="1">
      <alignment horizontal="center" wrapText="1"/>
    </xf>
    <xf numFmtId="0" fontId="39" fillId="32" borderId="34" xfId="392" applyFont="1" applyFill="1" applyBorder="1" applyAlignment="1">
      <alignment horizontal="center"/>
    </xf>
    <xf numFmtId="0" fontId="39" fillId="32" borderId="0" xfId="389" applyFont="1" applyFill="1" applyAlignment="1">
      <alignment horizontal="right" wrapText="1"/>
    </xf>
    <xf numFmtId="0" fontId="94" fillId="32" borderId="34" xfId="392" applyFont="1" applyFill="1" applyBorder="1" applyAlignment="1">
      <alignment horizontal="center"/>
    </xf>
    <xf numFmtId="0" fontId="94" fillId="32" borderId="0" xfId="389" applyFont="1" applyFill="1" applyAlignment="1">
      <alignment horizontal="center" wrapText="1"/>
    </xf>
    <xf numFmtId="0" fontId="94" fillId="32" borderId="0" xfId="389" applyFont="1" applyFill="1" applyAlignment="1">
      <alignment horizontal="right" wrapText="1"/>
    </xf>
    <xf numFmtId="0" fontId="177" fillId="16" borderId="0" xfId="389" applyFont="1" applyFill="1" applyAlignment="1">
      <alignment wrapText="1"/>
    </xf>
    <xf numFmtId="0" fontId="172" fillId="0" borderId="55" xfId="389" applyFont="1" applyBorder="1" applyAlignment="1">
      <alignment horizontal="left" wrapText="1"/>
    </xf>
    <xf numFmtId="9" fontId="183" fillId="16" borderId="0" xfId="391" applyFont="1" applyFill="1" applyBorder="1" applyAlignment="1">
      <alignment horizontal="right" wrapText="1"/>
    </xf>
    <xf numFmtId="219" fontId="173" fillId="0" borderId="0" xfId="390" applyNumberFormat="1" applyFont="1" applyFill="1" applyBorder="1" applyAlignment="1">
      <alignment horizontal="right" wrapText="1"/>
    </xf>
    <xf numFmtId="37" fontId="173" fillId="0" borderId="41" xfId="389" applyNumberFormat="1" applyFont="1" applyBorder="1" applyAlignment="1">
      <alignment horizontal="right"/>
    </xf>
    <xf numFmtId="219" fontId="79" fillId="16" borderId="0" xfId="390" applyNumberFormat="1" applyFont="1" applyFill="1" applyAlignment="1">
      <alignment wrapText="1"/>
    </xf>
    <xf numFmtId="166" fontId="45" fillId="16" borderId="0" xfId="391" applyNumberFormat="1" applyFont="1" applyFill="1" applyBorder="1" applyAlignment="1">
      <alignment horizontal="right" wrapText="1"/>
    </xf>
    <xf numFmtId="0" fontId="80" fillId="16" borderId="55" xfId="389" applyFont="1" applyFill="1" applyBorder="1" applyAlignment="1">
      <alignment horizontal="left"/>
    </xf>
    <xf numFmtId="0" fontId="183" fillId="16" borderId="0" xfId="391" applyNumberFormat="1" applyFont="1" applyFill="1" applyBorder="1" applyAlignment="1">
      <alignment wrapText="1"/>
    </xf>
    <xf numFmtId="0" fontId="185" fillId="16" borderId="0" xfId="391" applyNumberFormat="1" applyFont="1" applyFill="1" applyBorder="1" applyAlignment="1">
      <alignment horizontal="right" wrapText="1"/>
    </xf>
    <xf numFmtId="0" fontId="185" fillId="16" borderId="0" xfId="391" quotePrefix="1" applyNumberFormat="1" applyFont="1" applyFill="1" applyBorder="1" applyAlignment="1">
      <alignment horizontal="right" wrapText="1"/>
    </xf>
    <xf numFmtId="9" fontId="11" fillId="16" borderId="41" xfId="391" applyFont="1" applyFill="1" applyBorder="1" applyAlignment="1">
      <alignment horizontal="right" wrapText="1"/>
    </xf>
    <xf numFmtId="9" fontId="11" fillId="0" borderId="41" xfId="230" applyFont="1" applyFill="1" applyBorder="1" applyAlignment="1">
      <alignment horizontal="right"/>
    </xf>
    <xf numFmtId="219" fontId="39" fillId="0" borderId="0" xfId="390" applyNumberFormat="1" applyFont="1" applyFill="1" applyBorder="1" applyAlignment="1">
      <alignment horizontal="right" wrapText="1"/>
    </xf>
    <xf numFmtId="219" fontId="173" fillId="0" borderId="0" xfId="393" applyNumberFormat="1" applyFont="1" applyFill="1" applyBorder="1" applyAlignment="1">
      <alignment horizontal="right" wrapText="1"/>
    </xf>
    <xf numFmtId="0" fontId="183" fillId="16" borderId="0" xfId="391" applyNumberFormat="1" applyFont="1" applyFill="1" applyBorder="1" applyAlignment="1">
      <alignment horizontal="right"/>
    </xf>
    <xf numFmtId="0" fontId="11" fillId="16" borderId="0" xfId="391" applyNumberFormat="1" applyFont="1" applyFill="1" applyBorder="1" applyAlignment="1">
      <alignment horizontal="center"/>
    </xf>
    <xf numFmtId="9" fontId="173" fillId="0" borderId="0" xfId="230" applyFont="1" applyFill="1" applyBorder="1" applyAlignment="1">
      <alignment horizontal="right" wrapText="1"/>
    </xf>
    <xf numFmtId="0" fontId="80" fillId="19" borderId="7" xfId="389" applyFont="1" applyFill="1" applyBorder="1" applyAlignment="1">
      <alignment horizontal="left"/>
    </xf>
    <xf numFmtId="173" fontId="80" fillId="19" borderId="7" xfId="389" applyNumberFormat="1" applyFont="1" applyFill="1" applyBorder="1" applyAlignment="1">
      <alignment wrapText="1"/>
    </xf>
    <xf numFmtId="37" fontId="80" fillId="19" borderId="7" xfId="389" applyNumberFormat="1" applyFont="1" applyFill="1" applyBorder="1" applyAlignment="1">
      <alignment horizontal="center"/>
    </xf>
    <xf numFmtId="37" fontId="84" fillId="19" borderId="7" xfId="389" applyNumberFormat="1" applyFont="1" applyFill="1" applyBorder="1" applyAlignment="1">
      <alignment horizontal="center"/>
    </xf>
    <xf numFmtId="0" fontId="80" fillId="19" borderId="7" xfId="389" applyFont="1" applyFill="1" applyBorder="1" applyAlignment="1">
      <alignment wrapText="1"/>
    </xf>
    <xf numFmtId="9" fontId="80" fillId="19" borderId="7" xfId="391" applyFont="1" applyFill="1" applyBorder="1" applyAlignment="1">
      <alignment horizontal="right"/>
    </xf>
    <xf numFmtId="0" fontId="80" fillId="19" borderId="7" xfId="389" applyFont="1" applyFill="1" applyBorder="1" applyAlignment="1">
      <alignment horizontal="right" wrapText="1"/>
    </xf>
    <xf numFmtId="0" fontId="183" fillId="16" borderId="0" xfId="389" applyFont="1" applyFill="1" applyAlignment="1">
      <alignment horizontal="left" wrapText="1"/>
    </xf>
    <xf numFmtId="0" fontId="186" fillId="16" borderId="0" xfId="389" applyFont="1" applyFill="1" applyAlignment="1">
      <alignment wrapText="1"/>
    </xf>
    <xf numFmtId="166" fontId="186" fillId="16" borderId="0" xfId="389" applyNumberFormat="1" applyFont="1" applyFill="1" applyAlignment="1">
      <alignment horizontal="center"/>
    </xf>
    <xf numFmtId="210" fontId="186" fillId="16" borderId="0" xfId="390" applyNumberFormat="1" applyFont="1" applyFill="1" applyBorder="1" applyAlignment="1">
      <alignment horizontal="center"/>
    </xf>
    <xf numFmtId="166" fontId="96" fillId="16" borderId="0" xfId="389" applyNumberFormat="1" applyFont="1" applyFill="1" applyAlignment="1">
      <alignment horizontal="center"/>
    </xf>
    <xf numFmtId="0" fontId="183" fillId="16" borderId="0" xfId="389" applyFont="1" applyFill="1" applyAlignment="1">
      <alignment wrapText="1"/>
    </xf>
    <xf numFmtId="219" fontId="183" fillId="16" borderId="0" xfId="390" applyNumberFormat="1" applyFont="1" applyFill="1" applyBorder="1" applyAlignment="1">
      <alignment horizontal="right"/>
    </xf>
    <xf numFmtId="0" fontId="183" fillId="16" borderId="0" xfId="389" applyFont="1" applyFill="1" applyAlignment="1">
      <alignment horizontal="right" wrapText="1"/>
    </xf>
    <xf numFmtId="166" fontId="45" fillId="16" borderId="0" xfId="230" applyNumberFormat="1" applyFont="1" applyFill="1" applyAlignment="1">
      <alignment horizontal="right" wrapText="1"/>
    </xf>
    <xf numFmtId="166" fontId="45" fillId="16" borderId="41" xfId="230" applyNumberFormat="1" applyFont="1" applyFill="1" applyBorder="1" applyAlignment="1">
      <alignment horizontal="right" wrapText="1"/>
    </xf>
    <xf numFmtId="166" fontId="187" fillId="16" borderId="0" xfId="230" applyNumberFormat="1" applyFont="1" applyFill="1" applyAlignment="1">
      <alignment horizontal="right" wrapText="1"/>
    </xf>
    <xf numFmtId="166" fontId="184" fillId="16" borderId="41" xfId="230" applyNumberFormat="1" applyFont="1" applyFill="1" applyBorder="1" applyAlignment="1">
      <alignment horizontal="right" wrapText="1"/>
    </xf>
    <xf numFmtId="166" fontId="184" fillId="16" borderId="0" xfId="230" applyNumberFormat="1" applyFont="1" applyFill="1" applyAlignment="1">
      <alignment horizontal="right" wrapText="1"/>
    </xf>
    <xf numFmtId="0" fontId="176" fillId="16" borderId="0" xfId="389" applyFont="1" applyFill="1" applyAlignment="1">
      <alignment horizontal="left" wrapText="1"/>
    </xf>
    <xf numFmtId="0" fontId="79" fillId="16" borderId="0" xfId="389" applyFont="1" applyFill="1" applyAlignment="1">
      <alignment horizontal="right" wrapText="1"/>
    </xf>
    <xf numFmtId="0" fontId="79" fillId="16" borderId="41" xfId="389" applyFont="1" applyFill="1" applyBorder="1" applyAlignment="1">
      <alignment horizontal="right" wrapText="1"/>
    </xf>
    <xf numFmtId="166" fontId="188" fillId="16" borderId="0" xfId="391" quotePrefix="1" applyNumberFormat="1" applyFont="1" applyFill="1" applyBorder="1" applyAlignment="1">
      <alignment horizontal="right" wrapText="1"/>
    </xf>
    <xf numFmtId="166" fontId="188" fillId="16" borderId="0" xfId="391" applyNumberFormat="1" applyFont="1" applyFill="1" applyBorder="1" applyAlignment="1">
      <alignment horizontal="right" wrapText="1"/>
    </xf>
    <xf numFmtId="9" fontId="176" fillId="16" borderId="41" xfId="389" applyNumberFormat="1" applyFont="1" applyFill="1" applyBorder="1" applyAlignment="1">
      <alignment horizontal="right" wrapText="1"/>
    </xf>
    <xf numFmtId="0" fontId="176" fillId="16" borderId="0" xfId="389" applyFont="1" applyFill="1" applyAlignment="1">
      <alignment horizontal="right" wrapText="1"/>
    </xf>
    <xf numFmtId="16" fontId="176" fillId="16" borderId="0" xfId="389" quotePrefix="1" applyNumberFormat="1" applyFont="1" applyFill="1" applyAlignment="1">
      <alignment horizontal="right" wrapText="1"/>
    </xf>
    <xf numFmtId="0" fontId="39" fillId="16" borderId="41" xfId="389" applyFont="1" applyFill="1" applyBorder="1" applyAlignment="1">
      <alignment horizontal="right" wrapText="1"/>
    </xf>
    <xf numFmtId="9" fontId="176" fillId="16" borderId="0" xfId="389" applyNumberFormat="1" applyFont="1" applyFill="1" applyAlignment="1">
      <alignment horizontal="right" wrapText="1"/>
    </xf>
    <xf numFmtId="0" fontId="79" fillId="16" borderId="41" xfId="389" applyFont="1" applyFill="1" applyBorder="1" applyAlignment="1">
      <alignment wrapText="1"/>
    </xf>
    <xf numFmtId="0" fontId="80" fillId="16" borderId="0" xfId="389" applyFont="1" applyFill="1" applyAlignment="1">
      <alignment horizontal="left" wrapText="1"/>
    </xf>
    <xf numFmtId="166" fontId="79" fillId="16" borderId="0" xfId="389" applyNumberFormat="1" applyFont="1" applyFill="1" applyAlignment="1">
      <alignment horizontal="center"/>
    </xf>
    <xf numFmtId="210" fontId="79" fillId="16" borderId="0" xfId="390" applyNumberFormat="1" applyFont="1" applyFill="1" applyBorder="1" applyAlignment="1">
      <alignment horizontal="center"/>
    </xf>
    <xf numFmtId="166" fontId="95" fillId="16" borderId="0" xfId="389" applyNumberFormat="1" applyFont="1" applyFill="1" applyAlignment="1">
      <alignment horizontal="center"/>
    </xf>
    <xf numFmtId="219" fontId="80" fillId="16" borderId="0" xfId="390" applyNumberFormat="1" applyFont="1" applyFill="1" applyBorder="1" applyAlignment="1">
      <alignment horizontal="right"/>
    </xf>
    <xf numFmtId="0" fontId="11" fillId="16" borderId="0" xfId="389" applyFont="1" applyFill="1" applyAlignment="1">
      <alignment horizontal="right" wrapText="1"/>
    </xf>
    <xf numFmtId="0" fontId="174" fillId="16" borderId="0" xfId="389" applyFont="1" applyFill="1" applyAlignment="1">
      <alignment horizontal="right" wrapText="1"/>
    </xf>
    <xf numFmtId="0" fontId="11" fillId="16" borderId="41" xfId="389" applyFont="1" applyFill="1" applyBorder="1" applyAlignment="1">
      <alignment horizontal="right" wrapText="1"/>
    </xf>
    <xf numFmtId="0" fontId="174" fillId="16" borderId="41" xfId="389" applyFont="1" applyFill="1" applyBorder="1" applyAlignment="1">
      <alignment horizontal="right" wrapText="1"/>
    </xf>
    <xf numFmtId="9" fontId="45" fillId="16" borderId="0" xfId="391" applyFont="1" applyFill="1" applyBorder="1" applyAlignment="1">
      <alignment horizontal="right" wrapText="1"/>
    </xf>
    <xf numFmtId="211" fontId="80" fillId="16" borderId="0" xfId="389" applyNumberFormat="1" applyFont="1" applyFill="1" applyAlignment="1">
      <alignment wrapText="1"/>
    </xf>
    <xf numFmtId="211" fontId="79" fillId="16" borderId="0" xfId="389" applyNumberFormat="1" applyFont="1" applyFill="1" applyAlignment="1">
      <alignment horizontal="center"/>
    </xf>
    <xf numFmtId="211" fontId="80" fillId="16" borderId="0" xfId="389" applyNumberFormat="1" applyFont="1" applyFill="1" applyAlignment="1">
      <alignment horizontal="right" wrapText="1"/>
    </xf>
    <xf numFmtId="211" fontId="11" fillId="16" borderId="0" xfId="389" applyNumberFormat="1" applyFont="1" applyFill="1" applyAlignment="1">
      <alignment horizontal="right" wrapText="1"/>
    </xf>
    <xf numFmtId="9" fontId="184" fillId="16" borderId="0" xfId="391" applyFont="1" applyFill="1" applyBorder="1" applyAlignment="1">
      <alignment horizontal="right" wrapText="1"/>
    </xf>
    <xf numFmtId="211" fontId="95" fillId="16" borderId="0" xfId="389" applyNumberFormat="1" applyFont="1" applyFill="1" applyAlignment="1">
      <alignment horizontal="center"/>
    </xf>
    <xf numFmtId="211" fontId="80" fillId="16" borderId="0" xfId="389" applyNumberFormat="1" applyFont="1" applyFill="1" applyAlignment="1">
      <alignment horizontal="right"/>
    </xf>
    <xf numFmtId="9" fontId="80" fillId="16" borderId="46" xfId="391" applyFont="1" applyFill="1" applyBorder="1" applyAlignment="1">
      <alignment horizontal="right"/>
    </xf>
    <xf numFmtId="9" fontId="80" fillId="16" borderId="0" xfId="389" applyNumberFormat="1" applyFont="1" applyFill="1" applyAlignment="1">
      <alignment wrapText="1"/>
    </xf>
    <xf numFmtId="9" fontId="11" fillId="16" borderId="46" xfId="391" applyFont="1" applyFill="1" applyBorder="1" applyAlignment="1"/>
    <xf numFmtId="211" fontId="11" fillId="16" borderId="46" xfId="391" applyNumberFormat="1" applyFont="1" applyFill="1" applyBorder="1" applyAlignment="1">
      <alignment horizontal="right"/>
    </xf>
    <xf numFmtId="210" fontId="174" fillId="16" borderId="0" xfId="390" applyNumberFormat="1" applyFont="1" applyFill="1" applyBorder="1" applyAlignment="1">
      <alignment horizontal="right" wrapText="1"/>
    </xf>
    <xf numFmtId="0" fontId="169" fillId="16" borderId="32" xfId="389" applyFont="1" applyFill="1" applyBorder="1" applyAlignment="1">
      <alignment horizontal="left"/>
    </xf>
    <xf numFmtId="0" fontId="80" fillId="16" borderId="10" xfId="389" applyFont="1" applyFill="1" applyBorder="1" applyAlignment="1">
      <alignment horizontal="left"/>
    </xf>
    <xf numFmtId="0" fontId="80" fillId="16" borderId="10" xfId="389" applyFont="1" applyFill="1" applyBorder="1" applyAlignment="1">
      <alignment wrapText="1"/>
    </xf>
    <xf numFmtId="0" fontId="80" fillId="16" borderId="10" xfId="389" applyFont="1" applyFill="1" applyBorder="1" applyAlignment="1">
      <alignment horizontal="right"/>
    </xf>
    <xf numFmtId="168" fontId="84" fillId="16" borderId="10" xfId="389" applyNumberFormat="1" applyFont="1" applyFill="1" applyBorder="1" applyAlignment="1">
      <alignment horizontal="right"/>
    </xf>
    <xf numFmtId="167" fontId="84" fillId="16" borderId="10" xfId="389" applyNumberFormat="1" applyFont="1" applyFill="1" applyBorder="1" applyAlignment="1">
      <alignment horizontal="right"/>
    </xf>
    <xf numFmtId="168" fontId="11" fillId="16" borderId="10" xfId="389" applyNumberFormat="1" applyFont="1" applyFill="1" applyBorder="1" applyAlignment="1">
      <alignment horizontal="right"/>
    </xf>
    <xf numFmtId="0" fontId="80" fillId="16" borderId="10" xfId="389" applyFont="1" applyFill="1" applyBorder="1" applyAlignment="1">
      <alignment horizontal="right" wrapText="1"/>
    </xf>
    <xf numFmtId="167" fontId="174" fillId="16" borderId="10" xfId="389" applyNumberFormat="1" applyFont="1" applyFill="1" applyBorder="1" applyAlignment="1">
      <alignment horizontal="right" wrapText="1"/>
    </xf>
    <xf numFmtId="168" fontId="174" fillId="16" borderId="10" xfId="389" applyNumberFormat="1" applyFont="1" applyFill="1" applyBorder="1" applyAlignment="1">
      <alignment horizontal="right"/>
    </xf>
    <xf numFmtId="167" fontId="11" fillId="16" borderId="10" xfId="389" applyNumberFormat="1" applyFont="1" applyFill="1" applyBorder="1" applyAlignment="1">
      <alignment horizontal="right" wrapText="1"/>
    </xf>
    <xf numFmtId="166" fontId="80" fillId="16" borderId="0" xfId="389" applyNumberFormat="1" applyFont="1" applyFill="1" applyAlignment="1">
      <alignment horizontal="center"/>
    </xf>
    <xf numFmtId="166" fontId="84" fillId="16" borderId="0" xfId="389" applyNumberFormat="1" applyFont="1" applyFill="1" applyAlignment="1">
      <alignment horizontal="center"/>
    </xf>
    <xf numFmtId="210" fontId="80" fillId="16" borderId="0" xfId="390" applyNumberFormat="1" applyFont="1" applyFill="1" applyBorder="1" applyAlignment="1">
      <alignment horizontal="center"/>
    </xf>
    <xf numFmtId="210" fontId="80" fillId="16" borderId="0" xfId="390" applyNumberFormat="1" applyFont="1" applyFill="1" applyBorder="1" applyAlignment="1">
      <alignment horizontal="right"/>
    </xf>
    <xf numFmtId="166" fontId="80" fillId="16" borderId="0" xfId="389" applyNumberFormat="1" applyFont="1" applyFill="1" applyAlignment="1">
      <alignment horizontal="right"/>
    </xf>
    <xf numFmtId="9" fontId="80" fillId="16" borderId="10" xfId="391" applyFont="1" applyFill="1" applyBorder="1" applyAlignment="1">
      <alignment horizontal="right"/>
    </xf>
    <xf numFmtId="9" fontId="11" fillId="16" borderId="10" xfId="391" applyFont="1" applyFill="1" applyBorder="1" applyAlignment="1"/>
    <xf numFmtId="9" fontId="11" fillId="16" borderId="0" xfId="391" applyFont="1" applyFill="1" applyBorder="1" applyAlignment="1">
      <alignment horizontal="right"/>
    </xf>
    <xf numFmtId="211" fontId="11" fillId="16" borderId="0" xfId="391" applyNumberFormat="1" applyFont="1" applyFill="1" applyBorder="1" applyAlignment="1">
      <alignment horizontal="right"/>
    </xf>
    <xf numFmtId="167" fontId="11" fillId="19" borderId="7" xfId="389" applyNumberFormat="1" applyFont="1" applyFill="1" applyBorder="1" applyAlignment="1">
      <alignment horizontal="right" wrapText="1"/>
    </xf>
    <xf numFmtId="167" fontId="11" fillId="19" borderId="51" xfId="389" applyNumberFormat="1" applyFont="1" applyFill="1" applyBorder="1" applyAlignment="1">
      <alignment horizontal="right" wrapText="1"/>
    </xf>
    <xf numFmtId="9" fontId="189" fillId="16" borderId="0" xfId="391" applyFont="1" applyFill="1" applyBorder="1" applyAlignment="1">
      <alignment horizontal="right" wrapText="1"/>
    </xf>
    <xf numFmtId="0" fontId="79" fillId="19" borderId="7" xfId="389" applyFont="1" applyFill="1" applyBorder="1" applyAlignment="1">
      <alignment horizontal="left"/>
    </xf>
    <xf numFmtId="0" fontId="79" fillId="19" borderId="7" xfId="389" applyFont="1" applyFill="1" applyBorder="1" applyAlignment="1">
      <alignment horizontal="right" wrapText="1"/>
    </xf>
    <xf numFmtId="173" fontId="79" fillId="19" borderId="7" xfId="389" applyNumberFormat="1" applyFont="1" applyFill="1" applyBorder="1" applyAlignment="1">
      <alignment wrapText="1"/>
    </xf>
    <xf numFmtId="37" fontId="79" fillId="19" borderId="7" xfId="389" applyNumberFormat="1" applyFont="1" applyFill="1" applyBorder="1" applyAlignment="1">
      <alignment horizontal="center"/>
    </xf>
    <xf numFmtId="37" fontId="95" fillId="19" borderId="7" xfId="389" applyNumberFormat="1" applyFont="1" applyFill="1" applyBorder="1" applyAlignment="1">
      <alignment horizontal="center"/>
    </xf>
    <xf numFmtId="0" fontId="79" fillId="19" borderId="7" xfId="389" applyFont="1" applyFill="1" applyBorder="1" applyAlignment="1">
      <alignment wrapText="1"/>
    </xf>
    <xf numFmtId="9" fontId="79" fillId="19" borderId="7" xfId="391" applyFont="1" applyFill="1" applyBorder="1" applyAlignment="1">
      <alignment horizontal="right"/>
    </xf>
    <xf numFmtId="167" fontId="11" fillId="16" borderId="41" xfId="389" applyNumberFormat="1" applyFont="1" applyFill="1" applyBorder="1" applyAlignment="1">
      <alignment horizontal="right" wrapText="1"/>
    </xf>
    <xf numFmtId="167" fontId="80" fillId="16" borderId="0" xfId="389" applyNumberFormat="1" applyFont="1" applyFill="1" applyAlignment="1">
      <alignment horizontal="right" wrapText="1"/>
    </xf>
    <xf numFmtId="167" fontId="80" fillId="19" borderId="7" xfId="389" applyNumberFormat="1" applyFont="1" applyFill="1" applyBorder="1" applyAlignment="1">
      <alignment horizontal="right" wrapText="1"/>
    </xf>
    <xf numFmtId="211" fontId="176" fillId="16" borderId="46" xfId="391" applyNumberFormat="1" applyFont="1" applyFill="1" applyBorder="1" applyAlignment="1">
      <alignment horizontal="right"/>
    </xf>
    <xf numFmtId="0" fontId="176" fillId="16" borderId="41" xfId="389" applyFont="1" applyFill="1" applyBorder="1" applyAlignment="1">
      <alignment horizontal="right" wrapText="1"/>
    </xf>
    <xf numFmtId="0" fontId="176" fillId="16" borderId="0" xfId="389" applyFont="1" applyFill="1" applyAlignment="1">
      <alignment wrapText="1"/>
    </xf>
    <xf numFmtId="0" fontId="176" fillId="16" borderId="41" xfId="389" applyFont="1" applyFill="1" applyBorder="1" applyAlignment="1">
      <alignment wrapText="1"/>
    </xf>
    <xf numFmtId="16" fontId="176" fillId="16" borderId="0" xfId="389" applyNumberFormat="1" applyFont="1" applyFill="1" applyAlignment="1">
      <alignment horizontal="right" wrapText="1"/>
    </xf>
    <xf numFmtId="16" fontId="176" fillId="16" borderId="41" xfId="389" applyNumberFormat="1" applyFont="1" applyFill="1" applyBorder="1" applyAlignment="1">
      <alignment horizontal="right" wrapText="1"/>
    </xf>
    <xf numFmtId="9" fontId="176" fillId="16" borderId="0" xfId="389" quotePrefix="1" applyNumberFormat="1" applyFont="1" applyFill="1" applyAlignment="1">
      <alignment horizontal="right" wrapText="1"/>
    </xf>
    <xf numFmtId="167" fontId="174" fillId="19" borderId="7" xfId="389" applyNumberFormat="1" applyFont="1" applyFill="1" applyBorder="1" applyAlignment="1">
      <alignment horizontal="right" wrapText="1"/>
    </xf>
    <xf numFmtId="167" fontId="174" fillId="19" borderId="51" xfId="389" applyNumberFormat="1" applyFont="1" applyFill="1" applyBorder="1" applyAlignment="1">
      <alignment horizontal="right" wrapText="1"/>
    </xf>
    <xf numFmtId="172" fontId="17" fillId="16" borderId="17" xfId="0" applyNumberFormat="1" applyFont="1" applyFill="1" applyBorder="1" applyAlignment="1">
      <alignment horizontal="center"/>
    </xf>
    <xf numFmtId="168" fontId="16" fillId="16" borderId="17" xfId="25" applyNumberFormat="1" applyFont="1" applyFill="1" applyBorder="1" applyAlignment="1">
      <alignment horizontal="center"/>
    </xf>
    <xf numFmtId="171" fontId="17" fillId="16" borderId="17" xfId="0" applyNumberFormat="1" applyFont="1" applyFill="1" applyBorder="1" applyAlignment="1">
      <alignment horizontal="center"/>
    </xf>
    <xf numFmtId="168" fontId="17" fillId="16" borderId="17" xfId="25" applyNumberFormat="1" applyFont="1" applyFill="1" applyBorder="1" applyAlignment="1">
      <alignment horizontal="center"/>
    </xf>
    <xf numFmtId="10" fontId="16" fillId="0" borderId="17" xfId="217" applyFont="1" applyBorder="1" applyAlignment="1"/>
    <xf numFmtId="0" fontId="87" fillId="0" borderId="17" xfId="165" applyFont="1" applyBorder="1"/>
    <xf numFmtId="166" fontId="88" fillId="0" borderId="0" xfId="217" applyNumberFormat="1" applyFont="1" applyFill="1" applyBorder="1" applyAlignment="1">
      <alignment horizontal="center"/>
    </xf>
    <xf numFmtId="166" fontId="87" fillId="16" borderId="17" xfId="217" applyNumberFormat="1" applyFont="1" applyFill="1" applyBorder="1" applyAlignment="1">
      <alignment horizontal="center"/>
    </xf>
    <xf numFmtId="166" fontId="87" fillId="0" borderId="0" xfId="217" applyNumberFormat="1" applyFont="1" applyFill="1" applyBorder="1" applyAlignment="1">
      <alignment horizontal="center"/>
    </xf>
    <xf numFmtId="166" fontId="87" fillId="0" borderId="0" xfId="217" applyNumberFormat="1" applyFont="1" applyBorder="1" applyAlignment="1">
      <alignment horizontal="center"/>
    </xf>
    <xf numFmtId="166" fontId="87" fillId="16" borderId="0" xfId="217" applyNumberFormat="1" applyFont="1" applyFill="1" applyBorder="1" applyAlignment="1">
      <alignment horizontal="center"/>
    </xf>
    <xf numFmtId="3" fontId="87" fillId="16" borderId="0" xfId="25" applyNumberFormat="1" applyFont="1" applyFill="1" applyBorder="1" applyAlignment="1">
      <alignment horizontal="center"/>
    </xf>
    <xf numFmtId="1" fontId="87" fillId="16" borderId="0" xfId="0" applyNumberFormat="1" applyFont="1" applyFill="1" applyAlignment="1">
      <alignment horizontal="center" wrapText="1"/>
    </xf>
    <xf numFmtId="3" fontId="87" fillId="16" borderId="17" xfId="0" applyNumberFormat="1" applyFont="1" applyFill="1" applyBorder="1" applyAlignment="1">
      <alignment horizontal="center"/>
    </xf>
    <xf numFmtId="3" fontId="88" fillId="16" borderId="17" xfId="0" applyNumberFormat="1" applyFont="1" applyFill="1" applyBorder="1" applyAlignment="1">
      <alignment horizontal="center"/>
    </xf>
    <xf numFmtId="3" fontId="106" fillId="16" borderId="17" xfId="0" applyNumberFormat="1" applyFont="1" applyFill="1" applyBorder="1" applyAlignment="1">
      <alignment horizontal="center"/>
    </xf>
    <xf numFmtId="3" fontId="87" fillId="16" borderId="0" xfId="0" applyNumberFormat="1" applyFont="1" applyFill="1" applyAlignment="1">
      <alignment horizontal="center" wrapText="1"/>
    </xf>
    <xf numFmtId="1" fontId="105" fillId="16" borderId="17" xfId="217" applyNumberFormat="1" applyFont="1" applyFill="1" applyBorder="1" applyAlignment="1">
      <alignment horizontal="center"/>
    </xf>
    <xf numFmtId="171" fontId="176" fillId="16" borderId="0" xfId="384" quotePrefix="1" applyNumberFormat="1" applyFont="1" applyFill="1" applyAlignment="1">
      <alignment horizontal="right"/>
    </xf>
    <xf numFmtId="166" fontId="42" fillId="0" borderId="2" xfId="217" applyNumberFormat="1" applyFont="1" applyFill="1" applyBorder="1" applyAlignment="1">
      <alignment horizontal="center"/>
    </xf>
    <xf numFmtId="166" fontId="42" fillId="16" borderId="9" xfId="217" applyNumberFormat="1" applyFont="1" applyFill="1" applyBorder="1" applyAlignment="1">
      <alignment horizontal="center"/>
    </xf>
    <xf numFmtId="166" fontId="42" fillId="16" borderId="2" xfId="217" applyNumberFormat="1" applyFont="1" applyFill="1" applyBorder="1" applyAlignment="1">
      <alignment horizontal="center"/>
    </xf>
    <xf numFmtId="166" fontId="110" fillId="16" borderId="2" xfId="217" applyNumberFormat="1" applyFont="1" applyFill="1" applyBorder="1" applyAlignment="1">
      <alignment horizontal="center"/>
    </xf>
    <xf numFmtId="166" fontId="110" fillId="16" borderId="9" xfId="217" applyNumberFormat="1" applyFont="1" applyFill="1" applyBorder="1" applyAlignment="1">
      <alignment horizontal="center"/>
    </xf>
    <xf numFmtId="0" fontId="190" fillId="16" borderId="0" xfId="0" applyFont="1" applyFill="1"/>
    <xf numFmtId="10" fontId="42" fillId="16" borderId="17" xfId="217" applyFont="1" applyFill="1" applyBorder="1" applyAlignment="1">
      <alignment horizontal="center"/>
    </xf>
    <xf numFmtId="0" fontId="109" fillId="16" borderId="0" xfId="0" applyFont="1" applyFill="1"/>
    <xf numFmtId="0" fontId="147" fillId="0" borderId="0" xfId="369" applyFont="1" applyAlignment="1">
      <alignment wrapText="1"/>
    </xf>
    <xf numFmtId="1" fontId="191" fillId="28" borderId="0" xfId="0" applyNumberFormat="1" applyFont="1" applyFill="1" applyAlignment="1">
      <alignment horizontal="center" wrapText="1"/>
    </xf>
    <xf numFmtId="2" fontId="191" fillId="28" borderId="0" xfId="0" applyNumberFormat="1" applyFont="1" applyFill="1" applyAlignment="1">
      <alignment horizontal="center" wrapText="1"/>
    </xf>
    <xf numFmtId="5" fontId="176" fillId="16" borderId="46" xfId="391" applyNumberFormat="1" applyFont="1" applyFill="1" applyBorder="1" applyAlignment="1">
      <alignment horizontal="right"/>
    </xf>
    <xf numFmtId="166" fontId="176" fillId="16" borderId="0" xfId="230" applyNumberFormat="1" applyFont="1" applyFill="1" applyAlignment="1">
      <alignment horizontal="right" wrapText="1"/>
    </xf>
    <xf numFmtId="166" fontId="176" fillId="16" borderId="41" xfId="230" applyNumberFormat="1" applyFont="1" applyFill="1" applyBorder="1" applyAlignment="1">
      <alignment horizontal="right" wrapText="1"/>
    </xf>
    <xf numFmtId="0" fontId="192" fillId="16" borderId="0" xfId="389" applyFont="1" applyFill="1" applyAlignment="1">
      <alignment horizontal="right" wrapText="1"/>
    </xf>
    <xf numFmtId="222" fontId="11" fillId="16" borderId="0" xfId="391" applyNumberFormat="1" applyFont="1" applyFill="1" applyBorder="1" applyAlignment="1">
      <alignment horizontal="right"/>
    </xf>
    <xf numFmtId="0" fontId="193" fillId="0" borderId="0" xfId="369" applyFont="1"/>
    <xf numFmtId="0" fontId="182" fillId="16" borderId="0" xfId="388" applyFont="1" applyFill="1" applyAlignment="1">
      <alignment horizontal="center" wrapText="1"/>
    </xf>
    <xf numFmtId="0" fontId="169" fillId="16" borderId="0" xfId="388" applyFont="1" applyFill="1"/>
    <xf numFmtId="1" fontId="134" fillId="0" borderId="28" xfId="376" applyNumberFormat="1" applyFont="1" applyBorder="1" applyAlignment="1">
      <alignment horizontal="center" vertical="center"/>
    </xf>
    <xf numFmtId="0" fontId="194" fillId="0" borderId="0" xfId="369" applyFont="1"/>
    <xf numFmtId="14" fontId="147" fillId="0" borderId="0" xfId="369" applyNumberFormat="1" applyFont="1"/>
    <xf numFmtId="0" fontId="81" fillId="0" borderId="0" xfId="125"/>
    <xf numFmtId="211" fontId="167" fillId="16" borderId="0" xfId="377" applyNumberFormat="1" applyFont="1" applyFill="1" applyAlignment="1">
      <alignment horizontal="center" vertical="center"/>
    </xf>
    <xf numFmtId="0" fontId="12" fillId="0" borderId="0" xfId="0" applyFont="1"/>
    <xf numFmtId="0" fontId="195" fillId="0" borderId="0" xfId="369" applyFont="1"/>
    <xf numFmtId="0" fontId="147" fillId="0" borderId="0" xfId="369" applyFont="1" applyAlignment="1">
      <alignment horizontal="left" indent="1"/>
    </xf>
    <xf numFmtId="0" fontId="147" fillId="0" borderId="0" xfId="369" applyFont="1" applyAlignment="1">
      <alignment horizontal="left"/>
    </xf>
    <xf numFmtId="0" fontId="81" fillId="0" borderId="0" xfId="125" applyAlignment="1">
      <alignment vertical="center"/>
    </xf>
    <xf numFmtId="0" fontId="196" fillId="0" borderId="0" xfId="369" applyFont="1" applyAlignment="1">
      <alignment horizontal="left" indent="1"/>
    </xf>
    <xf numFmtId="0" fontId="196" fillId="0" borderId="0" xfId="369" applyFont="1" applyAlignment="1">
      <alignment horizontal="left"/>
    </xf>
    <xf numFmtId="0" fontId="81" fillId="16" borderId="0" xfId="125" applyFill="1" applyAlignment="1"/>
    <xf numFmtId="0" fontId="196" fillId="0" borderId="0" xfId="369" applyFont="1"/>
    <xf numFmtId="0" fontId="197" fillId="0" borderId="0" xfId="369" applyFont="1"/>
    <xf numFmtId="0" fontId="199" fillId="0" borderId="17" xfId="165" applyFont="1" applyBorder="1" applyAlignment="1">
      <alignment horizontal="left" indent="1"/>
    </xf>
    <xf numFmtId="0" fontId="88" fillId="0" borderId="17" xfId="165" applyFont="1" applyBorder="1"/>
    <xf numFmtId="0" fontId="200" fillId="0" borderId="0" xfId="0" applyFont="1"/>
    <xf numFmtId="0" fontId="201" fillId="0" borderId="0" xfId="0" applyFont="1"/>
    <xf numFmtId="0" fontId="84" fillId="0" borderId="0" xfId="0" applyFont="1" applyAlignment="1">
      <alignment wrapText="1"/>
    </xf>
    <xf numFmtId="0" fontId="84" fillId="0" borderId="0" xfId="0" applyFont="1"/>
    <xf numFmtId="0" fontId="202" fillId="0" borderId="0" xfId="0" applyFont="1"/>
    <xf numFmtId="0" fontId="84" fillId="0" borderId="0" xfId="0" applyFont="1" applyAlignment="1">
      <alignment horizontal="center"/>
    </xf>
    <xf numFmtId="14" fontId="84" fillId="0" borderId="0" xfId="0" applyNumberFormat="1" applyFont="1"/>
    <xf numFmtId="223" fontId="84" fillId="0" borderId="0" xfId="71" applyNumberFormat="1" applyFont="1"/>
    <xf numFmtId="223" fontId="84" fillId="0" borderId="0" xfId="0" applyNumberFormat="1" applyFont="1"/>
    <xf numFmtId="0" fontId="19" fillId="0" borderId="0" xfId="0" applyFont="1"/>
    <xf numFmtId="0" fontId="12" fillId="35" borderId="0" xfId="0" applyFont="1" applyFill="1"/>
    <xf numFmtId="3" fontId="12" fillId="0" borderId="0" xfId="25" applyNumberFormat="1" applyFont="1"/>
    <xf numFmtId="3" fontId="12" fillId="35" borderId="0" xfId="0" applyNumberFormat="1" applyFont="1" applyFill="1"/>
    <xf numFmtId="3" fontId="12" fillId="35" borderId="0" xfId="25" applyNumberFormat="1" applyFont="1" applyFill="1"/>
    <xf numFmtId="166" fontId="12" fillId="0" borderId="0" xfId="217" applyNumberFormat="1" applyFont="1"/>
    <xf numFmtId="166" fontId="12" fillId="35" borderId="0" xfId="217" applyNumberFormat="1" applyFont="1" applyFill="1"/>
    <xf numFmtId="0" fontId="95" fillId="0" borderId="0" xfId="0" applyFont="1" applyAlignment="1">
      <alignment horizontal="center"/>
    </xf>
    <xf numFmtId="4" fontId="201" fillId="0" borderId="0" xfId="25" applyFont="1"/>
    <xf numFmtId="165" fontId="201" fillId="0" borderId="0" xfId="71" applyFont="1"/>
    <xf numFmtId="165" fontId="12" fillId="35" borderId="0" xfId="71" applyFont="1" applyFill="1"/>
    <xf numFmtId="192" fontId="12" fillId="35" borderId="0" xfId="71" applyNumberFormat="1" applyFont="1" applyFill="1"/>
    <xf numFmtId="165" fontId="12" fillId="0" borderId="0" xfId="71" applyFont="1"/>
    <xf numFmtId="1" fontId="12" fillId="35" borderId="0" xfId="0" applyNumberFormat="1" applyFont="1" applyFill="1"/>
    <xf numFmtId="1" fontId="12" fillId="0" borderId="0" xfId="0" applyNumberFormat="1" applyFont="1"/>
    <xf numFmtId="169" fontId="12" fillId="0" borderId="0" xfId="25" applyNumberFormat="1" applyFont="1"/>
    <xf numFmtId="169" fontId="12" fillId="35" borderId="0" xfId="25" applyNumberFormat="1" applyFont="1" applyFill="1"/>
    <xf numFmtId="219" fontId="173" fillId="0" borderId="0" xfId="390" applyNumberFormat="1" applyFont="1" applyAlignment="1">
      <alignment horizontal="right" wrapText="1"/>
    </xf>
    <xf numFmtId="5" fontId="184" fillId="16" borderId="0" xfId="391" applyNumberFormat="1" applyFont="1" applyFill="1" applyAlignment="1">
      <alignment horizontal="right" wrapText="1"/>
    </xf>
    <xf numFmtId="3" fontId="16" fillId="0" borderId="0" xfId="25" applyNumberFormat="1" applyFont="1" applyAlignment="1">
      <alignment horizontal="center"/>
    </xf>
    <xf numFmtId="3" fontId="16" fillId="16" borderId="0" xfId="25" applyNumberFormat="1" applyFont="1" applyFill="1" applyAlignment="1">
      <alignment horizontal="center"/>
    </xf>
    <xf numFmtId="3" fontId="105" fillId="16" borderId="0" xfId="25" applyNumberFormat="1" applyFont="1" applyFill="1" applyAlignment="1">
      <alignment horizontal="center"/>
    </xf>
    <xf numFmtId="166" fontId="106" fillId="16" borderId="0" xfId="217" applyNumberFormat="1" applyFont="1" applyFill="1" applyAlignment="1">
      <alignment horizontal="center"/>
    </xf>
    <xf numFmtId="9" fontId="108" fillId="16" borderId="0" xfId="217" applyNumberFormat="1" applyFont="1" applyFill="1" applyAlignment="1">
      <alignment horizontal="center"/>
    </xf>
    <xf numFmtId="9" fontId="100" fillId="16" borderId="0" xfId="217" applyNumberFormat="1" applyFont="1" applyFill="1" applyAlignment="1">
      <alignment horizontal="center"/>
    </xf>
    <xf numFmtId="4" fontId="100" fillId="16" borderId="0" xfId="25" applyFont="1" applyFill="1" applyAlignment="1">
      <alignment horizontal="center"/>
    </xf>
    <xf numFmtId="6" fontId="100" fillId="16" borderId="0" xfId="217" applyNumberFormat="1" applyFont="1" applyFill="1" applyAlignment="1">
      <alignment horizontal="center"/>
    </xf>
    <xf numFmtId="9" fontId="107" fillId="16" borderId="0" xfId="217" applyNumberFormat="1" applyFont="1" applyFill="1" applyAlignment="1">
      <alignment horizontal="center"/>
    </xf>
    <xf numFmtId="166" fontId="109" fillId="16" borderId="0" xfId="217" applyNumberFormat="1" applyFont="1" applyFill="1" applyAlignment="1">
      <alignment horizontal="center"/>
    </xf>
    <xf numFmtId="166" fontId="105" fillId="16" borderId="0" xfId="217" applyNumberFormat="1" applyFont="1" applyFill="1" applyAlignment="1">
      <alignment horizontal="center"/>
    </xf>
    <xf numFmtId="166" fontId="16" fillId="16" borderId="0" xfId="217" applyNumberFormat="1" applyFont="1" applyFill="1" applyAlignment="1">
      <alignment horizontal="center"/>
    </xf>
    <xf numFmtId="37" fontId="106" fillId="16" borderId="0" xfId="25" applyNumberFormat="1" applyFont="1" applyFill="1" applyAlignment="1">
      <alignment horizontal="center"/>
    </xf>
    <xf numFmtId="37" fontId="109" fillId="16" borderId="0" xfId="25" applyNumberFormat="1" applyFont="1" applyFill="1" applyAlignment="1">
      <alignment horizontal="center"/>
    </xf>
    <xf numFmtId="37" fontId="105" fillId="16" borderId="0" xfId="25" applyNumberFormat="1" applyFont="1" applyFill="1" applyAlignment="1">
      <alignment horizontal="center"/>
    </xf>
    <xf numFmtId="166" fontId="110" fillId="16" borderId="0" xfId="217" applyNumberFormat="1" applyFont="1" applyFill="1" applyAlignment="1">
      <alignment horizontal="center"/>
    </xf>
    <xf numFmtId="3" fontId="18" fillId="16" borderId="0" xfId="25" applyNumberFormat="1" applyFont="1" applyFill="1" applyAlignment="1">
      <alignment horizontal="center"/>
    </xf>
    <xf numFmtId="3" fontId="106" fillId="16" borderId="0" xfId="25" applyNumberFormat="1" applyFont="1" applyFill="1" applyAlignment="1">
      <alignment horizontal="center"/>
    </xf>
    <xf numFmtId="172" fontId="93" fillId="16" borderId="0" xfId="217" applyNumberFormat="1" applyFont="1" applyFill="1" applyAlignment="1">
      <alignment horizontal="center"/>
    </xf>
    <xf numFmtId="166" fontId="17" fillId="16" borderId="0" xfId="217" applyNumberFormat="1" applyFont="1" applyFill="1" applyAlignment="1">
      <alignment horizontal="center"/>
    </xf>
    <xf numFmtId="9" fontId="12" fillId="16" borderId="0" xfId="217" applyNumberFormat="1" applyFont="1" applyFill="1" applyAlignment="1">
      <alignment horizontal="center"/>
    </xf>
    <xf numFmtId="9" fontId="100" fillId="16" borderId="0" xfId="217" applyNumberFormat="1" applyFont="1" applyFill="1" applyAlignment="1">
      <alignment horizontal="right"/>
    </xf>
    <xf numFmtId="37" fontId="16" fillId="16" borderId="0" xfId="25" applyNumberFormat="1" applyFont="1" applyFill="1" applyAlignment="1">
      <alignment horizontal="center"/>
    </xf>
    <xf numFmtId="166" fontId="42" fillId="16" borderId="0" xfId="217" applyNumberFormat="1" applyFont="1" applyFill="1" applyAlignment="1">
      <alignment horizontal="center"/>
    </xf>
    <xf numFmtId="166" fontId="174" fillId="16" borderId="0" xfId="379" applyNumberFormat="1" applyFont="1" applyFill="1"/>
    <xf numFmtId="166" fontId="173" fillId="16" borderId="46" xfId="379" applyNumberFormat="1" applyFont="1" applyFill="1" applyBorder="1"/>
    <xf numFmtId="166" fontId="11" fillId="16" borderId="0" xfId="379" applyNumberFormat="1" applyFont="1" applyFill="1"/>
    <xf numFmtId="166" fontId="39" fillId="16" borderId="46" xfId="379" applyNumberFormat="1" applyFont="1" applyFill="1" applyBorder="1"/>
    <xf numFmtId="172" fontId="174" fillId="16" borderId="0" xfId="391" applyNumberFormat="1" applyFont="1" applyFill="1" applyBorder="1" applyAlignment="1">
      <alignment horizontal="right" wrapText="1"/>
    </xf>
    <xf numFmtId="0" fontId="203" fillId="0" borderId="0" xfId="0" applyFont="1"/>
    <xf numFmtId="165" fontId="203" fillId="0" borderId="0" xfId="71" applyFont="1"/>
    <xf numFmtId="165" fontId="203" fillId="35" borderId="0" xfId="71" applyFont="1" applyFill="1"/>
    <xf numFmtId="166" fontId="11" fillId="16" borderId="0" xfId="217" applyNumberFormat="1" applyFont="1" applyFill="1" applyAlignment="1">
      <alignment horizontal="right"/>
    </xf>
    <xf numFmtId="9" fontId="11" fillId="16" borderId="41" xfId="217" applyNumberFormat="1" applyFont="1" applyFill="1" applyBorder="1" applyAlignment="1">
      <alignment horizontal="right"/>
    </xf>
    <xf numFmtId="9" fontId="174" fillId="16" borderId="41" xfId="217" applyNumberFormat="1" applyFont="1" applyFill="1" applyBorder="1" applyAlignment="1">
      <alignment horizontal="right"/>
    </xf>
    <xf numFmtId="9" fontId="174" fillId="16" borderId="0" xfId="217" applyNumberFormat="1" applyFont="1" applyFill="1" applyAlignment="1">
      <alignment horizontal="right"/>
    </xf>
    <xf numFmtId="7" fontId="12" fillId="0" borderId="0" xfId="0" applyNumberFormat="1" applyFont="1"/>
    <xf numFmtId="167" fontId="12" fillId="35" borderId="0" xfId="0" applyNumberFormat="1" applyFont="1" applyFill="1"/>
    <xf numFmtId="169" fontId="12" fillId="35" borderId="0" xfId="0" applyNumberFormat="1" applyFont="1" applyFill="1"/>
    <xf numFmtId="165" fontId="12" fillId="0" borderId="0" xfId="0" applyNumberFormat="1" applyFont="1"/>
    <xf numFmtId="192" fontId="12" fillId="0" borderId="0" xfId="71" applyNumberFormat="1" applyFont="1"/>
    <xf numFmtId="211" fontId="12" fillId="0" borderId="0" xfId="0" applyNumberFormat="1" applyFont="1"/>
    <xf numFmtId="188" fontId="12" fillId="0" borderId="0" xfId="0" applyNumberFormat="1" applyFont="1"/>
    <xf numFmtId="3" fontId="12" fillId="0" borderId="0" xfId="25" applyNumberFormat="1" applyFont="1" applyFill="1"/>
    <xf numFmtId="10" fontId="12" fillId="0" borderId="0" xfId="217" applyFont="1"/>
    <xf numFmtId="170" fontId="12" fillId="0" borderId="0" xfId="71" applyNumberFormat="1" applyFont="1"/>
    <xf numFmtId="167" fontId="12" fillId="0" borderId="0" xfId="0" applyNumberFormat="1" applyFont="1"/>
    <xf numFmtId="9" fontId="12" fillId="0" borderId="0" xfId="0" applyNumberFormat="1" applyFont="1"/>
    <xf numFmtId="0" fontId="204" fillId="16" borderId="58" xfId="377" applyFont="1" applyFill="1" applyBorder="1" applyAlignment="1">
      <alignment vertical="center"/>
    </xf>
    <xf numFmtId="0" fontId="168" fillId="16" borderId="58" xfId="377" applyFont="1" applyFill="1" applyBorder="1" applyAlignment="1">
      <alignment vertical="center"/>
    </xf>
    <xf numFmtId="0" fontId="168" fillId="16" borderId="58" xfId="377" applyFont="1" applyFill="1" applyBorder="1" applyAlignment="1">
      <alignment horizontal="right" vertical="center"/>
    </xf>
    <xf numFmtId="169" fontId="168" fillId="16" borderId="58" xfId="377" applyNumberFormat="1" applyFont="1" applyFill="1" applyBorder="1" applyAlignment="1">
      <alignment vertical="center"/>
    </xf>
    <xf numFmtId="0" fontId="168" fillId="16" borderId="58" xfId="377" applyFont="1" applyFill="1" applyBorder="1" applyAlignment="1">
      <alignment horizontal="center" vertical="center"/>
    </xf>
    <xf numFmtId="214" fontId="168" fillId="16" borderId="58" xfId="377" applyNumberFormat="1" applyFont="1" applyFill="1" applyBorder="1" applyAlignment="1">
      <alignment horizontal="center" vertical="center"/>
    </xf>
    <xf numFmtId="0" fontId="166" fillId="16" borderId="59" xfId="377" applyFont="1" applyFill="1" applyBorder="1" applyAlignment="1">
      <alignment vertical="center"/>
    </xf>
    <xf numFmtId="5" fontId="166" fillId="16" borderId="59" xfId="377" applyNumberFormat="1" applyFont="1" applyFill="1" applyBorder="1" applyAlignment="1">
      <alignment vertical="center"/>
    </xf>
    <xf numFmtId="0" fontId="167" fillId="16" borderId="0" xfId="377" applyFont="1" applyFill="1" applyAlignment="1">
      <alignment vertical="center"/>
    </xf>
    <xf numFmtId="0" fontId="205" fillId="16" borderId="65" xfId="377" applyFont="1" applyFill="1" applyBorder="1" applyAlignment="1">
      <alignment vertical="center"/>
    </xf>
    <xf numFmtId="0" fontId="205" fillId="16" borderId="66" xfId="377" applyFont="1" applyFill="1" applyBorder="1" applyAlignment="1">
      <alignment horizontal="center" vertical="center"/>
    </xf>
    <xf numFmtId="7" fontId="205" fillId="16" borderId="65" xfId="377" applyNumberFormat="1" applyFont="1" applyFill="1" applyBorder="1" applyAlignment="1">
      <alignment horizontal="right" vertical="center"/>
    </xf>
    <xf numFmtId="169" fontId="205" fillId="28" borderId="65" xfId="377" applyNumberFormat="1" applyFont="1" applyFill="1" applyBorder="1" applyAlignment="1">
      <alignment vertical="center"/>
    </xf>
    <xf numFmtId="211" fontId="205" fillId="16" borderId="65" xfId="377" applyNumberFormat="1" applyFont="1" applyFill="1" applyBorder="1" applyAlignment="1">
      <alignment horizontal="right" vertical="center"/>
    </xf>
    <xf numFmtId="211" fontId="205" fillId="29" borderId="65" xfId="377" applyNumberFormat="1" applyFont="1" applyFill="1" applyBorder="1" applyAlignment="1">
      <alignment horizontal="right" vertical="center"/>
    </xf>
    <xf numFmtId="215" fontId="205" fillId="16" borderId="65" xfId="377" applyNumberFormat="1" applyFont="1" applyFill="1" applyBorder="1" applyAlignment="1">
      <alignment horizontal="center" vertical="center"/>
    </xf>
    <xf numFmtId="215" fontId="205" fillId="28" borderId="65" xfId="377" applyNumberFormat="1" applyFont="1" applyFill="1" applyBorder="1" applyAlignment="1">
      <alignment horizontal="center" vertical="center"/>
    </xf>
    <xf numFmtId="215" fontId="205" fillId="16" borderId="66" xfId="377" applyNumberFormat="1" applyFont="1" applyFill="1" applyBorder="1" applyAlignment="1">
      <alignment horizontal="center" vertical="center"/>
    </xf>
    <xf numFmtId="0" fontId="205" fillId="16" borderId="65" xfId="377" applyFont="1" applyFill="1" applyBorder="1" applyAlignment="1">
      <alignment horizontal="center" vertical="center"/>
    </xf>
    <xf numFmtId="216" fontId="205" fillId="16" borderId="65" xfId="377" applyNumberFormat="1" applyFont="1" applyFill="1" applyBorder="1" applyAlignment="1">
      <alignment horizontal="center" vertical="center"/>
    </xf>
    <xf numFmtId="9" fontId="205" fillId="16" borderId="65" xfId="377" applyNumberFormat="1" applyFont="1" applyFill="1" applyBorder="1" applyAlignment="1">
      <alignment horizontal="center" vertical="center"/>
    </xf>
    <xf numFmtId="214" fontId="205" fillId="29" borderId="65" xfId="378" applyNumberFormat="1" applyFont="1" applyFill="1" applyBorder="1" applyAlignment="1">
      <alignment horizontal="center" vertical="center"/>
    </xf>
    <xf numFmtId="5" fontId="167" fillId="16" borderId="66" xfId="377" applyNumberFormat="1" applyFont="1" applyFill="1" applyBorder="1" applyAlignment="1">
      <alignment horizontal="center" vertical="center"/>
    </xf>
    <xf numFmtId="0" fontId="167" fillId="16" borderId="66" xfId="377" applyFont="1" applyFill="1" applyBorder="1" applyAlignment="1">
      <alignment horizontal="center" vertical="center"/>
    </xf>
    <xf numFmtId="7" fontId="167" fillId="16" borderId="66" xfId="377" applyNumberFormat="1" applyFont="1" applyFill="1" applyBorder="1" applyAlignment="1">
      <alignment horizontal="center" vertical="center"/>
    </xf>
    <xf numFmtId="0" fontId="167" fillId="16" borderId="66" xfId="377" applyFont="1" applyFill="1" applyBorder="1" applyAlignment="1">
      <alignment vertical="center"/>
    </xf>
    <xf numFmtId="9" fontId="176" fillId="0" borderId="0" xfId="389" applyNumberFormat="1" applyFont="1" applyAlignment="1">
      <alignment horizontal="right" wrapText="1"/>
    </xf>
    <xf numFmtId="37" fontId="17" fillId="16" borderId="0" xfId="25" applyNumberFormat="1" applyFont="1" applyFill="1" applyAlignment="1">
      <alignment horizontal="center"/>
    </xf>
    <xf numFmtId="3" fontId="87" fillId="16" borderId="0" xfId="25" applyNumberFormat="1" applyFont="1" applyFill="1" applyAlignment="1">
      <alignment horizontal="center"/>
    </xf>
    <xf numFmtId="166" fontId="80" fillId="16" borderId="0" xfId="217" applyNumberFormat="1" applyFont="1" applyFill="1" applyAlignment="1">
      <alignment wrapText="1"/>
    </xf>
    <xf numFmtId="166" fontId="206" fillId="16" borderId="17" xfId="217" applyNumberFormat="1" applyFont="1" applyFill="1" applyBorder="1" applyAlignment="1">
      <alignment horizontal="center"/>
    </xf>
    <xf numFmtId="166" fontId="206" fillId="16" borderId="0" xfId="0" applyNumberFormat="1" applyFont="1" applyFill="1" applyAlignment="1">
      <alignment horizontal="center"/>
    </xf>
    <xf numFmtId="224" fontId="90" fillId="16" borderId="0" xfId="0" applyNumberFormat="1" applyFont="1" applyFill="1"/>
    <xf numFmtId="225" fontId="16" fillId="16" borderId="0" xfId="25" applyNumberFormat="1" applyFont="1" applyFill="1" applyBorder="1" applyAlignment="1">
      <alignment horizontal="center"/>
    </xf>
    <xf numFmtId="0" fontId="87" fillId="0" borderId="17" xfId="165" applyFont="1" applyBorder="1" applyAlignment="1">
      <alignment horizontal="left"/>
    </xf>
    <xf numFmtId="3" fontId="104" fillId="16" borderId="0" xfId="25" applyNumberFormat="1" applyFont="1" applyFill="1" applyAlignment="1">
      <alignment horizontal="center"/>
    </xf>
    <xf numFmtId="166" fontId="104" fillId="16" borderId="0" xfId="217" applyNumberFormat="1" applyFont="1" applyFill="1" applyAlignment="1">
      <alignment horizontal="center"/>
    </xf>
    <xf numFmtId="0" fontId="147" fillId="0" borderId="0" xfId="369" quotePrefix="1" applyFont="1"/>
    <xf numFmtId="3" fontId="147" fillId="0" borderId="0" xfId="25" applyNumberFormat="1" applyFont="1"/>
    <xf numFmtId="1" fontId="192" fillId="16" borderId="0" xfId="389" applyNumberFormat="1" applyFont="1" applyFill="1" applyAlignment="1">
      <alignment horizontal="right" wrapText="1"/>
    </xf>
    <xf numFmtId="10" fontId="16" fillId="16" borderId="0" xfId="217" applyFont="1" applyFill="1" applyAlignment="1">
      <alignment horizontal="center"/>
    </xf>
    <xf numFmtId="166" fontId="11" fillId="16" borderId="41" xfId="217" applyNumberFormat="1" applyFont="1" applyFill="1" applyBorder="1" applyAlignment="1">
      <alignment horizontal="right"/>
    </xf>
    <xf numFmtId="166" fontId="176" fillId="16" borderId="41" xfId="230" applyNumberFormat="1" applyFont="1" applyFill="1" applyBorder="1" applyAlignment="1">
      <alignment horizontal="right"/>
    </xf>
    <xf numFmtId="1" fontId="176" fillId="16" borderId="0" xfId="389" applyNumberFormat="1" applyFont="1" applyFill="1" applyAlignment="1">
      <alignment horizontal="right" wrapText="1"/>
    </xf>
    <xf numFmtId="1" fontId="11" fillId="16" borderId="0" xfId="391" applyNumberFormat="1" applyFont="1" applyFill="1" applyBorder="1" applyAlignment="1">
      <alignment horizontal="right" wrapText="1"/>
    </xf>
    <xf numFmtId="191" fontId="16" fillId="16" borderId="0" xfId="0" applyNumberFormat="1" applyFont="1" applyFill="1" applyAlignment="1">
      <alignment horizontal="center"/>
    </xf>
    <xf numFmtId="7" fontId="87" fillId="16" borderId="0" xfId="0" applyNumberFormat="1" applyFont="1" applyFill="1"/>
    <xf numFmtId="226" fontId="0" fillId="0" borderId="0" xfId="0" applyNumberFormat="1"/>
    <xf numFmtId="0" fontId="0" fillId="0" borderId="0" xfId="0" quotePrefix="1"/>
    <xf numFmtId="0" fontId="131" fillId="16" borderId="0" xfId="397" applyFill="1" applyAlignment="1">
      <alignment wrapText="1"/>
    </xf>
    <xf numFmtId="0" fontId="182" fillId="16" borderId="0" xfId="397" applyFont="1" applyFill="1" applyAlignment="1">
      <alignment horizontal="center" wrapText="1"/>
    </xf>
    <xf numFmtId="0" fontId="169" fillId="16" borderId="0" xfId="397" applyFont="1" applyFill="1"/>
    <xf numFmtId="0" fontId="80" fillId="16" borderId="0" xfId="397" applyFont="1" applyFill="1"/>
    <xf numFmtId="168" fontId="17" fillId="16" borderId="17" xfId="165" applyNumberFormat="1" applyFont="1" applyFill="1" applyBorder="1" applyAlignment="1">
      <alignment horizontal="center"/>
    </xf>
    <xf numFmtId="168" fontId="106" fillId="16" borderId="17" xfId="165" applyNumberFormat="1" applyFont="1" applyFill="1" applyBorder="1" applyAlignment="1">
      <alignment horizontal="center"/>
    </xf>
    <xf numFmtId="0" fontId="207" fillId="16" borderId="0" xfId="0" applyFont="1" applyFill="1" applyAlignment="1">
      <alignment horizontal="center" wrapText="1"/>
    </xf>
    <xf numFmtId="1" fontId="79" fillId="19" borderId="51" xfId="389" applyNumberFormat="1" applyFont="1" applyFill="1" applyBorder="1" applyAlignment="1">
      <alignment horizontal="right" wrapText="1"/>
    </xf>
    <xf numFmtId="1" fontId="79" fillId="19" borderId="7" xfId="389" applyNumberFormat="1" applyFont="1" applyFill="1" applyBorder="1" applyAlignment="1">
      <alignment horizontal="right" wrapText="1"/>
    </xf>
    <xf numFmtId="1" fontId="39" fillId="19" borderId="7" xfId="389" applyNumberFormat="1" applyFont="1" applyFill="1" applyBorder="1" applyAlignment="1">
      <alignment horizontal="right" wrapText="1"/>
    </xf>
    <xf numFmtId="1" fontId="39" fillId="19" borderId="51" xfId="389" applyNumberFormat="1" applyFont="1" applyFill="1" applyBorder="1" applyAlignment="1">
      <alignment horizontal="right" wrapText="1"/>
    </xf>
    <xf numFmtId="1" fontId="173" fillId="19" borderId="7" xfId="389" applyNumberFormat="1" applyFont="1" applyFill="1" applyBorder="1" applyAlignment="1">
      <alignment horizontal="right" wrapText="1"/>
    </xf>
    <xf numFmtId="1" fontId="173" fillId="19" borderId="51" xfId="389" applyNumberFormat="1" applyFont="1" applyFill="1" applyBorder="1" applyAlignment="1">
      <alignment horizontal="right" wrapText="1"/>
    </xf>
    <xf numFmtId="1" fontId="11" fillId="19" borderId="51" xfId="389" applyNumberFormat="1" applyFont="1" applyFill="1" applyBorder="1" applyAlignment="1">
      <alignment horizontal="right" wrapText="1"/>
    </xf>
    <xf numFmtId="1" fontId="80" fillId="19" borderId="7" xfId="389" applyNumberFormat="1" applyFont="1" applyFill="1" applyBorder="1" applyAlignment="1">
      <alignment horizontal="right" wrapText="1"/>
    </xf>
    <xf numFmtId="1" fontId="11" fillId="19" borderId="7" xfId="389" applyNumberFormat="1" applyFont="1" applyFill="1" applyBorder="1" applyAlignment="1">
      <alignment horizontal="right" wrapText="1"/>
    </xf>
    <xf numFmtId="1" fontId="174" fillId="19" borderId="7" xfId="389" applyNumberFormat="1" applyFont="1" applyFill="1" applyBorder="1" applyAlignment="1">
      <alignment horizontal="right" wrapText="1"/>
    </xf>
    <xf numFmtId="1" fontId="174" fillId="19" borderId="51" xfId="389" applyNumberFormat="1" applyFont="1" applyFill="1" applyBorder="1" applyAlignment="1">
      <alignment horizontal="right" wrapText="1"/>
    </xf>
    <xf numFmtId="1" fontId="79" fillId="16" borderId="0" xfId="389" applyNumberFormat="1" applyFont="1" applyFill="1" applyAlignment="1">
      <alignment wrapText="1"/>
    </xf>
    <xf numFmtId="10" fontId="17" fillId="16" borderId="0" xfId="217" applyFont="1" applyFill="1" applyAlignment="1">
      <alignment horizontal="center"/>
    </xf>
    <xf numFmtId="39" fontId="106" fillId="16" borderId="0" xfId="165" applyNumberFormat="1" applyFont="1" applyFill="1" applyAlignment="1">
      <alignment horizontal="center"/>
    </xf>
    <xf numFmtId="166" fontId="208" fillId="16" borderId="0" xfId="217" applyNumberFormat="1" applyFont="1" applyFill="1" applyAlignment="1">
      <alignment wrapText="1"/>
    </xf>
    <xf numFmtId="1" fontId="11" fillId="16" borderId="0" xfId="389" applyNumberFormat="1" applyFont="1" applyFill="1" applyAlignment="1">
      <alignment horizontal="right" wrapText="1"/>
    </xf>
    <xf numFmtId="0" fontId="175" fillId="16" borderId="0" xfId="389" applyFont="1" applyFill="1" applyAlignment="1">
      <alignment horizontal="left" wrapText="1"/>
    </xf>
    <xf numFmtId="224" fontId="184" fillId="16" borderId="0" xfId="391" applyNumberFormat="1" applyFont="1" applyFill="1" applyBorder="1" applyAlignment="1">
      <alignment horizontal="right" wrapText="1"/>
    </xf>
    <xf numFmtId="10" fontId="100" fillId="16" borderId="0" xfId="217" applyFont="1" applyFill="1" applyBorder="1" applyAlignment="1">
      <alignment horizontal="center"/>
    </xf>
    <xf numFmtId="3" fontId="42" fillId="16" borderId="0" xfId="25" applyNumberFormat="1" applyFont="1" applyFill="1" applyAlignment="1">
      <alignment horizontal="center"/>
    </xf>
    <xf numFmtId="7" fontId="88" fillId="16" borderId="0" xfId="0" applyNumberFormat="1" applyFont="1" applyFill="1"/>
    <xf numFmtId="166" fontId="174" fillId="16" borderId="41" xfId="217" applyNumberFormat="1" applyFont="1" applyFill="1" applyBorder="1" applyAlignment="1">
      <alignment horizontal="right"/>
    </xf>
    <xf numFmtId="166" fontId="174" fillId="16" borderId="0" xfId="384" applyNumberFormat="1" applyFont="1" applyFill="1" applyAlignment="1">
      <alignment horizontal="right"/>
    </xf>
    <xf numFmtId="166" fontId="176" fillId="16" borderId="0" xfId="384" applyNumberFormat="1" applyFont="1" applyFill="1" applyAlignment="1">
      <alignment horizontal="right"/>
    </xf>
    <xf numFmtId="0" fontId="211" fillId="0" borderId="0" xfId="0" applyFont="1"/>
    <xf numFmtId="226" fontId="211" fillId="0" borderId="0" xfId="25" applyNumberFormat="1" applyFont="1"/>
    <xf numFmtId="0" fontId="212" fillId="17" borderId="0" xfId="0" applyFont="1" applyFill="1"/>
    <xf numFmtId="0" fontId="211" fillId="36" borderId="0" xfId="0" applyFont="1" applyFill="1"/>
    <xf numFmtId="226" fontId="211" fillId="36" borderId="0" xfId="25" applyNumberFormat="1" applyFont="1" applyFill="1"/>
    <xf numFmtId="0" fontId="197" fillId="16" borderId="0" xfId="369" applyFont="1" applyFill="1"/>
    <xf numFmtId="0" fontId="12" fillId="16" borderId="0" xfId="0" applyFont="1" applyFill="1"/>
    <xf numFmtId="0" fontId="147" fillId="16" borderId="0" xfId="369" applyFont="1" applyFill="1" applyAlignment="1">
      <alignment wrapText="1"/>
    </xf>
    <xf numFmtId="0" fontId="197" fillId="19" borderId="0" xfId="369" applyFont="1" applyFill="1"/>
    <xf numFmtId="0" fontId="212" fillId="17" borderId="0" xfId="0" applyFont="1" applyFill="1" applyAlignment="1">
      <alignment horizontal="center"/>
    </xf>
    <xf numFmtId="0" fontId="12" fillId="19" borderId="0" xfId="0" applyFont="1" applyFill="1" applyAlignment="1">
      <alignment wrapText="1"/>
    </xf>
    <xf numFmtId="226" fontId="12" fillId="16" borderId="0" xfId="0" applyNumberFormat="1" applyFont="1" applyFill="1" applyAlignment="1">
      <alignment horizontal="center"/>
    </xf>
    <xf numFmtId="226" fontId="12" fillId="19" borderId="0" xfId="0" applyNumberFormat="1" applyFont="1" applyFill="1" applyAlignment="1">
      <alignment horizontal="center"/>
    </xf>
    <xf numFmtId="9" fontId="215" fillId="16" borderId="17" xfId="217" applyNumberFormat="1" applyFont="1" applyFill="1" applyBorder="1" applyAlignment="1">
      <alignment horizontal="center"/>
    </xf>
    <xf numFmtId="3" fontId="215" fillId="16" borderId="17" xfId="25" applyNumberFormat="1" applyFont="1" applyFill="1" applyBorder="1" applyAlignment="1">
      <alignment horizontal="center"/>
    </xf>
    <xf numFmtId="3" fontId="214" fillId="16" borderId="17" xfId="25" applyNumberFormat="1" applyFont="1" applyFill="1" applyBorder="1" applyAlignment="1">
      <alignment horizontal="center"/>
    </xf>
    <xf numFmtId="166" fontId="216" fillId="16" borderId="17" xfId="217" applyNumberFormat="1" applyFont="1" applyFill="1" applyBorder="1" applyAlignment="1">
      <alignment horizontal="center"/>
    </xf>
    <xf numFmtId="166" fontId="206" fillId="28" borderId="17" xfId="217" applyNumberFormat="1" applyFont="1" applyFill="1" applyBorder="1" applyAlignment="1">
      <alignment horizontal="center"/>
    </xf>
    <xf numFmtId="0" fontId="147" fillId="36" borderId="0" xfId="369" applyFont="1" applyFill="1"/>
    <xf numFmtId="10" fontId="16" fillId="16" borderId="0" xfId="217" applyFont="1" applyFill="1" applyBorder="1" applyAlignment="1">
      <alignment horizontal="center"/>
    </xf>
    <xf numFmtId="0" fontId="172" fillId="0" borderId="0" xfId="389" applyFont="1" applyAlignment="1">
      <alignment horizontal="left" wrapText="1"/>
    </xf>
    <xf numFmtId="0" fontId="80" fillId="16" borderId="0" xfId="389" applyFont="1" applyFill="1" applyAlignment="1">
      <alignment horizontal="left" wrapText="1" indent="2"/>
    </xf>
    <xf numFmtId="1" fontId="11" fillId="16" borderId="41" xfId="389" applyNumberFormat="1" applyFont="1" applyFill="1" applyBorder="1" applyAlignment="1">
      <alignment horizontal="right" wrapText="1"/>
    </xf>
    <xf numFmtId="1" fontId="174" fillId="16" borderId="41" xfId="389" applyNumberFormat="1" applyFont="1" applyFill="1" applyBorder="1" applyAlignment="1">
      <alignment horizontal="right" wrapText="1"/>
    </xf>
    <xf numFmtId="0" fontId="183" fillId="16" borderId="0" xfId="389" applyFont="1" applyFill="1" applyAlignment="1">
      <alignment horizontal="left" wrapText="1" indent="4"/>
    </xf>
    <xf numFmtId="0" fontId="173" fillId="16" borderId="41" xfId="389" applyFont="1" applyFill="1" applyBorder="1" applyAlignment="1">
      <alignment wrapText="1"/>
    </xf>
    <xf numFmtId="9" fontId="11" fillId="16" borderId="41" xfId="389" applyNumberFormat="1" applyFont="1" applyFill="1" applyBorder="1" applyAlignment="1">
      <alignment horizontal="right" wrapText="1"/>
    </xf>
    <xf numFmtId="9" fontId="174" fillId="16" borderId="41" xfId="389" applyNumberFormat="1" applyFont="1" applyFill="1" applyBorder="1" applyAlignment="1">
      <alignment horizontal="right" wrapText="1"/>
    </xf>
    <xf numFmtId="0" fontId="80" fillId="16" borderId="0" xfId="389" applyFont="1" applyFill="1" applyAlignment="1">
      <alignment horizontal="left" wrapText="1" indent="4"/>
    </xf>
    <xf numFmtId="0" fontId="183" fillId="16" borderId="0" xfId="389" applyFont="1" applyFill="1" applyAlignment="1">
      <alignment horizontal="left" wrapText="1" indent="6"/>
    </xf>
    <xf numFmtId="10" fontId="87" fillId="16" borderId="0" xfId="217" applyFont="1" applyFill="1"/>
    <xf numFmtId="4" fontId="80" fillId="16" borderId="0" xfId="389" applyNumberFormat="1" applyFont="1" applyFill="1" applyAlignment="1">
      <alignment wrapText="1"/>
    </xf>
    <xf numFmtId="191" fontId="79" fillId="16" borderId="0" xfId="389" applyNumberFormat="1" applyFont="1" applyFill="1" applyAlignment="1">
      <alignment wrapText="1"/>
    </xf>
    <xf numFmtId="0" fontId="87" fillId="0" borderId="0" xfId="0" applyFont="1" applyAlignment="1">
      <alignment horizontal="center"/>
    </xf>
    <xf numFmtId="0" fontId="88" fillId="0" borderId="0" xfId="0" applyFont="1" applyAlignment="1">
      <alignment horizontal="center"/>
    </xf>
    <xf numFmtId="0" fontId="79" fillId="16" borderId="0" xfId="382" applyFont="1" applyFill="1" applyAlignment="1">
      <alignment horizontal="center" wrapText="1"/>
    </xf>
    <xf numFmtId="0" fontId="11" fillId="0" borderId="0" xfId="165" applyFont="1" applyAlignment="1">
      <alignment horizontal="center"/>
    </xf>
    <xf numFmtId="0" fontId="39" fillId="0" borderId="0" xfId="165" applyFont="1" applyAlignment="1">
      <alignment horizontal="center"/>
    </xf>
    <xf numFmtId="9" fontId="11" fillId="16" borderId="0" xfId="217" applyNumberFormat="1" applyFont="1" applyFill="1" applyBorder="1" applyAlignment="1">
      <alignment horizontal="center"/>
    </xf>
    <xf numFmtId="0" fontId="159" fillId="16" borderId="0" xfId="377" applyFont="1" applyFill="1" applyAlignment="1">
      <alignment horizontal="center" vertical="center"/>
    </xf>
    <xf numFmtId="7" fontId="159" fillId="16" borderId="0" xfId="377" applyNumberFormat="1" applyFont="1" applyFill="1" applyAlignment="1">
      <alignment horizontal="center" vertical="center"/>
    </xf>
    <xf numFmtId="0" fontId="158" fillId="29" borderId="57" xfId="377" applyFont="1" applyFill="1" applyBorder="1" applyAlignment="1">
      <alignment horizontal="center"/>
    </xf>
    <xf numFmtId="0" fontId="153" fillId="29" borderId="57" xfId="377" applyFont="1" applyFill="1" applyBorder="1" applyAlignment="1">
      <alignment horizontal="center"/>
    </xf>
    <xf numFmtId="0" fontId="159" fillId="29" borderId="0" xfId="377" applyFont="1" applyFill="1" applyAlignment="1">
      <alignment horizontal="center"/>
    </xf>
    <xf numFmtId="0" fontId="163" fillId="29" borderId="57" xfId="377" applyFont="1" applyFill="1" applyBorder="1" applyAlignment="1">
      <alignment horizontal="center"/>
    </xf>
    <xf numFmtId="0" fontId="152" fillId="16" borderId="0" xfId="377" applyFont="1" applyFill="1" applyAlignment="1">
      <alignment horizontal="center" vertical="center"/>
    </xf>
    <xf numFmtId="0" fontId="125" fillId="24" borderId="29" xfId="376" applyFont="1" applyFill="1" applyBorder="1" applyAlignment="1">
      <alignment horizontal="center" vertical="center" wrapText="1"/>
    </xf>
    <xf numFmtId="0" fontId="125" fillId="24" borderId="25" xfId="376" applyFont="1" applyFill="1" applyBorder="1" applyAlignment="1">
      <alignment horizontal="center" vertical="center" wrapText="1"/>
    </xf>
    <xf numFmtId="0" fontId="125" fillId="24" borderId="26" xfId="376" applyFont="1" applyFill="1" applyBorder="1" applyAlignment="1">
      <alignment horizontal="center" vertical="center" wrapText="1"/>
    </xf>
    <xf numFmtId="0" fontId="125" fillId="24" borderId="32" xfId="376" applyFont="1" applyFill="1" applyBorder="1" applyAlignment="1">
      <alignment horizontal="center" vertical="center" wrapText="1"/>
    </xf>
    <xf numFmtId="0" fontId="125" fillId="24" borderId="10" xfId="376" applyFont="1" applyFill="1" applyBorder="1" applyAlignment="1">
      <alignment horizontal="center" vertical="center" wrapText="1"/>
    </xf>
    <xf numFmtId="0" fontId="125" fillId="24" borderId="33" xfId="376" applyFont="1" applyFill="1" applyBorder="1" applyAlignment="1">
      <alignment horizontal="center" vertical="center" wrapText="1"/>
    </xf>
    <xf numFmtId="0" fontId="122" fillId="23" borderId="34" xfId="376" applyFont="1" applyFill="1" applyBorder="1" applyAlignment="1">
      <alignment horizontal="right" vertical="center" wrapText="1"/>
    </xf>
    <xf numFmtId="0" fontId="122" fillId="23" borderId="41" xfId="376" applyFont="1" applyFill="1" applyBorder="1" applyAlignment="1">
      <alignment horizontal="right" vertical="center"/>
    </xf>
    <xf numFmtId="0" fontId="122" fillId="23" borderId="46" xfId="376" applyFont="1" applyFill="1" applyBorder="1" applyAlignment="1">
      <alignment horizontal="right" vertical="center"/>
    </xf>
    <xf numFmtId="0" fontId="103" fillId="22" borderId="30" xfId="376" applyFont="1" applyFill="1" applyBorder="1" applyAlignment="1">
      <alignment horizontal="center" vertical="center" textRotation="90"/>
    </xf>
    <xf numFmtId="0" fontId="182" fillId="16" borderId="0" xfId="397" applyFont="1" applyFill="1" applyAlignment="1">
      <alignment horizontal="center" wrapText="1"/>
    </xf>
    <xf numFmtId="0" fontId="79" fillId="16" borderId="0" xfId="397" applyFont="1" applyFill="1" applyAlignment="1">
      <alignment horizontal="center" wrapText="1"/>
    </xf>
    <xf numFmtId="0" fontId="79" fillId="16" borderId="0" xfId="388" applyFont="1" applyFill="1" applyAlignment="1">
      <alignment horizontal="center" wrapText="1"/>
    </xf>
    <xf numFmtId="0" fontId="182" fillId="16" borderId="0" xfId="388" applyFont="1" applyFill="1" applyAlignment="1">
      <alignment horizontal="center" wrapText="1"/>
    </xf>
    <xf numFmtId="0" fontId="212" fillId="17" borderId="0" xfId="0" applyFont="1" applyFill="1" applyAlignment="1">
      <alignment horizontal="center"/>
    </xf>
    <xf numFmtId="0" fontId="212" fillId="17" borderId="0" xfId="0" applyFont="1" applyFill="1" applyAlignment="1">
      <alignment horizontal="center" vertical="center"/>
    </xf>
    <xf numFmtId="0" fontId="213" fillId="17" borderId="0" xfId="369" applyFont="1" applyFill="1" applyAlignment="1">
      <alignment horizontal="center" vertical="center"/>
    </xf>
    <xf numFmtId="9" fontId="39" fillId="16" borderId="41" xfId="384" applyNumberFormat="1" applyFont="1" applyFill="1" applyBorder="1" applyAlignment="1">
      <alignment horizontal="right"/>
    </xf>
  </cellXfs>
  <cellStyles count="398">
    <cellStyle name="_x000a__x000a_JournalTemplate=C:\COMFO\CTALK\JOURSTD.TPL_x000a__x000a_LbStateAddress=3 3 0 251 1 89 2 311_x000a__x000a_LbStateJou" xfId="1" xr:uid="{00000000-0005-0000-0000-000000000000}"/>
    <cellStyle name="_x000a__x000a_JournalTemplate=C:\COMFO\CTALK\JOURSTD.TPL_x000a__x000a_LbStateAddress=3 3 0 251 1 89 2 311_x000a__x000a_LbStateJou 2" xfId="2" xr:uid="{00000000-0005-0000-0000-000001000000}"/>
    <cellStyle name="_x000d__x000a_JournalTemplate=C:\COMFO\CTALK\JOURSTD.TPL_x000d__x000a_LbStateAddress=3 3 0 251 1 89 2 311_x000d__x000a_LbStateJou" xfId="3" xr:uid="{00000000-0005-0000-0000-000002000000}"/>
    <cellStyle name="_x000d__x000a_JournalTemplate=C:\COMFO\CTALK\JOURSTD.TPL_x000d__x000a_LbStateAddress=3 3 0 251 1 89 2 311_x000d__x000a_LbStateJou 2" xfId="4" xr:uid="{00000000-0005-0000-0000-000003000000}"/>
    <cellStyle name="=C:\WINNT\SYSTEM32\COMMAND.COM" xfId="5" xr:uid="{00000000-0005-0000-0000-000004000000}"/>
    <cellStyle name="=C:\WINNT35\SYSTEM32\COMMAND.COM" xfId="6" xr:uid="{00000000-0005-0000-0000-000005000000}"/>
    <cellStyle name="AFE" xfId="7" xr:uid="{00000000-0005-0000-0000-000006000000}"/>
    <cellStyle name="AFE 2" xfId="8" xr:uid="{00000000-0005-0000-0000-000007000000}"/>
    <cellStyle name="Bezug" xfId="9" xr:uid="{00000000-0005-0000-0000-000008000000}"/>
    <cellStyle name="blue-linked data to another file" xfId="10" xr:uid="{00000000-0005-0000-0000-000009000000}"/>
    <cellStyle name="Calc Currency (0)" xfId="11" xr:uid="{00000000-0005-0000-0000-00000A000000}"/>
    <cellStyle name="Campo do Crystal Report" xfId="12" xr:uid="{00000000-0005-0000-0000-00000B000000}"/>
    <cellStyle name="center" xfId="13" xr:uid="{00000000-0005-0000-0000-00000C000000}"/>
    <cellStyle name="clear" xfId="14" xr:uid="{00000000-0005-0000-0000-00000D000000}"/>
    <cellStyle name="clear purple comma" xfId="15" xr:uid="{00000000-0005-0000-0000-00000E000000}"/>
    <cellStyle name="cnt title" xfId="16" xr:uid="{00000000-0005-0000-0000-00000F000000}"/>
    <cellStyle name="color" xfId="17" xr:uid="{00000000-0005-0000-0000-000010000000}"/>
    <cellStyle name="column1" xfId="18" xr:uid="{00000000-0005-0000-0000-000011000000}"/>
    <cellStyle name="column1Big" xfId="19" xr:uid="{00000000-0005-0000-0000-000012000000}"/>
    <cellStyle name="column1BigNoWrap" xfId="20" xr:uid="{00000000-0005-0000-0000-000013000000}"/>
    <cellStyle name="column1Date" xfId="21" xr:uid="{00000000-0005-0000-0000-000014000000}"/>
    <cellStyle name="column2Date" xfId="22" xr:uid="{00000000-0005-0000-0000-000015000000}"/>
    <cellStyle name="column3Date" xfId="23" xr:uid="{00000000-0005-0000-0000-000016000000}"/>
    <cellStyle name="Comm_Big_Title" xfId="24" xr:uid="{00000000-0005-0000-0000-000017000000}"/>
    <cellStyle name="Comma" xfId="25" builtinId="3"/>
    <cellStyle name="Comma 10" xfId="386" xr:uid="{6D0C5943-E01D-42D2-804F-4BD16BA34624}"/>
    <cellStyle name="Comma 11" xfId="393" xr:uid="{68D9217E-57D1-4C0F-9C59-D72BB035E17B}"/>
    <cellStyle name="Comma 19" xfId="387" xr:uid="{76EB8BE9-F1C8-49ED-9DA1-7C36C86D34C2}"/>
    <cellStyle name="Comma 2" xfId="26" xr:uid="{00000000-0005-0000-0000-000019000000}"/>
    <cellStyle name="Comma 2 2" xfId="27" xr:uid="{00000000-0005-0000-0000-00001A000000}"/>
    <cellStyle name="Comma 2 2 2" xfId="28" xr:uid="{00000000-0005-0000-0000-00001B000000}"/>
    <cellStyle name="Comma 2 2 3" xfId="29" xr:uid="{00000000-0005-0000-0000-00001C000000}"/>
    <cellStyle name="Comma 2 2 4" xfId="30" xr:uid="{00000000-0005-0000-0000-00001D000000}"/>
    <cellStyle name="Comma 2 29" xfId="378" xr:uid="{7230D919-8047-447A-A9BF-3F6F81B37CC1}"/>
    <cellStyle name="Comma 2 3" xfId="31" xr:uid="{00000000-0005-0000-0000-00001E000000}"/>
    <cellStyle name="Comma 2 3 2" xfId="32" xr:uid="{00000000-0005-0000-0000-00001F000000}"/>
    <cellStyle name="Comma 2 3 3" xfId="33" xr:uid="{00000000-0005-0000-0000-000020000000}"/>
    <cellStyle name="Comma 2 3 4" xfId="34" xr:uid="{00000000-0005-0000-0000-000021000000}"/>
    <cellStyle name="Comma 2 4" xfId="35" xr:uid="{00000000-0005-0000-0000-000022000000}"/>
    <cellStyle name="Comma 2 4 2" xfId="36" xr:uid="{00000000-0005-0000-0000-000023000000}"/>
    <cellStyle name="Comma 2 5" xfId="37" xr:uid="{00000000-0005-0000-0000-000024000000}"/>
    <cellStyle name="Comma 2 5 2" xfId="38" xr:uid="{00000000-0005-0000-0000-000025000000}"/>
    <cellStyle name="Comma 2 6" xfId="39" xr:uid="{00000000-0005-0000-0000-000026000000}"/>
    <cellStyle name="Comma 2 6 2" xfId="40" xr:uid="{00000000-0005-0000-0000-000027000000}"/>
    <cellStyle name="Comma 2 6 2 2" xfId="41" xr:uid="{00000000-0005-0000-0000-000028000000}"/>
    <cellStyle name="Comma 2 6 3" xfId="42" xr:uid="{00000000-0005-0000-0000-000029000000}"/>
    <cellStyle name="Comma 2 7" xfId="43" xr:uid="{00000000-0005-0000-0000-00002A000000}"/>
    <cellStyle name="Comma 2 8" xfId="44" xr:uid="{00000000-0005-0000-0000-00002B000000}"/>
    <cellStyle name="Comma 3" xfId="45" xr:uid="{00000000-0005-0000-0000-00002C000000}"/>
    <cellStyle name="Comma 3 2" xfId="46" xr:uid="{00000000-0005-0000-0000-00002D000000}"/>
    <cellStyle name="Comma 3 2 2" xfId="47" xr:uid="{00000000-0005-0000-0000-00002E000000}"/>
    <cellStyle name="Comma 3 3" xfId="48" xr:uid="{00000000-0005-0000-0000-00002F000000}"/>
    <cellStyle name="Comma 3 4" xfId="49" xr:uid="{00000000-0005-0000-0000-000030000000}"/>
    <cellStyle name="Comma 3 5" xfId="50" xr:uid="{00000000-0005-0000-0000-000031000000}"/>
    <cellStyle name="Comma 3 5 2" xfId="367" xr:uid="{6F14C0C1-EBD2-4631-A615-F79E7561363D}"/>
    <cellStyle name="Comma 3 6" xfId="390" xr:uid="{DD3B3640-3BFD-417F-B0F4-C37FF014A1AD}"/>
    <cellStyle name="Comma 4" xfId="51" xr:uid="{00000000-0005-0000-0000-000032000000}"/>
    <cellStyle name="Comma 4 2" xfId="52" xr:uid="{00000000-0005-0000-0000-000033000000}"/>
    <cellStyle name="Comma 4 3" xfId="53" xr:uid="{00000000-0005-0000-0000-000034000000}"/>
    <cellStyle name="Comma 4 4" xfId="54" xr:uid="{00000000-0005-0000-0000-000035000000}"/>
    <cellStyle name="Comma 5" xfId="55" xr:uid="{00000000-0005-0000-0000-000036000000}"/>
    <cellStyle name="Comma 5 2" xfId="56" xr:uid="{00000000-0005-0000-0000-000037000000}"/>
    <cellStyle name="Comma 5 2 2" xfId="57" xr:uid="{00000000-0005-0000-0000-000038000000}"/>
    <cellStyle name="Comma 5 2 3" xfId="58" xr:uid="{00000000-0005-0000-0000-000039000000}"/>
    <cellStyle name="Comma 5 2 4" xfId="59" xr:uid="{00000000-0005-0000-0000-00003A000000}"/>
    <cellStyle name="Comma 5 3" xfId="60" xr:uid="{00000000-0005-0000-0000-00003B000000}"/>
    <cellStyle name="Comma 5 4" xfId="61" xr:uid="{00000000-0005-0000-0000-00003C000000}"/>
    <cellStyle name="Comma 5 5" xfId="62" xr:uid="{00000000-0005-0000-0000-00003D000000}"/>
    <cellStyle name="Comma 6" xfId="63" xr:uid="{00000000-0005-0000-0000-00003E000000}"/>
    <cellStyle name="Comma 7" xfId="64" xr:uid="{00000000-0005-0000-0000-00003F000000}"/>
    <cellStyle name="Comma 8" xfId="65" xr:uid="{00000000-0005-0000-0000-000040000000}"/>
    <cellStyle name="Comma 9" xfId="361" xr:uid="{00000000-0005-0000-0000-000041000000}"/>
    <cellStyle name="Comma_EMC072000" xfId="375" xr:uid="{A7488895-B31C-4336-908A-57297C87E2F0}"/>
    <cellStyle name="Comma0" xfId="66" xr:uid="{00000000-0005-0000-0000-000043000000}"/>
    <cellStyle name="Comment" xfId="67" xr:uid="{00000000-0005-0000-0000-000044000000}"/>
    <cellStyle name="ContentsHyperlink" xfId="68" xr:uid="{00000000-0005-0000-0000-000045000000}"/>
    <cellStyle name="Crystal Report Data" xfId="69" xr:uid="{00000000-0005-0000-0000-000046000000}"/>
    <cellStyle name="Crystal Report Field" xfId="70" xr:uid="{00000000-0005-0000-0000-000047000000}"/>
    <cellStyle name="Currency" xfId="71" builtinId="4"/>
    <cellStyle name="Currency 16" xfId="72" xr:uid="{00000000-0005-0000-0000-000049000000}"/>
    <cellStyle name="Currency 2" xfId="73" xr:uid="{00000000-0005-0000-0000-00004A000000}"/>
    <cellStyle name="Currency 2 2" xfId="74" xr:uid="{00000000-0005-0000-0000-00004B000000}"/>
    <cellStyle name="Currency 2 2 2" xfId="75" xr:uid="{00000000-0005-0000-0000-00004C000000}"/>
    <cellStyle name="Currency 2 2 3" xfId="76" xr:uid="{00000000-0005-0000-0000-00004D000000}"/>
    <cellStyle name="Currency 2 2 4" xfId="77" xr:uid="{00000000-0005-0000-0000-00004E000000}"/>
    <cellStyle name="Currency 2 3" xfId="78" xr:uid="{00000000-0005-0000-0000-00004F000000}"/>
    <cellStyle name="Currency 2 4" xfId="79" xr:uid="{00000000-0005-0000-0000-000050000000}"/>
    <cellStyle name="Currency 2 4 2" xfId="80" xr:uid="{00000000-0005-0000-0000-000051000000}"/>
    <cellStyle name="Currency 2 5" xfId="81" xr:uid="{00000000-0005-0000-0000-000052000000}"/>
    <cellStyle name="Currency 2 5 2" xfId="82" xr:uid="{00000000-0005-0000-0000-000053000000}"/>
    <cellStyle name="Currency 2 6" xfId="83" xr:uid="{00000000-0005-0000-0000-000054000000}"/>
    <cellStyle name="Currency 3" xfId="84" xr:uid="{00000000-0005-0000-0000-000055000000}"/>
    <cellStyle name="Currency 3 2" xfId="85" xr:uid="{00000000-0005-0000-0000-000056000000}"/>
    <cellStyle name="Currency 3 2 2" xfId="86" xr:uid="{00000000-0005-0000-0000-000057000000}"/>
    <cellStyle name="Currency 3 3" xfId="87" xr:uid="{00000000-0005-0000-0000-000058000000}"/>
    <cellStyle name="Currency 4" xfId="88" xr:uid="{00000000-0005-0000-0000-000059000000}"/>
    <cellStyle name="Currency 4 2" xfId="89" xr:uid="{00000000-0005-0000-0000-00005A000000}"/>
    <cellStyle name="Currency 5" xfId="90" xr:uid="{00000000-0005-0000-0000-00005B000000}"/>
    <cellStyle name="Currency 5 2" xfId="91" xr:uid="{00000000-0005-0000-0000-00005C000000}"/>
    <cellStyle name="Currency 5 2 2" xfId="92" xr:uid="{00000000-0005-0000-0000-00005D000000}"/>
    <cellStyle name="Currency 5 3" xfId="93" xr:uid="{00000000-0005-0000-0000-00005E000000}"/>
    <cellStyle name="Currency 6" xfId="360" xr:uid="{00000000-0005-0000-0000-00005F000000}"/>
    <cellStyle name="Currency 7" xfId="94" xr:uid="{00000000-0005-0000-0000-000060000000}"/>
    <cellStyle name="Currency 8" xfId="368" xr:uid="{9ADFBC66-E2FB-485F-8CFC-B9106A4CD607}"/>
    <cellStyle name="Currency0" xfId="95" xr:uid="{00000000-0005-0000-0000-000061000000}"/>
    <cellStyle name="Dados do Crystal Report" xfId="96" xr:uid="{00000000-0005-0000-0000-000062000000}"/>
    <cellStyle name="Date" xfId="97" xr:uid="{00000000-0005-0000-0000-000063000000}"/>
    <cellStyle name="Date 2" xfId="98" xr:uid="{00000000-0005-0000-0000-000064000000}"/>
    <cellStyle name="Datum" xfId="99" xr:uid="{00000000-0005-0000-0000-000065000000}"/>
    <cellStyle name="Dez 000" xfId="100" xr:uid="{00000000-0005-0000-0000-000066000000}"/>
    <cellStyle name="Dez 000 0,0" xfId="101" xr:uid="{00000000-0005-0000-0000-000067000000}"/>
    <cellStyle name="Dez Mio 0,00" xfId="102" xr:uid="{00000000-0005-0000-0000-000068000000}"/>
    <cellStyle name="Dezimal [+line]" xfId="103" xr:uid="{00000000-0005-0000-0000-000069000000}"/>
    <cellStyle name="Dezimal(0)" xfId="104" xr:uid="{00000000-0005-0000-0000-00006A000000}"/>
    <cellStyle name="Dk. Blue Accent 1" xfId="105" xr:uid="{00000000-0005-0000-0000-00006B000000}"/>
    <cellStyle name="dkbottom" xfId="106" xr:uid="{00000000-0005-0000-0000-00006C000000}"/>
    <cellStyle name="dkrow" xfId="107" xr:uid="{00000000-0005-0000-0000-00006D000000}"/>
    <cellStyle name="Dollar" xfId="108" xr:uid="{00000000-0005-0000-0000-00006E000000}"/>
    <cellStyle name="Dollar 2" xfId="109" xr:uid="{00000000-0005-0000-0000-00006F000000}"/>
    <cellStyle name="Euro" xfId="110" xr:uid="{00000000-0005-0000-0000-000070000000}"/>
    <cellStyle name="Fett" xfId="111" xr:uid="{00000000-0005-0000-0000-000071000000}"/>
    <cellStyle name="finebottom" xfId="112" xr:uid="{00000000-0005-0000-0000-000072000000}"/>
    <cellStyle name="Fix_Daten" xfId="113" xr:uid="{00000000-0005-0000-0000-000073000000}"/>
    <cellStyle name="Fixed" xfId="114" xr:uid="{00000000-0005-0000-0000-000074000000}"/>
    <cellStyle name="Fixed 2" xfId="115" xr:uid="{00000000-0005-0000-0000-000075000000}"/>
    <cellStyle name="grayText2" xfId="116" xr:uid="{00000000-0005-0000-0000-000076000000}"/>
    <cellStyle name="grayText2Big" xfId="117" xr:uid="{00000000-0005-0000-0000-000077000000}"/>
    <cellStyle name="Grey" xfId="118" xr:uid="{00000000-0005-0000-0000-000078000000}"/>
    <cellStyle name="head title" xfId="119" xr:uid="{00000000-0005-0000-0000-000079000000}"/>
    <cellStyle name="Header1" xfId="120" xr:uid="{00000000-0005-0000-0000-00007A000000}"/>
    <cellStyle name="Header2" xfId="121" xr:uid="{00000000-0005-0000-0000-00007B000000}"/>
    <cellStyle name="Headline1" xfId="122" xr:uid="{00000000-0005-0000-0000-00007C000000}"/>
    <cellStyle name="Headline2" xfId="123" xr:uid="{00000000-0005-0000-0000-00007D000000}"/>
    <cellStyle name="Headline3" xfId="124" xr:uid="{00000000-0005-0000-0000-00007E000000}"/>
    <cellStyle name="Hyperlink" xfId="125" builtinId="8"/>
    <cellStyle name="Hyperlink 2" xfId="126" xr:uid="{00000000-0005-0000-0000-000080000000}"/>
    <cellStyle name="Hyperlink 2 2" xfId="127" xr:uid="{00000000-0005-0000-0000-000081000000}"/>
    <cellStyle name="Hyperlink 3" xfId="128" xr:uid="{00000000-0005-0000-0000-000082000000}"/>
    <cellStyle name="Hyperlink 4" xfId="395" xr:uid="{A8BCC2D6-FBF4-494B-8091-6D6B264CEDA2}"/>
    <cellStyle name="Input [%]" xfId="129" xr:uid="{00000000-0005-0000-0000-000083000000}"/>
    <cellStyle name="Input [%0]" xfId="130" xr:uid="{00000000-0005-0000-0000-000084000000}"/>
    <cellStyle name="Input [%00]" xfId="131" xr:uid="{00000000-0005-0000-0000-000085000000}"/>
    <cellStyle name="Input [0]" xfId="132" xr:uid="{00000000-0005-0000-0000-000086000000}"/>
    <cellStyle name="Input [00]" xfId="133" xr:uid="{00000000-0005-0000-0000-000087000000}"/>
    <cellStyle name="Input [yellow]" xfId="134" xr:uid="{00000000-0005-0000-0000-000088000000}"/>
    <cellStyle name="Input(#.##0)" xfId="135" xr:uid="{00000000-0005-0000-0000-000089000000}"/>
    <cellStyle name="Input(#.##0,00)" xfId="136" xr:uid="{00000000-0005-0000-0000-00008A000000}"/>
    <cellStyle name="Input(%)" xfId="137" xr:uid="{00000000-0005-0000-0000-00008B000000}"/>
    <cellStyle name="Input(0)" xfId="138" xr:uid="{00000000-0005-0000-0000-00008C000000}"/>
    <cellStyle name="Jahr" xfId="139" xr:uid="{00000000-0005-0000-0000-00008D000000}"/>
    <cellStyle name="leftStyle" xfId="140" xr:uid="{00000000-0005-0000-0000-00008E000000}"/>
    <cellStyle name="leftStyle2" xfId="141" xr:uid="{00000000-0005-0000-0000-00008F000000}"/>
    <cellStyle name="Millares_Presentacion ITR 12-02boswell" xfId="142" xr:uid="{00000000-0005-0000-0000-000090000000}"/>
    <cellStyle name="mkt.dat" xfId="143" xr:uid="{00000000-0005-0000-0000-000091000000}"/>
    <cellStyle name="Monat-Jahr" xfId="144" xr:uid="{00000000-0005-0000-0000-000092000000}"/>
    <cellStyle name="Muster" xfId="145" xr:uid="{00000000-0005-0000-0000-000093000000}"/>
    <cellStyle name="New Times Roman" xfId="146" xr:uid="{00000000-0005-0000-0000-000094000000}"/>
    <cellStyle name="Normal" xfId="0" builtinId="0"/>
    <cellStyle name="Normal - Style1" xfId="147" xr:uid="{00000000-0005-0000-0000-000096000000}"/>
    <cellStyle name="Normal 10" xfId="148" xr:uid="{00000000-0005-0000-0000-000097000000}"/>
    <cellStyle name="Normal 10 2" xfId="149" xr:uid="{00000000-0005-0000-0000-000098000000}"/>
    <cellStyle name="Normal 10 2 2" xfId="363" xr:uid="{00000000-0005-0000-0000-000099000000}"/>
    <cellStyle name="Normal 10 3" xfId="150" xr:uid="{00000000-0005-0000-0000-00009A000000}"/>
    <cellStyle name="Normal 10 4" xfId="369" xr:uid="{B995CC74-697D-420F-98CD-2370DF466737}"/>
    <cellStyle name="Normal 11" xfId="151" xr:uid="{00000000-0005-0000-0000-00009B000000}"/>
    <cellStyle name="Normal 11 2" xfId="152" xr:uid="{00000000-0005-0000-0000-00009C000000}"/>
    <cellStyle name="Normal 12" xfId="153" xr:uid="{00000000-0005-0000-0000-00009D000000}"/>
    <cellStyle name="Normal 12 2" xfId="154" xr:uid="{00000000-0005-0000-0000-00009E000000}"/>
    <cellStyle name="Normal 13" xfId="155" xr:uid="{00000000-0005-0000-0000-00009F000000}"/>
    <cellStyle name="Normal 13 2" xfId="156" xr:uid="{00000000-0005-0000-0000-0000A0000000}"/>
    <cellStyle name="Normal 14" xfId="157" xr:uid="{00000000-0005-0000-0000-0000A1000000}"/>
    <cellStyle name="Normal 14 2" xfId="158" xr:uid="{00000000-0005-0000-0000-0000A2000000}"/>
    <cellStyle name="Normal 14 3" xfId="159" xr:uid="{00000000-0005-0000-0000-0000A3000000}"/>
    <cellStyle name="Normal 14 4" xfId="385" xr:uid="{FF0228D9-2743-49D9-AC7D-2FB6851C6EB5}"/>
    <cellStyle name="Normal 14 5" xfId="392" xr:uid="{E38B26BD-B26A-4FFC-AB66-A8C80AFA249A}"/>
    <cellStyle name="Normal 15" xfId="160" xr:uid="{00000000-0005-0000-0000-0000A4000000}"/>
    <cellStyle name="Normal 16" xfId="161" xr:uid="{00000000-0005-0000-0000-0000A5000000}"/>
    <cellStyle name="Normal 17" xfId="162" xr:uid="{00000000-0005-0000-0000-0000A6000000}"/>
    <cellStyle name="Normal 18" xfId="163" xr:uid="{00000000-0005-0000-0000-0000A7000000}"/>
    <cellStyle name="Normal 19" xfId="164" xr:uid="{00000000-0005-0000-0000-0000A8000000}"/>
    <cellStyle name="Normal 2" xfId="165" xr:uid="{00000000-0005-0000-0000-0000A9000000}"/>
    <cellStyle name="Normal 2 2" xfId="166" xr:uid="{00000000-0005-0000-0000-0000AA000000}"/>
    <cellStyle name="Normal 2 2 2" xfId="382" xr:uid="{38712FD2-D91E-4FB8-B057-4DE825967C26}"/>
    <cellStyle name="Normal 2 2 3" xfId="167" xr:uid="{00000000-0005-0000-0000-0000AB000000}"/>
    <cellStyle name="Normal 2 3" xfId="168" xr:uid="{00000000-0005-0000-0000-0000AC000000}"/>
    <cellStyle name="Normal 2 3 2" xfId="169" xr:uid="{00000000-0005-0000-0000-0000AD000000}"/>
    <cellStyle name="Normal 2 3 3" xfId="170" xr:uid="{00000000-0005-0000-0000-0000AE000000}"/>
    <cellStyle name="Normal 2 3 4" xfId="171" xr:uid="{00000000-0005-0000-0000-0000AF000000}"/>
    <cellStyle name="Normal 2 4" xfId="172" xr:uid="{00000000-0005-0000-0000-0000B0000000}"/>
    <cellStyle name="Normal 2 4 2" xfId="173" xr:uid="{00000000-0005-0000-0000-0000B1000000}"/>
    <cellStyle name="Normal 2 5" xfId="174" xr:uid="{00000000-0005-0000-0000-0000B2000000}"/>
    <cellStyle name="Normal 2 6" xfId="175" xr:uid="{00000000-0005-0000-0000-0000B3000000}"/>
    <cellStyle name="Normal 2 64" xfId="377" xr:uid="{FFA3C17C-E8D4-4BAE-83E8-2A3204279617}"/>
    <cellStyle name="Normal 2_SA HURC 001" xfId="176" xr:uid="{00000000-0005-0000-0000-0000B4000000}"/>
    <cellStyle name="Normal 20" xfId="177" xr:uid="{00000000-0005-0000-0000-0000B5000000}"/>
    <cellStyle name="Normal 20 2" xfId="394" xr:uid="{0F835BF5-B035-4561-BE52-F079DADA7C87}"/>
    <cellStyle name="Normal 21" xfId="359" xr:uid="{00000000-0005-0000-0000-0000B6000000}"/>
    <cellStyle name="Normal 22" xfId="366" xr:uid="{33F959F3-04F8-4151-B027-367E5D96EBC6}"/>
    <cellStyle name="Normal 23" xfId="388" xr:uid="{1658288B-77D6-46A8-972C-7F91FE73983A}"/>
    <cellStyle name="Normal 23 2" xfId="397" xr:uid="{60E912B8-8C80-438C-88F9-341E985437EC}"/>
    <cellStyle name="Normal 3" xfId="178" xr:uid="{00000000-0005-0000-0000-0000B7000000}"/>
    <cellStyle name="Normal 3 2" xfId="179" xr:uid="{00000000-0005-0000-0000-0000B8000000}"/>
    <cellStyle name="Normal 3 2 2" xfId="180" xr:uid="{00000000-0005-0000-0000-0000B9000000}"/>
    <cellStyle name="Normal 3 3" xfId="181" xr:uid="{00000000-0005-0000-0000-0000BA000000}"/>
    <cellStyle name="Normal 3 3 2" xfId="389" xr:uid="{BE4D0E37-BF4A-447D-9BA9-866CB01C99B1}"/>
    <cellStyle name="Normal 3 4" xfId="182" xr:uid="{00000000-0005-0000-0000-0000BB000000}"/>
    <cellStyle name="Normal 3 5" xfId="183" xr:uid="{00000000-0005-0000-0000-0000BC000000}"/>
    <cellStyle name="Normal 3 6" xfId="383" xr:uid="{2CA6799B-4DB9-43A5-933A-AC7E877A39CA}"/>
    <cellStyle name="Normal 30" xfId="364" xr:uid="{49E0F5DA-BDDB-43AE-9A1B-D6C3E0F7C8D5}"/>
    <cellStyle name="Normal 36" xfId="371" xr:uid="{68993FCC-6A7B-40DD-ACF7-5262BF61EB78}"/>
    <cellStyle name="Normal 4" xfId="184" xr:uid="{00000000-0005-0000-0000-0000BD000000}"/>
    <cellStyle name="Normal 4 10" xfId="365" xr:uid="{ECF70440-8372-42D3-AA94-E655B54B56B5}"/>
    <cellStyle name="Normal 4 10 2" xfId="376" xr:uid="{37C4776F-3AC2-4C5D-A2DA-DE81D9CFA3AB}"/>
    <cellStyle name="Normal 4 2" xfId="185" xr:uid="{00000000-0005-0000-0000-0000BE000000}"/>
    <cellStyle name="Normal 4 3" xfId="186" xr:uid="{00000000-0005-0000-0000-0000BF000000}"/>
    <cellStyle name="Normal 4 4" xfId="187" xr:uid="{00000000-0005-0000-0000-0000C0000000}"/>
    <cellStyle name="Normal 44" xfId="396" xr:uid="{08A6CE3F-B8D4-45C7-BD79-C9F72695808F}"/>
    <cellStyle name="Normal 5" xfId="188" xr:uid="{00000000-0005-0000-0000-0000C1000000}"/>
    <cellStyle name="Normal 5 2" xfId="189" xr:uid="{00000000-0005-0000-0000-0000C2000000}"/>
    <cellStyle name="Normal 6" xfId="190" xr:uid="{00000000-0005-0000-0000-0000C3000000}"/>
    <cellStyle name="Normal 6 2" xfId="191" xr:uid="{00000000-0005-0000-0000-0000C4000000}"/>
    <cellStyle name="Normal 6 3" xfId="192" xr:uid="{00000000-0005-0000-0000-0000C5000000}"/>
    <cellStyle name="Normal 6 4" xfId="193" xr:uid="{00000000-0005-0000-0000-0000C6000000}"/>
    <cellStyle name="Normal 7" xfId="194" xr:uid="{00000000-0005-0000-0000-0000C7000000}"/>
    <cellStyle name="Normal 7 17" xfId="374" xr:uid="{A30A864F-FF62-4637-8078-9012EE22B882}"/>
    <cellStyle name="Normal 7 2" xfId="195" xr:uid="{00000000-0005-0000-0000-0000C8000000}"/>
    <cellStyle name="Normal 7 3" xfId="196" xr:uid="{00000000-0005-0000-0000-0000C9000000}"/>
    <cellStyle name="Normal 7 4" xfId="197" xr:uid="{00000000-0005-0000-0000-0000CA000000}"/>
    <cellStyle name="Normal 8" xfId="198" xr:uid="{00000000-0005-0000-0000-0000CB000000}"/>
    <cellStyle name="Normal 8 2" xfId="199" xr:uid="{00000000-0005-0000-0000-0000CC000000}"/>
    <cellStyle name="Normal 8 3" xfId="200" xr:uid="{00000000-0005-0000-0000-0000CD000000}"/>
    <cellStyle name="Normal 8 4" xfId="201" xr:uid="{00000000-0005-0000-0000-0000CE000000}"/>
    <cellStyle name="Normal 9" xfId="202" xr:uid="{00000000-0005-0000-0000-0000CF000000}"/>
    <cellStyle name="Normal 9 2" xfId="203" xr:uid="{00000000-0005-0000-0000-0000D0000000}"/>
    <cellStyle name="Normal_CashFlow 2" xfId="204" xr:uid="{00000000-0005-0000-0000-0000D1000000}"/>
    <cellStyle name="Normal_Cognex 4.17.07" xfId="373" xr:uid="{BDDC0304-9E0A-4E91-B44D-74535246DDA3}"/>
    <cellStyle name="Normal_EMC072000" xfId="372" xr:uid="{7DD11B49-B8C2-4A85-8399-FC0B98B1DD70}"/>
    <cellStyle name="Normal_Press Release Exhibits Q405_Level 3 Communications Supplemental Schedules for 4Q09_vD (2)" xfId="384" xr:uid="{84FA3978-40E1-41B6-BEB3-5302EB4C4CF2}"/>
    <cellStyle name="NOTBALANCED" xfId="205" xr:uid="{00000000-0005-0000-0000-0000D5000000}"/>
    <cellStyle name="num1Style" xfId="206" xr:uid="{00000000-0005-0000-0000-0000D6000000}"/>
    <cellStyle name="num1Styleb" xfId="207" xr:uid="{00000000-0005-0000-0000-0000D7000000}"/>
    <cellStyle name="num4Style" xfId="208" xr:uid="{00000000-0005-0000-0000-0000D8000000}"/>
    <cellStyle name="num4Styleb" xfId="209" xr:uid="{00000000-0005-0000-0000-0000D9000000}"/>
    <cellStyle name="numPStyle" xfId="210" xr:uid="{00000000-0005-0000-0000-0000DA000000}"/>
    <cellStyle name="numPStyleb" xfId="211" xr:uid="{00000000-0005-0000-0000-0000DB000000}"/>
    <cellStyle name="numXStyle" xfId="212" xr:uid="{00000000-0005-0000-0000-0000DC000000}"/>
    <cellStyle name="numXStyleb" xfId="213" xr:uid="{00000000-0005-0000-0000-0000DD000000}"/>
    <cellStyle name="OOO_Punkt" xfId="214" xr:uid="{00000000-0005-0000-0000-0000DE000000}"/>
    <cellStyle name="ORANGE-oasis code different" xfId="215" xr:uid="{00000000-0005-0000-0000-0000DF000000}"/>
    <cellStyle name="OutputPlain" xfId="216" xr:uid="{00000000-0005-0000-0000-0000E0000000}"/>
    <cellStyle name="Percent" xfId="217" builtinId="5"/>
    <cellStyle name="Percent (2)" xfId="218" xr:uid="{00000000-0005-0000-0000-0000E2000000}"/>
    <cellStyle name="Percent [2]" xfId="219" xr:uid="{00000000-0005-0000-0000-0000E3000000}"/>
    <cellStyle name="Percent 10" xfId="220" xr:uid="{00000000-0005-0000-0000-0000E4000000}"/>
    <cellStyle name="Percent 10 2" xfId="221" xr:uid="{00000000-0005-0000-0000-0000E5000000}"/>
    <cellStyle name="Percent 10 3" xfId="370" xr:uid="{79FF46BB-EDAB-4F22-B786-DCB21B6EB9F1}"/>
    <cellStyle name="Percent 11" xfId="222" xr:uid="{00000000-0005-0000-0000-0000E6000000}"/>
    <cellStyle name="Percent 12" xfId="223" xr:uid="{00000000-0005-0000-0000-0000E7000000}"/>
    <cellStyle name="Percent 13" xfId="224" xr:uid="{00000000-0005-0000-0000-0000E8000000}"/>
    <cellStyle name="Percent 14" xfId="225" xr:uid="{00000000-0005-0000-0000-0000E9000000}"/>
    <cellStyle name="Percent 15" xfId="226" xr:uid="{00000000-0005-0000-0000-0000EA000000}"/>
    <cellStyle name="Percent 16" xfId="227" xr:uid="{00000000-0005-0000-0000-0000EB000000}"/>
    <cellStyle name="Percent 17" xfId="228" xr:uid="{00000000-0005-0000-0000-0000EC000000}"/>
    <cellStyle name="Percent 17 2" xfId="379" xr:uid="{FC3BEFF4-C8FD-4E05-91BD-80B144D1AB24}"/>
    <cellStyle name="Percent 18" xfId="229" xr:uid="{00000000-0005-0000-0000-0000ED000000}"/>
    <cellStyle name="Percent 19" xfId="230" xr:uid="{00000000-0005-0000-0000-0000EE000000}"/>
    <cellStyle name="Percent 2" xfId="231" xr:uid="{00000000-0005-0000-0000-0000EF000000}"/>
    <cellStyle name="Percent 2 2" xfId="232" xr:uid="{00000000-0005-0000-0000-0000F0000000}"/>
    <cellStyle name="Percent 2 2 2" xfId="233" xr:uid="{00000000-0005-0000-0000-0000F1000000}"/>
    <cellStyle name="Percent 2 2 2 2" xfId="234" xr:uid="{00000000-0005-0000-0000-0000F2000000}"/>
    <cellStyle name="Percent 2 2 2 3" xfId="235" xr:uid="{00000000-0005-0000-0000-0000F3000000}"/>
    <cellStyle name="Percent 2 2 2 4" xfId="236" xr:uid="{00000000-0005-0000-0000-0000F4000000}"/>
    <cellStyle name="Percent 2 2 3" xfId="237" xr:uid="{00000000-0005-0000-0000-0000F5000000}"/>
    <cellStyle name="Percent 2 20" xfId="380" xr:uid="{28CA6D5E-723E-42A1-8277-289C674C8B0D}"/>
    <cellStyle name="Percent 2 3" xfId="238" xr:uid="{00000000-0005-0000-0000-0000F6000000}"/>
    <cellStyle name="Percent 2 3 2" xfId="239" xr:uid="{00000000-0005-0000-0000-0000F7000000}"/>
    <cellStyle name="Percent 2 4" xfId="240" xr:uid="{00000000-0005-0000-0000-0000F8000000}"/>
    <cellStyle name="Percent 2 4 2" xfId="241" xr:uid="{00000000-0005-0000-0000-0000F9000000}"/>
    <cellStyle name="Percent 2 5" xfId="242" xr:uid="{00000000-0005-0000-0000-0000FA000000}"/>
    <cellStyle name="Percent 2 5 2" xfId="243" xr:uid="{00000000-0005-0000-0000-0000FB000000}"/>
    <cellStyle name="Percent 2 6" xfId="244" xr:uid="{00000000-0005-0000-0000-0000FC000000}"/>
    <cellStyle name="Percent 2 6 2" xfId="245" xr:uid="{00000000-0005-0000-0000-0000FD000000}"/>
    <cellStyle name="Percent 2 7" xfId="246" xr:uid="{00000000-0005-0000-0000-0000FE000000}"/>
    <cellStyle name="Percent 2 7 2" xfId="247" xr:uid="{00000000-0005-0000-0000-0000FF000000}"/>
    <cellStyle name="Percent 20" xfId="248" xr:uid="{00000000-0005-0000-0000-000000010000}"/>
    <cellStyle name="Percent 21" xfId="362" xr:uid="{00000000-0005-0000-0000-000001010000}"/>
    <cellStyle name="Percent 28" xfId="381" xr:uid="{912086B3-EE1B-48B3-BF9C-3E4C2A0750DE}"/>
    <cellStyle name="Percent 3" xfId="249" xr:uid="{00000000-0005-0000-0000-000002010000}"/>
    <cellStyle name="Percent 3 2" xfId="250" xr:uid="{00000000-0005-0000-0000-000003010000}"/>
    <cellStyle name="Percent 3 2 2" xfId="251" xr:uid="{00000000-0005-0000-0000-000004010000}"/>
    <cellStyle name="Percent 3 3" xfId="252" xr:uid="{00000000-0005-0000-0000-000005010000}"/>
    <cellStyle name="Percent 3 4" xfId="253" xr:uid="{00000000-0005-0000-0000-000006010000}"/>
    <cellStyle name="Percent 3 5" xfId="254" xr:uid="{00000000-0005-0000-0000-000007010000}"/>
    <cellStyle name="Percent 3 6" xfId="391" xr:uid="{D99FCEEA-ADF8-4908-BE84-7D5EA2A1DD24}"/>
    <cellStyle name="Percent 4" xfId="255" xr:uid="{00000000-0005-0000-0000-000008010000}"/>
    <cellStyle name="Percent 4 2" xfId="256" xr:uid="{00000000-0005-0000-0000-000009010000}"/>
    <cellStyle name="Percent 4 2 2" xfId="257" xr:uid="{00000000-0005-0000-0000-00000A010000}"/>
    <cellStyle name="Percent 4 3" xfId="258" xr:uid="{00000000-0005-0000-0000-00000B010000}"/>
    <cellStyle name="Percent 4 4" xfId="259" xr:uid="{00000000-0005-0000-0000-00000C010000}"/>
    <cellStyle name="Percent 5" xfId="260" xr:uid="{00000000-0005-0000-0000-00000D010000}"/>
    <cellStyle name="Percent 5 2" xfId="261" xr:uid="{00000000-0005-0000-0000-00000E010000}"/>
    <cellStyle name="Percent 5 2 2" xfId="262" xr:uid="{00000000-0005-0000-0000-00000F010000}"/>
    <cellStyle name="Percent 5 2 2 2" xfId="263" xr:uid="{00000000-0005-0000-0000-000010010000}"/>
    <cellStyle name="Percent 5 3" xfId="264" xr:uid="{00000000-0005-0000-0000-000011010000}"/>
    <cellStyle name="Percent 5 4" xfId="265" xr:uid="{00000000-0005-0000-0000-000012010000}"/>
    <cellStyle name="Percent 5 5" xfId="266" xr:uid="{00000000-0005-0000-0000-000013010000}"/>
    <cellStyle name="Percent 5 5 2" xfId="267" xr:uid="{00000000-0005-0000-0000-000014010000}"/>
    <cellStyle name="Percent 6" xfId="268" xr:uid="{00000000-0005-0000-0000-000015010000}"/>
    <cellStyle name="Percent 6 2" xfId="269" xr:uid="{00000000-0005-0000-0000-000016010000}"/>
    <cellStyle name="Percent 6 3" xfId="270" xr:uid="{00000000-0005-0000-0000-000017010000}"/>
    <cellStyle name="Percent 6 4" xfId="271" xr:uid="{00000000-0005-0000-0000-000018010000}"/>
    <cellStyle name="Percent 7" xfId="272" xr:uid="{00000000-0005-0000-0000-000019010000}"/>
    <cellStyle name="Percent 7 2" xfId="273" xr:uid="{00000000-0005-0000-0000-00001A010000}"/>
    <cellStyle name="Percent 7 3" xfId="274" xr:uid="{00000000-0005-0000-0000-00001B010000}"/>
    <cellStyle name="Percent 8" xfId="275" xr:uid="{00000000-0005-0000-0000-00001C010000}"/>
    <cellStyle name="Percent 9" xfId="276" xr:uid="{00000000-0005-0000-0000-00001D010000}"/>
    <cellStyle name="pink- converted to metric" xfId="277" xr:uid="{00000000-0005-0000-0000-00001E010000}"/>
    <cellStyle name="Prozent +line" xfId="278" xr:uid="{00000000-0005-0000-0000-00001F010000}"/>
    <cellStyle name="Prozent Rot" xfId="279" xr:uid="{00000000-0005-0000-0000-000020010000}"/>
    <cellStyle name="PSChar" xfId="280" xr:uid="{00000000-0005-0000-0000-000021010000}"/>
    <cellStyle name="PSDate" xfId="281" xr:uid="{00000000-0005-0000-0000-000022010000}"/>
    <cellStyle name="PSDec" xfId="282" xr:uid="{00000000-0005-0000-0000-000023010000}"/>
    <cellStyle name="PSHeading" xfId="283" xr:uid="{00000000-0005-0000-0000-000024010000}"/>
    <cellStyle name="PSInt" xfId="284" xr:uid="{00000000-0005-0000-0000-000025010000}"/>
    <cellStyle name="PSSpacer" xfId="285" xr:uid="{00000000-0005-0000-0000-000026010000}"/>
    <cellStyle name="red-cut and paste" xfId="286" xr:uid="{00000000-0005-0000-0000-000027010000}"/>
    <cellStyle name="RED-TYPED IN NUMBERS" xfId="287" xr:uid="{00000000-0005-0000-0000-000028010000}"/>
    <cellStyle name="Reference" xfId="288" xr:uid="{00000000-0005-0000-0000-000029010000}"/>
    <cellStyle name="Reference [00]" xfId="289" xr:uid="{00000000-0005-0000-0000-00002A010000}"/>
    <cellStyle name="Reference%" xfId="290" xr:uid="{00000000-0005-0000-0000-00002B010000}"/>
    <cellStyle name="Reference_AB_9697" xfId="291" xr:uid="{00000000-0005-0000-0000-00002C010000}"/>
    <cellStyle name="Referenz" xfId="292" xr:uid="{00000000-0005-0000-0000-00002D010000}"/>
    <cellStyle name="rightline" xfId="293" xr:uid="{00000000-0005-0000-0000-00002E010000}"/>
    <cellStyle name="Schatten links oben" xfId="294" xr:uid="{00000000-0005-0000-0000-00002F010000}"/>
    <cellStyle name="Schatten rechts unten" xfId="295" xr:uid="{00000000-0005-0000-0000-000030010000}"/>
    <cellStyle name="Standard%" xfId="296" xr:uid="{00000000-0005-0000-0000-000031010000}"/>
    <cellStyle name="Standard_Market Intelligence Mobilfunk V01-02" xfId="297" xr:uid="{00000000-0005-0000-0000-000032010000}"/>
    <cellStyle name="Stil 1" xfId="298" xr:uid="{00000000-0005-0000-0000-000033010000}"/>
    <cellStyle name="Style 1" xfId="299" xr:uid="{00000000-0005-0000-0000-000034010000}"/>
    <cellStyle name="Style 21" xfId="300" xr:uid="{00000000-0005-0000-0000-000035010000}"/>
    <cellStyle name="Style 22" xfId="301" xr:uid="{00000000-0005-0000-0000-000036010000}"/>
    <cellStyle name="Style 23" xfId="302" xr:uid="{00000000-0005-0000-0000-000037010000}"/>
    <cellStyle name="Style 24" xfId="303" xr:uid="{00000000-0005-0000-0000-000038010000}"/>
    <cellStyle name="Style 25" xfId="304" xr:uid="{00000000-0005-0000-0000-000039010000}"/>
    <cellStyle name="Style 26" xfId="305" xr:uid="{00000000-0005-0000-0000-00003A010000}"/>
    <cellStyle name="Style 27" xfId="306" xr:uid="{00000000-0005-0000-0000-00003B010000}"/>
    <cellStyle name="Style 27 2" xfId="307" xr:uid="{00000000-0005-0000-0000-00003C010000}"/>
    <cellStyle name="Style 27 3" xfId="308" xr:uid="{00000000-0005-0000-0000-00003D010000}"/>
    <cellStyle name="Style 27 4" xfId="309" xr:uid="{00000000-0005-0000-0000-00003E010000}"/>
    <cellStyle name="Style 27 5" xfId="310" xr:uid="{00000000-0005-0000-0000-00003F010000}"/>
    <cellStyle name="Style 27 6" xfId="311" xr:uid="{00000000-0005-0000-0000-000040010000}"/>
    <cellStyle name="Style 28" xfId="312" xr:uid="{00000000-0005-0000-0000-000041010000}"/>
    <cellStyle name="Style 28 2" xfId="313" xr:uid="{00000000-0005-0000-0000-000042010000}"/>
    <cellStyle name="Style 29" xfId="314" xr:uid="{00000000-0005-0000-0000-000043010000}"/>
    <cellStyle name="Style 30" xfId="315" xr:uid="{00000000-0005-0000-0000-000044010000}"/>
    <cellStyle name="Style 31" xfId="316" xr:uid="{00000000-0005-0000-0000-000045010000}"/>
    <cellStyle name="Style 32" xfId="317" xr:uid="{00000000-0005-0000-0000-000046010000}"/>
    <cellStyle name="Style 33" xfId="318" xr:uid="{00000000-0005-0000-0000-000047010000}"/>
    <cellStyle name="Style 34" xfId="319" xr:uid="{00000000-0005-0000-0000-000048010000}"/>
    <cellStyle name="Style 35" xfId="320" xr:uid="{00000000-0005-0000-0000-000049010000}"/>
    <cellStyle name="Style 36" xfId="321" xr:uid="{00000000-0005-0000-0000-00004A010000}"/>
    <cellStyle name="Style 37" xfId="322" xr:uid="{00000000-0005-0000-0000-00004B010000}"/>
    <cellStyle name="Style 38" xfId="323" xr:uid="{00000000-0005-0000-0000-00004C010000}"/>
    <cellStyle name="Style 39" xfId="324" xr:uid="{00000000-0005-0000-0000-00004D010000}"/>
    <cellStyle name="Style 40" xfId="325" xr:uid="{00000000-0005-0000-0000-00004E010000}"/>
    <cellStyle name="Style 41" xfId="326" xr:uid="{00000000-0005-0000-0000-00004F010000}"/>
    <cellStyle name="Style 42" xfId="327" xr:uid="{00000000-0005-0000-0000-000050010000}"/>
    <cellStyle name="Style 43" xfId="328" xr:uid="{00000000-0005-0000-0000-000051010000}"/>
    <cellStyle name="Style 44" xfId="329" xr:uid="{00000000-0005-0000-0000-000052010000}"/>
    <cellStyle name="Style 45" xfId="330" xr:uid="{00000000-0005-0000-0000-000053010000}"/>
    <cellStyle name="Style 46" xfId="331" xr:uid="{00000000-0005-0000-0000-000054010000}"/>
    <cellStyle name="Style 47" xfId="332" xr:uid="{00000000-0005-0000-0000-000055010000}"/>
    <cellStyle name="Style 48" xfId="333" xr:uid="{00000000-0005-0000-0000-000056010000}"/>
    <cellStyle name="Style 49" xfId="334" xr:uid="{00000000-0005-0000-0000-000057010000}"/>
    <cellStyle name="Style 50" xfId="335" xr:uid="{00000000-0005-0000-0000-000058010000}"/>
    <cellStyle name="Style 51" xfId="336" xr:uid="{00000000-0005-0000-0000-000059010000}"/>
    <cellStyle name="Style 52" xfId="337" xr:uid="{00000000-0005-0000-0000-00005A010000}"/>
    <cellStyle name="Style 53" xfId="338" xr:uid="{00000000-0005-0000-0000-00005B010000}"/>
    <cellStyle name="Style 54" xfId="339" xr:uid="{00000000-0005-0000-0000-00005C010000}"/>
    <cellStyle name="Style 55" xfId="340" xr:uid="{00000000-0005-0000-0000-00005D010000}"/>
    <cellStyle name="Subtotal" xfId="341" xr:uid="{00000000-0005-0000-0000-00005E010000}"/>
    <cellStyle name="Summe" xfId="342" xr:uid="{00000000-0005-0000-0000-00005F010000}"/>
    <cellStyle name="Summe [+line]" xfId="343" xr:uid="{00000000-0005-0000-0000-000060010000}"/>
    <cellStyle name="Summe [000]" xfId="344" xr:uid="{00000000-0005-0000-0000-000061010000}"/>
    <cellStyle name="Summe_Abschreibung" xfId="345" xr:uid="{00000000-0005-0000-0000-000062010000}"/>
    <cellStyle name="Tan Accent 2" xfId="346" xr:uid="{00000000-0005-0000-0000-000063010000}"/>
    <cellStyle name="TITLE2" xfId="347" xr:uid="{00000000-0005-0000-0000-000064010000}"/>
    <cellStyle name="TITLECENTER" xfId="348" xr:uid="{00000000-0005-0000-0000-000065010000}"/>
    <cellStyle name="Titre general" xfId="349" xr:uid="{00000000-0005-0000-0000-000066010000}"/>
    <cellStyle name="TURK-FORMULA CHANGED" xfId="350" xr:uid="{00000000-0005-0000-0000-000067010000}"/>
    <cellStyle name="Uhrzeit" xfId="351" xr:uid="{00000000-0005-0000-0000-000068010000}"/>
    <cellStyle name="Unit" xfId="352" xr:uid="{00000000-0005-0000-0000-000069010000}"/>
    <cellStyle name="units" xfId="353" xr:uid="{00000000-0005-0000-0000-00006A010000}"/>
    <cellStyle name="Unsichtbar" xfId="354" xr:uid="{00000000-0005-0000-0000-00006B010000}"/>
    <cellStyle name="US CHECK " xfId="355" xr:uid="{00000000-0005-0000-0000-00006C010000}"/>
    <cellStyle name="Valuta (0)_spies97" xfId="356" xr:uid="{00000000-0005-0000-0000-00006D010000}"/>
    <cellStyle name="VIH" xfId="357" xr:uid="{00000000-0005-0000-0000-00006E010000}"/>
    <cellStyle name="Währung(0)" xfId="358" xr:uid="{00000000-0005-0000-0000-00006F010000}"/>
  </cellStyles>
  <dxfs count="2">
    <dxf>
      <font>
        <b/>
        <i val="0"/>
        <color rgb="FFC00000"/>
      </font>
    </dxf>
    <dxf>
      <font>
        <color rgb="FF9C0006"/>
      </font>
      <fill>
        <patternFill>
          <bgColor rgb="FFFFC7CE"/>
        </patternFill>
      </fill>
    </dxf>
  </dxfs>
  <tableStyles count="0" defaultTableStyle="TableStyleMedium9" defaultPivotStyle="PivotStyleLight16"/>
  <colors>
    <mruColors>
      <color rgb="FF0000FF"/>
      <color rgb="FF00CC00"/>
      <color rgb="FF008000"/>
      <color rgb="FFFF9999"/>
      <color rgb="FFA0E898"/>
      <color rgb="FFB9E0F7"/>
      <color rgb="FF8193DB"/>
      <color rgb="FFFF3333"/>
      <color rgb="FFFF00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66" Type="http://schemas.openxmlformats.org/officeDocument/2006/relationships/externalLink" Target="externalLinks/externalLink49.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externalLink" Target="externalLinks/externalLink44.xml"/><Relationship Id="rId19" Type="http://schemas.openxmlformats.org/officeDocument/2006/relationships/externalLink" Target="externalLinks/externalLink2.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64" Type="http://schemas.openxmlformats.org/officeDocument/2006/relationships/externalLink" Target="externalLinks/externalLink47.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externalLink" Target="externalLinks/externalLink42.xml"/><Relationship Id="rId67" Type="http://schemas.openxmlformats.org/officeDocument/2006/relationships/theme" Target="theme/theme1.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62" Type="http://schemas.openxmlformats.org/officeDocument/2006/relationships/externalLink" Target="externalLinks/externalLink45.xml"/><Relationship Id="rId70" Type="http://schemas.openxmlformats.org/officeDocument/2006/relationships/sheetMetadata" Target="metadata.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externalLink" Target="externalLinks/externalLink40.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customXml" Target="../customXml/item4.xml"/><Relationship Id="rId7" Type="http://schemas.openxmlformats.org/officeDocument/2006/relationships/worksheet" Target="worksheets/sheet7.xml"/><Relationship Id="rId71"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51955</xdr:rowOff>
    </xdr:from>
    <xdr:to>
      <xdr:col>1</xdr:col>
      <xdr:colOff>739140</xdr:colOff>
      <xdr:row>2</xdr:row>
      <xdr:rowOff>153833</xdr:rowOff>
    </xdr:to>
    <xdr:pic>
      <xdr:nvPicPr>
        <xdr:cNvPr id="2" name="Picture 1">
          <a:extLst>
            <a:ext uri="{FF2B5EF4-FFF2-40B4-BE49-F238E27FC236}">
              <a16:creationId xmlns:a16="http://schemas.microsoft.com/office/drawing/2014/main" id="{815D3A9C-5AD2-44AD-9343-E84BEC9FB06A}"/>
            </a:ext>
          </a:extLst>
        </xdr:cNvPr>
        <xdr:cNvPicPr>
          <a:picLocks noChangeAspect="1"/>
        </xdr:cNvPicPr>
      </xdr:nvPicPr>
      <xdr:blipFill>
        <a:blip xmlns:r="http://schemas.openxmlformats.org/officeDocument/2006/relationships" r:embed="rId1"/>
        <a:stretch>
          <a:fillRect/>
        </a:stretch>
      </xdr:blipFill>
      <xdr:spPr>
        <a:xfrm>
          <a:off x="0" y="51955"/>
          <a:ext cx="1310640" cy="543838"/>
        </a:xfrm>
        <a:prstGeom prst="rect">
          <a:avLst/>
        </a:prstGeom>
      </xdr:spPr>
    </xdr:pic>
    <xdr:clientData/>
  </xdr:twoCellAnchor>
  <xdr:twoCellAnchor>
    <xdr:from>
      <xdr:col>1</xdr:col>
      <xdr:colOff>2415886</xdr:colOff>
      <xdr:row>0</xdr:row>
      <xdr:rowOff>0</xdr:rowOff>
    </xdr:from>
    <xdr:to>
      <xdr:col>2</xdr:col>
      <xdr:colOff>1</xdr:colOff>
      <xdr:row>0</xdr:row>
      <xdr:rowOff>372341</xdr:rowOff>
    </xdr:to>
    <xdr:cxnSp macro="">
      <xdr:nvCxnSpPr>
        <xdr:cNvPr id="3" name="Straight Connector 2">
          <a:extLst>
            <a:ext uri="{FF2B5EF4-FFF2-40B4-BE49-F238E27FC236}">
              <a16:creationId xmlns:a16="http://schemas.microsoft.com/office/drawing/2014/main" id="{2C1D8174-DD82-47B3-83F2-8600747690B8}"/>
            </a:ext>
          </a:extLst>
        </xdr:cNvPr>
        <xdr:cNvCxnSpPr/>
      </xdr:nvCxnSpPr>
      <xdr:spPr>
        <a:xfrm flipH="1">
          <a:off x="2339686" y="0"/>
          <a:ext cx="0" cy="258041"/>
        </a:xfrm>
        <a:prstGeom prst="line">
          <a:avLst/>
        </a:prstGeom>
        <a:ln w="19050">
          <a:solidFill>
            <a:srgbClr val="277995"/>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8660</xdr:colOff>
      <xdr:row>29</xdr:row>
      <xdr:rowOff>25977</xdr:rowOff>
    </xdr:from>
    <xdr:to>
      <xdr:col>1</xdr:col>
      <xdr:colOff>1255569</xdr:colOff>
      <xdr:row>30</xdr:row>
      <xdr:rowOff>142978</xdr:rowOff>
    </xdr:to>
    <xdr:pic>
      <xdr:nvPicPr>
        <xdr:cNvPr id="4" name="Picture 3">
          <a:extLst>
            <a:ext uri="{FF2B5EF4-FFF2-40B4-BE49-F238E27FC236}">
              <a16:creationId xmlns:a16="http://schemas.microsoft.com/office/drawing/2014/main" id="{EDA24307-4199-4E17-A667-3476CA0AB7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660" y="5375217"/>
          <a:ext cx="1818409" cy="2922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364139</xdr:colOff>
      <xdr:row>15</xdr:row>
      <xdr:rowOff>13243</xdr:rowOff>
    </xdr:from>
    <xdr:to>
      <xdr:col>20</xdr:col>
      <xdr:colOff>359759</xdr:colOff>
      <xdr:row>41</xdr:row>
      <xdr:rowOff>20029</xdr:rowOff>
    </xdr:to>
    <xdr:grpSp>
      <xdr:nvGrpSpPr>
        <xdr:cNvPr id="2" name="Group 1">
          <a:extLst>
            <a:ext uri="{FF2B5EF4-FFF2-40B4-BE49-F238E27FC236}">
              <a16:creationId xmlns:a16="http://schemas.microsoft.com/office/drawing/2014/main" id="{26748BFB-6198-795D-9614-15CDE8C8BA55}"/>
            </a:ext>
          </a:extLst>
        </xdr:cNvPr>
        <xdr:cNvGrpSpPr/>
      </xdr:nvGrpSpPr>
      <xdr:grpSpPr>
        <a:xfrm>
          <a:off x="364139" y="2480218"/>
          <a:ext cx="11044620" cy="4216836"/>
          <a:chOff x="364139" y="2521493"/>
          <a:chExt cx="11044620" cy="4299386"/>
        </a:xfrm>
      </xdr:grpSpPr>
      <xdr:sp macro="" textlink="">
        <xdr:nvSpPr>
          <xdr:cNvPr id="3" name="Freeform: Shape 2">
            <a:extLst>
              <a:ext uri="{FF2B5EF4-FFF2-40B4-BE49-F238E27FC236}">
                <a16:creationId xmlns:a16="http://schemas.microsoft.com/office/drawing/2014/main" id="{4DCA5C53-A9B1-E622-7C8A-BD7978C7D6F4}"/>
              </a:ext>
            </a:extLst>
          </xdr:cNvPr>
          <xdr:cNvSpPr/>
        </xdr:nvSpPr>
        <xdr:spPr>
          <a:xfrm>
            <a:off x="10569412" y="3784715"/>
            <a:ext cx="133031" cy="1025268"/>
          </a:xfrm>
          <a:custGeom>
            <a:avLst/>
            <a:gdLst/>
            <a:ahLst/>
            <a:cxnLst/>
            <a:rect l="0" t="0" r="0" b="0"/>
            <a:pathLst>
              <a:path>
                <a:moveTo>
                  <a:pt x="0" y="0"/>
                </a:moveTo>
                <a:lnTo>
                  <a:pt x="0" y="1025268"/>
                </a:lnTo>
                <a:lnTo>
                  <a:pt x="133031" y="1025268"/>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 name="Freeform: Shape 3">
            <a:extLst>
              <a:ext uri="{FF2B5EF4-FFF2-40B4-BE49-F238E27FC236}">
                <a16:creationId xmlns:a16="http://schemas.microsoft.com/office/drawing/2014/main" id="{047CA1C2-2009-A42D-1617-A4238B788488}"/>
              </a:ext>
            </a:extLst>
          </xdr:cNvPr>
          <xdr:cNvSpPr/>
        </xdr:nvSpPr>
        <xdr:spPr>
          <a:xfrm>
            <a:off x="10569412" y="3784715"/>
            <a:ext cx="133031" cy="366627"/>
          </a:xfrm>
          <a:custGeom>
            <a:avLst/>
            <a:gdLst/>
            <a:ahLst/>
            <a:cxnLst/>
            <a:rect l="0" t="0" r="0" b="0"/>
            <a:pathLst>
              <a:path>
                <a:moveTo>
                  <a:pt x="0" y="0"/>
                </a:moveTo>
                <a:lnTo>
                  <a:pt x="0" y="366627"/>
                </a:lnTo>
                <a:lnTo>
                  <a:pt x="133031" y="366627"/>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 name="Freeform: Shape 4">
            <a:extLst>
              <a:ext uri="{FF2B5EF4-FFF2-40B4-BE49-F238E27FC236}">
                <a16:creationId xmlns:a16="http://schemas.microsoft.com/office/drawing/2014/main" id="{96BBF360-431F-8541-EE74-430D79D7E005}"/>
              </a:ext>
            </a:extLst>
          </xdr:cNvPr>
          <xdr:cNvSpPr/>
        </xdr:nvSpPr>
        <xdr:spPr>
          <a:xfrm>
            <a:off x="5865871" y="2994024"/>
            <a:ext cx="5058292" cy="105860"/>
          </a:xfrm>
          <a:custGeom>
            <a:avLst/>
            <a:gdLst/>
            <a:ahLst/>
            <a:cxnLst/>
            <a:rect l="0" t="0" r="0" b="0"/>
            <a:pathLst>
              <a:path>
                <a:moveTo>
                  <a:pt x="0" y="0"/>
                </a:moveTo>
                <a:lnTo>
                  <a:pt x="0" y="52930"/>
                </a:lnTo>
                <a:lnTo>
                  <a:pt x="5058292" y="52930"/>
                </a:lnTo>
                <a:lnTo>
                  <a:pt x="5058292"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 name="Freeform: Shape 5">
            <a:extLst>
              <a:ext uri="{FF2B5EF4-FFF2-40B4-BE49-F238E27FC236}">
                <a16:creationId xmlns:a16="http://schemas.microsoft.com/office/drawing/2014/main" id="{CE5539AC-ACDF-21EA-C894-43169415FCA8}"/>
              </a:ext>
            </a:extLst>
          </xdr:cNvPr>
          <xdr:cNvSpPr/>
        </xdr:nvSpPr>
        <xdr:spPr>
          <a:xfrm>
            <a:off x="9689551" y="3699828"/>
            <a:ext cx="114218" cy="1470910"/>
          </a:xfrm>
          <a:custGeom>
            <a:avLst/>
            <a:gdLst/>
            <a:ahLst/>
            <a:cxnLst/>
            <a:rect l="0" t="0" r="0" b="0"/>
            <a:pathLst>
              <a:path>
                <a:moveTo>
                  <a:pt x="0" y="0"/>
                </a:moveTo>
                <a:lnTo>
                  <a:pt x="0" y="1470910"/>
                </a:lnTo>
                <a:lnTo>
                  <a:pt x="114218" y="147091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7" name="Freeform: Shape 6">
            <a:extLst>
              <a:ext uri="{FF2B5EF4-FFF2-40B4-BE49-F238E27FC236}">
                <a16:creationId xmlns:a16="http://schemas.microsoft.com/office/drawing/2014/main" id="{ABA48617-E066-2295-7A7F-FDA262EB3CB5}"/>
              </a:ext>
            </a:extLst>
          </xdr:cNvPr>
          <xdr:cNvSpPr/>
        </xdr:nvSpPr>
        <xdr:spPr>
          <a:xfrm>
            <a:off x="9689551" y="3699828"/>
            <a:ext cx="114218" cy="907770"/>
          </a:xfrm>
          <a:custGeom>
            <a:avLst/>
            <a:gdLst/>
            <a:ahLst/>
            <a:cxnLst/>
            <a:rect l="0" t="0" r="0" b="0"/>
            <a:pathLst>
              <a:path>
                <a:moveTo>
                  <a:pt x="0" y="0"/>
                </a:moveTo>
                <a:lnTo>
                  <a:pt x="0" y="907770"/>
                </a:lnTo>
                <a:lnTo>
                  <a:pt x="114218" y="90777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8" name="Freeform: Shape 7">
            <a:extLst>
              <a:ext uri="{FF2B5EF4-FFF2-40B4-BE49-F238E27FC236}">
                <a16:creationId xmlns:a16="http://schemas.microsoft.com/office/drawing/2014/main" id="{AC5BDEF1-7008-69D5-52F4-30E3D01E83A1}"/>
              </a:ext>
            </a:extLst>
          </xdr:cNvPr>
          <xdr:cNvSpPr/>
        </xdr:nvSpPr>
        <xdr:spPr>
          <a:xfrm>
            <a:off x="9689551" y="3699828"/>
            <a:ext cx="114218" cy="335194"/>
          </a:xfrm>
          <a:custGeom>
            <a:avLst/>
            <a:gdLst/>
            <a:ahLst/>
            <a:cxnLst/>
            <a:rect l="0" t="0" r="0" b="0"/>
            <a:pathLst>
              <a:path>
                <a:moveTo>
                  <a:pt x="0" y="0"/>
                </a:moveTo>
                <a:lnTo>
                  <a:pt x="0" y="335194"/>
                </a:lnTo>
                <a:lnTo>
                  <a:pt x="114218" y="33519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9" name="Freeform: Shape 8">
            <a:extLst>
              <a:ext uri="{FF2B5EF4-FFF2-40B4-BE49-F238E27FC236}">
                <a16:creationId xmlns:a16="http://schemas.microsoft.com/office/drawing/2014/main" id="{467017D2-F788-BDB8-0A1F-002E9F2B819F}"/>
              </a:ext>
            </a:extLst>
          </xdr:cNvPr>
          <xdr:cNvSpPr/>
        </xdr:nvSpPr>
        <xdr:spPr>
          <a:xfrm>
            <a:off x="5865871" y="2994024"/>
            <a:ext cx="4128263" cy="105860"/>
          </a:xfrm>
          <a:custGeom>
            <a:avLst/>
            <a:gdLst/>
            <a:ahLst/>
            <a:cxnLst/>
            <a:rect l="0" t="0" r="0" b="0"/>
            <a:pathLst>
              <a:path>
                <a:moveTo>
                  <a:pt x="0" y="0"/>
                </a:moveTo>
                <a:lnTo>
                  <a:pt x="0" y="52930"/>
                </a:lnTo>
                <a:lnTo>
                  <a:pt x="4128263" y="52930"/>
                </a:lnTo>
                <a:lnTo>
                  <a:pt x="4128263"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0" name="Freeform: Shape 9">
            <a:extLst>
              <a:ext uri="{FF2B5EF4-FFF2-40B4-BE49-F238E27FC236}">
                <a16:creationId xmlns:a16="http://schemas.microsoft.com/office/drawing/2014/main" id="{374DFFAA-C2D4-107D-A288-D08C36AB5865}"/>
              </a:ext>
            </a:extLst>
          </xdr:cNvPr>
          <xdr:cNvSpPr/>
        </xdr:nvSpPr>
        <xdr:spPr>
          <a:xfrm>
            <a:off x="9008138" y="3986170"/>
            <a:ext cx="91440" cy="947702"/>
          </a:xfrm>
          <a:custGeom>
            <a:avLst/>
            <a:gdLst/>
            <a:ahLst/>
            <a:cxnLst/>
            <a:rect l="0" t="0" r="0" b="0"/>
            <a:pathLst>
              <a:path>
                <a:moveTo>
                  <a:pt x="45720" y="0"/>
                </a:moveTo>
                <a:lnTo>
                  <a:pt x="45720" y="947702"/>
                </a:lnTo>
                <a:lnTo>
                  <a:pt x="121334" y="947702"/>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1" name="Freeform: Shape 10">
            <a:extLst>
              <a:ext uri="{FF2B5EF4-FFF2-40B4-BE49-F238E27FC236}">
                <a16:creationId xmlns:a16="http://schemas.microsoft.com/office/drawing/2014/main" id="{A1C00232-158E-384E-55C4-DDEF4FA84195}"/>
              </a:ext>
            </a:extLst>
          </xdr:cNvPr>
          <xdr:cNvSpPr/>
        </xdr:nvSpPr>
        <xdr:spPr>
          <a:xfrm>
            <a:off x="9008138" y="3986170"/>
            <a:ext cx="91440" cy="589793"/>
          </a:xfrm>
          <a:custGeom>
            <a:avLst/>
            <a:gdLst/>
            <a:ahLst/>
            <a:cxnLst/>
            <a:rect l="0" t="0" r="0" b="0"/>
            <a:pathLst>
              <a:path>
                <a:moveTo>
                  <a:pt x="45720" y="0"/>
                </a:moveTo>
                <a:lnTo>
                  <a:pt x="45720" y="589793"/>
                </a:lnTo>
                <a:lnTo>
                  <a:pt x="121334" y="58979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2" name="Freeform: Shape 11">
            <a:extLst>
              <a:ext uri="{FF2B5EF4-FFF2-40B4-BE49-F238E27FC236}">
                <a16:creationId xmlns:a16="http://schemas.microsoft.com/office/drawing/2014/main" id="{700B26B0-2571-E7E1-D6E8-216F942CD9FD}"/>
              </a:ext>
            </a:extLst>
          </xdr:cNvPr>
          <xdr:cNvSpPr/>
        </xdr:nvSpPr>
        <xdr:spPr>
          <a:xfrm>
            <a:off x="9008138" y="3986170"/>
            <a:ext cx="91440" cy="231884"/>
          </a:xfrm>
          <a:custGeom>
            <a:avLst/>
            <a:gdLst/>
            <a:ahLst/>
            <a:cxnLst/>
            <a:rect l="0" t="0" r="0" b="0"/>
            <a:pathLst>
              <a:path>
                <a:moveTo>
                  <a:pt x="45720" y="0"/>
                </a:moveTo>
                <a:lnTo>
                  <a:pt x="45720" y="231884"/>
                </a:lnTo>
                <a:lnTo>
                  <a:pt x="121334" y="2318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3" name="Freeform: Shape 12">
            <a:extLst>
              <a:ext uri="{FF2B5EF4-FFF2-40B4-BE49-F238E27FC236}">
                <a16:creationId xmlns:a16="http://schemas.microsoft.com/office/drawing/2014/main" id="{D19E62CB-6953-531A-8933-BDBF5FC56421}"/>
              </a:ext>
            </a:extLst>
          </xdr:cNvPr>
          <xdr:cNvSpPr/>
        </xdr:nvSpPr>
        <xdr:spPr>
          <a:xfrm>
            <a:off x="8950518" y="3532470"/>
            <a:ext cx="304978" cy="105860"/>
          </a:xfrm>
          <a:custGeom>
            <a:avLst/>
            <a:gdLst/>
            <a:ahLst/>
            <a:cxnLst/>
            <a:rect l="0" t="0" r="0" b="0"/>
            <a:pathLst>
              <a:path>
                <a:moveTo>
                  <a:pt x="0" y="0"/>
                </a:moveTo>
                <a:lnTo>
                  <a:pt x="0" y="52930"/>
                </a:lnTo>
                <a:lnTo>
                  <a:pt x="304978" y="52930"/>
                </a:lnTo>
                <a:lnTo>
                  <a:pt x="304978"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4" name="Freeform: Shape 13">
            <a:extLst>
              <a:ext uri="{FF2B5EF4-FFF2-40B4-BE49-F238E27FC236}">
                <a16:creationId xmlns:a16="http://schemas.microsoft.com/office/drawing/2014/main" id="{D688DE5F-C512-C8B8-522E-B61FD39943C1}"/>
              </a:ext>
            </a:extLst>
          </xdr:cNvPr>
          <xdr:cNvSpPr/>
        </xdr:nvSpPr>
        <xdr:spPr>
          <a:xfrm>
            <a:off x="8645539" y="3532470"/>
            <a:ext cx="304978" cy="105860"/>
          </a:xfrm>
          <a:custGeom>
            <a:avLst/>
            <a:gdLst/>
            <a:ahLst/>
            <a:cxnLst/>
            <a:rect l="0" t="0" r="0" b="0"/>
            <a:pathLst>
              <a:path>
                <a:moveTo>
                  <a:pt x="304978" y="0"/>
                </a:moveTo>
                <a:lnTo>
                  <a:pt x="304978" y="52930"/>
                </a:lnTo>
                <a:lnTo>
                  <a:pt x="0" y="52930"/>
                </a:lnTo>
                <a:lnTo>
                  <a:pt x="0"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5" name="Freeform: Shape 14">
            <a:extLst>
              <a:ext uri="{FF2B5EF4-FFF2-40B4-BE49-F238E27FC236}">
                <a16:creationId xmlns:a16="http://schemas.microsoft.com/office/drawing/2014/main" id="{C994D1C5-B524-9FAF-B25C-55B888F7E121}"/>
              </a:ext>
            </a:extLst>
          </xdr:cNvPr>
          <xdr:cNvSpPr/>
        </xdr:nvSpPr>
        <xdr:spPr>
          <a:xfrm>
            <a:off x="5865871" y="2994024"/>
            <a:ext cx="3084646" cy="105860"/>
          </a:xfrm>
          <a:custGeom>
            <a:avLst/>
            <a:gdLst/>
            <a:ahLst/>
            <a:cxnLst/>
            <a:rect l="0" t="0" r="0" b="0"/>
            <a:pathLst>
              <a:path>
                <a:moveTo>
                  <a:pt x="0" y="0"/>
                </a:moveTo>
                <a:lnTo>
                  <a:pt x="0" y="52930"/>
                </a:lnTo>
                <a:lnTo>
                  <a:pt x="3084646" y="52930"/>
                </a:lnTo>
                <a:lnTo>
                  <a:pt x="3084646"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6" name="Freeform: Shape 15">
            <a:extLst>
              <a:ext uri="{FF2B5EF4-FFF2-40B4-BE49-F238E27FC236}">
                <a16:creationId xmlns:a16="http://schemas.microsoft.com/office/drawing/2014/main" id="{22CBF351-2EA1-765B-46C9-72FFE984C4E8}"/>
              </a:ext>
            </a:extLst>
          </xdr:cNvPr>
          <xdr:cNvSpPr/>
        </xdr:nvSpPr>
        <xdr:spPr>
          <a:xfrm>
            <a:off x="7788222" y="4067111"/>
            <a:ext cx="91440" cy="2174453"/>
          </a:xfrm>
          <a:custGeom>
            <a:avLst/>
            <a:gdLst/>
            <a:ahLst/>
            <a:cxnLst/>
            <a:rect l="0" t="0" r="0" b="0"/>
            <a:pathLst>
              <a:path>
                <a:moveTo>
                  <a:pt x="45720" y="0"/>
                </a:moveTo>
                <a:lnTo>
                  <a:pt x="45720" y="2174453"/>
                </a:lnTo>
                <a:lnTo>
                  <a:pt x="121334" y="217445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7" name="Freeform: Shape 16">
            <a:extLst>
              <a:ext uri="{FF2B5EF4-FFF2-40B4-BE49-F238E27FC236}">
                <a16:creationId xmlns:a16="http://schemas.microsoft.com/office/drawing/2014/main" id="{E4128E48-0EE6-95B0-37D1-23500E19D864}"/>
              </a:ext>
            </a:extLst>
          </xdr:cNvPr>
          <xdr:cNvSpPr/>
        </xdr:nvSpPr>
        <xdr:spPr>
          <a:xfrm>
            <a:off x="7788222" y="4067111"/>
            <a:ext cx="91440" cy="1816544"/>
          </a:xfrm>
          <a:custGeom>
            <a:avLst/>
            <a:gdLst/>
            <a:ahLst/>
            <a:cxnLst/>
            <a:rect l="0" t="0" r="0" b="0"/>
            <a:pathLst>
              <a:path>
                <a:moveTo>
                  <a:pt x="45720" y="0"/>
                </a:moveTo>
                <a:lnTo>
                  <a:pt x="45720" y="1816544"/>
                </a:lnTo>
                <a:lnTo>
                  <a:pt x="121334" y="181654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8" name="Freeform: Shape 17">
            <a:extLst>
              <a:ext uri="{FF2B5EF4-FFF2-40B4-BE49-F238E27FC236}">
                <a16:creationId xmlns:a16="http://schemas.microsoft.com/office/drawing/2014/main" id="{4F9FB959-6A76-B717-9F5F-1D0A68C7AB37}"/>
              </a:ext>
            </a:extLst>
          </xdr:cNvPr>
          <xdr:cNvSpPr/>
        </xdr:nvSpPr>
        <xdr:spPr>
          <a:xfrm>
            <a:off x="7788222" y="4067111"/>
            <a:ext cx="91440" cy="1458635"/>
          </a:xfrm>
          <a:custGeom>
            <a:avLst/>
            <a:gdLst/>
            <a:ahLst/>
            <a:cxnLst/>
            <a:rect l="0" t="0" r="0" b="0"/>
            <a:pathLst>
              <a:path>
                <a:moveTo>
                  <a:pt x="45720" y="0"/>
                </a:moveTo>
                <a:lnTo>
                  <a:pt x="45720" y="1458635"/>
                </a:lnTo>
                <a:lnTo>
                  <a:pt x="121334" y="1458635"/>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19" name="Freeform: Shape 18">
            <a:extLst>
              <a:ext uri="{FF2B5EF4-FFF2-40B4-BE49-F238E27FC236}">
                <a16:creationId xmlns:a16="http://schemas.microsoft.com/office/drawing/2014/main" id="{58EE4788-35B7-D4BC-462C-DA1A67A7210C}"/>
              </a:ext>
            </a:extLst>
          </xdr:cNvPr>
          <xdr:cNvSpPr/>
        </xdr:nvSpPr>
        <xdr:spPr>
          <a:xfrm>
            <a:off x="7788222" y="4067111"/>
            <a:ext cx="91440" cy="1100726"/>
          </a:xfrm>
          <a:custGeom>
            <a:avLst/>
            <a:gdLst/>
            <a:ahLst/>
            <a:cxnLst/>
            <a:rect l="0" t="0" r="0" b="0"/>
            <a:pathLst>
              <a:path>
                <a:moveTo>
                  <a:pt x="45720" y="0"/>
                </a:moveTo>
                <a:lnTo>
                  <a:pt x="45720" y="1100726"/>
                </a:lnTo>
                <a:lnTo>
                  <a:pt x="121334" y="1100726"/>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0" name="Freeform: Shape 19">
            <a:extLst>
              <a:ext uri="{FF2B5EF4-FFF2-40B4-BE49-F238E27FC236}">
                <a16:creationId xmlns:a16="http://schemas.microsoft.com/office/drawing/2014/main" id="{06E76C47-423C-91A0-111F-D00718F7D23B}"/>
              </a:ext>
            </a:extLst>
          </xdr:cNvPr>
          <xdr:cNvSpPr/>
        </xdr:nvSpPr>
        <xdr:spPr>
          <a:xfrm>
            <a:off x="7788222" y="4067111"/>
            <a:ext cx="91440" cy="720984"/>
          </a:xfrm>
          <a:custGeom>
            <a:avLst/>
            <a:gdLst/>
            <a:ahLst/>
            <a:cxnLst/>
            <a:rect l="0" t="0" r="0" b="0"/>
            <a:pathLst>
              <a:path>
                <a:moveTo>
                  <a:pt x="45720" y="0"/>
                </a:moveTo>
                <a:lnTo>
                  <a:pt x="45720" y="720984"/>
                </a:lnTo>
                <a:lnTo>
                  <a:pt x="121334" y="7209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1" name="Freeform: Shape 20">
            <a:extLst>
              <a:ext uri="{FF2B5EF4-FFF2-40B4-BE49-F238E27FC236}">
                <a16:creationId xmlns:a16="http://schemas.microsoft.com/office/drawing/2014/main" id="{C2BB77A2-0370-5212-27AC-D17ADE9D3CF7}"/>
              </a:ext>
            </a:extLst>
          </xdr:cNvPr>
          <xdr:cNvSpPr/>
        </xdr:nvSpPr>
        <xdr:spPr>
          <a:xfrm>
            <a:off x="7788222" y="4067111"/>
            <a:ext cx="91440" cy="286564"/>
          </a:xfrm>
          <a:custGeom>
            <a:avLst/>
            <a:gdLst/>
            <a:ahLst/>
            <a:cxnLst/>
            <a:rect l="0" t="0" r="0" b="0"/>
            <a:pathLst>
              <a:path>
                <a:moveTo>
                  <a:pt x="45720" y="0"/>
                </a:moveTo>
                <a:lnTo>
                  <a:pt x="45720" y="286564"/>
                </a:lnTo>
                <a:lnTo>
                  <a:pt x="121334" y="28656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2" name="Freeform: Shape 21">
            <a:extLst>
              <a:ext uri="{FF2B5EF4-FFF2-40B4-BE49-F238E27FC236}">
                <a16:creationId xmlns:a16="http://schemas.microsoft.com/office/drawing/2014/main" id="{27D32D3C-C7CD-F736-7E03-A6A96F4CC28C}"/>
              </a:ext>
            </a:extLst>
          </xdr:cNvPr>
          <xdr:cNvSpPr/>
        </xdr:nvSpPr>
        <xdr:spPr>
          <a:xfrm>
            <a:off x="7346736" y="3584674"/>
            <a:ext cx="688844" cy="105860"/>
          </a:xfrm>
          <a:custGeom>
            <a:avLst/>
            <a:gdLst/>
            <a:ahLst/>
            <a:cxnLst/>
            <a:rect l="0" t="0" r="0" b="0"/>
            <a:pathLst>
              <a:path>
                <a:moveTo>
                  <a:pt x="0" y="0"/>
                </a:moveTo>
                <a:lnTo>
                  <a:pt x="0" y="52930"/>
                </a:lnTo>
                <a:lnTo>
                  <a:pt x="688844" y="52930"/>
                </a:lnTo>
                <a:lnTo>
                  <a:pt x="688844"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3" name="Freeform: Shape 22">
            <a:extLst>
              <a:ext uri="{FF2B5EF4-FFF2-40B4-BE49-F238E27FC236}">
                <a16:creationId xmlns:a16="http://schemas.microsoft.com/office/drawing/2014/main" id="{FC7B977C-E7A4-B63C-E2CD-71367B63BFCB}"/>
              </a:ext>
            </a:extLst>
          </xdr:cNvPr>
          <xdr:cNvSpPr/>
        </xdr:nvSpPr>
        <xdr:spPr>
          <a:xfrm>
            <a:off x="7078966" y="4034395"/>
            <a:ext cx="91440" cy="1246967"/>
          </a:xfrm>
          <a:custGeom>
            <a:avLst/>
            <a:gdLst/>
            <a:ahLst/>
            <a:cxnLst/>
            <a:rect l="0" t="0" r="0" b="0"/>
            <a:pathLst>
              <a:path>
                <a:moveTo>
                  <a:pt x="45720" y="0"/>
                </a:moveTo>
                <a:lnTo>
                  <a:pt x="45720" y="1246967"/>
                </a:lnTo>
                <a:lnTo>
                  <a:pt x="135929" y="1246967"/>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4" name="Freeform: Shape 23">
            <a:extLst>
              <a:ext uri="{FF2B5EF4-FFF2-40B4-BE49-F238E27FC236}">
                <a16:creationId xmlns:a16="http://schemas.microsoft.com/office/drawing/2014/main" id="{172FA6C0-7BA7-6C95-7041-2E28ED8211CC}"/>
              </a:ext>
            </a:extLst>
          </xdr:cNvPr>
          <xdr:cNvSpPr/>
        </xdr:nvSpPr>
        <xdr:spPr>
          <a:xfrm>
            <a:off x="7078966" y="4034395"/>
            <a:ext cx="91440" cy="918380"/>
          </a:xfrm>
          <a:custGeom>
            <a:avLst/>
            <a:gdLst/>
            <a:ahLst/>
            <a:cxnLst/>
            <a:rect l="0" t="0" r="0" b="0"/>
            <a:pathLst>
              <a:path>
                <a:moveTo>
                  <a:pt x="45720" y="0"/>
                </a:moveTo>
                <a:lnTo>
                  <a:pt x="45720" y="918380"/>
                </a:lnTo>
                <a:lnTo>
                  <a:pt x="135929" y="91838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5" name="Freeform: Shape 24">
            <a:extLst>
              <a:ext uri="{FF2B5EF4-FFF2-40B4-BE49-F238E27FC236}">
                <a16:creationId xmlns:a16="http://schemas.microsoft.com/office/drawing/2014/main" id="{88F62E94-0803-869A-5082-FE582D441554}"/>
              </a:ext>
            </a:extLst>
          </xdr:cNvPr>
          <xdr:cNvSpPr/>
        </xdr:nvSpPr>
        <xdr:spPr>
          <a:xfrm>
            <a:off x="7078966" y="4034395"/>
            <a:ext cx="91440" cy="589793"/>
          </a:xfrm>
          <a:custGeom>
            <a:avLst/>
            <a:gdLst/>
            <a:ahLst/>
            <a:cxnLst/>
            <a:rect l="0" t="0" r="0" b="0"/>
            <a:pathLst>
              <a:path>
                <a:moveTo>
                  <a:pt x="45720" y="0"/>
                </a:moveTo>
                <a:lnTo>
                  <a:pt x="45720" y="589793"/>
                </a:lnTo>
                <a:lnTo>
                  <a:pt x="135929" y="58979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6" name="Freeform: Shape 25">
            <a:extLst>
              <a:ext uri="{FF2B5EF4-FFF2-40B4-BE49-F238E27FC236}">
                <a16:creationId xmlns:a16="http://schemas.microsoft.com/office/drawing/2014/main" id="{FB6E0912-6CE9-E08E-E989-6C65B1EF041D}"/>
              </a:ext>
            </a:extLst>
          </xdr:cNvPr>
          <xdr:cNvSpPr/>
        </xdr:nvSpPr>
        <xdr:spPr>
          <a:xfrm>
            <a:off x="7078966" y="4034395"/>
            <a:ext cx="91440" cy="231884"/>
          </a:xfrm>
          <a:custGeom>
            <a:avLst/>
            <a:gdLst/>
            <a:ahLst/>
            <a:cxnLst/>
            <a:rect l="0" t="0" r="0" b="0"/>
            <a:pathLst>
              <a:path>
                <a:moveTo>
                  <a:pt x="45720" y="0"/>
                </a:moveTo>
                <a:lnTo>
                  <a:pt x="45720" y="231884"/>
                </a:lnTo>
                <a:lnTo>
                  <a:pt x="135929" y="2318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7" name="Freeform: Shape 26">
            <a:extLst>
              <a:ext uri="{FF2B5EF4-FFF2-40B4-BE49-F238E27FC236}">
                <a16:creationId xmlns:a16="http://schemas.microsoft.com/office/drawing/2014/main" id="{DF0BC74B-4532-7860-0541-AD502EDBEDE7}"/>
              </a:ext>
            </a:extLst>
          </xdr:cNvPr>
          <xdr:cNvSpPr/>
        </xdr:nvSpPr>
        <xdr:spPr>
          <a:xfrm>
            <a:off x="7301016" y="3584674"/>
            <a:ext cx="91440" cy="105860"/>
          </a:xfrm>
          <a:custGeom>
            <a:avLst/>
            <a:gdLst/>
            <a:ahLst/>
            <a:cxnLst/>
            <a:rect l="0" t="0" r="0" b="0"/>
            <a:pathLst>
              <a:path>
                <a:moveTo>
                  <a:pt x="45720" y="0"/>
                </a:moveTo>
                <a:lnTo>
                  <a:pt x="45720" y="52930"/>
                </a:lnTo>
                <a:lnTo>
                  <a:pt x="64229" y="52930"/>
                </a:lnTo>
                <a:lnTo>
                  <a:pt x="64229"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8" name="Freeform: Shape 27">
            <a:extLst>
              <a:ext uri="{FF2B5EF4-FFF2-40B4-BE49-F238E27FC236}">
                <a16:creationId xmlns:a16="http://schemas.microsoft.com/office/drawing/2014/main" id="{A572B912-D5DA-600A-A807-3E59731B79A5}"/>
              </a:ext>
            </a:extLst>
          </xdr:cNvPr>
          <xdr:cNvSpPr/>
        </xdr:nvSpPr>
        <xdr:spPr>
          <a:xfrm>
            <a:off x="6682265" y="3584674"/>
            <a:ext cx="664471" cy="105860"/>
          </a:xfrm>
          <a:custGeom>
            <a:avLst/>
            <a:gdLst/>
            <a:ahLst/>
            <a:cxnLst/>
            <a:rect l="0" t="0" r="0" b="0"/>
            <a:pathLst>
              <a:path>
                <a:moveTo>
                  <a:pt x="664471" y="0"/>
                </a:moveTo>
                <a:lnTo>
                  <a:pt x="664471" y="52930"/>
                </a:lnTo>
                <a:lnTo>
                  <a:pt x="0" y="52930"/>
                </a:lnTo>
                <a:lnTo>
                  <a:pt x="0"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9" name="Freeform: Shape 28">
            <a:extLst>
              <a:ext uri="{FF2B5EF4-FFF2-40B4-BE49-F238E27FC236}">
                <a16:creationId xmlns:a16="http://schemas.microsoft.com/office/drawing/2014/main" id="{7F130F0F-197B-A1CA-89E0-4A86D2FF9D7B}"/>
              </a:ext>
            </a:extLst>
          </xdr:cNvPr>
          <xdr:cNvSpPr/>
        </xdr:nvSpPr>
        <xdr:spPr>
          <a:xfrm>
            <a:off x="5865871" y="2994024"/>
            <a:ext cx="1480865" cy="105860"/>
          </a:xfrm>
          <a:custGeom>
            <a:avLst/>
            <a:gdLst/>
            <a:ahLst/>
            <a:cxnLst/>
            <a:rect l="0" t="0" r="0" b="0"/>
            <a:pathLst>
              <a:path>
                <a:moveTo>
                  <a:pt x="0" y="0"/>
                </a:moveTo>
                <a:lnTo>
                  <a:pt x="0" y="52930"/>
                </a:lnTo>
                <a:lnTo>
                  <a:pt x="1480865" y="52930"/>
                </a:lnTo>
                <a:lnTo>
                  <a:pt x="1480865"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0" name="Freeform: Shape 29">
            <a:extLst>
              <a:ext uri="{FF2B5EF4-FFF2-40B4-BE49-F238E27FC236}">
                <a16:creationId xmlns:a16="http://schemas.microsoft.com/office/drawing/2014/main" id="{986C6E83-C5BA-F259-E219-5AD5AB7768AD}"/>
              </a:ext>
            </a:extLst>
          </xdr:cNvPr>
          <xdr:cNvSpPr/>
        </xdr:nvSpPr>
        <xdr:spPr>
          <a:xfrm>
            <a:off x="5571025" y="4091108"/>
            <a:ext cx="121492" cy="195331"/>
          </a:xfrm>
          <a:custGeom>
            <a:avLst/>
            <a:gdLst/>
            <a:ahLst/>
            <a:cxnLst/>
            <a:rect l="0" t="0" r="0" b="0"/>
            <a:pathLst>
              <a:path>
                <a:moveTo>
                  <a:pt x="0" y="0"/>
                </a:moveTo>
                <a:lnTo>
                  <a:pt x="0" y="195331"/>
                </a:lnTo>
                <a:lnTo>
                  <a:pt x="121492" y="195331"/>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1" name="Freeform: Shape 30">
            <a:extLst>
              <a:ext uri="{FF2B5EF4-FFF2-40B4-BE49-F238E27FC236}">
                <a16:creationId xmlns:a16="http://schemas.microsoft.com/office/drawing/2014/main" id="{917DBCCF-53DF-C9D4-9DE1-B061FB70B618}"/>
              </a:ext>
            </a:extLst>
          </xdr:cNvPr>
          <xdr:cNvSpPr/>
        </xdr:nvSpPr>
        <xdr:spPr>
          <a:xfrm>
            <a:off x="5175410" y="3733199"/>
            <a:ext cx="719596" cy="105860"/>
          </a:xfrm>
          <a:custGeom>
            <a:avLst/>
            <a:gdLst/>
            <a:ahLst/>
            <a:cxnLst/>
            <a:rect l="0" t="0" r="0" b="0"/>
            <a:pathLst>
              <a:path>
                <a:moveTo>
                  <a:pt x="0" y="0"/>
                </a:moveTo>
                <a:lnTo>
                  <a:pt x="0" y="52930"/>
                </a:lnTo>
                <a:lnTo>
                  <a:pt x="719596" y="52930"/>
                </a:lnTo>
                <a:lnTo>
                  <a:pt x="719596"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2" name="Freeform: Shape 31">
            <a:extLst>
              <a:ext uri="{FF2B5EF4-FFF2-40B4-BE49-F238E27FC236}">
                <a16:creationId xmlns:a16="http://schemas.microsoft.com/office/drawing/2014/main" id="{B1366D22-8D85-B200-647F-E95E7F27F0D0}"/>
              </a:ext>
            </a:extLst>
          </xdr:cNvPr>
          <xdr:cNvSpPr/>
        </xdr:nvSpPr>
        <xdr:spPr>
          <a:xfrm>
            <a:off x="4884762" y="4091108"/>
            <a:ext cx="91440" cy="947702"/>
          </a:xfrm>
          <a:custGeom>
            <a:avLst/>
            <a:gdLst/>
            <a:ahLst/>
            <a:cxnLst/>
            <a:rect l="0" t="0" r="0" b="0"/>
            <a:pathLst>
              <a:path>
                <a:moveTo>
                  <a:pt x="45720" y="0"/>
                </a:moveTo>
                <a:lnTo>
                  <a:pt x="45720" y="947702"/>
                </a:lnTo>
                <a:lnTo>
                  <a:pt x="121334" y="947702"/>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4" name="Freeform: Shape 33">
            <a:extLst>
              <a:ext uri="{FF2B5EF4-FFF2-40B4-BE49-F238E27FC236}">
                <a16:creationId xmlns:a16="http://schemas.microsoft.com/office/drawing/2014/main" id="{8C848A7B-1BDC-3916-DE24-86A742F50EA1}"/>
              </a:ext>
            </a:extLst>
          </xdr:cNvPr>
          <xdr:cNvSpPr/>
        </xdr:nvSpPr>
        <xdr:spPr>
          <a:xfrm>
            <a:off x="4884762" y="4091108"/>
            <a:ext cx="91440" cy="589793"/>
          </a:xfrm>
          <a:custGeom>
            <a:avLst/>
            <a:gdLst/>
            <a:ahLst/>
            <a:cxnLst/>
            <a:rect l="0" t="0" r="0" b="0"/>
            <a:pathLst>
              <a:path>
                <a:moveTo>
                  <a:pt x="45720" y="0"/>
                </a:moveTo>
                <a:lnTo>
                  <a:pt x="45720" y="589793"/>
                </a:lnTo>
                <a:lnTo>
                  <a:pt x="121334" y="58979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5" name="Freeform: Shape 34">
            <a:extLst>
              <a:ext uri="{FF2B5EF4-FFF2-40B4-BE49-F238E27FC236}">
                <a16:creationId xmlns:a16="http://schemas.microsoft.com/office/drawing/2014/main" id="{0E4B0E52-FC84-2D7A-FF72-CEDF5486F436}"/>
              </a:ext>
            </a:extLst>
          </xdr:cNvPr>
          <xdr:cNvSpPr/>
        </xdr:nvSpPr>
        <xdr:spPr>
          <a:xfrm>
            <a:off x="4884762" y="4091108"/>
            <a:ext cx="91440" cy="231884"/>
          </a:xfrm>
          <a:custGeom>
            <a:avLst/>
            <a:gdLst/>
            <a:ahLst/>
            <a:cxnLst/>
            <a:rect l="0" t="0" r="0" b="0"/>
            <a:pathLst>
              <a:path>
                <a:moveTo>
                  <a:pt x="45720" y="0"/>
                </a:moveTo>
                <a:lnTo>
                  <a:pt x="45720" y="231884"/>
                </a:lnTo>
                <a:lnTo>
                  <a:pt x="121334" y="2318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6" name="Freeform: Shape 35">
            <a:extLst>
              <a:ext uri="{FF2B5EF4-FFF2-40B4-BE49-F238E27FC236}">
                <a16:creationId xmlns:a16="http://schemas.microsoft.com/office/drawing/2014/main" id="{EA685C06-8241-A74D-41D0-1A2F342AAF21}"/>
              </a:ext>
            </a:extLst>
          </xdr:cNvPr>
          <xdr:cNvSpPr/>
        </xdr:nvSpPr>
        <xdr:spPr>
          <a:xfrm>
            <a:off x="5086400" y="3733199"/>
            <a:ext cx="91440" cy="105860"/>
          </a:xfrm>
          <a:custGeom>
            <a:avLst/>
            <a:gdLst/>
            <a:ahLst/>
            <a:cxnLst/>
            <a:rect l="0" t="0" r="0" b="0"/>
            <a:pathLst>
              <a:path>
                <a:moveTo>
                  <a:pt x="89009" y="0"/>
                </a:moveTo>
                <a:lnTo>
                  <a:pt x="89009" y="52930"/>
                </a:lnTo>
                <a:lnTo>
                  <a:pt x="45720" y="52930"/>
                </a:lnTo>
                <a:lnTo>
                  <a:pt x="45720"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7" name="Freeform: Shape 36">
            <a:extLst>
              <a:ext uri="{FF2B5EF4-FFF2-40B4-BE49-F238E27FC236}">
                <a16:creationId xmlns:a16="http://schemas.microsoft.com/office/drawing/2014/main" id="{E7047255-907B-EE33-32AF-08804DA4AD0D}"/>
              </a:ext>
            </a:extLst>
          </xdr:cNvPr>
          <xdr:cNvSpPr/>
        </xdr:nvSpPr>
        <xdr:spPr>
          <a:xfrm>
            <a:off x="4120449" y="4242244"/>
            <a:ext cx="104417" cy="947702"/>
          </a:xfrm>
          <a:custGeom>
            <a:avLst/>
            <a:gdLst/>
            <a:ahLst/>
            <a:cxnLst/>
            <a:rect l="0" t="0" r="0" b="0"/>
            <a:pathLst>
              <a:path>
                <a:moveTo>
                  <a:pt x="0" y="0"/>
                </a:moveTo>
                <a:lnTo>
                  <a:pt x="0" y="947702"/>
                </a:lnTo>
                <a:lnTo>
                  <a:pt x="104417" y="947702"/>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8" name="Freeform: Shape 37">
            <a:extLst>
              <a:ext uri="{FF2B5EF4-FFF2-40B4-BE49-F238E27FC236}">
                <a16:creationId xmlns:a16="http://schemas.microsoft.com/office/drawing/2014/main" id="{1C0B29F9-7C0B-F990-B641-1D4BB408B149}"/>
              </a:ext>
            </a:extLst>
          </xdr:cNvPr>
          <xdr:cNvSpPr/>
        </xdr:nvSpPr>
        <xdr:spPr>
          <a:xfrm>
            <a:off x="4120449" y="4242244"/>
            <a:ext cx="104417" cy="589793"/>
          </a:xfrm>
          <a:custGeom>
            <a:avLst/>
            <a:gdLst/>
            <a:ahLst/>
            <a:cxnLst/>
            <a:rect l="0" t="0" r="0" b="0"/>
            <a:pathLst>
              <a:path>
                <a:moveTo>
                  <a:pt x="0" y="0"/>
                </a:moveTo>
                <a:lnTo>
                  <a:pt x="0" y="589793"/>
                </a:lnTo>
                <a:lnTo>
                  <a:pt x="104417" y="58979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9" name="Freeform: Shape 38">
            <a:extLst>
              <a:ext uri="{FF2B5EF4-FFF2-40B4-BE49-F238E27FC236}">
                <a16:creationId xmlns:a16="http://schemas.microsoft.com/office/drawing/2014/main" id="{AA4D817A-CBA5-6612-39CB-57B36C9C7AC4}"/>
              </a:ext>
            </a:extLst>
          </xdr:cNvPr>
          <xdr:cNvSpPr/>
        </xdr:nvSpPr>
        <xdr:spPr>
          <a:xfrm>
            <a:off x="4120449" y="4242244"/>
            <a:ext cx="104417" cy="231884"/>
          </a:xfrm>
          <a:custGeom>
            <a:avLst/>
            <a:gdLst/>
            <a:ahLst/>
            <a:cxnLst/>
            <a:rect l="0" t="0" r="0" b="0"/>
            <a:pathLst>
              <a:path>
                <a:moveTo>
                  <a:pt x="0" y="0"/>
                </a:moveTo>
                <a:lnTo>
                  <a:pt x="0" y="231884"/>
                </a:lnTo>
                <a:lnTo>
                  <a:pt x="104417" y="2318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0" name="Freeform: Shape 39">
            <a:extLst>
              <a:ext uri="{FF2B5EF4-FFF2-40B4-BE49-F238E27FC236}">
                <a16:creationId xmlns:a16="http://schemas.microsoft.com/office/drawing/2014/main" id="{40535A17-8CFE-5B35-1E38-225C1F897921}"/>
              </a:ext>
            </a:extLst>
          </xdr:cNvPr>
          <xdr:cNvSpPr/>
        </xdr:nvSpPr>
        <xdr:spPr>
          <a:xfrm>
            <a:off x="4398896" y="3733199"/>
            <a:ext cx="776513" cy="105860"/>
          </a:xfrm>
          <a:custGeom>
            <a:avLst/>
            <a:gdLst/>
            <a:ahLst/>
            <a:cxnLst/>
            <a:rect l="0" t="0" r="0" b="0"/>
            <a:pathLst>
              <a:path>
                <a:moveTo>
                  <a:pt x="776513" y="0"/>
                </a:moveTo>
                <a:lnTo>
                  <a:pt x="776513" y="52930"/>
                </a:lnTo>
                <a:lnTo>
                  <a:pt x="0" y="52930"/>
                </a:lnTo>
                <a:lnTo>
                  <a:pt x="0" y="10586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1" name="Freeform: Shape 40">
            <a:extLst>
              <a:ext uri="{FF2B5EF4-FFF2-40B4-BE49-F238E27FC236}">
                <a16:creationId xmlns:a16="http://schemas.microsoft.com/office/drawing/2014/main" id="{0A82CB66-A164-5BFA-57C7-D582A5654D7C}"/>
              </a:ext>
            </a:extLst>
          </xdr:cNvPr>
          <xdr:cNvSpPr/>
        </xdr:nvSpPr>
        <xdr:spPr>
          <a:xfrm>
            <a:off x="5175410" y="2994024"/>
            <a:ext cx="690461" cy="105860"/>
          </a:xfrm>
          <a:custGeom>
            <a:avLst/>
            <a:gdLst/>
            <a:ahLst/>
            <a:cxnLst/>
            <a:rect l="0" t="0" r="0" b="0"/>
            <a:pathLst>
              <a:path>
                <a:moveTo>
                  <a:pt x="690461" y="0"/>
                </a:moveTo>
                <a:lnTo>
                  <a:pt x="690461" y="52930"/>
                </a:lnTo>
                <a:lnTo>
                  <a:pt x="0" y="52930"/>
                </a:lnTo>
                <a:lnTo>
                  <a:pt x="0"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2" name="Freeform: Shape 41">
            <a:extLst>
              <a:ext uri="{FF2B5EF4-FFF2-40B4-BE49-F238E27FC236}">
                <a16:creationId xmlns:a16="http://schemas.microsoft.com/office/drawing/2014/main" id="{95D24E8E-ADC6-9403-E187-08909E10E936}"/>
              </a:ext>
            </a:extLst>
          </xdr:cNvPr>
          <xdr:cNvSpPr/>
        </xdr:nvSpPr>
        <xdr:spPr>
          <a:xfrm>
            <a:off x="3034658" y="3709965"/>
            <a:ext cx="220991" cy="2777209"/>
          </a:xfrm>
          <a:custGeom>
            <a:avLst/>
            <a:gdLst/>
            <a:ahLst/>
            <a:cxnLst/>
            <a:rect l="0" t="0" r="0" b="0"/>
            <a:pathLst>
              <a:path>
                <a:moveTo>
                  <a:pt x="0" y="0"/>
                </a:moveTo>
                <a:lnTo>
                  <a:pt x="0" y="2777209"/>
                </a:lnTo>
                <a:lnTo>
                  <a:pt x="220991" y="2777209"/>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3" name="Freeform: Shape 42">
            <a:extLst>
              <a:ext uri="{FF2B5EF4-FFF2-40B4-BE49-F238E27FC236}">
                <a16:creationId xmlns:a16="http://schemas.microsoft.com/office/drawing/2014/main" id="{770E14E7-F140-A59B-A789-3FFECB418C0D}"/>
              </a:ext>
            </a:extLst>
          </xdr:cNvPr>
          <xdr:cNvSpPr/>
        </xdr:nvSpPr>
        <xdr:spPr>
          <a:xfrm>
            <a:off x="3034658" y="3709965"/>
            <a:ext cx="220991" cy="2143714"/>
          </a:xfrm>
          <a:custGeom>
            <a:avLst/>
            <a:gdLst/>
            <a:ahLst/>
            <a:cxnLst/>
            <a:rect l="0" t="0" r="0" b="0"/>
            <a:pathLst>
              <a:path>
                <a:moveTo>
                  <a:pt x="0" y="0"/>
                </a:moveTo>
                <a:lnTo>
                  <a:pt x="0" y="2143714"/>
                </a:lnTo>
                <a:lnTo>
                  <a:pt x="220991" y="214371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4" name="Freeform: Shape 43">
            <a:extLst>
              <a:ext uri="{FF2B5EF4-FFF2-40B4-BE49-F238E27FC236}">
                <a16:creationId xmlns:a16="http://schemas.microsoft.com/office/drawing/2014/main" id="{92A1EBC8-6C1F-4B3B-F9F4-E73676CC3877}"/>
              </a:ext>
            </a:extLst>
          </xdr:cNvPr>
          <xdr:cNvSpPr/>
        </xdr:nvSpPr>
        <xdr:spPr>
          <a:xfrm>
            <a:off x="3034658" y="3709965"/>
            <a:ext cx="220991" cy="1364193"/>
          </a:xfrm>
          <a:custGeom>
            <a:avLst/>
            <a:gdLst/>
            <a:ahLst/>
            <a:cxnLst/>
            <a:rect l="0" t="0" r="0" b="0"/>
            <a:pathLst>
              <a:path>
                <a:moveTo>
                  <a:pt x="0" y="0"/>
                </a:moveTo>
                <a:lnTo>
                  <a:pt x="0" y="1364193"/>
                </a:lnTo>
                <a:lnTo>
                  <a:pt x="220991" y="1364193"/>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5" name="Freeform: Shape 44">
            <a:extLst>
              <a:ext uri="{FF2B5EF4-FFF2-40B4-BE49-F238E27FC236}">
                <a16:creationId xmlns:a16="http://schemas.microsoft.com/office/drawing/2014/main" id="{279F40D3-273D-F27A-E0B5-72F1B351D46F}"/>
              </a:ext>
            </a:extLst>
          </xdr:cNvPr>
          <xdr:cNvSpPr/>
        </xdr:nvSpPr>
        <xdr:spPr>
          <a:xfrm>
            <a:off x="3034658" y="3709965"/>
            <a:ext cx="220991" cy="442231"/>
          </a:xfrm>
          <a:custGeom>
            <a:avLst/>
            <a:gdLst/>
            <a:ahLst/>
            <a:cxnLst/>
            <a:rect l="0" t="0" r="0" b="0"/>
            <a:pathLst>
              <a:path>
                <a:moveTo>
                  <a:pt x="0" y="0"/>
                </a:moveTo>
                <a:lnTo>
                  <a:pt x="0" y="442231"/>
                </a:lnTo>
                <a:lnTo>
                  <a:pt x="220991" y="442231"/>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6" name="Freeform: Shape 45">
            <a:extLst>
              <a:ext uri="{FF2B5EF4-FFF2-40B4-BE49-F238E27FC236}">
                <a16:creationId xmlns:a16="http://schemas.microsoft.com/office/drawing/2014/main" id="{366FEBC5-560B-7B22-576E-A7ED26B1C035}"/>
              </a:ext>
            </a:extLst>
          </xdr:cNvPr>
          <xdr:cNvSpPr/>
        </xdr:nvSpPr>
        <xdr:spPr>
          <a:xfrm>
            <a:off x="3623968" y="2994024"/>
            <a:ext cx="2241903" cy="105860"/>
          </a:xfrm>
          <a:custGeom>
            <a:avLst/>
            <a:gdLst/>
            <a:ahLst/>
            <a:cxnLst/>
            <a:rect l="0" t="0" r="0" b="0"/>
            <a:pathLst>
              <a:path>
                <a:moveTo>
                  <a:pt x="2241903" y="0"/>
                </a:moveTo>
                <a:lnTo>
                  <a:pt x="2241903" y="52930"/>
                </a:lnTo>
                <a:lnTo>
                  <a:pt x="0" y="52930"/>
                </a:lnTo>
                <a:lnTo>
                  <a:pt x="0"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7" name="Freeform: Shape 46">
            <a:extLst>
              <a:ext uri="{FF2B5EF4-FFF2-40B4-BE49-F238E27FC236}">
                <a16:creationId xmlns:a16="http://schemas.microsoft.com/office/drawing/2014/main" id="{F62E5194-F8CB-BB1D-DB04-FE1D6B3002E0}"/>
              </a:ext>
            </a:extLst>
          </xdr:cNvPr>
          <xdr:cNvSpPr/>
        </xdr:nvSpPr>
        <xdr:spPr>
          <a:xfrm>
            <a:off x="2181228" y="3601365"/>
            <a:ext cx="96144" cy="2006722"/>
          </a:xfrm>
          <a:custGeom>
            <a:avLst/>
            <a:gdLst/>
            <a:ahLst/>
            <a:cxnLst/>
            <a:rect l="0" t="0" r="0" b="0"/>
            <a:pathLst>
              <a:path>
                <a:moveTo>
                  <a:pt x="0" y="0"/>
                </a:moveTo>
                <a:lnTo>
                  <a:pt x="0" y="2006722"/>
                </a:lnTo>
                <a:lnTo>
                  <a:pt x="96144" y="2006722"/>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8" name="Freeform: Shape 47">
            <a:extLst>
              <a:ext uri="{FF2B5EF4-FFF2-40B4-BE49-F238E27FC236}">
                <a16:creationId xmlns:a16="http://schemas.microsoft.com/office/drawing/2014/main" id="{3D99225E-B427-00FC-EFE2-F3C6E80DA0FD}"/>
              </a:ext>
            </a:extLst>
          </xdr:cNvPr>
          <xdr:cNvSpPr/>
        </xdr:nvSpPr>
        <xdr:spPr>
          <a:xfrm>
            <a:off x="2181228" y="3601365"/>
            <a:ext cx="96144" cy="1558714"/>
          </a:xfrm>
          <a:custGeom>
            <a:avLst/>
            <a:gdLst/>
            <a:ahLst/>
            <a:cxnLst/>
            <a:rect l="0" t="0" r="0" b="0"/>
            <a:pathLst>
              <a:path>
                <a:moveTo>
                  <a:pt x="0" y="0"/>
                </a:moveTo>
                <a:lnTo>
                  <a:pt x="0" y="1558714"/>
                </a:lnTo>
                <a:lnTo>
                  <a:pt x="96144" y="155871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9" name="Freeform: Shape 48">
            <a:extLst>
              <a:ext uri="{FF2B5EF4-FFF2-40B4-BE49-F238E27FC236}">
                <a16:creationId xmlns:a16="http://schemas.microsoft.com/office/drawing/2014/main" id="{12A8F7D4-F6A2-71DF-AF7E-D667A245910F}"/>
              </a:ext>
            </a:extLst>
          </xdr:cNvPr>
          <xdr:cNvSpPr/>
        </xdr:nvSpPr>
        <xdr:spPr>
          <a:xfrm>
            <a:off x="2181228" y="3601365"/>
            <a:ext cx="96144" cy="1027861"/>
          </a:xfrm>
          <a:custGeom>
            <a:avLst/>
            <a:gdLst/>
            <a:ahLst/>
            <a:cxnLst/>
            <a:rect l="0" t="0" r="0" b="0"/>
            <a:pathLst>
              <a:path>
                <a:moveTo>
                  <a:pt x="0" y="0"/>
                </a:moveTo>
                <a:lnTo>
                  <a:pt x="0" y="1027861"/>
                </a:lnTo>
                <a:lnTo>
                  <a:pt x="96144" y="1027861"/>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0" name="Freeform: Shape 49">
            <a:extLst>
              <a:ext uri="{FF2B5EF4-FFF2-40B4-BE49-F238E27FC236}">
                <a16:creationId xmlns:a16="http://schemas.microsoft.com/office/drawing/2014/main" id="{8CDB269F-E7AF-1863-320A-EAB7C3224F9D}"/>
              </a:ext>
            </a:extLst>
          </xdr:cNvPr>
          <xdr:cNvSpPr/>
        </xdr:nvSpPr>
        <xdr:spPr>
          <a:xfrm>
            <a:off x="2181228" y="3601365"/>
            <a:ext cx="96144" cy="409495"/>
          </a:xfrm>
          <a:custGeom>
            <a:avLst/>
            <a:gdLst/>
            <a:ahLst/>
            <a:cxnLst/>
            <a:rect l="0" t="0" r="0" b="0"/>
            <a:pathLst>
              <a:path>
                <a:moveTo>
                  <a:pt x="0" y="0"/>
                </a:moveTo>
                <a:lnTo>
                  <a:pt x="0" y="409495"/>
                </a:lnTo>
                <a:lnTo>
                  <a:pt x="96144" y="409495"/>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1" name="Freeform: Shape 50">
            <a:extLst>
              <a:ext uri="{FF2B5EF4-FFF2-40B4-BE49-F238E27FC236}">
                <a16:creationId xmlns:a16="http://schemas.microsoft.com/office/drawing/2014/main" id="{6D50D7E1-5891-8C68-2AAD-5F70221EFB07}"/>
              </a:ext>
            </a:extLst>
          </xdr:cNvPr>
          <xdr:cNvSpPr/>
        </xdr:nvSpPr>
        <xdr:spPr>
          <a:xfrm>
            <a:off x="2437614" y="2994024"/>
            <a:ext cx="3428256" cy="105860"/>
          </a:xfrm>
          <a:custGeom>
            <a:avLst/>
            <a:gdLst/>
            <a:ahLst/>
            <a:cxnLst/>
            <a:rect l="0" t="0" r="0" b="0"/>
            <a:pathLst>
              <a:path>
                <a:moveTo>
                  <a:pt x="3428256" y="0"/>
                </a:moveTo>
                <a:lnTo>
                  <a:pt x="3428256" y="52930"/>
                </a:lnTo>
                <a:lnTo>
                  <a:pt x="0" y="52930"/>
                </a:lnTo>
                <a:lnTo>
                  <a:pt x="0"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2" name="Freeform: Shape 51">
            <a:extLst>
              <a:ext uri="{FF2B5EF4-FFF2-40B4-BE49-F238E27FC236}">
                <a16:creationId xmlns:a16="http://schemas.microsoft.com/office/drawing/2014/main" id="{31D553D8-1A94-6C4C-AD13-B620BE4BBD90}"/>
              </a:ext>
            </a:extLst>
          </xdr:cNvPr>
          <xdr:cNvSpPr/>
        </xdr:nvSpPr>
        <xdr:spPr>
          <a:xfrm>
            <a:off x="1187705" y="3851851"/>
            <a:ext cx="220381" cy="99352"/>
          </a:xfrm>
          <a:custGeom>
            <a:avLst/>
            <a:gdLst/>
            <a:ahLst/>
            <a:cxnLst/>
            <a:rect l="0" t="0" r="0" b="0"/>
            <a:pathLst>
              <a:path>
                <a:moveTo>
                  <a:pt x="0" y="0"/>
                </a:moveTo>
                <a:lnTo>
                  <a:pt x="0" y="46422"/>
                </a:lnTo>
                <a:lnTo>
                  <a:pt x="220381" y="46422"/>
                </a:lnTo>
                <a:lnTo>
                  <a:pt x="220381" y="99352"/>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3" name="Freeform: Shape 52">
            <a:extLst>
              <a:ext uri="{FF2B5EF4-FFF2-40B4-BE49-F238E27FC236}">
                <a16:creationId xmlns:a16="http://schemas.microsoft.com/office/drawing/2014/main" id="{31A23326-31F9-51B1-448D-01868D99CFD0}"/>
              </a:ext>
            </a:extLst>
          </xdr:cNvPr>
          <xdr:cNvSpPr/>
        </xdr:nvSpPr>
        <xdr:spPr>
          <a:xfrm>
            <a:off x="682700" y="4363714"/>
            <a:ext cx="91440" cy="933420"/>
          </a:xfrm>
          <a:custGeom>
            <a:avLst/>
            <a:gdLst/>
            <a:ahLst/>
            <a:cxnLst/>
            <a:rect l="0" t="0" r="0" b="0"/>
            <a:pathLst>
              <a:path>
                <a:moveTo>
                  <a:pt x="61210" y="0"/>
                </a:moveTo>
                <a:lnTo>
                  <a:pt x="45720" y="933420"/>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4" name="Freeform: Shape 53">
            <a:extLst>
              <a:ext uri="{FF2B5EF4-FFF2-40B4-BE49-F238E27FC236}">
                <a16:creationId xmlns:a16="http://schemas.microsoft.com/office/drawing/2014/main" id="{C0876C7B-1A53-4CF5-483C-F18A1B79BD7A}"/>
              </a:ext>
            </a:extLst>
          </xdr:cNvPr>
          <xdr:cNvSpPr/>
        </xdr:nvSpPr>
        <xdr:spPr>
          <a:xfrm>
            <a:off x="682700" y="4363714"/>
            <a:ext cx="91440" cy="337466"/>
          </a:xfrm>
          <a:custGeom>
            <a:avLst/>
            <a:gdLst/>
            <a:ahLst/>
            <a:cxnLst/>
            <a:rect l="0" t="0" r="0" b="0"/>
            <a:pathLst>
              <a:path>
                <a:moveTo>
                  <a:pt x="61210" y="0"/>
                </a:moveTo>
                <a:lnTo>
                  <a:pt x="45720" y="337466"/>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5" name="Freeform: Shape 54">
            <a:extLst>
              <a:ext uri="{FF2B5EF4-FFF2-40B4-BE49-F238E27FC236}">
                <a16:creationId xmlns:a16="http://schemas.microsoft.com/office/drawing/2014/main" id="{E6A813CA-C312-3801-6804-A823F642A4C7}"/>
              </a:ext>
            </a:extLst>
          </xdr:cNvPr>
          <xdr:cNvSpPr/>
        </xdr:nvSpPr>
        <xdr:spPr>
          <a:xfrm>
            <a:off x="945550" y="3851851"/>
            <a:ext cx="242155" cy="125384"/>
          </a:xfrm>
          <a:custGeom>
            <a:avLst/>
            <a:gdLst/>
            <a:ahLst/>
            <a:cxnLst/>
            <a:rect l="0" t="0" r="0" b="0"/>
            <a:pathLst>
              <a:path>
                <a:moveTo>
                  <a:pt x="242155" y="0"/>
                </a:moveTo>
                <a:lnTo>
                  <a:pt x="242155" y="72453"/>
                </a:lnTo>
                <a:lnTo>
                  <a:pt x="0" y="72453"/>
                </a:lnTo>
                <a:lnTo>
                  <a:pt x="0" y="125384"/>
                </a:lnTo>
              </a:path>
            </a:pathLst>
          </a:custGeom>
          <a:noFill/>
        </xdr:spPr>
        <xdr:style>
          <a:lnRef idx="2">
            <a:schemeClr val="accent1">
              <a:shade val="8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6" name="Freeform: Shape 55">
            <a:extLst>
              <a:ext uri="{FF2B5EF4-FFF2-40B4-BE49-F238E27FC236}">
                <a16:creationId xmlns:a16="http://schemas.microsoft.com/office/drawing/2014/main" id="{E1C5BF06-5B02-5027-2E3B-BD9A9603D295}"/>
              </a:ext>
            </a:extLst>
          </xdr:cNvPr>
          <xdr:cNvSpPr/>
        </xdr:nvSpPr>
        <xdr:spPr>
          <a:xfrm>
            <a:off x="1187705" y="2994024"/>
            <a:ext cx="4678165" cy="105860"/>
          </a:xfrm>
          <a:custGeom>
            <a:avLst/>
            <a:gdLst/>
            <a:ahLst/>
            <a:cxnLst/>
            <a:rect l="0" t="0" r="0" b="0"/>
            <a:pathLst>
              <a:path>
                <a:moveTo>
                  <a:pt x="4678165" y="0"/>
                </a:moveTo>
                <a:lnTo>
                  <a:pt x="4678165" y="52930"/>
                </a:lnTo>
                <a:lnTo>
                  <a:pt x="0" y="52930"/>
                </a:lnTo>
                <a:lnTo>
                  <a:pt x="0" y="105860"/>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7" name="Freeform: Shape 56">
            <a:extLst>
              <a:ext uri="{FF2B5EF4-FFF2-40B4-BE49-F238E27FC236}">
                <a16:creationId xmlns:a16="http://schemas.microsoft.com/office/drawing/2014/main" id="{F2C435DA-A24D-B5EB-6E73-5A08CC588903}"/>
              </a:ext>
            </a:extLst>
          </xdr:cNvPr>
          <xdr:cNvSpPr/>
        </xdr:nvSpPr>
        <xdr:spPr>
          <a:xfrm>
            <a:off x="5223069" y="2521493"/>
            <a:ext cx="1285603" cy="472530"/>
          </a:xfrm>
          <a:custGeom>
            <a:avLst/>
            <a:gdLst>
              <a:gd name="connsiteX0" fmla="*/ 0 w 1285603"/>
              <a:gd name="connsiteY0" fmla="*/ 0 h 472530"/>
              <a:gd name="connsiteX1" fmla="*/ 1285603 w 1285603"/>
              <a:gd name="connsiteY1" fmla="*/ 0 h 472530"/>
              <a:gd name="connsiteX2" fmla="*/ 1285603 w 1285603"/>
              <a:gd name="connsiteY2" fmla="*/ 472530 h 472530"/>
              <a:gd name="connsiteX3" fmla="*/ 0 w 1285603"/>
              <a:gd name="connsiteY3" fmla="*/ 472530 h 472530"/>
              <a:gd name="connsiteX4" fmla="*/ 0 w 1285603"/>
              <a:gd name="connsiteY4" fmla="*/ 0 h 4725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5603" h="472530">
                <a:moveTo>
                  <a:pt x="0" y="0"/>
                </a:moveTo>
                <a:lnTo>
                  <a:pt x="1285603" y="0"/>
                </a:lnTo>
                <a:lnTo>
                  <a:pt x="1285603" y="472530"/>
                </a:lnTo>
                <a:lnTo>
                  <a:pt x="0" y="472530"/>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sz="1100" kern="1200" dirty="0">
                <a:latin typeface="Arial" panose="020B0604020202020204" pitchFamily="34" charset="0"/>
                <a:cs typeface="Arial" panose="020B0604020202020204" pitchFamily="34" charset="0"/>
              </a:rPr>
              <a:t>Curtiss-Wright</a:t>
            </a:r>
          </a:p>
        </xdr:txBody>
      </xdr:sp>
      <xdr:sp macro="" textlink="">
        <xdr:nvSpPr>
          <xdr:cNvPr id="58" name="Freeform: Shape 57">
            <a:extLst>
              <a:ext uri="{FF2B5EF4-FFF2-40B4-BE49-F238E27FC236}">
                <a16:creationId xmlns:a16="http://schemas.microsoft.com/office/drawing/2014/main" id="{7AED38CD-3656-5BAF-F250-C25651B84550}"/>
              </a:ext>
            </a:extLst>
          </xdr:cNvPr>
          <xdr:cNvSpPr/>
        </xdr:nvSpPr>
        <xdr:spPr>
          <a:xfrm>
            <a:off x="364139" y="3099884"/>
            <a:ext cx="1647132" cy="751966"/>
          </a:xfrm>
          <a:custGeom>
            <a:avLst/>
            <a:gdLst>
              <a:gd name="connsiteX0" fmla="*/ 0 w 1647132"/>
              <a:gd name="connsiteY0" fmla="*/ 0 h 751966"/>
              <a:gd name="connsiteX1" fmla="*/ 1647132 w 1647132"/>
              <a:gd name="connsiteY1" fmla="*/ 0 h 751966"/>
              <a:gd name="connsiteX2" fmla="*/ 1647132 w 1647132"/>
              <a:gd name="connsiteY2" fmla="*/ 751966 h 751966"/>
              <a:gd name="connsiteX3" fmla="*/ 0 w 1647132"/>
              <a:gd name="connsiteY3" fmla="*/ 751966 h 751966"/>
              <a:gd name="connsiteX4" fmla="*/ 0 w 1647132"/>
              <a:gd name="connsiteY4" fmla="*/ 0 h 7519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47132" h="751966">
                <a:moveTo>
                  <a:pt x="0" y="0"/>
                </a:moveTo>
                <a:lnTo>
                  <a:pt x="1647132" y="0"/>
                </a:lnTo>
                <a:lnTo>
                  <a:pt x="1647132" y="751966"/>
                </a:lnTo>
                <a:lnTo>
                  <a:pt x="0" y="751966"/>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Commercial Aerospace (11%)</a:t>
            </a:r>
          </a:p>
          <a:p>
            <a:pPr marL="0" lvl="0" indent="0" algn="ctr" defTabSz="444500">
              <a:lnSpc>
                <a:spcPct val="90000"/>
              </a:lnSpc>
              <a:spcBef>
                <a:spcPct val="0"/>
              </a:spcBef>
              <a:spcAft>
                <a:spcPct val="35000"/>
              </a:spcAft>
              <a:buNone/>
            </a:pPr>
            <a:r>
              <a:rPr lang="en-US" sz="700" b="0" i="0" kern="1200"/>
              <a:t>actuations, sensors, surface treatment services, and also electronics</a:t>
            </a:r>
            <a:endParaRPr lang="en-US" sz="700" kern="1200" dirty="0">
              <a:latin typeface="Arial" panose="020B0604020202020204" pitchFamily="34" charset="0"/>
              <a:cs typeface="Arial" panose="020B0604020202020204" pitchFamily="34" charset="0"/>
            </a:endParaRPr>
          </a:p>
        </xdr:txBody>
      </xdr:sp>
      <xdr:sp macro="" textlink="">
        <xdr:nvSpPr>
          <xdr:cNvPr id="59" name="Freeform: Shape 58">
            <a:extLst>
              <a:ext uri="{FF2B5EF4-FFF2-40B4-BE49-F238E27FC236}">
                <a16:creationId xmlns:a16="http://schemas.microsoft.com/office/drawing/2014/main" id="{651C814E-EBA2-7A09-045E-477C7DDEF8C4}"/>
              </a:ext>
            </a:extLst>
          </xdr:cNvPr>
          <xdr:cNvSpPr/>
        </xdr:nvSpPr>
        <xdr:spPr>
          <a:xfrm>
            <a:off x="693501" y="3977235"/>
            <a:ext cx="504097" cy="386478"/>
          </a:xfrm>
          <a:custGeom>
            <a:avLst/>
            <a:gdLst>
              <a:gd name="connsiteX0" fmla="*/ 0 w 504097"/>
              <a:gd name="connsiteY0" fmla="*/ 0 h 386478"/>
              <a:gd name="connsiteX1" fmla="*/ 504097 w 504097"/>
              <a:gd name="connsiteY1" fmla="*/ 0 h 386478"/>
              <a:gd name="connsiteX2" fmla="*/ 504097 w 504097"/>
              <a:gd name="connsiteY2" fmla="*/ 386478 h 386478"/>
              <a:gd name="connsiteX3" fmla="*/ 0 w 504097"/>
              <a:gd name="connsiteY3" fmla="*/ 386478 h 386478"/>
              <a:gd name="connsiteX4" fmla="*/ 0 w 504097"/>
              <a:gd name="connsiteY4" fmla="*/ 0 h 38647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386478">
                <a:moveTo>
                  <a:pt x="0" y="0"/>
                </a:moveTo>
                <a:lnTo>
                  <a:pt x="504097" y="0"/>
                </a:lnTo>
                <a:lnTo>
                  <a:pt x="504097" y="386478"/>
                </a:lnTo>
                <a:lnTo>
                  <a:pt x="0" y="38647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OEM (8%)</a:t>
            </a:r>
          </a:p>
        </xdr:txBody>
      </xdr:sp>
      <xdr:sp macro="" textlink="">
        <xdr:nvSpPr>
          <xdr:cNvPr id="60" name="Freeform: Shape 59">
            <a:extLst>
              <a:ext uri="{FF2B5EF4-FFF2-40B4-BE49-F238E27FC236}">
                <a16:creationId xmlns:a16="http://schemas.microsoft.com/office/drawing/2014/main" id="{CCD327B7-AF10-91FB-FE47-ED28112B762F}"/>
              </a:ext>
            </a:extLst>
          </xdr:cNvPr>
          <xdr:cNvSpPr/>
        </xdr:nvSpPr>
        <xdr:spPr>
          <a:xfrm>
            <a:off x="728420" y="4450050"/>
            <a:ext cx="648455" cy="502259"/>
          </a:xfrm>
          <a:custGeom>
            <a:avLst/>
            <a:gdLst>
              <a:gd name="connsiteX0" fmla="*/ 0 w 648455"/>
              <a:gd name="connsiteY0" fmla="*/ 0 h 502259"/>
              <a:gd name="connsiteX1" fmla="*/ 648455 w 648455"/>
              <a:gd name="connsiteY1" fmla="*/ 0 h 502259"/>
              <a:gd name="connsiteX2" fmla="*/ 648455 w 648455"/>
              <a:gd name="connsiteY2" fmla="*/ 502259 h 502259"/>
              <a:gd name="connsiteX3" fmla="*/ 0 w 648455"/>
              <a:gd name="connsiteY3" fmla="*/ 502259 h 502259"/>
              <a:gd name="connsiteX4" fmla="*/ 0 w 648455"/>
              <a:gd name="connsiteY4" fmla="*/ 0 h 50225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48455" h="502259">
                <a:moveTo>
                  <a:pt x="0" y="0"/>
                </a:moveTo>
                <a:lnTo>
                  <a:pt x="648455" y="0"/>
                </a:lnTo>
                <a:lnTo>
                  <a:pt x="648455" y="502259"/>
                </a:lnTo>
                <a:lnTo>
                  <a:pt x="0" y="502259"/>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B737 MAX, A321neo</a:t>
            </a:r>
          </a:p>
        </xdr:txBody>
      </xdr:sp>
      <xdr:sp macro="" textlink="">
        <xdr:nvSpPr>
          <xdr:cNvPr id="61" name="Freeform: Shape 60">
            <a:extLst>
              <a:ext uri="{FF2B5EF4-FFF2-40B4-BE49-F238E27FC236}">
                <a16:creationId xmlns:a16="http://schemas.microsoft.com/office/drawing/2014/main" id="{F8D0E360-476B-90EC-6571-46C678C32387}"/>
              </a:ext>
            </a:extLst>
          </xdr:cNvPr>
          <xdr:cNvSpPr/>
        </xdr:nvSpPr>
        <xdr:spPr>
          <a:xfrm>
            <a:off x="728420" y="5058171"/>
            <a:ext cx="802890" cy="477926"/>
          </a:xfrm>
          <a:custGeom>
            <a:avLst/>
            <a:gdLst>
              <a:gd name="connsiteX0" fmla="*/ 0 w 802890"/>
              <a:gd name="connsiteY0" fmla="*/ 0 h 477926"/>
              <a:gd name="connsiteX1" fmla="*/ 802890 w 802890"/>
              <a:gd name="connsiteY1" fmla="*/ 0 h 477926"/>
              <a:gd name="connsiteX2" fmla="*/ 802890 w 802890"/>
              <a:gd name="connsiteY2" fmla="*/ 477926 h 477926"/>
              <a:gd name="connsiteX3" fmla="*/ 0 w 802890"/>
              <a:gd name="connsiteY3" fmla="*/ 477926 h 477926"/>
              <a:gd name="connsiteX4" fmla="*/ 0 w 802890"/>
              <a:gd name="connsiteY4" fmla="*/ 0 h 47792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02890" h="477926">
                <a:moveTo>
                  <a:pt x="0" y="0"/>
                </a:moveTo>
                <a:lnTo>
                  <a:pt x="802890" y="0"/>
                </a:lnTo>
                <a:lnTo>
                  <a:pt x="802890" y="477926"/>
                </a:lnTo>
                <a:lnTo>
                  <a:pt x="0" y="477926"/>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A350F, B787</a:t>
            </a:r>
          </a:p>
        </xdr:txBody>
      </xdr:sp>
      <xdr:sp macro="" textlink="">
        <xdr:nvSpPr>
          <xdr:cNvPr id="62" name="Freeform: Shape 61">
            <a:extLst>
              <a:ext uri="{FF2B5EF4-FFF2-40B4-BE49-F238E27FC236}">
                <a16:creationId xmlns:a16="http://schemas.microsoft.com/office/drawing/2014/main" id="{459E44CD-6D3E-FB18-7E32-6F8F6E087BD4}"/>
              </a:ext>
            </a:extLst>
          </xdr:cNvPr>
          <xdr:cNvSpPr/>
        </xdr:nvSpPr>
        <xdr:spPr>
          <a:xfrm>
            <a:off x="1127756" y="3951203"/>
            <a:ext cx="560661" cy="430055"/>
          </a:xfrm>
          <a:custGeom>
            <a:avLst/>
            <a:gdLst>
              <a:gd name="connsiteX0" fmla="*/ 0 w 560661"/>
              <a:gd name="connsiteY0" fmla="*/ 0 h 430055"/>
              <a:gd name="connsiteX1" fmla="*/ 560661 w 560661"/>
              <a:gd name="connsiteY1" fmla="*/ 0 h 430055"/>
              <a:gd name="connsiteX2" fmla="*/ 560661 w 560661"/>
              <a:gd name="connsiteY2" fmla="*/ 430055 h 430055"/>
              <a:gd name="connsiteX3" fmla="*/ 0 w 560661"/>
              <a:gd name="connsiteY3" fmla="*/ 430055 h 430055"/>
              <a:gd name="connsiteX4" fmla="*/ 0 w 560661"/>
              <a:gd name="connsiteY4" fmla="*/ 0 h 43005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60661" h="430055">
                <a:moveTo>
                  <a:pt x="0" y="0"/>
                </a:moveTo>
                <a:lnTo>
                  <a:pt x="560661" y="0"/>
                </a:lnTo>
                <a:lnTo>
                  <a:pt x="560661" y="430055"/>
                </a:lnTo>
                <a:lnTo>
                  <a:pt x="0" y="430055"/>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After-Market (3%)</a:t>
            </a:r>
          </a:p>
        </xdr:txBody>
      </xdr:sp>
      <xdr:sp macro="" textlink="">
        <xdr:nvSpPr>
          <xdr:cNvPr id="63" name="Freeform: Shape 62">
            <a:extLst>
              <a:ext uri="{FF2B5EF4-FFF2-40B4-BE49-F238E27FC236}">
                <a16:creationId xmlns:a16="http://schemas.microsoft.com/office/drawing/2014/main" id="{C1FB80CD-E7BF-D98D-9BC9-26DA984F987B}"/>
              </a:ext>
            </a:extLst>
          </xdr:cNvPr>
          <xdr:cNvSpPr/>
        </xdr:nvSpPr>
        <xdr:spPr>
          <a:xfrm>
            <a:off x="2117132" y="3099884"/>
            <a:ext cx="640964" cy="501480"/>
          </a:xfrm>
          <a:custGeom>
            <a:avLst/>
            <a:gdLst>
              <a:gd name="connsiteX0" fmla="*/ 0 w 640964"/>
              <a:gd name="connsiteY0" fmla="*/ 0 h 501480"/>
              <a:gd name="connsiteX1" fmla="*/ 640964 w 640964"/>
              <a:gd name="connsiteY1" fmla="*/ 0 h 501480"/>
              <a:gd name="connsiteX2" fmla="*/ 640964 w 640964"/>
              <a:gd name="connsiteY2" fmla="*/ 501480 h 501480"/>
              <a:gd name="connsiteX3" fmla="*/ 0 w 640964"/>
              <a:gd name="connsiteY3" fmla="*/ 501480 h 501480"/>
              <a:gd name="connsiteX4" fmla="*/ 0 w 640964"/>
              <a:gd name="connsiteY4" fmla="*/ 0 h 5014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40964" h="501480">
                <a:moveTo>
                  <a:pt x="0" y="0"/>
                </a:moveTo>
                <a:lnTo>
                  <a:pt x="640964" y="0"/>
                </a:lnTo>
                <a:lnTo>
                  <a:pt x="640964" y="501480"/>
                </a:lnTo>
                <a:lnTo>
                  <a:pt x="0" y="501480"/>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Naval Defense (27%)</a:t>
            </a:r>
          </a:p>
        </xdr:txBody>
      </xdr:sp>
      <xdr:sp macro="" textlink="">
        <xdr:nvSpPr>
          <xdr:cNvPr id="64" name="Freeform: Shape 63">
            <a:extLst>
              <a:ext uri="{FF2B5EF4-FFF2-40B4-BE49-F238E27FC236}">
                <a16:creationId xmlns:a16="http://schemas.microsoft.com/office/drawing/2014/main" id="{1DC1EC6F-FBC6-81F5-B378-75FCFFA44C12}"/>
              </a:ext>
            </a:extLst>
          </xdr:cNvPr>
          <xdr:cNvSpPr/>
        </xdr:nvSpPr>
        <xdr:spPr>
          <a:xfrm>
            <a:off x="2277373" y="3707225"/>
            <a:ext cx="504097" cy="607270"/>
          </a:xfrm>
          <a:custGeom>
            <a:avLst/>
            <a:gdLst>
              <a:gd name="connsiteX0" fmla="*/ 0 w 504097"/>
              <a:gd name="connsiteY0" fmla="*/ 0 h 607270"/>
              <a:gd name="connsiteX1" fmla="*/ 504097 w 504097"/>
              <a:gd name="connsiteY1" fmla="*/ 0 h 607270"/>
              <a:gd name="connsiteX2" fmla="*/ 504097 w 504097"/>
              <a:gd name="connsiteY2" fmla="*/ 607270 h 607270"/>
              <a:gd name="connsiteX3" fmla="*/ 0 w 504097"/>
              <a:gd name="connsiteY3" fmla="*/ 607270 h 607270"/>
              <a:gd name="connsiteX4" fmla="*/ 0 w 504097"/>
              <a:gd name="connsiteY4" fmla="*/ 0 h 6072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607270">
                <a:moveTo>
                  <a:pt x="0" y="0"/>
                </a:moveTo>
                <a:lnTo>
                  <a:pt x="504097" y="0"/>
                </a:lnTo>
                <a:lnTo>
                  <a:pt x="504097" y="607270"/>
                </a:lnTo>
                <a:lnTo>
                  <a:pt x="0" y="607270"/>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Ford-Class CVN</a:t>
            </a:r>
          </a:p>
        </xdr:txBody>
      </xdr:sp>
      <xdr:sp macro="" textlink="">
        <xdr:nvSpPr>
          <xdr:cNvPr id="65" name="Freeform: Shape 64">
            <a:extLst>
              <a:ext uri="{FF2B5EF4-FFF2-40B4-BE49-F238E27FC236}">
                <a16:creationId xmlns:a16="http://schemas.microsoft.com/office/drawing/2014/main" id="{5C17F9D1-C258-8F6B-0E92-97066BD26FAB}"/>
              </a:ext>
            </a:extLst>
          </xdr:cNvPr>
          <xdr:cNvSpPr/>
        </xdr:nvSpPr>
        <xdr:spPr>
          <a:xfrm>
            <a:off x="2277373" y="4420357"/>
            <a:ext cx="612503" cy="417740"/>
          </a:xfrm>
          <a:custGeom>
            <a:avLst/>
            <a:gdLst>
              <a:gd name="connsiteX0" fmla="*/ 0 w 612503"/>
              <a:gd name="connsiteY0" fmla="*/ 0 h 417740"/>
              <a:gd name="connsiteX1" fmla="*/ 612503 w 612503"/>
              <a:gd name="connsiteY1" fmla="*/ 0 h 417740"/>
              <a:gd name="connsiteX2" fmla="*/ 612503 w 612503"/>
              <a:gd name="connsiteY2" fmla="*/ 417740 h 417740"/>
              <a:gd name="connsiteX3" fmla="*/ 0 w 612503"/>
              <a:gd name="connsiteY3" fmla="*/ 417740 h 417740"/>
              <a:gd name="connsiteX4" fmla="*/ 0 w 612503"/>
              <a:gd name="connsiteY4" fmla="*/ 0 h 41774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12503" h="417740">
                <a:moveTo>
                  <a:pt x="0" y="0"/>
                </a:moveTo>
                <a:lnTo>
                  <a:pt x="612503" y="0"/>
                </a:lnTo>
                <a:lnTo>
                  <a:pt x="612503" y="417740"/>
                </a:lnTo>
                <a:lnTo>
                  <a:pt x="0" y="417740"/>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en-US" sz="800" kern="1200" dirty="0">
                <a:latin typeface="Arial" panose="020B0604020202020204" pitchFamily="34" charset="0"/>
                <a:cs typeface="Arial" panose="020B0604020202020204" pitchFamily="34" charset="0"/>
              </a:rPr>
              <a:t>Columbia SSBN</a:t>
            </a:r>
          </a:p>
        </xdr:txBody>
      </xdr:sp>
      <xdr:sp macro="" textlink="">
        <xdr:nvSpPr>
          <xdr:cNvPr id="66" name="Freeform: Shape 65">
            <a:extLst>
              <a:ext uri="{FF2B5EF4-FFF2-40B4-BE49-F238E27FC236}">
                <a16:creationId xmlns:a16="http://schemas.microsoft.com/office/drawing/2014/main" id="{1E4FC7F2-9CD6-BEE7-0C29-92E645944376}"/>
              </a:ext>
            </a:extLst>
          </xdr:cNvPr>
          <xdr:cNvSpPr/>
        </xdr:nvSpPr>
        <xdr:spPr>
          <a:xfrm>
            <a:off x="2277373" y="4943957"/>
            <a:ext cx="504097" cy="432245"/>
          </a:xfrm>
          <a:custGeom>
            <a:avLst/>
            <a:gdLst>
              <a:gd name="connsiteX0" fmla="*/ 0 w 504097"/>
              <a:gd name="connsiteY0" fmla="*/ 0 h 432245"/>
              <a:gd name="connsiteX1" fmla="*/ 504097 w 504097"/>
              <a:gd name="connsiteY1" fmla="*/ 0 h 432245"/>
              <a:gd name="connsiteX2" fmla="*/ 504097 w 504097"/>
              <a:gd name="connsiteY2" fmla="*/ 432245 h 432245"/>
              <a:gd name="connsiteX3" fmla="*/ 0 w 504097"/>
              <a:gd name="connsiteY3" fmla="*/ 432245 h 432245"/>
              <a:gd name="connsiteX4" fmla="*/ 0 w 504097"/>
              <a:gd name="connsiteY4" fmla="*/ 0 h 43224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432245">
                <a:moveTo>
                  <a:pt x="0" y="0"/>
                </a:moveTo>
                <a:lnTo>
                  <a:pt x="504097" y="0"/>
                </a:lnTo>
                <a:lnTo>
                  <a:pt x="504097" y="432245"/>
                </a:lnTo>
                <a:lnTo>
                  <a:pt x="0" y="432245"/>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Virginia SSN</a:t>
            </a:r>
          </a:p>
        </xdr:txBody>
      </xdr:sp>
      <xdr:sp macro="" textlink="">
        <xdr:nvSpPr>
          <xdr:cNvPr id="67" name="Freeform: Shape 66">
            <a:extLst>
              <a:ext uri="{FF2B5EF4-FFF2-40B4-BE49-F238E27FC236}">
                <a16:creationId xmlns:a16="http://schemas.microsoft.com/office/drawing/2014/main" id="{3A8847D0-8DC3-C820-90A7-1D8A0C7B0C44}"/>
              </a:ext>
            </a:extLst>
          </xdr:cNvPr>
          <xdr:cNvSpPr/>
        </xdr:nvSpPr>
        <xdr:spPr>
          <a:xfrm>
            <a:off x="2277373" y="5482063"/>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SSN (X)</a:t>
            </a:r>
          </a:p>
        </xdr:txBody>
      </xdr:sp>
      <xdr:sp macro="" textlink="">
        <xdr:nvSpPr>
          <xdr:cNvPr id="68" name="Freeform: Shape 67">
            <a:extLst>
              <a:ext uri="{FF2B5EF4-FFF2-40B4-BE49-F238E27FC236}">
                <a16:creationId xmlns:a16="http://schemas.microsoft.com/office/drawing/2014/main" id="{819A919E-3A0B-3FC0-5369-5566DB1D0696}"/>
              </a:ext>
            </a:extLst>
          </xdr:cNvPr>
          <xdr:cNvSpPr/>
        </xdr:nvSpPr>
        <xdr:spPr>
          <a:xfrm>
            <a:off x="2887331" y="3099884"/>
            <a:ext cx="1473274" cy="610081"/>
          </a:xfrm>
          <a:custGeom>
            <a:avLst/>
            <a:gdLst>
              <a:gd name="connsiteX0" fmla="*/ 0 w 1473274"/>
              <a:gd name="connsiteY0" fmla="*/ 0 h 610081"/>
              <a:gd name="connsiteX1" fmla="*/ 1473274 w 1473274"/>
              <a:gd name="connsiteY1" fmla="*/ 0 h 610081"/>
              <a:gd name="connsiteX2" fmla="*/ 1473274 w 1473274"/>
              <a:gd name="connsiteY2" fmla="*/ 610081 h 610081"/>
              <a:gd name="connsiteX3" fmla="*/ 0 w 1473274"/>
              <a:gd name="connsiteY3" fmla="*/ 610081 h 610081"/>
              <a:gd name="connsiteX4" fmla="*/ 0 w 1473274"/>
              <a:gd name="connsiteY4" fmla="*/ 0 h 61008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73274" h="610081">
                <a:moveTo>
                  <a:pt x="0" y="0"/>
                </a:moveTo>
                <a:lnTo>
                  <a:pt x="1473274" y="0"/>
                </a:lnTo>
                <a:lnTo>
                  <a:pt x="1473274" y="610081"/>
                </a:lnTo>
                <a:lnTo>
                  <a:pt x="0" y="610081"/>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Aerospace Defense (20%)</a:t>
            </a:r>
          </a:p>
          <a:p>
            <a:pPr marL="0" lvl="0" indent="0" algn="ctr" defTabSz="444500">
              <a:lnSpc>
                <a:spcPct val="90000"/>
              </a:lnSpc>
              <a:spcBef>
                <a:spcPct val="0"/>
              </a:spcBef>
              <a:spcAft>
                <a:spcPct val="35000"/>
              </a:spcAft>
              <a:buNone/>
            </a:pPr>
            <a:r>
              <a:rPr lang="en-US" sz="700" kern="1200" dirty="0">
                <a:latin typeface="Arial" panose="020B0604020202020204" pitchFamily="34" charset="0"/>
                <a:cs typeface="Arial" panose="020B0604020202020204" pitchFamily="34" charset="0"/>
              </a:rPr>
              <a:t>actuation, arresting systems, flight test equipment, surface treatment,  tactical communications</a:t>
            </a:r>
          </a:p>
        </xdr:txBody>
      </xdr:sp>
      <xdr:sp macro="" textlink="">
        <xdr:nvSpPr>
          <xdr:cNvPr id="69" name="Freeform: Shape 68">
            <a:extLst>
              <a:ext uri="{FF2B5EF4-FFF2-40B4-BE49-F238E27FC236}">
                <a16:creationId xmlns:a16="http://schemas.microsoft.com/office/drawing/2014/main" id="{412B4090-A174-FB5D-81C9-EE52231D584F}"/>
              </a:ext>
            </a:extLst>
          </xdr:cNvPr>
          <xdr:cNvSpPr/>
        </xdr:nvSpPr>
        <xdr:spPr>
          <a:xfrm>
            <a:off x="3255649" y="3815826"/>
            <a:ext cx="689327" cy="672742"/>
          </a:xfrm>
          <a:custGeom>
            <a:avLst/>
            <a:gdLst>
              <a:gd name="connsiteX0" fmla="*/ 0 w 689327"/>
              <a:gd name="connsiteY0" fmla="*/ 0 h 672742"/>
              <a:gd name="connsiteX1" fmla="*/ 689327 w 689327"/>
              <a:gd name="connsiteY1" fmla="*/ 0 h 672742"/>
              <a:gd name="connsiteX2" fmla="*/ 689327 w 689327"/>
              <a:gd name="connsiteY2" fmla="*/ 672742 h 672742"/>
              <a:gd name="connsiteX3" fmla="*/ 0 w 689327"/>
              <a:gd name="connsiteY3" fmla="*/ 672742 h 672742"/>
              <a:gd name="connsiteX4" fmla="*/ 0 w 689327"/>
              <a:gd name="connsiteY4" fmla="*/ 0 h 67274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89327" h="672742">
                <a:moveTo>
                  <a:pt x="0" y="0"/>
                </a:moveTo>
                <a:lnTo>
                  <a:pt x="689327" y="0"/>
                </a:lnTo>
                <a:lnTo>
                  <a:pt x="689327" y="672742"/>
                </a:lnTo>
                <a:lnTo>
                  <a:pt x="0" y="672742"/>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Fixed-wing (F35, F22, B52, P8A)</a:t>
            </a:r>
          </a:p>
        </xdr:txBody>
      </xdr:sp>
      <xdr:sp macro="" textlink="">
        <xdr:nvSpPr>
          <xdr:cNvPr id="70" name="Freeform: Shape 69">
            <a:extLst>
              <a:ext uri="{FF2B5EF4-FFF2-40B4-BE49-F238E27FC236}">
                <a16:creationId xmlns:a16="http://schemas.microsoft.com/office/drawing/2014/main" id="{DA1A92E0-671A-FF94-E21C-A5383E46D85B}"/>
              </a:ext>
            </a:extLst>
          </xdr:cNvPr>
          <xdr:cNvSpPr/>
        </xdr:nvSpPr>
        <xdr:spPr>
          <a:xfrm>
            <a:off x="3255649" y="4594429"/>
            <a:ext cx="732221" cy="959460"/>
          </a:xfrm>
          <a:custGeom>
            <a:avLst/>
            <a:gdLst>
              <a:gd name="connsiteX0" fmla="*/ 0 w 732221"/>
              <a:gd name="connsiteY0" fmla="*/ 0 h 959460"/>
              <a:gd name="connsiteX1" fmla="*/ 732221 w 732221"/>
              <a:gd name="connsiteY1" fmla="*/ 0 h 959460"/>
              <a:gd name="connsiteX2" fmla="*/ 732221 w 732221"/>
              <a:gd name="connsiteY2" fmla="*/ 959460 h 959460"/>
              <a:gd name="connsiteX3" fmla="*/ 0 w 732221"/>
              <a:gd name="connsiteY3" fmla="*/ 959460 h 959460"/>
              <a:gd name="connsiteX4" fmla="*/ 0 w 732221"/>
              <a:gd name="connsiteY4" fmla="*/ 0 h 95946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32221" h="959460">
                <a:moveTo>
                  <a:pt x="0" y="0"/>
                </a:moveTo>
                <a:lnTo>
                  <a:pt x="732221" y="0"/>
                </a:lnTo>
                <a:lnTo>
                  <a:pt x="732221" y="959460"/>
                </a:lnTo>
                <a:lnTo>
                  <a:pt x="0" y="959460"/>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Rotary (SH60, UH60, AH64, CH53K, CH47) </a:t>
            </a:r>
          </a:p>
        </xdr:txBody>
      </xdr:sp>
      <xdr:sp macro="" textlink="">
        <xdr:nvSpPr>
          <xdr:cNvPr id="71" name="Freeform: Shape 70">
            <a:extLst>
              <a:ext uri="{FF2B5EF4-FFF2-40B4-BE49-F238E27FC236}">
                <a16:creationId xmlns:a16="http://schemas.microsoft.com/office/drawing/2014/main" id="{7D1EEDEA-2376-D103-BA42-1FFE21B65C81}"/>
              </a:ext>
            </a:extLst>
          </xdr:cNvPr>
          <xdr:cNvSpPr/>
        </xdr:nvSpPr>
        <xdr:spPr>
          <a:xfrm>
            <a:off x="3255649" y="5659750"/>
            <a:ext cx="574373" cy="387859"/>
          </a:xfrm>
          <a:custGeom>
            <a:avLst/>
            <a:gdLst>
              <a:gd name="connsiteX0" fmla="*/ 0 w 574373"/>
              <a:gd name="connsiteY0" fmla="*/ 0 h 387859"/>
              <a:gd name="connsiteX1" fmla="*/ 574373 w 574373"/>
              <a:gd name="connsiteY1" fmla="*/ 0 h 387859"/>
              <a:gd name="connsiteX2" fmla="*/ 574373 w 574373"/>
              <a:gd name="connsiteY2" fmla="*/ 387859 h 387859"/>
              <a:gd name="connsiteX3" fmla="*/ 0 w 574373"/>
              <a:gd name="connsiteY3" fmla="*/ 387859 h 387859"/>
              <a:gd name="connsiteX4" fmla="*/ 0 w 574373"/>
              <a:gd name="connsiteY4" fmla="*/ 0 h 38785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74373" h="387859">
                <a:moveTo>
                  <a:pt x="0" y="0"/>
                </a:moveTo>
                <a:lnTo>
                  <a:pt x="574373" y="0"/>
                </a:lnTo>
                <a:lnTo>
                  <a:pt x="574373" y="387859"/>
                </a:lnTo>
                <a:lnTo>
                  <a:pt x="0" y="387859"/>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Cargo (C130J</a:t>
            </a:r>
          </a:p>
        </xdr:txBody>
      </xdr:sp>
      <xdr:sp macro="" textlink="">
        <xdr:nvSpPr>
          <xdr:cNvPr id="72" name="Freeform: Shape 71">
            <a:extLst>
              <a:ext uri="{FF2B5EF4-FFF2-40B4-BE49-F238E27FC236}">
                <a16:creationId xmlns:a16="http://schemas.microsoft.com/office/drawing/2014/main" id="{89A01069-B63D-A0F0-92B1-1CBFAB7C0A7A}"/>
              </a:ext>
            </a:extLst>
          </xdr:cNvPr>
          <xdr:cNvSpPr/>
        </xdr:nvSpPr>
        <xdr:spPr>
          <a:xfrm>
            <a:off x="3255649" y="6153470"/>
            <a:ext cx="601468" cy="667409"/>
          </a:xfrm>
          <a:custGeom>
            <a:avLst/>
            <a:gdLst>
              <a:gd name="connsiteX0" fmla="*/ 0 w 601468"/>
              <a:gd name="connsiteY0" fmla="*/ 0 h 667409"/>
              <a:gd name="connsiteX1" fmla="*/ 601468 w 601468"/>
              <a:gd name="connsiteY1" fmla="*/ 0 h 667409"/>
              <a:gd name="connsiteX2" fmla="*/ 601468 w 601468"/>
              <a:gd name="connsiteY2" fmla="*/ 667409 h 667409"/>
              <a:gd name="connsiteX3" fmla="*/ 0 w 601468"/>
              <a:gd name="connsiteY3" fmla="*/ 667409 h 667409"/>
              <a:gd name="connsiteX4" fmla="*/ 0 w 601468"/>
              <a:gd name="connsiteY4" fmla="*/ 0 h 66740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01468" h="667409">
                <a:moveTo>
                  <a:pt x="0" y="0"/>
                </a:moveTo>
                <a:lnTo>
                  <a:pt x="601468" y="0"/>
                </a:lnTo>
                <a:lnTo>
                  <a:pt x="601468" y="667409"/>
                </a:lnTo>
                <a:lnTo>
                  <a:pt x="0" y="667409"/>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UAVs (Global Hawk, Triton)</a:t>
            </a:r>
          </a:p>
        </xdr:txBody>
      </xdr:sp>
      <xdr:sp macro="" textlink="">
        <xdr:nvSpPr>
          <xdr:cNvPr id="73" name="Freeform: Shape 72">
            <a:extLst>
              <a:ext uri="{FF2B5EF4-FFF2-40B4-BE49-F238E27FC236}">
                <a16:creationId xmlns:a16="http://schemas.microsoft.com/office/drawing/2014/main" id="{278427F7-77F8-DB1F-DC15-F68E94DDE1E3}"/>
              </a:ext>
            </a:extLst>
          </xdr:cNvPr>
          <xdr:cNvSpPr/>
        </xdr:nvSpPr>
        <xdr:spPr>
          <a:xfrm>
            <a:off x="4742388" y="3099884"/>
            <a:ext cx="866043" cy="633314"/>
          </a:xfrm>
          <a:custGeom>
            <a:avLst/>
            <a:gdLst>
              <a:gd name="connsiteX0" fmla="*/ 0 w 866043"/>
              <a:gd name="connsiteY0" fmla="*/ 0 h 633314"/>
              <a:gd name="connsiteX1" fmla="*/ 866043 w 866043"/>
              <a:gd name="connsiteY1" fmla="*/ 0 h 633314"/>
              <a:gd name="connsiteX2" fmla="*/ 866043 w 866043"/>
              <a:gd name="connsiteY2" fmla="*/ 633314 h 633314"/>
              <a:gd name="connsiteX3" fmla="*/ 0 w 866043"/>
              <a:gd name="connsiteY3" fmla="*/ 633314 h 633314"/>
              <a:gd name="connsiteX4" fmla="*/ 0 w 866043"/>
              <a:gd name="connsiteY4" fmla="*/ 0 h 63331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66043" h="633314">
                <a:moveTo>
                  <a:pt x="0" y="0"/>
                </a:moveTo>
                <a:lnTo>
                  <a:pt x="866043" y="0"/>
                </a:lnTo>
                <a:lnTo>
                  <a:pt x="866043" y="633314"/>
                </a:lnTo>
                <a:lnTo>
                  <a:pt x="0" y="633314"/>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Defense Ground Systems (9%)</a:t>
            </a:r>
          </a:p>
        </xdr:txBody>
      </xdr:sp>
      <xdr:sp macro="" textlink="">
        <xdr:nvSpPr>
          <xdr:cNvPr id="74" name="Freeform: Shape 73">
            <a:extLst>
              <a:ext uri="{FF2B5EF4-FFF2-40B4-BE49-F238E27FC236}">
                <a16:creationId xmlns:a16="http://schemas.microsoft.com/office/drawing/2014/main" id="{B62AFAF1-4F22-AC93-A9EA-3D3358E06382}"/>
              </a:ext>
            </a:extLst>
          </xdr:cNvPr>
          <xdr:cNvSpPr/>
        </xdr:nvSpPr>
        <xdr:spPr>
          <a:xfrm>
            <a:off x="4050837" y="3839059"/>
            <a:ext cx="696117" cy="403184"/>
          </a:xfrm>
          <a:custGeom>
            <a:avLst/>
            <a:gdLst>
              <a:gd name="connsiteX0" fmla="*/ 0 w 696117"/>
              <a:gd name="connsiteY0" fmla="*/ 0 h 403184"/>
              <a:gd name="connsiteX1" fmla="*/ 696117 w 696117"/>
              <a:gd name="connsiteY1" fmla="*/ 0 h 403184"/>
              <a:gd name="connsiteX2" fmla="*/ 696117 w 696117"/>
              <a:gd name="connsiteY2" fmla="*/ 403184 h 403184"/>
              <a:gd name="connsiteX3" fmla="*/ 0 w 696117"/>
              <a:gd name="connsiteY3" fmla="*/ 403184 h 403184"/>
              <a:gd name="connsiteX4" fmla="*/ 0 w 696117"/>
              <a:gd name="connsiteY4" fmla="*/ 0 h 40318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96117" h="403184">
                <a:moveTo>
                  <a:pt x="0" y="0"/>
                </a:moveTo>
                <a:lnTo>
                  <a:pt x="696117" y="0"/>
                </a:lnTo>
                <a:lnTo>
                  <a:pt x="696117" y="403184"/>
                </a:lnTo>
                <a:lnTo>
                  <a:pt x="0" y="403184"/>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Pacstar </a:t>
            </a:r>
          </a:p>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(5%)</a:t>
            </a:r>
          </a:p>
        </xdr:txBody>
      </xdr:sp>
      <xdr:sp macro="" textlink="">
        <xdr:nvSpPr>
          <xdr:cNvPr id="75" name="Freeform: Shape 74">
            <a:extLst>
              <a:ext uri="{FF2B5EF4-FFF2-40B4-BE49-F238E27FC236}">
                <a16:creationId xmlns:a16="http://schemas.microsoft.com/office/drawing/2014/main" id="{4688957E-EB7B-E053-B972-2D886A7DF46C}"/>
              </a:ext>
            </a:extLst>
          </xdr:cNvPr>
          <xdr:cNvSpPr/>
        </xdr:nvSpPr>
        <xdr:spPr>
          <a:xfrm>
            <a:off x="4224867" y="4348104"/>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Link 16</a:t>
            </a:r>
          </a:p>
        </xdr:txBody>
      </xdr:sp>
      <xdr:sp macro="" textlink="">
        <xdr:nvSpPr>
          <xdr:cNvPr id="76" name="Freeform: Shape 75">
            <a:extLst>
              <a:ext uri="{FF2B5EF4-FFF2-40B4-BE49-F238E27FC236}">
                <a16:creationId xmlns:a16="http://schemas.microsoft.com/office/drawing/2014/main" id="{9960495F-D8D9-3ACC-BC87-7E25B26A948C}"/>
              </a:ext>
            </a:extLst>
          </xdr:cNvPr>
          <xdr:cNvSpPr/>
        </xdr:nvSpPr>
        <xdr:spPr>
          <a:xfrm>
            <a:off x="4224867" y="4706013"/>
            <a:ext cx="675369" cy="252048"/>
          </a:xfrm>
          <a:custGeom>
            <a:avLst/>
            <a:gdLst>
              <a:gd name="connsiteX0" fmla="*/ 0 w 675369"/>
              <a:gd name="connsiteY0" fmla="*/ 0 h 252048"/>
              <a:gd name="connsiteX1" fmla="*/ 675369 w 675369"/>
              <a:gd name="connsiteY1" fmla="*/ 0 h 252048"/>
              <a:gd name="connsiteX2" fmla="*/ 675369 w 675369"/>
              <a:gd name="connsiteY2" fmla="*/ 252048 h 252048"/>
              <a:gd name="connsiteX3" fmla="*/ 0 w 675369"/>
              <a:gd name="connsiteY3" fmla="*/ 252048 h 252048"/>
              <a:gd name="connsiteX4" fmla="*/ 0 w 675369"/>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75369" h="252048">
                <a:moveTo>
                  <a:pt x="0" y="0"/>
                </a:moveTo>
                <a:lnTo>
                  <a:pt x="675369" y="0"/>
                </a:lnTo>
                <a:lnTo>
                  <a:pt x="675369"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Encryption</a:t>
            </a:r>
          </a:p>
        </xdr:txBody>
      </xdr:sp>
      <xdr:sp macro="" textlink="">
        <xdr:nvSpPr>
          <xdr:cNvPr id="77" name="Freeform: Shape 76">
            <a:extLst>
              <a:ext uri="{FF2B5EF4-FFF2-40B4-BE49-F238E27FC236}">
                <a16:creationId xmlns:a16="http://schemas.microsoft.com/office/drawing/2014/main" id="{E68AE9AA-9E3F-1CED-DA2B-5804937FD957}"/>
              </a:ext>
            </a:extLst>
          </xdr:cNvPr>
          <xdr:cNvSpPr/>
        </xdr:nvSpPr>
        <xdr:spPr>
          <a:xfrm>
            <a:off x="4224867" y="5063922"/>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Servers</a:t>
            </a:r>
          </a:p>
        </xdr:txBody>
      </xdr:sp>
      <xdr:sp macro="" textlink="">
        <xdr:nvSpPr>
          <xdr:cNvPr id="78" name="Freeform: Shape 77">
            <a:extLst>
              <a:ext uri="{FF2B5EF4-FFF2-40B4-BE49-F238E27FC236}">
                <a16:creationId xmlns:a16="http://schemas.microsoft.com/office/drawing/2014/main" id="{159C5870-043E-EEEB-6779-517C3EA8B9F2}"/>
              </a:ext>
            </a:extLst>
          </xdr:cNvPr>
          <xdr:cNvSpPr/>
        </xdr:nvSpPr>
        <xdr:spPr>
          <a:xfrm>
            <a:off x="4880072" y="3839059"/>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U.S. </a:t>
            </a:r>
          </a:p>
        </xdr:txBody>
      </xdr:sp>
      <xdr:sp macro="" textlink="">
        <xdr:nvSpPr>
          <xdr:cNvPr id="79" name="Freeform: Shape 78">
            <a:extLst>
              <a:ext uri="{FF2B5EF4-FFF2-40B4-BE49-F238E27FC236}">
                <a16:creationId xmlns:a16="http://schemas.microsoft.com/office/drawing/2014/main" id="{B8047CE3-202E-C70F-C25C-BD94A7FAAB69}"/>
              </a:ext>
            </a:extLst>
          </xdr:cNvPr>
          <xdr:cNvSpPr/>
        </xdr:nvSpPr>
        <xdr:spPr>
          <a:xfrm>
            <a:off x="5006096" y="4196968"/>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Abrams</a:t>
            </a:r>
          </a:p>
        </xdr:txBody>
      </xdr:sp>
      <xdr:sp macro="" textlink="">
        <xdr:nvSpPr>
          <xdr:cNvPr id="80" name="Freeform: Shape 79">
            <a:extLst>
              <a:ext uri="{FF2B5EF4-FFF2-40B4-BE49-F238E27FC236}">
                <a16:creationId xmlns:a16="http://schemas.microsoft.com/office/drawing/2014/main" id="{E2894C29-B723-A0AD-39B2-D2191FEE97F5}"/>
              </a:ext>
            </a:extLst>
          </xdr:cNvPr>
          <xdr:cNvSpPr/>
        </xdr:nvSpPr>
        <xdr:spPr>
          <a:xfrm>
            <a:off x="5006096" y="4554877"/>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Bradley</a:t>
            </a:r>
          </a:p>
        </xdr:txBody>
      </xdr:sp>
      <xdr:sp macro="" textlink="">
        <xdr:nvSpPr>
          <xdr:cNvPr id="81" name="Freeform: Shape 80">
            <a:extLst>
              <a:ext uri="{FF2B5EF4-FFF2-40B4-BE49-F238E27FC236}">
                <a16:creationId xmlns:a16="http://schemas.microsoft.com/office/drawing/2014/main" id="{3C86FD0B-C62E-85CB-047D-D7010C4A33CD}"/>
              </a:ext>
            </a:extLst>
          </xdr:cNvPr>
          <xdr:cNvSpPr/>
        </xdr:nvSpPr>
        <xdr:spPr>
          <a:xfrm>
            <a:off x="5006096" y="4912786"/>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Stryker</a:t>
            </a:r>
          </a:p>
        </xdr:txBody>
      </xdr:sp>
      <xdr:sp macro="" textlink="">
        <xdr:nvSpPr>
          <xdr:cNvPr id="82" name="Freeform: Shape 81">
            <a:extLst>
              <a:ext uri="{FF2B5EF4-FFF2-40B4-BE49-F238E27FC236}">
                <a16:creationId xmlns:a16="http://schemas.microsoft.com/office/drawing/2014/main" id="{00752A15-F879-CEF8-60CF-7EBC81FB6724}"/>
              </a:ext>
            </a:extLst>
          </xdr:cNvPr>
          <xdr:cNvSpPr/>
        </xdr:nvSpPr>
        <xdr:spPr>
          <a:xfrm>
            <a:off x="5490029" y="3839059"/>
            <a:ext cx="809953" cy="252048"/>
          </a:xfrm>
          <a:custGeom>
            <a:avLst/>
            <a:gdLst>
              <a:gd name="connsiteX0" fmla="*/ 0 w 809953"/>
              <a:gd name="connsiteY0" fmla="*/ 0 h 252048"/>
              <a:gd name="connsiteX1" fmla="*/ 809953 w 809953"/>
              <a:gd name="connsiteY1" fmla="*/ 0 h 252048"/>
              <a:gd name="connsiteX2" fmla="*/ 809953 w 809953"/>
              <a:gd name="connsiteY2" fmla="*/ 252048 h 252048"/>
              <a:gd name="connsiteX3" fmla="*/ 0 w 809953"/>
              <a:gd name="connsiteY3" fmla="*/ 252048 h 252048"/>
              <a:gd name="connsiteX4" fmla="*/ 0 w 809953"/>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09953" h="252048">
                <a:moveTo>
                  <a:pt x="0" y="0"/>
                </a:moveTo>
                <a:lnTo>
                  <a:pt x="809953" y="0"/>
                </a:lnTo>
                <a:lnTo>
                  <a:pt x="809953"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Europe</a:t>
            </a:r>
          </a:p>
        </xdr:txBody>
      </xdr:sp>
      <xdr:sp macro="" textlink="">
        <xdr:nvSpPr>
          <xdr:cNvPr id="83" name="Freeform: Shape 82">
            <a:extLst>
              <a:ext uri="{FF2B5EF4-FFF2-40B4-BE49-F238E27FC236}">
                <a16:creationId xmlns:a16="http://schemas.microsoft.com/office/drawing/2014/main" id="{018EA432-2370-7005-6B55-17765309C2AB}"/>
              </a:ext>
            </a:extLst>
          </xdr:cNvPr>
          <xdr:cNvSpPr/>
        </xdr:nvSpPr>
        <xdr:spPr>
          <a:xfrm>
            <a:off x="5692518" y="4196968"/>
            <a:ext cx="835440" cy="178941"/>
          </a:xfrm>
          <a:custGeom>
            <a:avLst/>
            <a:gdLst>
              <a:gd name="connsiteX0" fmla="*/ 0 w 835440"/>
              <a:gd name="connsiteY0" fmla="*/ 0 h 178941"/>
              <a:gd name="connsiteX1" fmla="*/ 835440 w 835440"/>
              <a:gd name="connsiteY1" fmla="*/ 0 h 178941"/>
              <a:gd name="connsiteX2" fmla="*/ 835440 w 835440"/>
              <a:gd name="connsiteY2" fmla="*/ 178941 h 178941"/>
              <a:gd name="connsiteX3" fmla="*/ 0 w 835440"/>
              <a:gd name="connsiteY3" fmla="*/ 178941 h 178941"/>
              <a:gd name="connsiteX4" fmla="*/ 0 w 835440"/>
              <a:gd name="connsiteY4" fmla="*/ 0 h 17894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35440" h="178941">
                <a:moveTo>
                  <a:pt x="0" y="0"/>
                </a:moveTo>
                <a:lnTo>
                  <a:pt x="835440" y="0"/>
                </a:lnTo>
                <a:lnTo>
                  <a:pt x="835440" y="178941"/>
                </a:lnTo>
                <a:lnTo>
                  <a:pt x="0" y="178941"/>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Rheinmetall</a:t>
            </a:r>
          </a:p>
        </xdr:txBody>
      </xdr:sp>
      <xdr:sp macro="" textlink="">
        <xdr:nvSpPr>
          <xdr:cNvPr id="84" name="Freeform: Shape 83">
            <a:extLst>
              <a:ext uri="{FF2B5EF4-FFF2-40B4-BE49-F238E27FC236}">
                <a16:creationId xmlns:a16="http://schemas.microsoft.com/office/drawing/2014/main" id="{F83357B0-5148-6346-BE36-14A964A66A9E}"/>
              </a:ext>
            </a:extLst>
          </xdr:cNvPr>
          <xdr:cNvSpPr/>
        </xdr:nvSpPr>
        <xdr:spPr>
          <a:xfrm>
            <a:off x="7034113" y="3099884"/>
            <a:ext cx="625246" cy="484790"/>
          </a:xfrm>
          <a:custGeom>
            <a:avLst/>
            <a:gdLst>
              <a:gd name="connsiteX0" fmla="*/ 0 w 625246"/>
              <a:gd name="connsiteY0" fmla="*/ 0 h 484790"/>
              <a:gd name="connsiteX1" fmla="*/ 625246 w 625246"/>
              <a:gd name="connsiteY1" fmla="*/ 0 h 484790"/>
              <a:gd name="connsiteX2" fmla="*/ 625246 w 625246"/>
              <a:gd name="connsiteY2" fmla="*/ 484790 h 484790"/>
              <a:gd name="connsiteX3" fmla="*/ 0 w 625246"/>
              <a:gd name="connsiteY3" fmla="*/ 484790 h 484790"/>
              <a:gd name="connsiteX4" fmla="*/ 0 w 625246"/>
              <a:gd name="connsiteY4" fmla="*/ 0 h 4847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25246" h="484790">
                <a:moveTo>
                  <a:pt x="0" y="0"/>
                </a:moveTo>
                <a:lnTo>
                  <a:pt x="625246" y="0"/>
                </a:lnTo>
                <a:lnTo>
                  <a:pt x="625246" y="484790"/>
                </a:lnTo>
                <a:lnTo>
                  <a:pt x="0" y="484790"/>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Nuclear</a:t>
            </a:r>
          </a:p>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(11%)</a:t>
            </a:r>
          </a:p>
        </xdr:txBody>
      </xdr:sp>
      <xdr:sp macro="" textlink="">
        <xdr:nvSpPr>
          <xdr:cNvPr id="85" name="Freeform: Shape 84">
            <a:extLst>
              <a:ext uri="{FF2B5EF4-FFF2-40B4-BE49-F238E27FC236}">
                <a16:creationId xmlns:a16="http://schemas.microsoft.com/office/drawing/2014/main" id="{6E1A21B1-DF06-BF7F-789E-54FBFDBB781D}"/>
              </a:ext>
            </a:extLst>
          </xdr:cNvPr>
          <xdr:cNvSpPr/>
        </xdr:nvSpPr>
        <xdr:spPr>
          <a:xfrm>
            <a:off x="6405843" y="3690535"/>
            <a:ext cx="552843" cy="504651"/>
          </a:xfrm>
          <a:custGeom>
            <a:avLst/>
            <a:gdLst>
              <a:gd name="connsiteX0" fmla="*/ 0 w 552843"/>
              <a:gd name="connsiteY0" fmla="*/ 0 h 504651"/>
              <a:gd name="connsiteX1" fmla="*/ 552843 w 552843"/>
              <a:gd name="connsiteY1" fmla="*/ 0 h 504651"/>
              <a:gd name="connsiteX2" fmla="*/ 552843 w 552843"/>
              <a:gd name="connsiteY2" fmla="*/ 504651 h 504651"/>
              <a:gd name="connsiteX3" fmla="*/ 0 w 552843"/>
              <a:gd name="connsiteY3" fmla="*/ 504651 h 504651"/>
              <a:gd name="connsiteX4" fmla="*/ 0 w 552843"/>
              <a:gd name="connsiteY4" fmla="*/ 0 h 50465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52843" h="504651">
                <a:moveTo>
                  <a:pt x="0" y="0"/>
                </a:moveTo>
                <a:lnTo>
                  <a:pt x="552843" y="0"/>
                </a:lnTo>
                <a:lnTo>
                  <a:pt x="552843" y="504651"/>
                </a:lnTo>
                <a:lnTo>
                  <a:pt x="0" y="504651"/>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After-Market (9%) </a:t>
            </a:r>
          </a:p>
        </xdr:txBody>
      </xdr:sp>
      <xdr:sp macro="" textlink="">
        <xdr:nvSpPr>
          <xdr:cNvPr id="86" name="Freeform: Shape 85">
            <a:extLst>
              <a:ext uri="{FF2B5EF4-FFF2-40B4-BE49-F238E27FC236}">
                <a16:creationId xmlns:a16="http://schemas.microsoft.com/office/drawing/2014/main" id="{6C883F66-79C1-76AD-B3B0-54F95D098486}"/>
              </a:ext>
            </a:extLst>
          </xdr:cNvPr>
          <xdr:cNvSpPr/>
        </xdr:nvSpPr>
        <xdr:spPr>
          <a:xfrm>
            <a:off x="7064547" y="3690535"/>
            <a:ext cx="601397" cy="343859"/>
          </a:xfrm>
          <a:custGeom>
            <a:avLst/>
            <a:gdLst>
              <a:gd name="connsiteX0" fmla="*/ 0 w 601397"/>
              <a:gd name="connsiteY0" fmla="*/ 0 h 343859"/>
              <a:gd name="connsiteX1" fmla="*/ 601397 w 601397"/>
              <a:gd name="connsiteY1" fmla="*/ 0 h 343859"/>
              <a:gd name="connsiteX2" fmla="*/ 601397 w 601397"/>
              <a:gd name="connsiteY2" fmla="*/ 343859 h 343859"/>
              <a:gd name="connsiteX3" fmla="*/ 0 w 601397"/>
              <a:gd name="connsiteY3" fmla="*/ 343859 h 343859"/>
              <a:gd name="connsiteX4" fmla="*/ 0 w 601397"/>
              <a:gd name="connsiteY4" fmla="*/ 0 h 34385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01397" h="343859">
                <a:moveTo>
                  <a:pt x="0" y="0"/>
                </a:moveTo>
                <a:lnTo>
                  <a:pt x="601397" y="0"/>
                </a:lnTo>
                <a:lnTo>
                  <a:pt x="601397" y="343859"/>
                </a:lnTo>
                <a:lnTo>
                  <a:pt x="0" y="343859"/>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AP1000</a:t>
            </a:r>
          </a:p>
        </xdr:txBody>
      </xdr:sp>
      <xdr:sp macro="" textlink="">
        <xdr:nvSpPr>
          <xdr:cNvPr id="87" name="Freeform: Shape 86">
            <a:extLst>
              <a:ext uri="{FF2B5EF4-FFF2-40B4-BE49-F238E27FC236}">
                <a16:creationId xmlns:a16="http://schemas.microsoft.com/office/drawing/2014/main" id="{E96E1FEE-F825-2C1E-D786-055302BC0517}"/>
              </a:ext>
            </a:extLst>
          </xdr:cNvPr>
          <xdr:cNvSpPr/>
        </xdr:nvSpPr>
        <xdr:spPr>
          <a:xfrm>
            <a:off x="7214896" y="4140255"/>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Poland</a:t>
            </a:r>
          </a:p>
        </xdr:txBody>
      </xdr:sp>
      <xdr:sp macro="" textlink="">
        <xdr:nvSpPr>
          <xdr:cNvPr id="88" name="Freeform: Shape 87">
            <a:extLst>
              <a:ext uri="{FF2B5EF4-FFF2-40B4-BE49-F238E27FC236}">
                <a16:creationId xmlns:a16="http://schemas.microsoft.com/office/drawing/2014/main" id="{C00B1F05-B582-B123-9964-0FD3976AC174}"/>
              </a:ext>
            </a:extLst>
          </xdr:cNvPr>
          <xdr:cNvSpPr/>
        </xdr:nvSpPr>
        <xdr:spPr>
          <a:xfrm>
            <a:off x="7214896" y="4498164"/>
            <a:ext cx="588800" cy="252048"/>
          </a:xfrm>
          <a:custGeom>
            <a:avLst/>
            <a:gdLst>
              <a:gd name="connsiteX0" fmla="*/ 0 w 588800"/>
              <a:gd name="connsiteY0" fmla="*/ 0 h 252048"/>
              <a:gd name="connsiteX1" fmla="*/ 588800 w 588800"/>
              <a:gd name="connsiteY1" fmla="*/ 0 h 252048"/>
              <a:gd name="connsiteX2" fmla="*/ 588800 w 588800"/>
              <a:gd name="connsiteY2" fmla="*/ 252048 h 252048"/>
              <a:gd name="connsiteX3" fmla="*/ 0 w 588800"/>
              <a:gd name="connsiteY3" fmla="*/ 252048 h 252048"/>
              <a:gd name="connsiteX4" fmla="*/ 0 w 588800"/>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88800" h="252048">
                <a:moveTo>
                  <a:pt x="0" y="0"/>
                </a:moveTo>
                <a:lnTo>
                  <a:pt x="588800" y="0"/>
                </a:lnTo>
                <a:lnTo>
                  <a:pt x="588800"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Bulgaria</a:t>
            </a:r>
          </a:p>
        </xdr:txBody>
      </xdr:sp>
      <xdr:sp macro="" textlink="">
        <xdr:nvSpPr>
          <xdr:cNvPr id="89" name="Freeform: Shape 88">
            <a:extLst>
              <a:ext uri="{FF2B5EF4-FFF2-40B4-BE49-F238E27FC236}">
                <a16:creationId xmlns:a16="http://schemas.microsoft.com/office/drawing/2014/main" id="{2902C0BA-8CCA-54F2-181A-D2CEDCEEDA44}"/>
              </a:ext>
            </a:extLst>
          </xdr:cNvPr>
          <xdr:cNvSpPr/>
        </xdr:nvSpPr>
        <xdr:spPr>
          <a:xfrm>
            <a:off x="7214896" y="4856073"/>
            <a:ext cx="561806" cy="193404"/>
          </a:xfrm>
          <a:custGeom>
            <a:avLst/>
            <a:gdLst>
              <a:gd name="connsiteX0" fmla="*/ 0 w 561806"/>
              <a:gd name="connsiteY0" fmla="*/ 0 h 193404"/>
              <a:gd name="connsiteX1" fmla="*/ 561806 w 561806"/>
              <a:gd name="connsiteY1" fmla="*/ 0 h 193404"/>
              <a:gd name="connsiteX2" fmla="*/ 561806 w 561806"/>
              <a:gd name="connsiteY2" fmla="*/ 193404 h 193404"/>
              <a:gd name="connsiteX3" fmla="*/ 0 w 561806"/>
              <a:gd name="connsiteY3" fmla="*/ 193404 h 193404"/>
              <a:gd name="connsiteX4" fmla="*/ 0 w 561806"/>
              <a:gd name="connsiteY4" fmla="*/ 0 h 19340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61806" h="193404">
                <a:moveTo>
                  <a:pt x="0" y="0"/>
                </a:moveTo>
                <a:lnTo>
                  <a:pt x="561806" y="0"/>
                </a:lnTo>
                <a:lnTo>
                  <a:pt x="561806" y="193404"/>
                </a:lnTo>
                <a:lnTo>
                  <a:pt x="0" y="193404"/>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en-US" sz="700" kern="1200" dirty="0">
                <a:latin typeface="Arial" panose="020B0604020202020204" pitchFamily="34" charset="0"/>
                <a:cs typeface="Arial" panose="020B0604020202020204" pitchFamily="34" charset="0"/>
              </a:rPr>
              <a:t>Netherlands</a:t>
            </a:r>
          </a:p>
        </xdr:txBody>
      </xdr:sp>
      <xdr:sp macro="" textlink="">
        <xdr:nvSpPr>
          <xdr:cNvPr id="90" name="Freeform: Shape 89">
            <a:extLst>
              <a:ext uri="{FF2B5EF4-FFF2-40B4-BE49-F238E27FC236}">
                <a16:creationId xmlns:a16="http://schemas.microsoft.com/office/drawing/2014/main" id="{95E9AEDA-4DA9-00F3-91C4-669B6BF7D776}"/>
              </a:ext>
            </a:extLst>
          </xdr:cNvPr>
          <xdr:cNvSpPr/>
        </xdr:nvSpPr>
        <xdr:spPr>
          <a:xfrm>
            <a:off x="7214896" y="5155338"/>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r>
              <a:rPr lang="en-US" sz="700" kern="1200" dirty="0">
                <a:latin typeface="Arial" panose="020B0604020202020204" pitchFamily="34" charset="0"/>
                <a:cs typeface="Arial" panose="020B0604020202020204" pitchFamily="34" charset="0"/>
              </a:rPr>
              <a:t>Ukraine</a:t>
            </a:r>
          </a:p>
        </xdr:txBody>
      </xdr:sp>
      <xdr:sp macro="" textlink="">
        <xdr:nvSpPr>
          <xdr:cNvPr id="91" name="Freeform: Shape 90">
            <a:extLst>
              <a:ext uri="{FF2B5EF4-FFF2-40B4-BE49-F238E27FC236}">
                <a16:creationId xmlns:a16="http://schemas.microsoft.com/office/drawing/2014/main" id="{3025C932-8834-7FE8-E5B4-D24226CA729D}"/>
              </a:ext>
            </a:extLst>
          </xdr:cNvPr>
          <xdr:cNvSpPr/>
        </xdr:nvSpPr>
        <xdr:spPr>
          <a:xfrm>
            <a:off x="7783533" y="3690535"/>
            <a:ext cx="504097" cy="376575"/>
          </a:xfrm>
          <a:custGeom>
            <a:avLst/>
            <a:gdLst>
              <a:gd name="connsiteX0" fmla="*/ 0 w 504097"/>
              <a:gd name="connsiteY0" fmla="*/ 0 h 376575"/>
              <a:gd name="connsiteX1" fmla="*/ 504097 w 504097"/>
              <a:gd name="connsiteY1" fmla="*/ 0 h 376575"/>
              <a:gd name="connsiteX2" fmla="*/ 504097 w 504097"/>
              <a:gd name="connsiteY2" fmla="*/ 376575 h 376575"/>
              <a:gd name="connsiteX3" fmla="*/ 0 w 504097"/>
              <a:gd name="connsiteY3" fmla="*/ 376575 h 376575"/>
              <a:gd name="connsiteX4" fmla="*/ 0 w 504097"/>
              <a:gd name="connsiteY4" fmla="*/ 0 h 3765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376575">
                <a:moveTo>
                  <a:pt x="0" y="0"/>
                </a:moveTo>
                <a:lnTo>
                  <a:pt x="504097" y="0"/>
                </a:lnTo>
                <a:lnTo>
                  <a:pt x="504097" y="376575"/>
                </a:lnTo>
                <a:lnTo>
                  <a:pt x="0" y="376575"/>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SMRs</a:t>
            </a:r>
          </a:p>
        </xdr:txBody>
      </xdr:sp>
      <xdr:sp macro="" textlink="">
        <xdr:nvSpPr>
          <xdr:cNvPr id="92" name="Freeform: Shape 91">
            <a:extLst>
              <a:ext uri="{FF2B5EF4-FFF2-40B4-BE49-F238E27FC236}">
                <a16:creationId xmlns:a16="http://schemas.microsoft.com/office/drawing/2014/main" id="{EE5B5060-7AF9-D38B-6ED6-08CFB02134A0}"/>
              </a:ext>
            </a:extLst>
          </xdr:cNvPr>
          <xdr:cNvSpPr/>
        </xdr:nvSpPr>
        <xdr:spPr>
          <a:xfrm>
            <a:off x="7909557" y="4172971"/>
            <a:ext cx="504097" cy="361407"/>
          </a:xfrm>
          <a:custGeom>
            <a:avLst/>
            <a:gdLst>
              <a:gd name="connsiteX0" fmla="*/ 0 w 504097"/>
              <a:gd name="connsiteY0" fmla="*/ 0 h 361407"/>
              <a:gd name="connsiteX1" fmla="*/ 504097 w 504097"/>
              <a:gd name="connsiteY1" fmla="*/ 0 h 361407"/>
              <a:gd name="connsiteX2" fmla="*/ 504097 w 504097"/>
              <a:gd name="connsiteY2" fmla="*/ 361407 h 361407"/>
              <a:gd name="connsiteX3" fmla="*/ 0 w 504097"/>
              <a:gd name="connsiteY3" fmla="*/ 361407 h 361407"/>
              <a:gd name="connsiteX4" fmla="*/ 0 w 504097"/>
              <a:gd name="connsiteY4" fmla="*/ 0 h 36140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361407">
                <a:moveTo>
                  <a:pt x="0" y="0"/>
                </a:moveTo>
                <a:lnTo>
                  <a:pt x="504097" y="0"/>
                </a:lnTo>
                <a:lnTo>
                  <a:pt x="504097" y="361407"/>
                </a:lnTo>
                <a:lnTo>
                  <a:pt x="0" y="361407"/>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X-Energy</a:t>
            </a:r>
          </a:p>
        </xdr:txBody>
      </xdr:sp>
      <xdr:sp macro="" textlink="">
        <xdr:nvSpPr>
          <xdr:cNvPr id="93" name="Freeform: Shape 92">
            <a:extLst>
              <a:ext uri="{FF2B5EF4-FFF2-40B4-BE49-F238E27FC236}">
                <a16:creationId xmlns:a16="http://schemas.microsoft.com/office/drawing/2014/main" id="{433BEE53-11AC-3D2D-2E99-9382B4C122FF}"/>
              </a:ext>
            </a:extLst>
          </xdr:cNvPr>
          <xdr:cNvSpPr/>
        </xdr:nvSpPr>
        <xdr:spPr>
          <a:xfrm>
            <a:off x="7909557" y="4640239"/>
            <a:ext cx="707076" cy="295713"/>
          </a:xfrm>
          <a:custGeom>
            <a:avLst/>
            <a:gdLst>
              <a:gd name="connsiteX0" fmla="*/ 0 w 707076"/>
              <a:gd name="connsiteY0" fmla="*/ 0 h 295713"/>
              <a:gd name="connsiteX1" fmla="*/ 707076 w 707076"/>
              <a:gd name="connsiteY1" fmla="*/ 0 h 295713"/>
              <a:gd name="connsiteX2" fmla="*/ 707076 w 707076"/>
              <a:gd name="connsiteY2" fmla="*/ 295713 h 295713"/>
              <a:gd name="connsiteX3" fmla="*/ 0 w 707076"/>
              <a:gd name="connsiteY3" fmla="*/ 295713 h 295713"/>
              <a:gd name="connsiteX4" fmla="*/ 0 w 707076"/>
              <a:gd name="connsiteY4" fmla="*/ 0 h 29571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07076" h="295713">
                <a:moveTo>
                  <a:pt x="0" y="0"/>
                </a:moveTo>
                <a:lnTo>
                  <a:pt x="707076" y="0"/>
                </a:lnTo>
                <a:lnTo>
                  <a:pt x="707076" y="295713"/>
                </a:lnTo>
                <a:lnTo>
                  <a:pt x="0" y="295713"/>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Nuscale</a:t>
            </a:r>
          </a:p>
        </xdr:txBody>
      </xdr:sp>
      <xdr:sp macro="" textlink="">
        <xdr:nvSpPr>
          <xdr:cNvPr id="94" name="Freeform: Shape 93">
            <a:extLst>
              <a:ext uri="{FF2B5EF4-FFF2-40B4-BE49-F238E27FC236}">
                <a16:creationId xmlns:a16="http://schemas.microsoft.com/office/drawing/2014/main" id="{B9496DAA-8AE2-CD16-CEEE-71B566CFE95C}"/>
              </a:ext>
            </a:extLst>
          </xdr:cNvPr>
          <xdr:cNvSpPr/>
        </xdr:nvSpPr>
        <xdr:spPr>
          <a:xfrm>
            <a:off x="7909557" y="5041813"/>
            <a:ext cx="972489" cy="252048"/>
          </a:xfrm>
          <a:custGeom>
            <a:avLst/>
            <a:gdLst>
              <a:gd name="connsiteX0" fmla="*/ 0 w 972489"/>
              <a:gd name="connsiteY0" fmla="*/ 0 h 252048"/>
              <a:gd name="connsiteX1" fmla="*/ 972489 w 972489"/>
              <a:gd name="connsiteY1" fmla="*/ 0 h 252048"/>
              <a:gd name="connsiteX2" fmla="*/ 972489 w 972489"/>
              <a:gd name="connsiteY2" fmla="*/ 252048 h 252048"/>
              <a:gd name="connsiteX3" fmla="*/ 0 w 972489"/>
              <a:gd name="connsiteY3" fmla="*/ 252048 h 252048"/>
              <a:gd name="connsiteX4" fmla="*/ 0 w 972489"/>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72489" h="252048">
                <a:moveTo>
                  <a:pt x="0" y="0"/>
                </a:moveTo>
                <a:lnTo>
                  <a:pt x="972489" y="0"/>
                </a:lnTo>
                <a:lnTo>
                  <a:pt x="972489"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Westinghouse</a:t>
            </a:r>
          </a:p>
        </xdr:txBody>
      </xdr:sp>
      <xdr:sp macro="" textlink="">
        <xdr:nvSpPr>
          <xdr:cNvPr id="95" name="Freeform: Shape 94">
            <a:extLst>
              <a:ext uri="{FF2B5EF4-FFF2-40B4-BE49-F238E27FC236}">
                <a16:creationId xmlns:a16="http://schemas.microsoft.com/office/drawing/2014/main" id="{65C4DA05-C592-81B2-426A-C1D8A4488740}"/>
              </a:ext>
            </a:extLst>
          </xdr:cNvPr>
          <xdr:cNvSpPr/>
        </xdr:nvSpPr>
        <xdr:spPr>
          <a:xfrm>
            <a:off x="7909557" y="5399722"/>
            <a:ext cx="1235668" cy="252048"/>
          </a:xfrm>
          <a:custGeom>
            <a:avLst/>
            <a:gdLst>
              <a:gd name="connsiteX0" fmla="*/ 0 w 1235668"/>
              <a:gd name="connsiteY0" fmla="*/ 0 h 252048"/>
              <a:gd name="connsiteX1" fmla="*/ 1235668 w 1235668"/>
              <a:gd name="connsiteY1" fmla="*/ 0 h 252048"/>
              <a:gd name="connsiteX2" fmla="*/ 1235668 w 1235668"/>
              <a:gd name="connsiteY2" fmla="*/ 252048 h 252048"/>
              <a:gd name="connsiteX3" fmla="*/ 0 w 1235668"/>
              <a:gd name="connsiteY3" fmla="*/ 252048 h 252048"/>
              <a:gd name="connsiteX4" fmla="*/ 0 w 1235668"/>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35668" h="252048">
                <a:moveTo>
                  <a:pt x="0" y="0"/>
                </a:moveTo>
                <a:lnTo>
                  <a:pt x="1235668" y="0"/>
                </a:lnTo>
                <a:lnTo>
                  <a:pt x="1235668"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Rolls-Royce</a:t>
            </a:r>
          </a:p>
        </xdr:txBody>
      </xdr:sp>
      <xdr:sp macro="" textlink="">
        <xdr:nvSpPr>
          <xdr:cNvPr id="96" name="Freeform: Shape 95">
            <a:extLst>
              <a:ext uri="{FF2B5EF4-FFF2-40B4-BE49-F238E27FC236}">
                <a16:creationId xmlns:a16="http://schemas.microsoft.com/office/drawing/2014/main" id="{A8D12F9E-842B-3952-A443-442F6E8E7B0C}"/>
              </a:ext>
            </a:extLst>
          </xdr:cNvPr>
          <xdr:cNvSpPr/>
        </xdr:nvSpPr>
        <xdr:spPr>
          <a:xfrm>
            <a:off x="7909557" y="5757631"/>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Hitachi</a:t>
            </a:r>
          </a:p>
        </xdr:txBody>
      </xdr:sp>
      <xdr:sp macro="" textlink="">
        <xdr:nvSpPr>
          <xdr:cNvPr id="97" name="Freeform: Shape 96">
            <a:extLst>
              <a:ext uri="{FF2B5EF4-FFF2-40B4-BE49-F238E27FC236}">
                <a16:creationId xmlns:a16="http://schemas.microsoft.com/office/drawing/2014/main" id="{60A2E42C-E18E-1D6E-A3DA-C3EA431E2A7B}"/>
              </a:ext>
            </a:extLst>
          </xdr:cNvPr>
          <xdr:cNvSpPr/>
        </xdr:nvSpPr>
        <xdr:spPr>
          <a:xfrm>
            <a:off x="7909557" y="6115539"/>
            <a:ext cx="1053467" cy="252048"/>
          </a:xfrm>
          <a:custGeom>
            <a:avLst/>
            <a:gdLst>
              <a:gd name="connsiteX0" fmla="*/ 0 w 1053467"/>
              <a:gd name="connsiteY0" fmla="*/ 0 h 252048"/>
              <a:gd name="connsiteX1" fmla="*/ 1053467 w 1053467"/>
              <a:gd name="connsiteY1" fmla="*/ 0 h 252048"/>
              <a:gd name="connsiteX2" fmla="*/ 1053467 w 1053467"/>
              <a:gd name="connsiteY2" fmla="*/ 252048 h 252048"/>
              <a:gd name="connsiteX3" fmla="*/ 0 w 1053467"/>
              <a:gd name="connsiteY3" fmla="*/ 252048 h 252048"/>
              <a:gd name="connsiteX4" fmla="*/ 0 w 105346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53467" h="252048">
                <a:moveTo>
                  <a:pt x="0" y="0"/>
                </a:moveTo>
                <a:lnTo>
                  <a:pt x="1053467" y="0"/>
                </a:lnTo>
                <a:lnTo>
                  <a:pt x="1053467" y="252048"/>
                </a:lnTo>
                <a:lnTo>
                  <a:pt x="0" y="252048"/>
                </a:lnTo>
                <a:lnTo>
                  <a:pt x="0" y="0"/>
                </a:lnTo>
                <a:close/>
              </a:path>
            </a:pathLst>
          </a:custGeom>
          <a:solidFill>
            <a:schemeClr val="accent3"/>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Terrapower</a:t>
            </a:r>
          </a:p>
        </xdr:txBody>
      </xdr:sp>
      <xdr:sp macro="" textlink="">
        <xdr:nvSpPr>
          <xdr:cNvPr id="98" name="Freeform: Shape 97">
            <a:extLst>
              <a:ext uri="{FF2B5EF4-FFF2-40B4-BE49-F238E27FC236}">
                <a16:creationId xmlns:a16="http://schemas.microsoft.com/office/drawing/2014/main" id="{6C68896D-C9C8-B68B-2EAA-3BB659D9D092}"/>
              </a:ext>
            </a:extLst>
          </xdr:cNvPr>
          <xdr:cNvSpPr/>
        </xdr:nvSpPr>
        <xdr:spPr>
          <a:xfrm>
            <a:off x="8640422" y="3099884"/>
            <a:ext cx="620190" cy="432585"/>
          </a:xfrm>
          <a:custGeom>
            <a:avLst/>
            <a:gdLst>
              <a:gd name="connsiteX0" fmla="*/ 0 w 620190"/>
              <a:gd name="connsiteY0" fmla="*/ 0 h 432585"/>
              <a:gd name="connsiteX1" fmla="*/ 620190 w 620190"/>
              <a:gd name="connsiteY1" fmla="*/ 0 h 432585"/>
              <a:gd name="connsiteX2" fmla="*/ 620190 w 620190"/>
              <a:gd name="connsiteY2" fmla="*/ 432585 h 432585"/>
              <a:gd name="connsiteX3" fmla="*/ 0 w 620190"/>
              <a:gd name="connsiteY3" fmla="*/ 432585 h 432585"/>
              <a:gd name="connsiteX4" fmla="*/ 0 w 620190"/>
              <a:gd name="connsiteY4" fmla="*/ 0 h 43258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20190" h="432585">
                <a:moveTo>
                  <a:pt x="0" y="0"/>
                </a:moveTo>
                <a:lnTo>
                  <a:pt x="620190" y="0"/>
                </a:lnTo>
                <a:lnTo>
                  <a:pt x="620190" y="432585"/>
                </a:lnTo>
                <a:lnTo>
                  <a:pt x="0" y="432585"/>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Process </a:t>
            </a:r>
          </a:p>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(7%)</a:t>
            </a:r>
          </a:p>
        </xdr:txBody>
      </xdr:sp>
      <xdr:sp macro="" textlink="">
        <xdr:nvSpPr>
          <xdr:cNvPr id="99" name="Freeform: Shape 98">
            <a:extLst>
              <a:ext uri="{FF2B5EF4-FFF2-40B4-BE49-F238E27FC236}">
                <a16:creationId xmlns:a16="http://schemas.microsoft.com/office/drawing/2014/main" id="{6E4561D2-27EF-5143-B184-4EBDD0493C87}"/>
              </a:ext>
            </a:extLst>
          </xdr:cNvPr>
          <xdr:cNvSpPr/>
        </xdr:nvSpPr>
        <xdr:spPr>
          <a:xfrm>
            <a:off x="8393490" y="3638331"/>
            <a:ext cx="504097" cy="324739"/>
          </a:xfrm>
          <a:custGeom>
            <a:avLst/>
            <a:gdLst>
              <a:gd name="connsiteX0" fmla="*/ 0 w 504097"/>
              <a:gd name="connsiteY0" fmla="*/ 0 h 324739"/>
              <a:gd name="connsiteX1" fmla="*/ 504097 w 504097"/>
              <a:gd name="connsiteY1" fmla="*/ 0 h 324739"/>
              <a:gd name="connsiteX2" fmla="*/ 504097 w 504097"/>
              <a:gd name="connsiteY2" fmla="*/ 324739 h 324739"/>
              <a:gd name="connsiteX3" fmla="*/ 0 w 504097"/>
              <a:gd name="connsiteY3" fmla="*/ 324739 h 324739"/>
              <a:gd name="connsiteX4" fmla="*/ 0 w 504097"/>
              <a:gd name="connsiteY4" fmla="*/ 0 h 3247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324739">
                <a:moveTo>
                  <a:pt x="0" y="0"/>
                </a:moveTo>
                <a:lnTo>
                  <a:pt x="504097" y="0"/>
                </a:lnTo>
                <a:lnTo>
                  <a:pt x="504097" y="324739"/>
                </a:lnTo>
                <a:lnTo>
                  <a:pt x="0" y="324739"/>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Oil &amp; Gas</a:t>
            </a:r>
          </a:p>
        </xdr:txBody>
      </xdr:sp>
      <xdr:sp macro="" textlink="">
        <xdr:nvSpPr>
          <xdr:cNvPr id="100" name="Freeform: Shape 99">
            <a:extLst>
              <a:ext uri="{FF2B5EF4-FFF2-40B4-BE49-F238E27FC236}">
                <a16:creationId xmlns:a16="http://schemas.microsoft.com/office/drawing/2014/main" id="{D1837234-2D93-981B-29FC-07172C26DBE1}"/>
              </a:ext>
            </a:extLst>
          </xdr:cNvPr>
          <xdr:cNvSpPr/>
        </xdr:nvSpPr>
        <xdr:spPr>
          <a:xfrm>
            <a:off x="9003448" y="3638331"/>
            <a:ext cx="504097" cy="347839"/>
          </a:xfrm>
          <a:custGeom>
            <a:avLst/>
            <a:gdLst>
              <a:gd name="connsiteX0" fmla="*/ 0 w 504097"/>
              <a:gd name="connsiteY0" fmla="*/ 0 h 347839"/>
              <a:gd name="connsiteX1" fmla="*/ 504097 w 504097"/>
              <a:gd name="connsiteY1" fmla="*/ 0 h 347839"/>
              <a:gd name="connsiteX2" fmla="*/ 504097 w 504097"/>
              <a:gd name="connsiteY2" fmla="*/ 347839 h 347839"/>
              <a:gd name="connsiteX3" fmla="*/ 0 w 504097"/>
              <a:gd name="connsiteY3" fmla="*/ 347839 h 347839"/>
              <a:gd name="connsiteX4" fmla="*/ 0 w 504097"/>
              <a:gd name="connsiteY4" fmla="*/ 0 h 34783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347839">
                <a:moveTo>
                  <a:pt x="0" y="0"/>
                </a:moveTo>
                <a:lnTo>
                  <a:pt x="504097" y="0"/>
                </a:lnTo>
                <a:lnTo>
                  <a:pt x="504097" y="347839"/>
                </a:lnTo>
                <a:lnTo>
                  <a:pt x="0" y="347839"/>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Petro-chem</a:t>
            </a:r>
          </a:p>
        </xdr:txBody>
      </xdr:sp>
      <xdr:sp macro="" textlink="">
        <xdr:nvSpPr>
          <xdr:cNvPr id="101" name="Freeform: Shape 100">
            <a:extLst>
              <a:ext uri="{FF2B5EF4-FFF2-40B4-BE49-F238E27FC236}">
                <a16:creationId xmlns:a16="http://schemas.microsoft.com/office/drawing/2014/main" id="{DBBBEA67-AF79-9F41-8D5A-736110EBC524}"/>
              </a:ext>
            </a:extLst>
          </xdr:cNvPr>
          <xdr:cNvSpPr/>
        </xdr:nvSpPr>
        <xdr:spPr>
          <a:xfrm>
            <a:off x="9129472" y="4092031"/>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rgbClr val="92D050"/>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solidFill>
                  <a:schemeClr val="bg1"/>
                </a:solidFill>
                <a:latin typeface="Arial" panose="020B0604020202020204" pitchFamily="34" charset="0"/>
                <a:cs typeface="Arial" panose="020B0604020202020204" pitchFamily="34" charset="0"/>
              </a:rPr>
              <a:t>Shell</a:t>
            </a:r>
          </a:p>
        </xdr:txBody>
      </xdr:sp>
      <xdr:sp macro="" textlink="">
        <xdr:nvSpPr>
          <xdr:cNvPr id="102" name="Freeform: Shape 101">
            <a:extLst>
              <a:ext uri="{FF2B5EF4-FFF2-40B4-BE49-F238E27FC236}">
                <a16:creationId xmlns:a16="http://schemas.microsoft.com/office/drawing/2014/main" id="{9E29D3C7-552D-10A2-A399-7B6495FE0588}"/>
              </a:ext>
            </a:extLst>
          </xdr:cNvPr>
          <xdr:cNvSpPr/>
        </xdr:nvSpPr>
        <xdr:spPr>
          <a:xfrm>
            <a:off x="9129472" y="4449940"/>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rgbClr val="92D050"/>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Petrobras</a:t>
            </a:r>
          </a:p>
        </xdr:txBody>
      </xdr:sp>
      <xdr:sp macro="" textlink="">
        <xdr:nvSpPr>
          <xdr:cNvPr id="103" name="Freeform: Shape 102">
            <a:extLst>
              <a:ext uri="{FF2B5EF4-FFF2-40B4-BE49-F238E27FC236}">
                <a16:creationId xmlns:a16="http://schemas.microsoft.com/office/drawing/2014/main" id="{6BF5EC30-383D-1D28-C2FA-FE3BB27D82DA}"/>
              </a:ext>
            </a:extLst>
          </xdr:cNvPr>
          <xdr:cNvSpPr/>
        </xdr:nvSpPr>
        <xdr:spPr>
          <a:xfrm>
            <a:off x="9129472" y="4807848"/>
            <a:ext cx="504097" cy="252048"/>
          </a:xfrm>
          <a:custGeom>
            <a:avLst/>
            <a:gdLst>
              <a:gd name="connsiteX0" fmla="*/ 0 w 504097"/>
              <a:gd name="connsiteY0" fmla="*/ 0 h 252048"/>
              <a:gd name="connsiteX1" fmla="*/ 504097 w 504097"/>
              <a:gd name="connsiteY1" fmla="*/ 0 h 252048"/>
              <a:gd name="connsiteX2" fmla="*/ 504097 w 504097"/>
              <a:gd name="connsiteY2" fmla="*/ 252048 h 252048"/>
              <a:gd name="connsiteX3" fmla="*/ 0 w 504097"/>
              <a:gd name="connsiteY3" fmla="*/ 252048 h 252048"/>
              <a:gd name="connsiteX4" fmla="*/ 0 w 504097"/>
              <a:gd name="connsiteY4" fmla="*/ 0 h 25204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04097" h="252048">
                <a:moveTo>
                  <a:pt x="0" y="0"/>
                </a:moveTo>
                <a:lnTo>
                  <a:pt x="504097" y="0"/>
                </a:lnTo>
                <a:lnTo>
                  <a:pt x="504097" y="252048"/>
                </a:lnTo>
                <a:lnTo>
                  <a:pt x="0" y="252048"/>
                </a:lnTo>
                <a:lnTo>
                  <a:pt x="0" y="0"/>
                </a:lnTo>
                <a:close/>
              </a:path>
            </a:pathLst>
          </a:custGeom>
          <a:solidFill>
            <a:srgbClr val="92D050"/>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Sapiem</a:t>
            </a:r>
          </a:p>
        </xdr:txBody>
      </xdr:sp>
      <xdr:sp macro="" textlink="">
        <xdr:nvSpPr>
          <xdr:cNvPr id="104" name="Freeform: Shape 103">
            <a:extLst>
              <a:ext uri="{FF2B5EF4-FFF2-40B4-BE49-F238E27FC236}">
                <a16:creationId xmlns:a16="http://schemas.microsoft.com/office/drawing/2014/main" id="{C75E82E3-3468-2034-5FCC-A39465F7A17C}"/>
              </a:ext>
            </a:extLst>
          </xdr:cNvPr>
          <xdr:cNvSpPr/>
        </xdr:nvSpPr>
        <xdr:spPr>
          <a:xfrm>
            <a:off x="9613405" y="3099884"/>
            <a:ext cx="761458" cy="599943"/>
          </a:xfrm>
          <a:custGeom>
            <a:avLst/>
            <a:gdLst>
              <a:gd name="connsiteX0" fmla="*/ 0 w 761458"/>
              <a:gd name="connsiteY0" fmla="*/ 0 h 599943"/>
              <a:gd name="connsiteX1" fmla="*/ 761458 w 761458"/>
              <a:gd name="connsiteY1" fmla="*/ 0 h 599943"/>
              <a:gd name="connsiteX2" fmla="*/ 761458 w 761458"/>
              <a:gd name="connsiteY2" fmla="*/ 599943 h 599943"/>
              <a:gd name="connsiteX3" fmla="*/ 0 w 761458"/>
              <a:gd name="connsiteY3" fmla="*/ 599943 h 599943"/>
              <a:gd name="connsiteX4" fmla="*/ 0 w 761458"/>
              <a:gd name="connsiteY4" fmla="*/ 0 h 59994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61458" h="599943">
                <a:moveTo>
                  <a:pt x="0" y="0"/>
                </a:moveTo>
                <a:lnTo>
                  <a:pt x="761458" y="0"/>
                </a:lnTo>
                <a:lnTo>
                  <a:pt x="761458" y="599943"/>
                </a:lnTo>
                <a:lnTo>
                  <a:pt x="0" y="599943"/>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Industrial Vehicles</a:t>
            </a:r>
          </a:p>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(10%)</a:t>
            </a:r>
          </a:p>
        </xdr:txBody>
      </xdr:sp>
      <xdr:sp macro="" textlink="">
        <xdr:nvSpPr>
          <xdr:cNvPr id="105" name="Freeform: Shape 104">
            <a:extLst>
              <a:ext uri="{FF2B5EF4-FFF2-40B4-BE49-F238E27FC236}">
                <a16:creationId xmlns:a16="http://schemas.microsoft.com/office/drawing/2014/main" id="{2FF14F54-D928-05EC-6A8C-7D2239CA10FF}"/>
              </a:ext>
            </a:extLst>
          </xdr:cNvPr>
          <xdr:cNvSpPr/>
        </xdr:nvSpPr>
        <xdr:spPr>
          <a:xfrm>
            <a:off x="9803770" y="3805688"/>
            <a:ext cx="635464" cy="458667"/>
          </a:xfrm>
          <a:custGeom>
            <a:avLst/>
            <a:gdLst>
              <a:gd name="connsiteX0" fmla="*/ 0 w 635464"/>
              <a:gd name="connsiteY0" fmla="*/ 0 h 458667"/>
              <a:gd name="connsiteX1" fmla="*/ 635464 w 635464"/>
              <a:gd name="connsiteY1" fmla="*/ 0 h 458667"/>
              <a:gd name="connsiteX2" fmla="*/ 635464 w 635464"/>
              <a:gd name="connsiteY2" fmla="*/ 458667 h 458667"/>
              <a:gd name="connsiteX3" fmla="*/ 0 w 635464"/>
              <a:gd name="connsiteY3" fmla="*/ 458667 h 458667"/>
              <a:gd name="connsiteX4" fmla="*/ 0 w 635464"/>
              <a:gd name="connsiteY4" fmla="*/ 0 h 45866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5464" h="458667">
                <a:moveTo>
                  <a:pt x="0" y="0"/>
                </a:moveTo>
                <a:lnTo>
                  <a:pt x="635464" y="0"/>
                </a:lnTo>
                <a:lnTo>
                  <a:pt x="635464" y="458667"/>
                </a:lnTo>
                <a:lnTo>
                  <a:pt x="0" y="458667"/>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On Highway (5%) </a:t>
            </a:r>
          </a:p>
        </xdr:txBody>
      </xdr:sp>
      <xdr:sp macro="" textlink="">
        <xdr:nvSpPr>
          <xdr:cNvPr id="106" name="Freeform: Shape 105">
            <a:extLst>
              <a:ext uri="{FF2B5EF4-FFF2-40B4-BE49-F238E27FC236}">
                <a16:creationId xmlns:a16="http://schemas.microsoft.com/office/drawing/2014/main" id="{8BB4E52A-09A2-77D9-B7C9-6009EEB0BFF1}"/>
              </a:ext>
            </a:extLst>
          </xdr:cNvPr>
          <xdr:cNvSpPr/>
        </xdr:nvSpPr>
        <xdr:spPr>
          <a:xfrm>
            <a:off x="9803770" y="4370217"/>
            <a:ext cx="635464" cy="474763"/>
          </a:xfrm>
          <a:custGeom>
            <a:avLst/>
            <a:gdLst>
              <a:gd name="connsiteX0" fmla="*/ 0 w 635464"/>
              <a:gd name="connsiteY0" fmla="*/ 0 h 474763"/>
              <a:gd name="connsiteX1" fmla="*/ 635464 w 635464"/>
              <a:gd name="connsiteY1" fmla="*/ 0 h 474763"/>
              <a:gd name="connsiteX2" fmla="*/ 635464 w 635464"/>
              <a:gd name="connsiteY2" fmla="*/ 474763 h 474763"/>
              <a:gd name="connsiteX3" fmla="*/ 0 w 635464"/>
              <a:gd name="connsiteY3" fmla="*/ 474763 h 474763"/>
              <a:gd name="connsiteX4" fmla="*/ 0 w 635464"/>
              <a:gd name="connsiteY4" fmla="*/ 0 h 47476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35464" h="474763">
                <a:moveTo>
                  <a:pt x="0" y="0"/>
                </a:moveTo>
                <a:lnTo>
                  <a:pt x="635464" y="0"/>
                </a:lnTo>
                <a:lnTo>
                  <a:pt x="635464" y="474763"/>
                </a:lnTo>
                <a:lnTo>
                  <a:pt x="0" y="474763"/>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Off Highway (4%)</a:t>
            </a:r>
          </a:p>
        </xdr:txBody>
      </xdr:sp>
      <xdr:sp macro="" textlink="">
        <xdr:nvSpPr>
          <xdr:cNvPr id="107" name="Freeform: Shape 106">
            <a:extLst>
              <a:ext uri="{FF2B5EF4-FFF2-40B4-BE49-F238E27FC236}">
                <a16:creationId xmlns:a16="http://schemas.microsoft.com/office/drawing/2014/main" id="{FF91D122-7362-71F6-7016-7CC7AF9A50CE}"/>
              </a:ext>
            </a:extLst>
          </xdr:cNvPr>
          <xdr:cNvSpPr/>
        </xdr:nvSpPr>
        <xdr:spPr>
          <a:xfrm>
            <a:off x="9803770" y="4950841"/>
            <a:ext cx="679386" cy="439794"/>
          </a:xfrm>
          <a:custGeom>
            <a:avLst/>
            <a:gdLst>
              <a:gd name="connsiteX0" fmla="*/ 0 w 679386"/>
              <a:gd name="connsiteY0" fmla="*/ 0 h 439794"/>
              <a:gd name="connsiteX1" fmla="*/ 679386 w 679386"/>
              <a:gd name="connsiteY1" fmla="*/ 0 h 439794"/>
              <a:gd name="connsiteX2" fmla="*/ 679386 w 679386"/>
              <a:gd name="connsiteY2" fmla="*/ 439794 h 439794"/>
              <a:gd name="connsiteX3" fmla="*/ 0 w 679386"/>
              <a:gd name="connsiteY3" fmla="*/ 439794 h 439794"/>
              <a:gd name="connsiteX4" fmla="*/ 0 w 679386"/>
              <a:gd name="connsiteY4" fmla="*/ 0 h 43979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79386" h="439794">
                <a:moveTo>
                  <a:pt x="0" y="0"/>
                </a:moveTo>
                <a:lnTo>
                  <a:pt x="679386" y="0"/>
                </a:lnTo>
                <a:lnTo>
                  <a:pt x="679386" y="439794"/>
                </a:lnTo>
                <a:lnTo>
                  <a:pt x="0" y="439794"/>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Speciality </a:t>
            </a:r>
          </a:p>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(1%)</a:t>
            </a:r>
          </a:p>
        </xdr:txBody>
      </xdr:sp>
      <xdr:sp macro="" textlink="">
        <xdr:nvSpPr>
          <xdr:cNvPr id="108" name="Freeform: Shape 107">
            <a:extLst>
              <a:ext uri="{FF2B5EF4-FFF2-40B4-BE49-F238E27FC236}">
                <a16:creationId xmlns:a16="http://schemas.microsoft.com/office/drawing/2014/main" id="{A0359858-6480-4559-C7DE-201F50953D05}"/>
              </a:ext>
            </a:extLst>
          </xdr:cNvPr>
          <xdr:cNvSpPr/>
        </xdr:nvSpPr>
        <xdr:spPr>
          <a:xfrm>
            <a:off x="10480725" y="3099884"/>
            <a:ext cx="886878" cy="684831"/>
          </a:xfrm>
          <a:custGeom>
            <a:avLst/>
            <a:gdLst>
              <a:gd name="connsiteX0" fmla="*/ 0 w 886878"/>
              <a:gd name="connsiteY0" fmla="*/ 0 h 684831"/>
              <a:gd name="connsiteX1" fmla="*/ 886878 w 886878"/>
              <a:gd name="connsiteY1" fmla="*/ 0 h 684831"/>
              <a:gd name="connsiteX2" fmla="*/ 886878 w 886878"/>
              <a:gd name="connsiteY2" fmla="*/ 684831 h 684831"/>
              <a:gd name="connsiteX3" fmla="*/ 0 w 886878"/>
              <a:gd name="connsiteY3" fmla="*/ 684831 h 684831"/>
              <a:gd name="connsiteX4" fmla="*/ 0 w 886878"/>
              <a:gd name="connsiteY4" fmla="*/ 0 h 68483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86878" h="684831">
                <a:moveTo>
                  <a:pt x="0" y="0"/>
                </a:moveTo>
                <a:lnTo>
                  <a:pt x="886878" y="0"/>
                </a:lnTo>
                <a:lnTo>
                  <a:pt x="886878" y="684831"/>
                </a:lnTo>
                <a:lnTo>
                  <a:pt x="0" y="684831"/>
                </a:lnTo>
                <a:lnTo>
                  <a:pt x="0" y="0"/>
                </a:lnTo>
                <a:close/>
              </a:path>
            </a:pathLst>
          </a:custGeom>
          <a:solidFill>
            <a:schemeClr val="accent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Industrial Automation, Services (6%)</a:t>
            </a:r>
          </a:p>
        </xdr:txBody>
      </xdr:sp>
      <xdr:sp macro="" textlink="">
        <xdr:nvSpPr>
          <xdr:cNvPr id="109" name="Freeform: Shape 108">
            <a:extLst>
              <a:ext uri="{FF2B5EF4-FFF2-40B4-BE49-F238E27FC236}">
                <a16:creationId xmlns:a16="http://schemas.microsoft.com/office/drawing/2014/main" id="{5DC23E4B-9D37-B95E-A84F-8C12C007B7F3}"/>
              </a:ext>
            </a:extLst>
          </xdr:cNvPr>
          <xdr:cNvSpPr/>
        </xdr:nvSpPr>
        <xdr:spPr>
          <a:xfrm>
            <a:off x="10702444" y="3890576"/>
            <a:ext cx="648848" cy="521533"/>
          </a:xfrm>
          <a:custGeom>
            <a:avLst/>
            <a:gdLst>
              <a:gd name="connsiteX0" fmla="*/ 0 w 648848"/>
              <a:gd name="connsiteY0" fmla="*/ 0 h 521533"/>
              <a:gd name="connsiteX1" fmla="*/ 648848 w 648848"/>
              <a:gd name="connsiteY1" fmla="*/ 0 h 521533"/>
              <a:gd name="connsiteX2" fmla="*/ 648848 w 648848"/>
              <a:gd name="connsiteY2" fmla="*/ 521533 h 521533"/>
              <a:gd name="connsiteX3" fmla="*/ 0 w 648848"/>
              <a:gd name="connsiteY3" fmla="*/ 521533 h 521533"/>
              <a:gd name="connsiteX4" fmla="*/ 0 w 648848"/>
              <a:gd name="connsiteY4" fmla="*/ 0 h 52153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48848" h="521533">
                <a:moveTo>
                  <a:pt x="0" y="0"/>
                </a:moveTo>
                <a:lnTo>
                  <a:pt x="648848" y="0"/>
                </a:lnTo>
                <a:lnTo>
                  <a:pt x="648848" y="521533"/>
                </a:lnTo>
                <a:lnTo>
                  <a:pt x="0" y="521533"/>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Actuation </a:t>
            </a:r>
          </a:p>
        </xdr:txBody>
      </xdr:sp>
      <xdr:sp macro="" textlink="">
        <xdr:nvSpPr>
          <xdr:cNvPr id="110" name="Freeform: Shape 109">
            <a:extLst>
              <a:ext uri="{FF2B5EF4-FFF2-40B4-BE49-F238E27FC236}">
                <a16:creationId xmlns:a16="http://schemas.microsoft.com/office/drawing/2014/main" id="{4C7A750C-9DF7-4CD1-9B84-A093949851FA}"/>
              </a:ext>
            </a:extLst>
          </xdr:cNvPr>
          <xdr:cNvSpPr/>
        </xdr:nvSpPr>
        <xdr:spPr>
          <a:xfrm>
            <a:off x="10702444" y="4517970"/>
            <a:ext cx="706315" cy="584026"/>
          </a:xfrm>
          <a:custGeom>
            <a:avLst/>
            <a:gdLst>
              <a:gd name="connsiteX0" fmla="*/ 0 w 706315"/>
              <a:gd name="connsiteY0" fmla="*/ 0 h 584026"/>
              <a:gd name="connsiteX1" fmla="*/ 706315 w 706315"/>
              <a:gd name="connsiteY1" fmla="*/ 0 h 584026"/>
              <a:gd name="connsiteX2" fmla="*/ 706315 w 706315"/>
              <a:gd name="connsiteY2" fmla="*/ 584026 h 584026"/>
              <a:gd name="connsiteX3" fmla="*/ 0 w 706315"/>
              <a:gd name="connsiteY3" fmla="*/ 584026 h 584026"/>
              <a:gd name="connsiteX4" fmla="*/ 0 w 706315"/>
              <a:gd name="connsiteY4" fmla="*/ 0 h 58402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06315" h="584026">
                <a:moveTo>
                  <a:pt x="0" y="0"/>
                </a:moveTo>
                <a:lnTo>
                  <a:pt x="706315" y="0"/>
                </a:lnTo>
                <a:lnTo>
                  <a:pt x="706315" y="584026"/>
                </a:lnTo>
                <a:lnTo>
                  <a:pt x="0" y="584026"/>
                </a:lnTo>
                <a:lnTo>
                  <a:pt x="0" y="0"/>
                </a:lnTo>
                <a:close/>
              </a:path>
            </a:pathLst>
          </a:custGeom>
          <a:solidFill>
            <a:schemeClr val="tx2"/>
          </a:solidFill>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sz="1000" kern="1200" dirty="0">
                <a:latin typeface="Arial" panose="020B0604020202020204" pitchFamily="34" charset="0"/>
                <a:cs typeface="Arial" panose="020B0604020202020204" pitchFamily="34" charset="0"/>
              </a:rPr>
              <a:t>Surface treatment services </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arfiler01.int.cw.local\dept_share\Tapco%20Curtiss%20Wright\Dec02%20Close\Dec%202002%20Backlog%20Rollforward.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HARED/EVERYONE/ANALYSTS/BSS/AYX/AYX%20-%20Internal%20Model%20-%20Do%20Not%20Distribute.xlsx" TargetMode="External"/><Relationship Id="rId1" Type="http://schemas.openxmlformats.org/officeDocument/2006/relationships/externalLinkPath" Target="/SHARED/EVERYONE/ANALYSTS/BSS/AYX/AYX%20-%20Internal%20Model%20-%20Do%20Not%20Distribu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liath\users$\Company%20Models\FLEX\flex.o.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Startup" Target="ER17/sfleck/SFWK1/CLS_NEW.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3Q03Previewtable.xls" TargetMode="External"/><Relationship Id="rId1" Type="http://schemas.openxmlformats.org/officeDocument/2006/relationships/externalLinkPath" Target="/3Q03Previewtable.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Semiconductor/Ross%20Models%202003/MCRL/valuations.xls" TargetMode="External"/><Relationship Id="rId1" Type="http://schemas.openxmlformats.org/officeDocument/2006/relationships/externalLinkPath" Target="/Semiconductor/Ross%20Models%202003/MCRL/valu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JSR\MODELS\SCSC%204-24-08.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sanm.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ompany%20Work%20in%20Process/dave%20and%20busters/DAB%201-9-04.xls" TargetMode="External"/><Relationship Id="rId1" Type="http://schemas.openxmlformats.org/officeDocument/2006/relationships/externalLinkPath" Target="/Company%20Work%20in%20Process/dave%20and%20busters/DAB%201-9-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guglielmelli\silvia\Brasil\Junio\Boo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uglielmelli\silvia\Balances\Modelo%20price\BALANCEBAP.1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guglielmelli\silvia\2002\Balances\Boo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services.intralinks.com/services/workspaces/documents/file/Forecast_Model_v150%20(support%20for%20Q3-Q4%202010%20Deferred%20Revenu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RSD\1_CoveredCompanies\TRCR\Model\TRCR.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SHARED/EVERYONE/ANALYSTS/BSS/SNOW/SNOW%20model%20-%20LIVE%20Edit%20JR.xlsx" TargetMode="External"/><Relationship Id="rId1" Type="http://schemas.openxmlformats.org/officeDocument/2006/relationships/externalLinkPath" Target="/SHARED/EVERYONE/ANALYSTS/BSS/SNOW/SNOW%20model%20-%20LIVE%20Edit%20JR.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services.intralinks.com/departments/Consulting%20Services/Content%20Services/Content%20Sales/Completed%20Deals%20&amp;%20Pipeline%201-16-0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orp.bvp.com\data\departments\Consulting%20Services\Content%20Services\Content%20Sales\Completed%20Deals%20&amp;%20Pipeline%201-16-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JSR\MODELS\JBL%203-24-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srcha\RSRCHAHOME\SHARED\EVERYONE\ANALYSTS\LJL\vrts\INS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rsrcha\rsrchashare\SHARED\EVERYONE\ANALYSTS\LJL\vrts\INS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JSR\MODELS\ZBRA%2010-23-0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JSR\MODELS\LLTC%204-16-0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WARD\DLGC\DLGCNICK.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goliath\research$\SHARED\RESEARCH\Mossberg\Companies\ODS%20Networks\Odsimod1-21-00.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Company%20Work%20in%20Process/Federal%20Signal/FSS%20MASTER.xls" TargetMode="External"/><Relationship Id="rId1" Type="http://schemas.openxmlformats.org/officeDocument/2006/relationships/externalLinkPath" Target="/Company%20Work%20in%20Process/Federal%20Signal/FSS%20MASTER.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parfiler01.int.cw.local\dept_share\tax\F\Feacher\Matthew%20Clark\IP&amp;RD4.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Company%20Work%20in%20Process/Paxar/Copy%20of%20pxr%203-07-03.xls" TargetMode="External"/><Relationship Id="rId1" Type="http://schemas.openxmlformats.org/officeDocument/2006/relationships/externalLinkPath" Target="/Company%20Work%20in%20Process/Paxar/Copy%20of%20pxr%203-07-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JSR\MODELS\LFUS%204-14-08.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SHARED/EVERYONE/ANALYSTS/RS2/Industry/VC%20Tracking%20Report/2010%20VC%20funding%20data.xlsm" TargetMode="External"/><Relationship Id="rId1" Type="http://schemas.openxmlformats.org/officeDocument/2006/relationships/externalLinkPath" Target="/SHARED/EVERYONE/ANALYSTS/RS2/Industry/VC%20Tracking%20Report/2010%20VC%20funding%20data.xlsm"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SHARED/EVERYONE/ANALYSTS/RS2/Covered%20Companies/Facebook/Basic/Facebook%20Ad%20Exhibits.xls" TargetMode="External"/><Relationship Id="rId1" Type="http://schemas.openxmlformats.org/officeDocument/2006/relationships/externalLinkPath" Target="/SHARED/EVERYONE/ANALYSTS/RS2/Covered%20Companies/Facebook/Basic/Facebook%20Ad%20Exhibit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lnyfilesrvr1\institutionalresearch$\Documents%20and%20Settings\MColeman\Local%20Settings\Temporary%20Internet%20Files\OLK15\WIRE%20model%20(old).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Desktop%20Folder\ExcelPC\Chapter1and2"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AMG%20Docs\Companies\Emerson\EMR%20Model%20-%20Master.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rsrcha\RSRCHAHOME\SHARED\EVERYONE\ANALYSTS\LJL\smtf\smt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srcha\rsrchashare\SHARED\EVERYONE\ANALYSTS\LJL\smtf\smtf.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Semiconductor/Ross%20Models%202003/Lltc/Master%20LLTC.xls" TargetMode="External"/><Relationship Id="rId1" Type="http://schemas.openxmlformats.org/officeDocument/2006/relationships/externalLinkPath" Target="/Semiconductor/Ross%20Models%202003/Lltc/Master%20LLTC.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MULTI-INDUSTRY%20&amp;%20INDUSTRIAL/JCI/Model/JCI%20Model%20-%20Master%2003%2027.xls" TargetMode="External"/><Relationship Id="rId1" Type="http://schemas.openxmlformats.org/officeDocument/2006/relationships/externalLinkPath" Target="/MULTI-INDUSTRY%20&amp;%20INDUSTRIAL/JCI/Model/JCI%20Model%20-%20Master%2003%202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ewyork\RSRCHASHARE\MULTI-INDUSTRY%20&amp;%20INDUSTRIAL\JCI\Model\JCI%20Model%20-%20Master%2003%202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JSR\MODELS\MCHP%201-24-08.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SHARED/EVERYONE/ANALYSTS/RS2/Industry/VC%20Tracking%20Report/2009%20VC%20funding%20data.xlsm" TargetMode="External"/><Relationship Id="rId1" Type="http://schemas.openxmlformats.org/officeDocument/2006/relationships/externalLinkPath" Target="/SHARED/EVERYONE/ANALYSTS/RS2/Industry/VC%20Tracking%20Report/2009%20VC%20funding%20data.xlsm"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services.intralinks.com/Documents%20and%20Settings/cshah/My%20Documents/Personal/Training_LBO_Model_-_Answer_Key.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rsrcha\RSRCHAHOME\Models%20for%20Rdocs\TVPT\TVPT%20Model%208-2-18.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rsrcha\RSRCHAHOME\SHARED\EVERYONE\ASSOC\AES\psft\psft210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srcha\rsrchashare\SHARED\EVERYONE\ASSOC\AES\psft\psft210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parfiler02.int.cw.local\Dept_Share\OA\2012\1st%20Quarter\Discontinued%20Operations\Proform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srcha\RSRCHAHOME\SHARED\EVERYONE\ANALYSTS\JB\Wireless\VSAT\VSAT.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williamblair-my.sharepoint.com/personal/ldipalma_williamblair_com/Documents/Aerospace%20Defense%20Team%20OneDrive/Sectors/C4ISR/CW/CW%20Tables.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williamblair-my.sharepoint.com/personal/ldipalma_williamblair_com/Documents/Aerospace%20Defense%20Team%20OneDrive/Sectors/Aviation%20Travel/BA/BA%20Q4%20Model%201-31-24.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williamblair-my.sharepoint.com/personal/ldipalma_williamblair_com/Documents/Aerospace%20Defense%20Team%20OneDrive/Sectors/Defense%20Primes/General%20Dynamics/GD%20model%204Q23%2001-24-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pco"/>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EXT &lt;&gt; Client Model"/>
      <sheetName val="BlueMatrix"/>
      <sheetName val="RevBuild"/>
      <sheetName val="IS"/>
      <sheetName val="BS"/>
      <sheetName val="CF"/>
      <sheetName val="XLinkMeta"/>
      <sheetName val="Metrics"/>
      <sheetName val="605-RB"/>
      <sheetName val="605-IS"/>
      <sheetName val="605-BS"/>
      <sheetName val="605-CF"/>
      <sheetName val="Guidance Table"/>
      <sheetName val="INT &lt;&gt; Internal Model"/>
      <sheetName val="intRevBuild"/>
      <sheetName val="INT &lt;&gt; Results Charts"/>
      <sheetName val="RC--ThisQ"/>
      <sheetName val="RC--QtrGuide"/>
      <sheetName val="RC--YrGuide"/>
      <sheetName val="RC--QtrEst"/>
      <sheetName val="RC--YrEst"/>
      <sheetName val="RC--Setup"/>
      <sheetName val="INT &lt;&gt; Valuation"/>
      <sheetName val="Inputs"/>
      <sheetName val="Multiples"/>
      <sheetName val="10yr DCF"/>
      <sheetName val="INT &lt;&gt; Market"/>
      <sheetName val="INT &lt;&gt; Unit Economics"/>
      <sheetName val="INT &lt;&gt; Archive"/>
      <sheetName val="intRevBuildSAVE"/>
      <sheetName val="ARRbldOld"/>
      <sheetName val="ARR Build (2)"/>
      <sheetName val="ARR Build-Old"/>
      <sheetName val="ARR Build-Copy"/>
      <sheetName val="RevBuild (2)"/>
      <sheetName val="ARR Proxy 1"/>
      <sheetName val="INT &lt;&gt; Setup"/>
      <sheetName val="Settings"/>
      <sheetName val="ARR Build"/>
      <sheetName val="INT &lt;&gt; Builds"/>
    </sheetNames>
    <sheetDataSet>
      <sheetData sheetId="0" refreshError="1"/>
      <sheetData sheetId="1" refreshError="1"/>
      <sheetData sheetId="2" refreshError="1"/>
      <sheetData sheetId="3">
        <row r="5">
          <cell r="U5">
            <v>41729</v>
          </cell>
        </row>
      </sheetData>
      <sheetData sheetId="4">
        <row r="1">
          <cell r="A1" t="str">
            <v>Alteryx (AYX)</v>
          </cell>
          <cell r="B1"/>
          <cell r="C1"/>
          <cell r="D1"/>
          <cell r="E1"/>
          <cell r="F1"/>
          <cell r="G1"/>
          <cell r="H1"/>
          <cell r="I1"/>
          <cell r="J1"/>
          <cell r="K1"/>
          <cell r="L1"/>
          <cell r="M1"/>
          <cell r="N1"/>
          <cell r="O1"/>
          <cell r="P1"/>
          <cell r="Q1"/>
          <cell r="R1"/>
          <cell r="S1"/>
          <cell r="T1"/>
          <cell r="U1"/>
          <cell r="V1"/>
          <cell r="W1"/>
          <cell r="X1"/>
          <cell r="Y1"/>
          <cell r="Z1"/>
          <cell r="AA1"/>
          <cell r="AB1"/>
          <cell r="AC1"/>
          <cell r="AD1"/>
          <cell r="AE1"/>
          <cell r="AF1"/>
          <cell r="AG1"/>
          <cell r="AH1"/>
          <cell r="AI1"/>
          <cell r="AJ1"/>
          <cell r="AK1"/>
          <cell r="AL1"/>
          <cell r="AM1"/>
          <cell r="AN1"/>
          <cell r="AO1"/>
          <cell r="AP1"/>
          <cell r="AQ1"/>
          <cell r="AR1"/>
          <cell r="AS1"/>
          <cell r="AT1"/>
          <cell r="AU1"/>
          <cell r="AV1"/>
          <cell r="AW1"/>
          <cell r="AX1"/>
          <cell r="AY1"/>
          <cell r="AZ1"/>
          <cell r="BA1"/>
          <cell r="BB1"/>
          <cell r="BC1"/>
          <cell r="BD1"/>
          <cell r="BE1"/>
          <cell r="BF1"/>
          <cell r="BG1"/>
          <cell r="BH1"/>
          <cell r="BI1"/>
          <cell r="BJ1"/>
          <cell r="BK1"/>
          <cell r="BL1"/>
          <cell r="BM1"/>
          <cell r="BN1"/>
          <cell r="BO1"/>
          <cell r="BP1"/>
          <cell r="BQ1"/>
          <cell r="BR1"/>
          <cell r="BS1"/>
          <cell r="BT1"/>
          <cell r="BU1"/>
          <cell r="BV1"/>
          <cell r="BW1"/>
          <cell r="BX1"/>
          <cell r="BY1"/>
          <cell r="BZ1"/>
          <cell r="CA1"/>
          <cell r="CB1"/>
          <cell r="CC1"/>
          <cell r="CD1"/>
          <cell r="CE1"/>
          <cell r="CF1"/>
          <cell r="CG1"/>
        </row>
        <row r="2">
          <cell r="A2" t="str">
            <v>Earnings Model</v>
          </cell>
          <cell r="B2"/>
          <cell r="C2"/>
          <cell r="D2"/>
          <cell r="E2"/>
          <cell r="F2"/>
          <cell r="G2"/>
          <cell r="H2"/>
          <cell r="I2"/>
          <cell r="J2"/>
          <cell r="K2"/>
          <cell r="L2"/>
          <cell r="M2"/>
          <cell r="N2"/>
          <cell r="O2"/>
          <cell r="P2"/>
          <cell r="Q2"/>
          <cell r="R2"/>
          <cell r="S2"/>
          <cell r="T2"/>
          <cell r="U2"/>
          <cell r="V2"/>
          <cell r="W2"/>
          <cell r="X2"/>
          <cell r="Y2"/>
          <cell r="Z2"/>
          <cell r="AA2"/>
          <cell r="AB2"/>
          <cell r="AC2"/>
          <cell r="AD2"/>
          <cell r="AE2"/>
          <cell r="AF2"/>
          <cell r="AG2"/>
          <cell r="AH2"/>
          <cell r="AI2"/>
          <cell r="AJ2"/>
          <cell r="AK2"/>
          <cell r="AL2"/>
          <cell r="AM2"/>
          <cell r="AN2"/>
          <cell r="AO2"/>
          <cell r="AP2"/>
          <cell r="AQ2"/>
          <cell r="AR2"/>
          <cell r="AS2"/>
          <cell r="AT2"/>
          <cell r="AU2"/>
          <cell r="AV2"/>
          <cell r="AW2"/>
          <cell r="AX2"/>
          <cell r="AY2"/>
          <cell r="AZ2"/>
          <cell r="BA2"/>
          <cell r="BB2"/>
          <cell r="BC2"/>
          <cell r="BD2"/>
          <cell r="BE2"/>
          <cell r="BF2"/>
          <cell r="BG2"/>
          <cell r="BH2"/>
          <cell r="BI2"/>
          <cell r="BJ2"/>
          <cell r="BK2"/>
          <cell r="BL2"/>
          <cell r="BM2"/>
          <cell r="BN2"/>
          <cell r="BO2"/>
          <cell r="BP2"/>
          <cell r="BQ2"/>
          <cell r="BR2"/>
          <cell r="BS2"/>
          <cell r="BT2"/>
          <cell r="BU2"/>
          <cell r="BV2"/>
          <cell r="BW2"/>
          <cell r="BX2"/>
          <cell r="BY2"/>
          <cell r="BZ2"/>
          <cell r="CA2"/>
          <cell r="CB2"/>
          <cell r="CC2"/>
          <cell r="CD2"/>
          <cell r="CE2"/>
          <cell r="CF2"/>
          <cell r="CG2"/>
        </row>
        <row r="3">
          <cell r="A3" t="str">
            <v>(in millions, except per share items)</v>
          </cell>
          <cell r="B3"/>
          <cell r="C3"/>
          <cell r="D3"/>
          <cell r="E3"/>
          <cell r="F3"/>
          <cell r="G3"/>
          <cell r="H3"/>
          <cell r="I3"/>
          <cell r="J3"/>
          <cell r="K3"/>
          <cell r="L3"/>
          <cell r="M3"/>
          <cell r="N3"/>
          <cell r="O3"/>
          <cell r="P3"/>
          <cell r="Q3"/>
          <cell r="R3"/>
          <cell r="S3"/>
          <cell r="T3"/>
          <cell r="U3"/>
          <cell r="V3"/>
          <cell r="W3"/>
          <cell r="X3"/>
          <cell r="Y3"/>
          <cell r="Z3"/>
          <cell r="AA3"/>
          <cell r="AB3"/>
          <cell r="AC3"/>
          <cell r="AD3"/>
          <cell r="AE3"/>
          <cell r="AF3"/>
          <cell r="AG3"/>
          <cell r="AH3"/>
          <cell r="AI3"/>
          <cell r="AJ3"/>
          <cell r="AK3"/>
          <cell r="AL3"/>
          <cell r="AM3"/>
          <cell r="AN3"/>
          <cell r="AO3"/>
          <cell r="AP3"/>
          <cell r="AQ3"/>
          <cell r="AR3"/>
          <cell r="AS3"/>
          <cell r="AT3"/>
          <cell r="AU3"/>
          <cell r="AV3"/>
          <cell r="AW3"/>
          <cell r="AX3"/>
          <cell r="AY3"/>
          <cell r="AZ3"/>
          <cell r="BA3"/>
          <cell r="BB3"/>
          <cell r="BC3"/>
          <cell r="BD3"/>
          <cell r="BE3"/>
          <cell r="BF3"/>
          <cell r="BG3"/>
          <cell r="BH3"/>
          <cell r="BI3">
            <v>6.9002214285714278E-2</v>
          </cell>
          <cell r="BJ3"/>
          <cell r="BK3"/>
          <cell r="BL3"/>
          <cell r="BM3"/>
          <cell r="BN3"/>
          <cell r="BO3"/>
          <cell r="BP3"/>
          <cell r="BQ3"/>
          <cell r="BR3"/>
          <cell r="BS3"/>
          <cell r="BT3"/>
          <cell r="BU3"/>
          <cell r="BV3"/>
          <cell r="BW3"/>
          <cell r="BX3"/>
          <cell r="BY3"/>
          <cell r="BZ3"/>
          <cell r="CA3"/>
          <cell r="CB3"/>
          <cell r="CC3"/>
          <cell r="CD3"/>
          <cell r="CE3"/>
          <cell r="CF3"/>
          <cell r="CG3"/>
        </row>
        <row r="4">
          <cell r="A4"/>
          <cell r="B4"/>
          <cell r="C4"/>
          <cell r="D4"/>
          <cell r="E4"/>
          <cell r="F4"/>
          <cell r="G4"/>
          <cell r="H4"/>
          <cell r="I4"/>
          <cell r="J4"/>
          <cell r="K4"/>
          <cell r="L4"/>
          <cell r="M4"/>
          <cell r="N4"/>
          <cell r="O4"/>
          <cell r="P4"/>
          <cell r="Q4"/>
          <cell r="R4"/>
          <cell r="S4"/>
          <cell r="T4"/>
          <cell r="U4"/>
          <cell r="V4"/>
          <cell r="W4"/>
          <cell r="X4"/>
          <cell r="Y4"/>
          <cell r="Z4"/>
          <cell r="AA4"/>
          <cell r="AB4"/>
          <cell r="AC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cell r="BI4"/>
          <cell r="BJ4"/>
          <cell r="BK4"/>
          <cell r="BL4"/>
          <cell r="BM4"/>
          <cell r="BN4"/>
          <cell r="BO4"/>
          <cell r="BP4"/>
          <cell r="BQ4"/>
          <cell r="BR4"/>
          <cell r="BS4"/>
          <cell r="BT4"/>
          <cell r="BU4"/>
          <cell r="BV4"/>
          <cell r="BW4"/>
          <cell r="BX4"/>
          <cell r="BY4"/>
          <cell r="BZ4"/>
          <cell r="CA4"/>
          <cell r="CB4"/>
          <cell r="CC4"/>
          <cell r="CD4"/>
          <cell r="CE4"/>
          <cell r="CF4"/>
          <cell r="CG4"/>
        </row>
        <row r="5">
          <cell r="A5"/>
          <cell r="B5"/>
          <cell r="C5">
            <v>40633</v>
          </cell>
          <cell r="D5">
            <v>40724</v>
          </cell>
          <cell r="E5">
            <v>40816</v>
          </cell>
          <cell r="F5">
            <v>40908</v>
          </cell>
          <cell r="G5">
            <v>2011</v>
          </cell>
          <cell r="H5"/>
          <cell r="I5">
            <v>40999</v>
          </cell>
          <cell r="J5">
            <v>41090</v>
          </cell>
          <cell r="K5">
            <v>41182</v>
          </cell>
          <cell r="L5">
            <v>41274</v>
          </cell>
          <cell r="M5">
            <v>2012</v>
          </cell>
          <cell r="N5"/>
          <cell r="O5">
            <v>41364</v>
          </cell>
          <cell r="P5">
            <v>41455</v>
          </cell>
          <cell r="Q5">
            <v>41547</v>
          </cell>
          <cell r="R5">
            <v>41639</v>
          </cell>
          <cell r="S5">
            <v>2013</v>
          </cell>
          <cell r="T5"/>
          <cell r="U5">
            <v>41729</v>
          </cell>
          <cell r="V5">
            <v>41820</v>
          </cell>
          <cell r="W5">
            <v>41912</v>
          </cell>
          <cell r="X5">
            <v>42004</v>
          </cell>
          <cell r="Y5">
            <v>2014</v>
          </cell>
          <cell r="Z5"/>
          <cell r="AA5">
            <v>42094</v>
          </cell>
          <cell r="AB5">
            <v>42185</v>
          </cell>
          <cell r="AC5">
            <v>42277</v>
          </cell>
          <cell r="AD5">
            <v>42369</v>
          </cell>
          <cell r="AE5">
            <v>2015</v>
          </cell>
          <cell r="AF5"/>
          <cell r="AG5">
            <v>42460</v>
          </cell>
          <cell r="AH5">
            <v>42551</v>
          </cell>
          <cell r="AI5">
            <v>42643</v>
          </cell>
          <cell r="AJ5">
            <v>42735</v>
          </cell>
          <cell r="AK5">
            <v>2016</v>
          </cell>
          <cell r="AL5"/>
          <cell r="AM5">
            <v>42825</v>
          </cell>
          <cell r="AN5">
            <v>42916</v>
          </cell>
          <cell r="AO5">
            <v>43008</v>
          </cell>
          <cell r="AP5">
            <v>43100</v>
          </cell>
          <cell r="AQ5">
            <v>2017</v>
          </cell>
          <cell r="AR5"/>
          <cell r="AS5">
            <v>43190</v>
          </cell>
          <cell r="AT5">
            <v>43281</v>
          </cell>
          <cell r="AU5">
            <v>43373</v>
          </cell>
          <cell r="AV5">
            <v>43465</v>
          </cell>
          <cell r="AW5">
            <v>2018</v>
          </cell>
          <cell r="AX5"/>
          <cell r="AY5">
            <v>43555</v>
          </cell>
          <cell r="AZ5">
            <v>43646</v>
          </cell>
          <cell r="BA5">
            <v>43738</v>
          </cell>
          <cell r="BB5">
            <v>43830</v>
          </cell>
          <cell r="BC5">
            <v>2019</v>
          </cell>
          <cell r="BD5"/>
          <cell r="BE5">
            <v>43921</v>
          </cell>
          <cell r="BF5">
            <v>44012</v>
          </cell>
          <cell r="BG5">
            <v>44104</v>
          </cell>
          <cell r="BH5">
            <v>44196</v>
          </cell>
          <cell r="BI5">
            <v>2020</v>
          </cell>
          <cell r="BJ5"/>
          <cell r="BK5">
            <v>44286</v>
          </cell>
          <cell r="BL5">
            <v>44377</v>
          </cell>
          <cell r="BM5">
            <v>44469</v>
          </cell>
          <cell r="BN5">
            <v>44561</v>
          </cell>
          <cell r="BO5">
            <v>2021</v>
          </cell>
          <cell r="BP5"/>
          <cell r="BQ5">
            <v>44651</v>
          </cell>
          <cell r="BR5">
            <v>44742</v>
          </cell>
          <cell r="BS5">
            <v>44834</v>
          </cell>
          <cell r="BT5">
            <v>44926</v>
          </cell>
          <cell r="BU5">
            <v>2022</v>
          </cell>
          <cell r="BV5"/>
          <cell r="BW5">
            <v>45016</v>
          </cell>
          <cell r="BX5">
            <v>45107</v>
          </cell>
          <cell r="BY5">
            <v>45199</v>
          </cell>
          <cell r="BZ5">
            <v>45291</v>
          </cell>
          <cell r="CA5">
            <v>2023</v>
          </cell>
          <cell r="CB5"/>
          <cell r="CC5">
            <v>45382</v>
          </cell>
          <cell r="CD5">
            <v>45473</v>
          </cell>
          <cell r="CE5">
            <v>45565</v>
          </cell>
          <cell r="CF5">
            <v>45657</v>
          </cell>
          <cell r="CG5">
            <v>2024</v>
          </cell>
        </row>
        <row r="6">
          <cell r="A6"/>
          <cell r="B6"/>
          <cell r="C6" t="str">
            <v>1Q11</v>
          </cell>
          <cell r="D6" t="str">
            <v>2Q11</v>
          </cell>
          <cell r="E6" t="str">
            <v>3Q11</v>
          </cell>
          <cell r="F6" t="str">
            <v>4Q11</v>
          </cell>
          <cell r="G6">
            <v>2013</v>
          </cell>
          <cell r="H6"/>
          <cell r="I6" t="str">
            <v>1Q12</v>
          </cell>
          <cell r="J6" t="str">
            <v>2Q12</v>
          </cell>
          <cell r="K6" t="str">
            <v>3Q12</v>
          </cell>
          <cell r="L6" t="str">
            <v>4Q12</v>
          </cell>
          <cell r="M6">
            <v>2013</v>
          </cell>
          <cell r="N6"/>
          <cell r="O6" t="str">
            <v>1Q13</v>
          </cell>
          <cell r="P6" t="str">
            <v>2Q13</v>
          </cell>
          <cell r="Q6" t="str">
            <v>3Q13</v>
          </cell>
          <cell r="R6" t="str">
            <v>4Q13</v>
          </cell>
          <cell r="S6">
            <v>2013</v>
          </cell>
          <cell r="T6"/>
          <cell r="U6" t="str">
            <v>1Q14</v>
          </cell>
          <cell r="V6" t="str">
            <v>2Q14</v>
          </cell>
          <cell r="W6" t="str">
            <v>3Q14</v>
          </cell>
          <cell r="X6" t="str">
            <v>4Q14</v>
          </cell>
          <cell r="Y6">
            <v>2013</v>
          </cell>
          <cell r="Z6"/>
          <cell r="AA6" t="str">
            <v>1Q15</v>
          </cell>
          <cell r="AB6" t="str">
            <v>2Q15</v>
          </cell>
          <cell r="AC6" t="str">
            <v>3Q15</v>
          </cell>
          <cell r="AD6" t="str">
            <v>4Q15</v>
          </cell>
          <cell r="AE6">
            <v>2013</v>
          </cell>
          <cell r="AF6"/>
          <cell r="AG6" t="str">
            <v>1Q16</v>
          </cell>
          <cell r="AH6" t="str">
            <v>2Q16</v>
          </cell>
          <cell r="AI6" t="str">
            <v>3Q16</v>
          </cell>
          <cell r="AJ6" t="str">
            <v>4Q16</v>
          </cell>
          <cell r="AK6">
            <v>2013</v>
          </cell>
          <cell r="AL6"/>
          <cell r="AM6" t="str">
            <v>1Q17</v>
          </cell>
          <cell r="AN6" t="str">
            <v>2Q17</v>
          </cell>
          <cell r="AO6" t="str">
            <v>3Q17</v>
          </cell>
          <cell r="AP6" t="str">
            <v>4Q17</v>
          </cell>
          <cell r="AQ6">
            <v>2013</v>
          </cell>
          <cell r="AR6"/>
          <cell r="AS6" t="str">
            <v>1Q18</v>
          </cell>
          <cell r="AT6" t="str">
            <v>2Q18</v>
          </cell>
          <cell r="AU6" t="str">
            <v>3Q18</v>
          </cell>
          <cell r="AV6" t="str">
            <v>4Q18</v>
          </cell>
          <cell r="AW6">
            <v>2013</v>
          </cell>
          <cell r="AX6"/>
          <cell r="AY6" t="str">
            <v>1Q19</v>
          </cell>
          <cell r="AZ6" t="str">
            <v>2Q19</v>
          </cell>
          <cell r="BA6" t="str">
            <v>3Q19</v>
          </cell>
          <cell r="BB6" t="str">
            <v>4Q19</v>
          </cell>
          <cell r="BC6">
            <v>2013</v>
          </cell>
          <cell r="BD6"/>
          <cell r="BE6" t="str">
            <v>1Q20</v>
          </cell>
          <cell r="BF6" t="str">
            <v>2Q20</v>
          </cell>
          <cell r="BG6" t="str">
            <v>3Q20</v>
          </cell>
          <cell r="BH6" t="str">
            <v>4Q20E</v>
          </cell>
          <cell r="BI6">
            <v>2013</v>
          </cell>
          <cell r="BJ6"/>
          <cell r="BK6" t="str">
            <v>1Q21E</v>
          </cell>
          <cell r="BL6" t="str">
            <v>2Q21E</v>
          </cell>
          <cell r="BM6" t="str">
            <v>3Q21E</v>
          </cell>
          <cell r="BN6" t="str">
            <v>4Q21E</v>
          </cell>
          <cell r="BO6">
            <v>2013</v>
          </cell>
          <cell r="BP6"/>
          <cell r="BQ6" t="str">
            <v>1Q22E</v>
          </cell>
          <cell r="BR6" t="str">
            <v>2Q22E</v>
          </cell>
          <cell r="BS6" t="str">
            <v>3Q22E</v>
          </cell>
          <cell r="BT6" t="str">
            <v>4Q22E</v>
          </cell>
          <cell r="BU6">
            <v>2013</v>
          </cell>
          <cell r="BV6"/>
          <cell r="BW6" t="str">
            <v>1Q23E</v>
          </cell>
          <cell r="BX6" t="str">
            <v>2Q23E</v>
          </cell>
          <cell r="BY6" t="str">
            <v>3Q23E</v>
          </cell>
          <cell r="BZ6" t="str">
            <v>4Q23E</v>
          </cell>
          <cell r="CA6">
            <v>2013</v>
          </cell>
          <cell r="CB6"/>
          <cell r="CC6" t="str">
            <v>1Q24E</v>
          </cell>
          <cell r="CD6" t="str">
            <v>2Q24E</v>
          </cell>
          <cell r="CE6" t="str">
            <v>3Q24E</v>
          </cell>
          <cell r="CF6" t="str">
            <v>4Q24E</v>
          </cell>
          <cell r="CG6">
            <v>2013</v>
          </cell>
          <cell r="CH6"/>
        </row>
        <row r="7">
          <cell r="A7"/>
          <cell r="B7"/>
          <cell r="C7"/>
          <cell r="D7"/>
          <cell r="E7"/>
          <cell r="F7"/>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cell r="BI7"/>
          <cell r="BJ7"/>
          <cell r="BK7"/>
          <cell r="BL7"/>
          <cell r="BM7"/>
          <cell r="BN7"/>
          <cell r="BO7"/>
          <cell r="BP7"/>
          <cell r="BQ7"/>
          <cell r="BR7"/>
          <cell r="BS7"/>
          <cell r="BT7"/>
          <cell r="BU7"/>
          <cell r="BV7"/>
          <cell r="BW7"/>
          <cell r="BX7"/>
          <cell r="BY7"/>
          <cell r="BZ7"/>
          <cell r="CA7"/>
          <cell r="CB7"/>
          <cell r="CC7"/>
          <cell r="CD7"/>
          <cell r="CE7"/>
          <cell r="CF7"/>
          <cell r="CG7"/>
        </row>
        <row r="8">
          <cell r="A8" t="str">
            <v>NON-GAAP MODEL</v>
          </cell>
          <cell r="C8"/>
          <cell r="D8"/>
          <cell r="E8"/>
          <cell r="F8"/>
          <cell r="G8"/>
          <cell r="I8"/>
          <cell r="J8"/>
          <cell r="K8"/>
          <cell r="L8"/>
          <cell r="M8"/>
          <cell r="O8"/>
          <cell r="P8"/>
          <cell r="Q8"/>
          <cell r="R8"/>
          <cell r="S8"/>
          <cell r="U8"/>
          <cell r="V8"/>
          <cell r="W8"/>
          <cell r="X8"/>
          <cell r="Y8"/>
          <cell r="AA8"/>
          <cell r="AB8"/>
          <cell r="AC8"/>
          <cell r="AD8"/>
          <cell r="AE8"/>
          <cell r="AG8"/>
          <cell r="AH8"/>
          <cell r="AI8"/>
          <cell r="AJ8"/>
          <cell r="AK8"/>
          <cell r="AM8"/>
          <cell r="AN8"/>
          <cell r="AO8"/>
          <cell r="AP8"/>
          <cell r="AQ8"/>
          <cell r="AS8"/>
          <cell r="AT8"/>
          <cell r="AU8"/>
          <cell r="AV8"/>
          <cell r="AW8"/>
          <cell r="AY8"/>
          <cell r="AZ8"/>
          <cell r="BA8"/>
          <cell r="BB8"/>
          <cell r="BC8"/>
          <cell r="BE8"/>
          <cell r="BF8"/>
          <cell r="BG8"/>
          <cell r="BH8"/>
          <cell r="BI8"/>
          <cell r="BK8"/>
          <cell r="BL8"/>
          <cell r="BM8"/>
          <cell r="BN8"/>
          <cell r="BO8"/>
          <cell r="BQ8"/>
          <cell r="BR8"/>
          <cell r="BS8"/>
          <cell r="BT8"/>
          <cell r="BU8"/>
          <cell r="BW8"/>
          <cell r="BX8"/>
          <cell r="BY8"/>
          <cell r="BZ8"/>
          <cell r="CA8"/>
          <cell r="CC8"/>
          <cell r="CD8"/>
          <cell r="CE8"/>
          <cell r="CF8"/>
          <cell r="CG8"/>
        </row>
        <row r="9">
          <cell r="A9"/>
          <cell r="B9"/>
          <cell r="C9"/>
          <cell r="D9"/>
          <cell r="E9"/>
          <cell r="F9"/>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cell r="BF9"/>
          <cell r="BG9"/>
          <cell r="BH9"/>
          <cell r="BI9"/>
          <cell r="BJ9"/>
          <cell r="BK9"/>
          <cell r="BL9"/>
          <cell r="BM9"/>
          <cell r="BN9"/>
          <cell r="BO9"/>
          <cell r="BP9"/>
          <cell r="BQ9"/>
          <cell r="BR9"/>
          <cell r="BS9"/>
          <cell r="BT9"/>
          <cell r="BU9"/>
          <cell r="BV9"/>
          <cell r="BW9"/>
          <cell r="BX9"/>
          <cell r="BY9"/>
          <cell r="BZ9"/>
          <cell r="CA9"/>
          <cell r="CB9"/>
          <cell r="CC9"/>
          <cell r="CD9"/>
          <cell r="CE9"/>
          <cell r="CF9"/>
          <cell r="CG9"/>
        </row>
        <row r="10">
          <cell r="A10" t="str">
            <v>License revenue</v>
          </cell>
          <cell r="B10"/>
          <cell r="C10">
            <v>0</v>
          </cell>
          <cell r="D10">
            <v>0</v>
          </cell>
          <cell r="E10">
            <v>0</v>
          </cell>
          <cell r="F10">
            <v>0</v>
          </cell>
          <cell r="G10">
            <v>0</v>
          </cell>
          <cell r="H10"/>
          <cell r="I10">
            <v>0</v>
          </cell>
          <cell r="J10">
            <v>0</v>
          </cell>
          <cell r="K10">
            <v>0</v>
          </cell>
          <cell r="L10">
            <v>0</v>
          </cell>
          <cell r="M10">
            <v>0</v>
          </cell>
          <cell r="N10"/>
          <cell r="O10">
            <v>0</v>
          </cell>
          <cell r="P10">
            <v>0</v>
          </cell>
          <cell r="Q10">
            <v>0</v>
          </cell>
          <cell r="R10">
            <v>0</v>
          </cell>
          <cell r="S10">
            <v>0</v>
          </cell>
          <cell r="T10"/>
          <cell r="U10">
            <v>0</v>
          </cell>
          <cell r="V10">
            <v>0</v>
          </cell>
          <cell r="W10">
            <v>0</v>
          </cell>
          <cell r="X10">
            <v>0</v>
          </cell>
          <cell r="Y10">
            <v>0</v>
          </cell>
          <cell r="Z10"/>
          <cell r="AA10">
            <v>0</v>
          </cell>
          <cell r="AB10">
            <v>0</v>
          </cell>
          <cell r="AC10">
            <v>0</v>
          </cell>
          <cell r="AD10">
            <v>0</v>
          </cell>
          <cell r="AE10">
            <v>0</v>
          </cell>
          <cell r="AF10"/>
          <cell r="AG10">
            <v>0</v>
          </cell>
          <cell r="AH10">
            <v>0</v>
          </cell>
          <cell r="AI10">
            <v>0</v>
          </cell>
          <cell r="AJ10">
            <v>0</v>
          </cell>
          <cell r="AK10">
            <v>0</v>
          </cell>
          <cell r="AL10"/>
          <cell r="AM10">
            <v>0</v>
          </cell>
          <cell r="AN10">
            <v>0</v>
          </cell>
          <cell r="AO10">
            <v>0</v>
          </cell>
          <cell r="AP10">
            <v>0</v>
          </cell>
          <cell r="AQ10">
            <v>0</v>
          </cell>
          <cell r="AR10"/>
          <cell r="AS10">
            <v>22.475000000000001</v>
          </cell>
          <cell r="AT10">
            <v>21.484000000000002</v>
          </cell>
          <cell r="AU10">
            <v>28.821999999999999</v>
          </cell>
          <cell r="AV10">
            <v>51.887999999999991</v>
          </cell>
          <cell r="AW10">
            <v>124.669</v>
          </cell>
          <cell r="AX10"/>
          <cell r="AY10">
            <v>34.807000000000002</v>
          </cell>
          <cell r="AZ10">
            <v>36.841000000000001</v>
          </cell>
          <cell r="BA10">
            <v>54.332000000000001</v>
          </cell>
          <cell r="BB10">
            <v>103.214</v>
          </cell>
          <cell r="BC10">
            <v>229.19399999999999</v>
          </cell>
          <cell r="BD10"/>
          <cell r="BE10">
            <v>50.744</v>
          </cell>
          <cell r="BF10">
            <v>34.646000000000001</v>
          </cell>
          <cell r="BG10">
            <v>63.143999999999998</v>
          </cell>
          <cell r="BH10">
            <v>77.667119999999997</v>
          </cell>
          <cell r="BI10">
            <v>226.20112</v>
          </cell>
          <cell r="BJ10"/>
          <cell r="BK10">
            <v>42.716916000000005</v>
          </cell>
          <cell r="BL10">
            <v>42.332463756000003</v>
          </cell>
          <cell r="BM10">
            <v>54.959548024224219</v>
          </cell>
          <cell r="BN10">
            <v>74.195389832702702</v>
          </cell>
          <cell r="BO10">
            <v>214.2043176129269</v>
          </cell>
          <cell r="BP10"/>
          <cell r="BQ10">
            <v>44.300791856501881</v>
          </cell>
          <cell r="BR10">
            <v>46.338628281900966</v>
          </cell>
          <cell r="BS10">
            <v>58.770527312287541</v>
          </cell>
          <cell r="BT10">
            <v>88.155790968431319</v>
          </cell>
          <cell r="BU10">
            <v>237.56573841912169</v>
          </cell>
          <cell r="BV10"/>
          <cell r="BW10" t="e">
            <v>#VALUE!</v>
          </cell>
          <cell r="BX10" t="e">
            <v>#VALUE!</v>
          </cell>
          <cell r="BY10" t="e">
            <v>#VALUE!</v>
          </cell>
          <cell r="BZ10" t="e">
            <v>#VALUE!</v>
          </cell>
          <cell r="CA10" t="e">
            <v>#VALUE!</v>
          </cell>
          <cell r="CB10"/>
          <cell r="CC10" t="e">
            <v>#VALUE!</v>
          </cell>
          <cell r="CD10" t="e">
            <v>#VALUE!</v>
          </cell>
          <cell r="CE10" t="e">
            <v>#VALUE!</v>
          </cell>
          <cell r="CF10" t="e">
            <v>#VALUE!</v>
          </cell>
          <cell r="CG10" t="e">
            <v>#VALUE!</v>
          </cell>
        </row>
        <row r="11">
          <cell r="A11" t="str">
            <v>q/q change</v>
          </cell>
          <cell r="B11"/>
          <cell r="C11" t="str">
            <v>NA</v>
          </cell>
          <cell r="D11" t="str">
            <v>NA</v>
          </cell>
          <cell r="E11" t="str">
            <v>NA</v>
          </cell>
          <cell r="F11" t="str">
            <v>NA</v>
          </cell>
          <cell r="G11" t="str">
            <v>NA</v>
          </cell>
          <cell r="I11" t="str">
            <v>NA</v>
          </cell>
          <cell r="J11" t="str">
            <v>NA</v>
          </cell>
          <cell r="K11" t="str">
            <v>NA</v>
          </cell>
          <cell r="L11" t="str">
            <v>NA</v>
          </cell>
          <cell r="M11" t="str">
            <v>NA</v>
          </cell>
          <cell r="O11" t="str">
            <v>NA</v>
          </cell>
          <cell r="P11" t="str">
            <v>NA</v>
          </cell>
          <cell r="Q11" t="str">
            <v>NA</v>
          </cell>
          <cell r="R11" t="str">
            <v>NA</v>
          </cell>
          <cell r="S11" t="str">
            <v>NA</v>
          </cell>
          <cell r="U11" t="str">
            <v>NA</v>
          </cell>
          <cell r="V11" t="str">
            <v>NA</v>
          </cell>
          <cell r="W11" t="str">
            <v>NA</v>
          </cell>
          <cell r="X11" t="str">
            <v>NA</v>
          </cell>
          <cell r="Y11" t="str">
            <v>NA</v>
          </cell>
          <cell r="AA11" t="str">
            <v>NA</v>
          </cell>
          <cell r="AB11" t="str">
            <v>NA</v>
          </cell>
          <cell r="AC11" t="str">
            <v>NA</v>
          </cell>
          <cell r="AD11" t="str">
            <v>NA</v>
          </cell>
          <cell r="AE11" t="str">
            <v>NA</v>
          </cell>
          <cell r="AG11" t="str">
            <v>NA</v>
          </cell>
          <cell r="AH11" t="str">
            <v>NA</v>
          </cell>
          <cell r="AI11" t="str">
            <v>NA</v>
          </cell>
          <cell r="AJ11" t="str">
            <v>NA</v>
          </cell>
          <cell r="AK11" t="str">
            <v>NA</v>
          </cell>
          <cell r="AL11"/>
          <cell r="AM11" t="str">
            <v>NA</v>
          </cell>
          <cell r="AN11" t="str">
            <v>NA</v>
          </cell>
          <cell r="AO11" t="str">
            <v>NA</v>
          </cell>
          <cell r="AP11" t="str">
            <v>NA</v>
          </cell>
          <cell r="AQ11" t="str">
            <v>NA</v>
          </cell>
          <cell r="AS11" t="str">
            <v>NA</v>
          </cell>
          <cell r="AT11">
            <v>-4.4093437152391557E-2</v>
          </cell>
          <cell r="AU11">
            <v>0.34155650716812502</v>
          </cell>
          <cell r="AV11">
            <v>0.80029144403580577</v>
          </cell>
          <cell r="AW11" t="str">
            <v>NA</v>
          </cell>
          <cell r="AY11">
            <v>-0.3291897934011716</v>
          </cell>
          <cell r="AZ11">
            <v>5.8436521389375606E-2</v>
          </cell>
          <cell r="BA11">
            <v>0.47476995738443573</v>
          </cell>
          <cell r="BB11">
            <v>0.89969078995803575</v>
          </cell>
          <cell r="BC11" t="str">
            <v>NA</v>
          </cell>
          <cell r="BE11">
            <v>-0.50836126882012134</v>
          </cell>
          <cell r="BF11">
            <v>-0.31723947658836515</v>
          </cell>
          <cell r="BG11">
            <v>0.42999999999999994</v>
          </cell>
          <cell r="BH11">
            <v>0.53</v>
          </cell>
          <cell r="BI11" t="str">
            <v>NA</v>
          </cell>
          <cell r="BK11">
            <v>-0.4029171899171603</v>
          </cell>
          <cell r="BL11">
            <v>-0.14892830097008825</v>
          </cell>
          <cell r="BM11">
            <v>0.26828370824352277</v>
          </cell>
          <cell r="BN11">
            <v>1.073744960642351</v>
          </cell>
          <cell r="BO11" t="str">
            <v>NA</v>
          </cell>
          <cell r="BQ11" t="str">
            <v>NA</v>
          </cell>
          <cell r="BR11" t="str">
            <v>NA</v>
          </cell>
          <cell r="BS11" t="str">
            <v>NA</v>
          </cell>
          <cell r="BT11" t="str">
            <v>NA</v>
          </cell>
          <cell r="BU11" t="str">
            <v>NA</v>
          </cell>
          <cell r="BW11" t="str">
            <v>NA</v>
          </cell>
          <cell r="BX11" t="str">
            <v>NA</v>
          </cell>
          <cell r="BY11" t="str">
            <v>NA</v>
          </cell>
          <cell r="BZ11" t="str">
            <v>NA</v>
          </cell>
          <cell r="CA11" t="str">
            <v>NA</v>
          </cell>
          <cell r="CC11" t="str">
            <v>NA</v>
          </cell>
          <cell r="CD11" t="str">
            <v>NA</v>
          </cell>
          <cell r="CE11" t="str">
            <v>NA</v>
          </cell>
          <cell r="CF11" t="str">
            <v>NA</v>
          </cell>
          <cell r="CG11" t="str">
            <v>NA</v>
          </cell>
        </row>
        <row r="12">
          <cell r="A12" t="str">
            <v>y/y change</v>
          </cell>
          <cell r="B12"/>
          <cell r="C12" t="str">
            <v>NA</v>
          </cell>
          <cell r="D12" t="str">
            <v>NA</v>
          </cell>
          <cell r="E12" t="str">
            <v>NA</v>
          </cell>
          <cell r="F12" t="str">
            <v>NA</v>
          </cell>
          <cell r="G12" t="str">
            <v>NA</v>
          </cell>
          <cell r="H12"/>
          <cell r="I12" t="str">
            <v>NA</v>
          </cell>
          <cell r="J12" t="str">
            <v>NA</v>
          </cell>
          <cell r="K12" t="str">
            <v>NA</v>
          </cell>
          <cell r="L12" t="str">
            <v>NA</v>
          </cell>
          <cell r="M12" t="str">
            <v>NA</v>
          </cell>
          <cell r="N12"/>
          <cell r="O12" t="str">
            <v>NA</v>
          </cell>
          <cell r="P12" t="str">
            <v>NA</v>
          </cell>
          <cell r="Q12" t="str">
            <v>NA</v>
          </cell>
          <cell r="R12" t="str">
            <v>NA</v>
          </cell>
          <cell r="S12" t="str">
            <v>NA</v>
          </cell>
          <cell r="T12"/>
          <cell r="U12" t="str">
            <v>NA</v>
          </cell>
          <cell r="V12" t="str">
            <v>NA</v>
          </cell>
          <cell r="W12" t="str">
            <v>NA</v>
          </cell>
          <cell r="X12" t="str">
            <v>NA</v>
          </cell>
          <cell r="Y12" t="str">
            <v>NA</v>
          </cell>
          <cell r="Z12"/>
          <cell r="AA12" t="str">
            <v>NA</v>
          </cell>
          <cell r="AB12" t="str">
            <v>NA</v>
          </cell>
          <cell r="AC12" t="str">
            <v>NA</v>
          </cell>
          <cell r="AD12" t="str">
            <v>NA</v>
          </cell>
          <cell r="AE12" t="str">
            <v>NA</v>
          </cell>
          <cell r="AF12"/>
          <cell r="AG12" t="str">
            <v>NA</v>
          </cell>
          <cell r="AH12" t="str">
            <v>NA</v>
          </cell>
          <cell r="AI12" t="str">
            <v>NA</v>
          </cell>
          <cell r="AJ12" t="str">
            <v>NA</v>
          </cell>
          <cell r="AK12" t="str">
            <v>NA</v>
          </cell>
          <cell r="AL12"/>
          <cell r="AM12" t="str">
            <v>NA</v>
          </cell>
          <cell r="AN12" t="str">
            <v>NA</v>
          </cell>
          <cell r="AO12" t="str">
            <v>NA</v>
          </cell>
          <cell r="AP12" t="str">
            <v>NA</v>
          </cell>
          <cell r="AQ12" t="str">
            <v>NA</v>
          </cell>
          <cell r="AR12"/>
          <cell r="AS12" t="str">
            <v>NA</v>
          </cell>
          <cell r="AT12" t="str">
            <v>NA</v>
          </cell>
          <cell r="AU12" t="str">
            <v>NA</v>
          </cell>
          <cell r="AV12" t="str">
            <v>NA</v>
          </cell>
          <cell r="AW12" t="str">
            <v>NA</v>
          </cell>
          <cell r="AX12"/>
          <cell r="AY12">
            <v>0.54869855394883205</v>
          </cell>
          <cell r="AZ12">
            <v>0.7148110221560231</v>
          </cell>
          <cell r="BA12">
            <v>0.88508778016792733</v>
          </cell>
          <cell r="BB12">
            <v>0.98916897934011749</v>
          </cell>
          <cell r="BC12">
            <v>0.83842013652150893</v>
          </cell>
          <cell r="BD12"/>
          <cell r="BE12">
            <v>0.45786767029620479</v>
          </cell>
          <cell r="BF12">
            <v>-5.9580358839336656E-2</v>
          </cell>
          <cell r="BG12">
            <v>0.16218802915408959</v>
          </cell>
          <cell r="BH12">
            <v>-0.24751370938051043</v>
          </cell>
          <cell r="BI12">
            <v>-1.3058282503032315E-2</v>
          </cell>
          <cell r="BJ12"/>
          <cell r="BK12">
            <v>-0.15818784486835868</v>
          </cell>
          <cell r="BL12">
            <v>0.22185717704785546</v>
          </cell>
          <cell r="BM12">
            <v>-0.12961567173089728</v>
          </cell>
          <cell r="BN12">
            <v>-4.4700127509521348E-2</v>
          </cell>
          <cell r="BO12">
            <v>-5.3035999057268635E-2</v>
          </cell>
          <cell r="BP12"/>
          <cell r="BQ12">
            <v>3.7078422433442393E-2</v>
          </cell>
          <cell r="BR12">
            <v>9.4635751630051335E-2</v>
          </cell>
          <cell r="BS12">
            <v>6.9341532546511875E-2</v>
          </cell>
          <cell r="BT12">
            <v>0.18815725838501307</v>
          </cell>
          <cell r="BU12">
            <v>0.10906139085585331</v>
          </cell>
          <cell r="BV12"/>
          <cell r="BW12" t="str">
            <v>NA</v>
          </cell>
          <cell r="BX12" t="str">
            <v>NA</v>
          </cell>
          <cell r="BY12" t="str">
            <v>NA</v>
          </cell>
          <cell r="BZ12" t="str">
            <v>NA</v>
          </cell>
          <cell r="CA12" t="str">
            <v>NA</v>
          </cell>
          <cell r="CB12"/>
          <cell r="CC12" t="str">
            <v>NA</v>
          </cell>
          <cell r="CD12" t="str">
            <v>NA</v>
          </cell>
          <cell r="CE12" t="str">
            <v>NA</v>
          </cell>
          <cell r="CF12" t="str">
            <v>NA</v>
          </cell>
          <cell r="CG12" t="str">
            <v>NA</v>
          </cell>
        </row>
        <row r="13">
          <cell r="A13"/>
          <cell r="B13"/>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row>
        <row r="14">
          <cell r="A14" t="str">
            <v>Maintenance and services revenue</v>
          </cell>
          <cell r="B14"/>
          <cell r="C14">
            <v>0</v>
          </cell>
          <cell r="D14">
            <v>0</v>
          </cell>
          <cell r="E14">
            <v>0</v>
          </cell>
          <cell r="F14">
            <v>0</v>
          </cell>
          <cell r="G14">
            <v>0</v>
          </cell>
          <cell r="H14"/>
          <cell r="I14">
            <v>0</v>
          </cell>
          <cell r="J14">
            <v>0</v>
          </cell>
          <cell r="K14">
            <v>0</v>
          </cell>
          <cell r="L14">
            <v>0</v>
          </cell>
          <cell r="M14">
            <v>0</v>
          </cell>
          <cell r="N14"/>
          <cell r="O14">
            <v>0</v>
          </cell>
          <cell r="P14">
            <v>0</v>
          </cell>
          <cell r="Q14">
            <v>0</v>
          </cell>
          <cell r="R14">
            <v>0</v>
          </cell>
          <cell r="S14">
            <v>0</v>
          </cell>
          <cell r="T14"/>
          <cell r="U14">
            <v>0</v>
          </cell>
          <cell r="V14">
            <v>0</v>
          </cell>
          <cell r="W14">
            <v>0</v>
          </cell>
          <cell r="X14">
            <v>0</v>
          </cell>
          <cell r="Y14">
            <v>0</v>
          </cell>
          <cell r="Z14"/>
          <cell r="AA14">
            <v>0</v>
          </cell>
          <cell r="AB14">
            <v>0</v>
          </cell>
          <cell r="AC14">
            <v>0</v>
          </cell>
          <cell r="AD14">
            <v>0</v>
          </cell>
          <cell r="AE14">
            <v>0</v>
          </cell>
          <cell r="AF14"/>
          <cell r="AG14">
            <v>0</v>
          </cell>
          <cell r="AH14">
            <v>0</v>
          </cell>
          <cell r="AI14">
            <v>0</v>
          </cell>
          <cell r="AJ14">
            <v>0</v>
          </cell>
          <cell r="AK14">
            <v>0</v>
          </cell>
          <cell r="AL14"/>
          <cell r="AM14">
            <v>0</v>
          </cell>
          <cell r="AN14">
            <v>0</v>
          </cell>
          <cell r="AO14">
            <v>0</v>
          </cell>
          <cell r="AP14">
            <v>0</v>
          </cell>
          <cell r="AQ14">
            <v>0</v>
          </cell>
          <cell r="AR14"/>
          <cell r="AS14">
            <v>27.853999999999999</v>
          </cell>
          <cell r="AT14">
            <v>30.018000000000001</v>
          </cell>
          <cell r="AU14">
            <v>33.767000000000003</v>
          </cell>
          <cell r="AV14">
            <v>37.262</v>
          </cell>
          <cell r="AW14">
            <v>128.90100000000001</v>
          </cell>
          <cell r="AX14"/>
          <cell r="AY14">
            <v>41.213000000000001</v>
          </cell>
          <cell r="AZ14">
            <v>45.201999999999998</v>
          </cell>
          <cell r="BA14">
            <v>49.064999999999998</v>
          </cell>
          <cell r="BB14">
            <v>53.236000000000018</v>
          </cell>
          <cell r="BC14">
            <v>188.71600000000001</v>
          </cell>
          <cell r="BD14"/>
          <cell r="BE14">
            <v>58.087000000000003</v>
          </cell>
          <cell r="BF14">
            <v>61.587000000000003</v>
          </cell>
          <cell r="BG14">
            <v>66.572999999999993</v>
          </cell>
          <cell r="BH14">
            <v>70.56738</v>
          </cell>
          <cell r="BI14">
            <v>256.81438000000003</v>
          </cell>
          <cell r="BJ14"/>
          <cell r="BK14">
            <v>76.847876819999996</v>
          </cell>
          <cell r="BL14">
            <v>81.99668456693999</v>
          </cell>
          <cell r="BM14">
            <v>88.814995152007228</v>
          </cell>
          <cell r="BN14">
            <v>95.900224629405372</v>
          </cell>
          <cell r="BO14">
            <v>343.55978116835257</v>
          </cell>
          <cell r="BP14"/>
          <cell r="BQ14">
            <v>100.74695133521764</v>
          </cell>
          <cell r="BR14">
            <v>104.70187613043156</v>
          </cell>
          <cell r="BS14">
            <v>109.22012761618176</v>
          </cell>
          <cell r="BT14">
            <v>117.9331795775866</v>
          </cell>
          <cell r="BU14">
            <v>432.60213465941757</v>
          </cell>
          <cell r="BV14"/>
          <cell r="BW14" t="e">
            <v>#VALUE!</v>
          </cell>
          <cell r="BX14" t="e">
            <v>#VALUE!</v>
          </cell>
          <cell r="BY14" t="e">
            <v>#VALUE!</v>
          </cell>
          <cell r="BZ14" t="e">
            <v>#VALUE!</v>
          </cell>
          <cell r="CA14" t="e">
            <v>#VALUE!</v>
          </cell>
          <cell r="CB14"/>
          <cell r="CC14" t="e">
            <v>#VALUE!</v>
          </cell>
          <cell r="CD14" t="e">
            <v>#VALUE!</v>
          </cell>
          <cell r="CE14" t="e">
            <v>#VALUE!</v>
          </cell>
          <cell r="CF14" t="e">
            <v>#VALUE!</v>
          </cell>
          <cell r="CG14" t="e">
            <v>#VALUE!</v>
          </cell>
        </row>
        <row r="15">
          <cell r="A15" t="str">
            <v>q/q change</v>
          </cell>
          <cell r="B15"/>
          <cell r="C15" t="str">
            <v>NA</v>
          </cell>
          <cell r="D15" t="str">
            <v>NA</v>
          </cell>
          <cell r="E15" t="str">
            <v>NA</v>
          </cell>
          <cell r="F15" t="str">
            <v>NA</v>
          </cell>
          <cell r="G15" t="str">
            <v>NA</v>
          </cell>
          <cell r="I15" t="str">
            <v>NA</v>
          </cell>
          <cell r="J15" t="str">
            <v>NA</v>
          </cell>
          <cell r="K15" t="str">
            <v>NA</v>
          </cell>
          <cell r="L15" t="str">
            <v>NA</v>
          </cell>
          <cell r="M15" t="str">
            <v>NA</v>
          </cell>
          <cell r="O15" t="str">
            <v>NA</v>
          </cell>
          <cell r="P15" t="str">
            <v>NA</v>
          </cell>
          <cell r="Q15" t="str">
            <v>NA</v>
          </cell>
          <cell r="R15" t="str">
            <v>NA</v>
          </cell>
          <cell r="S15" t="str">
            <v>NA</v>
          </cell>
          <cell r="U15" t="str">
            <v>NA</v>
          </cell>
          <cell r="V15" t="str">
            <v>NA</v>
          </cell>
          <cell r="W15" t="str">
            <v>NA</v>
          </cell>
          <cell r="X15" t="str">
            <v>NA</v>
          </cell>
          <cell r="Y15" t="str">
            <v>NA</v>
          </cell>
          <cell r="AA15" t="str">
            <v>NA</v>
          </cell>
          <cell r="AB15" t="str">
            <v>NA</v>
          </cell>
          <cell r="AC15" t="str">
            <v>NA</v>
          </cell>
          <cell r="AD15" t="str">
            <v>NA</v>
          </cell>
          <cell r="AE15" t="str">
            <v>NA</v>
          </cell>
          <cell r="AG15" t="str">
            <v>NA</v>
          </cell>
          <cell r="AH15" t="str">
            <v>NA</v>
          </cell>
          <cell r="AI15" t="str">
            <v>NA</v>
          </cell>
          <cell r="AJ15" t="str">
            <v>NA</v>
          </cell>
          <cell r="AK15" t="str">
            <v>NA</v>
          </cell>
          <cell r="AL15"/>
          <cell r="AM15" t="str">
            <v>NA</v>
          </cell>
          <cell r="AN15" t="str">
            <v>NA</v>
          </cell>
          <cell r="AO15" t="str">
            <v>NA</v>
          </cell>
          <cell r="AP15" t="str">
            <v>NA</v>
          </cell>
          <cell r="AQ15" t="str">
            <v>NA</v>
          </cell>
          <cell r="AS15" t="str">
            <v>NA</v>
          </cell>
          <cell r="AT15">
            <v>7.7690816399798912E-2</v>
          </cell>
          <cell r="AU15">
            <v>0.12489173162769007</v>
          </cell>
          <cell r="AV15">
            <v>0.10350342049930394</v>
          </cell>
          <cell r="AW15" t="str">
            <v>NA</v>
          </cell>
          <cell r="AY15">
            <v>0.10603295582631089</v>
          </cell>
          <cell r="AZ15">
            <v>9.6789847863538059E-2</v>
          </cell>
          <cell r="BA15">
            <v>8.5460820317684982E-2</v>
          </cell>
          <cell r="BB15">
            <v>8.5009681035361773E-2</v>
          </cell>
          <cell r="BC15" t="str">
            <v>NA</v>
          </cell>
          <cell r="BE15">
            <v>9.1122548651288326E-2</v>
          </cell>
          <cell r="BF15">
            <v>6.0254445917330868E-2</v>
          </cell>
          <cell r="BG15">
            <v>3.0000000000000027E-2</v>
          </cell>
          <cell r="BH15">
            <v>8.0000000000000071E-2</v>
          </cell>
          <cell r="BI15" t="str">
            <v>NA</v>
          </cell>
          <cell r="BK15">
            <v>5.0539263328546413E-2</v>
          </cell>
          <cell r="BL15">
            <v>3.9256024552590141E-2</v>
          </cell>
          <cell r="BM15">
            <v>4.3153491157327695E-2</v>
          </cell>
          <cell r="BN15">
            <v>7.977514906431904E-2</v>
          </cell>
          <cell r="BO15" t="str">
            <v>NA</v>
          </cell>
          <cell r="BQ15" t="str">
            <v>NA</v>
          </cell>
          <cell r="BR15" t="str">
            <v>NA</v>
          </cell>
          <cell r="BS15" t="str">
            <v>NA</v>
          </cell>
          <cell r="BT15" t="str">
            <v>NA</v>
          </cell>
          <cell r="BU15" t="str">
            <v>NA</v>
          </cell>
          <cell r="BW15" t="str">
            <v>NA</v>
          </cell>
          <cell r="BX15" t="str">
            <v>NA</v>
          </cell>
          <cell r="BY15" t="str">
            <v>NA</v>
          </cell>
          <cell r="BZ15" t="str">
            <v>NA</v>
          </cell>
          <cell r="CA15" t="str">
            <v>NA</v>
          </cell>
          <cell r="CC15" t="str">
            <v>NA</v>
          </cell>
          <cell r="CD15" t="str">
            <v>NA</v>
          </cell>
          <cell r="CE15" t="str">
            <v>NA</v>
          </cell>
          <cell r="CF15" t="str">
            <v>NA</v>
          </cell>
          <cell r="CG15" t="str">
            <v>NA</v>
          </cell>
        </row>
        <row r="16">
          <cell r="A16" t="str">
            <v>y/y change</v>
          </cell>
          <cell r="B16"/>
          <cell r="C16" t="str">
            <v>NA</v>
          </cell>
          <cell r="D16" t="str">
            <v>NA</v>
          </cell>
          <cell r="E16" t="str">
            <v>NA</v>
          </cell>
          <cell r="F16" t="str">
            <v>NA</v>
          </cell>
          <cell r="G16" t="str">
            <v>NA</v>
          </cell>
          <cell r="H16"/>
          <cell r="I16" t="str">
            <v>NA</v>
          </cell>
          <cell r="J16" t="str">
            <v>NA</v>
          </cell>
          <cell r="K16" t="str">
            <v>NA</v>
          </cell>
          <cell r="L16" t="str">
            <v>NA</v>
          </cell>
          <cell r="M16" t="str">
            <v>NA</v>
          </cell>
          <cell r="N16"/>
          <cell r="O16" t="str">
            <v>NA</v>
          </cell>
          <cell r="P16" t="str">
            <v>NA</v>
          </cell>
          <cell r="Q16" t="str">
            <v>NA</v>
          </cell>
          <cell r="R16" t="str">
            <v>NA</v>
          </cell>
          <cell r="S16" t="str">
            <v>NA</v>
          </cell>
          <cell r="T16"/>
          <cell r="U16" t="str">
            <v>NA</v>
          </cell>
          <cell r="V16" t="str">
            <v>NA</v>
          </cell>
          <cell r="W16" t="str">
            <v>NA</v>
          </cell>
          <cell r="X16" t="str">
            <v>NA</v>
          </cell>
          <cell r="Y16" t="str">
            <v>NA</v>
          </cell>
          <cell r="Z16"/>
          <cell r="AA16" t="str">
            <v>NA</v>
          </cell>
          <cell r="AB16" t="str">
            <v>NA</v>
          </cell>
          <cell r="AC16" t="str">
            <v>NA</v>
          </cell>
          <cell r="AD16" t="str">
            <v>NA</v>
          </cell>
          <cell r="AE16" t="str">
            <v>NA</v>
          </cell>
          <cell r="AF16"/>
          <cell r="AG16" t="str">
            <v>NA</v>
          </cell>
          <cell r="AH16" t="str">
            <v>NA</v>
          </cell>
          <cell r="AI16" t="str">
            <v>NA</v>
          </cell>
          <cell r="AJ16" t="str">
            <v>NA</v>
          </cell>
          <cell r="AK16" t="str">
            <v>NA</v>
          </cell>
          <cell r="AL16"/>
          <cell r="AM16" t="str">
            <v>NA</v>
          </cell>
          <cell r="AN16" t="str">
            <v>NA</v>
          </cell>
          <cell r="AO16" t="str">
            <v>NA</v>
          </cell>
          <cell r="AP16" t="str">
            <v>NA</v>
          </cell>
          <cell r="AQ16" t="str">
            <v>NA</v>
          </cell>
          <cell r="AR16"/>
          <cell r="AS16" t="str">
            <v>NA</v>
          </cell>
          <cell r="AT16" t="str">
            <v>NA</v>
          </cell>
          <cell r="AU16" t="str">
            <v>NA</v>
          </cell>
          <cell r="AV16" t="str">
            <v>NA</v>
          </cell>
          <cell r="AW16" t="str">
            <v>NA</v>
          </cell>
          <cell r="AX16"/>
          <cell r="AY16">
            <v>0.47960795576936888</v>
          </cell>
          <cell r="AZ16">
            <v>0.50582983543207405</v>
          </cell>
          <cell r="BA16">
            <v>0.45304587318980039</v>
          </cell>
          <cell r="BB16">
            <v>0.42869411196393159</v>
          </cell>
          <cell r="BC16">
            <v>0.46403829295350696</v>
          </cell>
          <cell r="BD16"/>
          <cell r="BE16">
            <v>0.40943391648266325</v>
          </cell>
          <cell r="BF16">
            <v>0.36248396088668655</v>
          </cell>
          <cell r="BG16">
            <v>0.35683277285233861</v>
          </cell>
          <cell r="BH16">
            <v>0.32555751746938122</v>
          </cell>
          <cell r="BI16">
            <v>0.36085112020178478</v>
          </cell>
          <cell r="BJ16"/>
          <cell r="BK16">
            <v>0.32297892506068471</v>
          </cell>
          <cell r="BL16">
            <v>0.33139598562910977</v>
          </cell>
          <cell r="BM16">
            <v>0.33409933684838045</v>
          </cell>
          <cell r="BN16">
            <v>0.35898802859629164</v>
          </cell>
          <cell r="BO16">
            <v>0.33777470392566222</v>
          </cell>
          <cell r="BP16"/>
          <cell r="BQ16">
            <v>0.31099199488876206</v>
          </cell>
          <cell r="BR16">
            <v>0.27690377584663972</v>
          </cell>
          <cell r="BS16">
            <v>0.22974873138540475</v>
          </cell>
          <cell r="BT16">
            <v>0.22974873138540475</v>
          </cell>
          <cell r="BU16">
            <v>0.25917571954510032</v>
          </cell>
          <cell r="BV16"/>
          <cell r="BW16" t="str">
            <v>NA</v>
          </cell>
          <cell r="BX16" t="str">
            <v>NA</v>
          </cell>
          <cell r="BY16" t="str">
            <v>NA</v>
          </cell>
          <cell r="BZ16" t="str">
            <v>NA</v>
          </cell>
          <cell r="CA16" t="str">
            <v>NA</v>
          </cell>
          <cell r="CB16"/>
          <cell r="CC16" t="str">
            <v>NA</v>
          </cell>
          <cell r="CD16" t="str">
            <v>NA</v>
          </cell>
          <cell r="CE16" t="str">
            <v>NA</v>
          </cell>
          <cell r="CF16" t="str">
            <v>NA</v>
          </cell>
          <cell r="CG16" t="str">
            <v>NA</v>
          </cell>
        </row>
        <row r="17">
          <cell r="A17"/>
          <cell r="B17"/>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cell r="BI17"/>
          <cell r="BJ17"/>
          <cell r="BK17"/>
          <cell r="BL17"/>
          <cell r="BM17"/>
          <cell r="BN17"/>
          <cell r="BO17"/>
          <cell r="BP17"/>
          <cell r="BQ17"/>
          <cell r="BR17"/>
          <cell r="BS17"/>
          <cell r="BT17"/>
          <cell r="BU17"/>
          <cell r="BV17"/>
          <cell r="BW17"/>
          <cell r="BX17"/>
          <cell r="BY17"/>
          <cell r="BZ17"/>
          <cell r="CA17"/>
          <cell r="CB17"/>
          <cell r="CC17"/>
          <cell r="CD17"/>
          <cell r="CE17"/>
          <cell r="CF17"/>
          <cell r="CG17"/>
        </row>
        <row r="18">
          <cell r="A18" t="str">
            <v>Total revenue</v>
          </cell>
          <cell r="B18"/>
          <cell r="C18"/>
          <cell r="D18"/>
          <cell r="E18"/>
          <cell r="F18"/>
          <cell r="G18"/>
          <cell r="I18"/>
          <cell r="J18"/>
          <cell r="K18"/>
          <cell r="L18"/>
          <cell r="M18"/>
          <cell r="O18"/>
          <cell r="P18"/>
          <cell r="Q18"/>
          <cell r="R18"/>
          <cell r="S18"/>
          <cell r="U18"/>
          <cell r="V18"/>
          <cell r="W18"/>
          <cell r="X18"/>
          <cell r="Y18">
            <v>37.984000000000002</v>
          </cell>
          <cell r="AA18">
            <v>11.526999999999999</v>
          </cell>
          <cell r="AB18">
            <v>12.71</v>
          </cell>
          <cell r="AC18">
            <v>14.13</v>
          </cell>
          <cell r="AD18">
            <v>15.454000000000001</v>
          </cell>
          <cell r="AE18">
            <v>53.821000000000005</v>
          </cell>
          <cell r="AG18">
            <v>18.393999999999998</v>
          </cell>
          <cell r="AH18">
            <v>19.972000000000001</v>
          </cell>
          <cell r="AI18">
            <v>22.462</v>
          </cell>
          <cell r="AJ18">
            <v>24.962</v>
          </cell>
          <cell r="AK18">
            <v>85.79</v>
          </cell>
          <cell r="AL18"/>
          <cell r="AM18">
            <v>28.545000000000002</v>
          </cell>
          <cell r="AN18">
            <v>30.318999999999999</v>
          </cell>
          <cell r="AO18">
            <v>34.155000000000001</v>
          </cell>
          <cell r="AP18">
            <v>38.588000000000001</v>
          </cell>
          <cell r="AQ18">
            <v>131.607</v>
          </cell>
          <cell r="AS18">
            <v>50.329000000000001</v>
          </cell>
          <cell r="AT18">
            <v>51.502000000000002</v>
          </cell>
          <cell r="AU18">
            <v>62.588999999999999</v>
          </cell>
          <cell r="AV18">
            <v>89.15</v>
          </cell>
          <cell r="AW18">
            <v>253.57000000000002</v>
          </cell>
          <cell r="AY18">
            <v>76.02</v>
          </cell>
          <cell r="AZ18">
            <v>82.043000000000006</v>
          </cell>
          <cell r="BA18">
            <v>103.39700000000001</v>
          </cell>
          <cell r="BB18">
            <v>156.44999999999999</v>
          </cell>
          <cell r="BC18">
            <v>417.90999999999997</v>
          </cell>
          <cell r="BE18">
            <v>108.831</v>
          </cell>
          <cell r="BF18">
            <v>96.233000000000004</v>
          </cell>
          <cell r="BG18">
            <v>112.97839000000002</v>
          </cell>
          <cell r="BH18">
            <v>144.31136220000002</v>
          </cell>
          <cell r="BI18">
            <v>462.35375220000009</v>
          </cell>
          <cell r="BK18">
            <v>117.23185359397311</v>
          </cell>
          <cell r="BL18">
            <v>113.31667601599082</v>
          </cell>
          <cell r="BM18">
            <v>126.87860247442619</v>
          </cell>
          <cell r="BN18">
            <v>185.55949160942151</v>
          </cell>
          <cell r="BO18">
            <v>542.98662369381168</v>
          </cell>
          <cell r="BQ18" t="e">
            <v>#VALUE!</v>
          </cell>
          <cell r="BR18" t="e">
            <v>#VALUE!</v>
          </cell>
          <cell r="BS18" t="e">
            <v>#VALUE!</v>
          </cell>
          <cell r="BT18" t="e">
            <v>#VALUE!</v>
          </cell>
          <cell r="BU18" t="e">
            <v>#VALUE!</v>
          </cell>
          <cell r="BW18" t="e">
            <v>#VALUE!</v>
          </cell>
          <cell r="BX18" t="e">
            <v>#VALUE!</v>
          </cell>
          <cell r="BY18" t="e">
            <v>#VALUE!</v>
          </cell>
          <cell r="BZ18" t="e">
            <v>#VALUE!</v>
          </cell>
          <cell r="CA18" t="e">
            <v>#VALUE!</v>
          </cell>
          <cell r="CC18" t="e">
            <v>#VALUE!</v>
          </cell>
          <cell r="CD18" t="e">
            <v>#VALUE!</v>
          </cell>
          <cell r="CE18" t="e">
            <v>#VALUE!</v>
          </cell>
          <cell r="CF18" t="e">
            <v>#VALUE!</v>
          </cell>
          <cell r="CG18" t="e">
            <v>#VALUE!</v>
          </cell>
        </row>
        <row r="19">
          <cell r="A19" t="str">
            <v>q/q change</v>
          </cell>
          <cell r="B19"/>
          <cell r="C19"/>
          <cell r="D19"/>
          <cell r="E19"/>
          <cell r="F19"/>
          <cell r="G19"/>
          <cell r="I19"/>
          <cell r="J19"/>
          <cell r="K19"/>
          <cell r="L19"/>
          <cell r="M19"/>
          <cell r="O19"/>
          <cell r="P19"/>
          <cell r="Q19"/>
          <cell r="R19"/>
          <cell r="S19"/>
          <cell r="U19"/>
          <cell r="V19"/>
          <cell r="W19"/>
          <cell r="X19"/>
          <cell r="Y19" t="str">
            <v>NA</v>
          </cell>
          <cell r="AA19" t="str">
            <v>NA</v>
          </cell>
          <cell r="AB19">
            <v>0.10262861108701316</v>
          </cell>
          <cell r="AC19">
            <v>0.1117230527143982</v>
          </cell>
          <cell r="AD19">
            <v>9.3701344656758723E-2</v>
          </cell>
          <cell r="AE19" t="str">
            <v>NA</v>
          </cell>
          <cell r="AG19">
            <v>0.19024200854147777</v>
          </cell>
          <cell r="AH19">
            <v>8.5788844188322555E-2</v>
          </cell>
          <cell r="AI19">
            <v>0.1246745443621069</v>
          </cell>
          <cell r="AJ19">
            <v>0.1112990828955569</v>
          </cell>
          <cell r="AK19" t="str">
            <v>NA</v>
          </cell>
          <cell r="AL19"/>
          <cell r="AM19" t="str">
            <v>NA</v>
          </cell>
          <cell r="AN19">
            <v>6.2147486424942944E-2</v>
          </cell>
          <cell r="AO19">
            <v>0.12652132326264076</v>
          </cell>
          <cell r="AP19">
            <v>0.12979066022544283</v>
          </cell>
          <cell r="AQ19" t="str">
            <v>NA</v>
          </cell>
          <cell r="AS19">
            <v>0.3042655747900902</v>
          </cell>
          <cell r="AT19">
            <v>2.330664229370738E-2</v>
          </cell>
          <cell r="AU19">
            <v>0.21527319327404748</v>
          </cell>
          <cell r="AV19">
            <v>0.42437169470673775</v>
          </cell>
          <cell r="AW19" t="str">
            <v>NA</v>
          </cell>
          <cell r="AY19">
            <v>-0.14727986539540106</v>
          </cell>
          <cell r="AZ19">
            <v>7.9229150223625533E-2</v>
          </cell>
          <cell r="BA19">
            <v>0.26027814682544514</v>
          </cell>
          <cell r="BB19">
            <v>0.51309999322997757</v>
          </cell>
          <cell r="BC19" t="str">
            <v>NA</v>
          </cell>
          <cell r="BE19">
            <v>-0.304372003835091</v>
          </cell>
          <cell r="BF19">
            <v>-0.11575745881228694</v>
          </cell>
          <cell r="BG19">
            <v>0.17400881194600615</v>
          </cell>
          <cell r="BH19">
            <v>0.27733597726078418</v>
          </cell>
          <cell r="BI19" t="str">
            <v>NA</v>
          </cell>
          <cell r="BK19">
            <v>-0.18764640699945456</v>
          </cell>
          <cell r="BL19">
            <v>-3.3396875149158012E-2</v>
          </cell>
          <cell r="BM19">
            <v>0.1196816473554303</v>
          </cell>
          <cell r="BN19">
            <v>0.46249633894590803</v>
          </cell>
          <cell r="BO19" t="str">
            <v>NA</v>
          </cell>
          <cell r="BQ19" t="str">
            <v>NA</v>
          </cell>
          <cell r="BR19" t="str">
            <v>NA</v>
          </cell>
          <cell r="BS19" t="str">
            <v>NA</v>
          </cell>
          <cell r="BT19" t="str">
            <v>NA</v>
          </cell>
          <cell r="BU19" t="str">
            <v>NA</v>
          </cell>
          <cell r="BW19" t="str">
            <v>NA</v>
          </cell>
          <cell r="BX19" t="str">
            <v>NA</v>
          </cell>
          <cell r="BY19" t="str">
            <v>NA</v>
          </cell>
          <cell r="BZ19" t="str">
            <v>NA</v>
          </cell>
          <cell r="CA19" t="str">
            <v>NA</v>
          </cell>
          <cell r="CC19" t="str">
            <v>NA</v>
          </cell>
          <cell r="CD19" t="str">
            <v>NA</v>
          </cell>
          <cell r="CE19" t="str">
            <v>NA</v>
          </cell>
          <cell r="CF19" t="str">
            <v>NA</v>
          </cell>
          <cell r="CG19" t="str">
            <v>NA</v>
          </cell>
        </row>
        <row r="20">
          <cell r="A20" t="str">
            <v>y/y change</v>
          </cell>
          <cell r="B20"/>
          <cell r="C20"/>
          <cell r="D20"/>
          <cell r="E20"/>
          <cell r="F20"/>
          <cell r="G20"/>
          <cell r="H20"/>
          <cell r="I20"/>
          <cell r="J20"/>
          <cell r="K20"/>
          <cell r="L20"/>
          <cell r="M20"/>
          <cell r="N20"/>
          <cell r="O20"/>
          <cell r="P20"/>
          <cell r="Q20"/>
          <cell r="R20"/>
          <cell r="S20"/>
          <cell r="T20"/>
          <cell r="U20"/>
          <cell r="V20"/>
          <cell r="W20"/>
          <cell r="X20"/>
          <cell r="Y20" t="str">
            <v>NA</v>
          </cell>
          <cell r="Z20"/>
          <cell r="AA20" t="str">
            <v>NA</v>
          </cell>
          <cell r="AB20" t="str">
            <v>NA</v>
          </cell>
          <cell r="AC20" t="str">
            <v>NA</v>
          </cell>
          <cell r="AD20" t="str">
            <v>NA</v>
          </cell>
          <cell r="AE20">
            <v>0.41693871103622593</v>
          </cell>
          <cell r="AF20"/>
          <cell r="AG20">
            <v>0.59573176021514707</v>
          </cell>
          <cell r="AH20">
            <v>0.57136113296616831</v>
          </cell>
          <cell r="AI20">
            <v>0.58966737438075012</v>
          </cell>
          <cell r="AJ20">
            <v>0.61524524394978641</v>
          </cell>
          <cell r="AK20">
            <v>0.59398747700711607</v>
          </cell>
          <cell r="AL20"/>
          <cell r="AM20" t="str">
            <v>NA</v>
          </cell>
          <cell r="AN20" t="str">
            <v>NA</v>
          </cell>
          <cell r="AO20" t="str">
            <v>NA</v>
          </cell>
          <cell r="AP20" t="str">
            <v>NA</v>
          </cell>
          <cell r="AQ20">
            <v>0.53405991374286033</v>
          </cell>
          <cell r="AR20"/>
          <cell r="AS20">
            <v>0.76314590996671905</v>
          </cell>
          <cell r="AT20">
            <v>0.69867080048814278</v>
          </cell>
          <cell r="AU20">
            <v>0.83249890206411936</v>
          </cell>
          <cell r="AV20">
            <v>1.3103037213641548</v>
          </cell>
          <cell r="AW20">
            <v>0.92672122303524906</v>
          </cell>
          <cell r="AX20"/>
          <cell r="AY20">
            <v>0.51046116553080711</v>
          </cell>
          <cell r="AZ20">
            <v>0.5930060968506079</v>
          </cell>
          <cell r="BA20">
            <v>0.65199955263704501</v>
          </cell>
          <cell r="BB20">
            <v>0.75490745933819392</v>
          </cell>
          <cell r="BC20">
            <v>0.6481050597468152</v>
          </cell>
          <cell r="BD20"/>
          <cell r="BE20">
            <v>0.43161010260457777</v>
          </cell>
          <cell r="BF20">
            <v>0.17295808295649828</v>
          </cell>
          <cell r="BG20">
            <v>0.25455284002437195</v>
          </cell>
          <cell r="BH20">
            <v>-5.251198465963558E-2</v>
          </cell>
          <cell r="BI20">
            <v>0.15578832763035111</v>
          </cell>
          <cell r="BJ20"/>
          <cell r="BK20">
            <v>9.8628082255974858E-2</v>
          </cell>
          <cell r="BL20">
            <v>0.29195960141469146</v>
          </cell>
          <cell r="BM20">
            <v>0.10837086254100448</v>
          </cell>
          <cell r="BN20">
            <v>0.14747656221802674</v>
          </cell>
          <cell r="BO20">
            <v>0.1547540374610743</v>
          </cell>
          <cell r="BP20"/>
          <cell r="BQ20">
            <v>0.21313088720090922</v>
          </cell>
          <cell r="BR20">
            <v>0.21484387570974772</v>
          </cell>
          <cell r="BS20">
            <v>0.16843115072572323</v>
          </cell>
          <cell r="BT20">
            <v>0.21160660842274703</v>
          </cell>
          <cell r="BU20">
            <v>0.20152565312622883</v>
          </cell>
          <cell r="BV20"/>
          <cell r="BW20" t="str">
            <v>NA</v>
          </cell>
          <cell r="BX20" t="str">
            <v>NA</v>
          </cell>
          <cell r="BY20" t="str">
            <v>NA</v>
          </cell>
          <cell r="BZ20" t="str">
            <v>NA</v>
          </cell>
          <cell r="CA20" t="str">
            <v>NA</v>
          </cell>
          <cell r="CB20"/>
          <cell r="CC20" t="str">
            <v>NA</v>
          </cell>
          <cell r="CD20" t="str">
            <v>NA</v>
          </cell>
          <cell r="CE20" t="str">
            <v>NA</v>
          </cell>
          <cell r="CF20" t="str">
            <v>NA</v>
          </cell>
          <cell r="CG20" t="str">
            <v>NA</v>
          </cell>
        </row>
        <row r="21">
          <cell r="A21"/>
          <cell r="B21"/>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row>
        <row r="22">
          <cell r="A22" t="str">
            <v>Cost of license revenue</v>
          </cell>
          <cell r="B22"/>
          <cell r="C22"/>
          <cell r="D22"/>
          <cell r="E22"/>
          <cell r="F22"/>
          <cell r="G22"/>
          <cell r="H22"/>
          <cell r="I22"/>
          <cell r="J22"/>
          <cell r="K22"/>
          <cell r="L22"/>
          <cell r="M22"/>
          <cell r="N22"/>
          <cell r="O22"/>
          <cell r="P22"/>
          <cell r="Q22"/>
          <cell r="R22"/>
          <cell r="S22"/>
          <cell r="T22"/>
          <cell r="U22"/>
          <cell r="V22"/>
          <cell r="W22"/>
          <cell r="X22"/>
          <cell r="Y22">
            <v>0</v>
          </cell>
          <cell r="Z22"/>
          <cell r="AA22">
            <v>0</v>
          </cell>
          <cell r="AB22">
            <v>0</v>
          </cell>
          <cell r="AC22">
            <v>0</v>
          </cell>
          <cell r="AD22">
            <v>0</v>
          </cell>
          <cell r="AE22">
            <v>0</v>
          </cell>
          <cell r="AF22"/>
          <cell r="AG22">
            <v>0</v>
          </cell>
          <cell r="AH22">
            <v>0</v>
          </cell>
          <cell r="AI22">
            <v>0</v>
          </cell>
          <cell r="AJ22">
            <v>0</v>
          </cell>
          <cell r="AK22">
            <v>0</v>
          </cell>
          <cell r="AL22"/>
          <cell r="AM22">
            <v>0</v>
          </cell>
          <cell r="AN22">
            <v>0</v>
          </cell>
          <cell r="AO22">
            <v>0</v>
          </cell>
          <cell r="AP22">
            <v>0</v>
          </cell>
          <cell r="AQ22">
            <v>0</v>
          </cell>
          <cell r="AR22"/>
          <cell r="AS22">
            <v>0</v>
          </cell>
          <cell r="AT22">
            <v>0</v>
          </cell>
          <cell r="AU22">
            <v>0</v>
          </cell>
          <cell r="AV22">
            <v>0</v>
          </cell>
          <cell r="AW22">
            <v>0</v>
          </cell>
          <cell r="AX22"/>
          <cell r="AY22">
            <v>0</v>
          </cell>
          <cell r="AZ22">
            <v>0</v>
          </cell>
          <cell r="BA22">
            <v>0</v>
          </cell>
          <cell r="BB22">
            <v>0</v>
          </cell>
          <cell r="BC22">
            <v>0</v>
          </cell>
          <cell r="BD22"/>
          <cell r="BE22">
            <v>1.9810000000000001</v>
          </cell>
          <cell r="BF22">
            <v>0.94599999999999995</v>
          </cell>
          <cell r="BG22">
            <v>1.022</v>
          </cell>
          <cell r="BH22">
            <v>0.97083899999999657</v>
          </cell>
          <cell r="BI22">
            <v>4.9198389999999961</v>
          </cell>
          <cell r="BJ22"/>
          <cell r="BK22">
            <v>0.85433832000000087</v>
          </cell>
          <cell r="BL22">
            <v>0.84664927512000077</v>
          </cell>
          <cell r="BM22">
            <v>1.0991909604844854</v>
          </cell>
          <cell r="BN22">
            <v>1.4839077966540553</v>
          </cell>
          <cell r="BO22">
            <v>4.2840863522585426</v>
          </cell>
          <cell r="BP22"/>
          <cell r="BQ22">
            <v>0.55375989820627158</v>
          </cell>
          <cell r="BR22">
            <v>0.57923285352375997</v>
          </cell>
          <cell r="BS22">
            <v>0.73463159140359169</v>
          </cell>
          <cell r="BT22">
            <v>1.1019473871053875</v>
          </cell>
          <cell r="BU22">
            <v>2.9695717302390108</v>
          </cell>
          <cell r="BV22"/>
          <cell r="BW22" t="e">
            <v>#VALUE!</v>
          </cell>
          <cell r="BX22" t="e">
            <v>#VALUE!</v>
          </cell>
          <cell r="BY22" t="e">
            <v>#VALUE!</v>
          </cell>
          <cell r="BZ22" t="e">
            <v>#VALUE!</v>
          </cell>
          <cell r="CA22" t="e">
            <v>#VALUE!</v>
          </cell>
          <cell r="CB22"/>
          <cell r="CC22" t="e">
            <v>#VALUE!</v>
          </cell>
          <cell r="CD22" t="e">
            <v>#VALUE!</v>
          </cell>
          <cell r="CE22" t="e">
            <v>#VALUE!</v>
          </cell>
          <cell r="CF22" t="e">
            <v>#VALUE!</v>
          </cell>
          <cell r="CG22" t="e">
            <v>#VALUE!</v>
          </cell>
        </row>
        <row r="23">
          <cell r="A23" t="str">
            <v>% margin</v>
          </cell>
          <cell r="B23"/>
          <cell r="C23"/>
          <cell r="D23"/>
          <cell r="E23"/>
          <cell r="F23"/>
          <cell r="G23"/>
          <cell r="H23"/>
          <cell r="I23"/>
          <cell r="J23"/>
          <cell r="K23"/>
          <cell r="L23"/>
          <cell r="M23"/>
          <cell r="N23"/>
          <cell r="O23"/>
          <cell r="P23"/>
          <cell r="Q23"/>
          <cell r="R23"/>
          <cell r="S23"/>
          <cell r="T23"/>
          <cell r="U23"/>
          <cell r="V23"/>
          <cell r="W23"/>
          <cell r="X23"/>
          <cell r="Y23" t="str">
            <v>NA</v>
          </cell>
          <cell r="Z23"/>
          <cell r="AA23" t="str">
            <v>NA</v>
          </cell>
          <cell r="AB23" t="str">
            <v>NA</v>
          </cell>
          <cell r="AC23" t="str">
            <v>NA</v>
          </cell>
          <cell r="AD23" t="str">
            <v>NA</v>
          </cell>
          <cell r="AE23" t="str">
            <v>NA</v>
          </cell>
          <cell r="AF23"/>
          <cell r="AG23" t="str">
            <v>NA</v>
          </cell>
          <cell r="AH23" t="str">
            <v>NA</v>
          </cell>
          <cell r="AI23" t="str">
            <v>NA</v>
          </cell>
          <cell r="AJ23" t="str">
            <v>NA</v>
          </cell>
          <cell r="AK23" t="str">
            <v>NA</v>
          </cell>
          <cell r="AL23"/>
          <cell r="AM23" t="str">
            <v>NA</v>
          </cell>
          <cell r="AN23" t="str">
            <v>NA</v>
          </cell>
          <cell r="AO23" t="str">
            <v>NA</v>
          </cell>
          <cell r="AP23" t="str">
            <v>NA</v>
          </cell>
          <cell r="AQ23" t="str">
            <v>NA</v>
          </cell>
          <cell r="AR23"/>
          <cell r="AS23">
            <v>1</v>
          </cell>
          <cell r="AT23">
            <v>1</v>
          </cell>
          <cell r="AU23">
            <v>1</v>
          </cell>
          <cell r="AV23">
            <v>1</v>
          </cell>
          <cell r="AW23">
            <v>1</v>
          </cell>
          <cell r="AX23"/>
          <cell r="AY23">
            <v>1</v>
          </cell>
          <cell r="AZ23">
            <v>1</v>
          </cell>
          <cell r="BA23">
            <v>1</v>
          </cell>
          <cell r="BB23">
            <v>1</v>
          </cell>
          <cell r="BC23">
            <v>1</v>
          </cell>
          <cell r="BD23"/>
          <cell r="BE23">
            <v>0.96096090178149141</v>
          </cell>
          <cell r="BF23">
            <v>0.97269526063614853</v>
          </cell>
          <cell r="BG23">
            <v>0.98381477258330163</v>
          </cell>
          <cell r="BH23">
            <v>0.98750000000000004</v>
          </cell>
          <cell r="BI23">
            <v>0.97825015632106505</v>
          </cell>
          <cell r="BJ23"/>
          <cell r="BK23">
            <v>0.98</v>
          </cell>
          <cell r="BL23">
            <v>0.98</v>
          </cell>
          <cell r="BM23">
            <v>0.98</v>
          </cell>
          <cell r="BN23">
            <v>0.98</v>
          </cell>
          <cell r="BO23">
            <v>0.97999999999999987</v>
          </cell>
          <cell r="BP23"/>
          <cell r="BQ23">
            <v>0.98750000000000004</v>
          </cell>
          <cell r="BR23">
            <v>0.98750000000000004</v>
          </cell>
          <cell r="BS23">
            <v>0.98750000000000004</v>
          </cell>
          <cell r="BT23">
            <v>0.98750000000000004</v>
          </cell>
          <cell r="BU23">
            <v>0.98750000000000004</v>
          </cell>
          <cell r="BV23"/>
          <cell r="BW23">
            <v>0.98750000000000004</v>
          </cell>
          <cell r="BX23">
            <v>0.98750000000000004</v>
          </cell>
          <cell r="BY23">
            <v>0.98750000000000004</v>
          </cell>
          <cell r="BZ23">
            <v>0.98750000000000004</v>
          </cell>
          <cell r="CA23" t="str">
            <v>NA</v>
          </cell>
          <cell r="CB23"/>
          <cell r="CC23">
            <v>0.98750000000000004</v>
          </cell>
          <cell r="CD23">
            <v>0.98750000000000004</v>
          </cell>
          <cell r="CE23">
            <v>0.98750000000000004</v>
          </cell>
          <cell r="CF23">
            <v>0.98750000000000004</v>
          </cell>
          <cell r="CG23" t="str">
            <v>NA</v>
          </cell>
        </row>
        <row r="24">
          <cell r="A24" t="str">
            <v>Cost of maintenance and services revenue</v>
          </cell>
          <cell r="B24"/>
          <cell r="C24"/>
          <cell r="D24"/>
          <cell r="E24"/>
          <cell r="F24"/>
          <cell r="G24"/>
          <cell r="H24"/>
          <cell r="I24"/>
          <cell r="J24"/>
          <cell r="K24"/>
          <cell r="L24"/>
          <cell r="M24"/>
          <cell r="N24"/>
          <cell r="O24"/>
          <cell r="P24"/>
          <cell r="Q24"/>
          <cell r="R24"/>
          <cell r="S24"/>
          <cell r="T24"/>
          <cell r="U24"/>
          <cell r="V24"/>
          <cell r="W24"/>
          <cell r="X24"/>
          <cell r="Y24">
            <v>0</v>
          </cell>
          <cell r="Z24"/>
          <cell r="AA24">
            <v>0</v>
          </cell>
          <cell r="AB24">
            <v>0</v>
          </cell>
          <cell r="AC24">
            <v>0</v>
          </cell>
          <cell r="AD24">
            <v>0</v>
          </cell>
          <cell r="AE24">
            <v>0</v>
          </cell>
          <cell r="AF24"/>
          <cell r="AG24">
            <v>0</v>
          </cell>
          <cell r="AH24">
            <v>0</v>
          </cell>
          <cell r="AI24">
            <v>0</v>
          </cell>
          <cell r="AJ24">
            <v>0</v>
          </cell>
          <cell r="AK24">
            <v>0</v>
          </cell>
          <cell r="AL24"/>
          <cell r="AM24">
            <v>0</v>
          </cell>
          <cell r="AN24">
            <v>0</v>
          </cell>
          <cell r="AO24">
            <v>0</v>
          </cell>
          <cell r="AP24">
            <v>0</v>
          </cell>
          <cell r="AQ24">
            <v>0</v>
          </cell>
          <cell r="AR24"/>
          <cell r="AS24">
            <v>0</v>
          </cell>
          <cell r="AT24">
            <v>0</v>
          </cell>
          <cell r="AU24">
            <v>0</v>
          </cell>
          <cell r="AV24">
            <v>0</v>
          </cell>
          <cell r="AW24">
            <v>0</v>
          </cell>
          <cell r="AX24"/>
          <cell r="AY24">
            <v>0</v>
          </cell>
          <cell r="AZ24">
            <v>0</v>
          </cell>
          <cell r="BA24">
            <v>0</v>
          </cell>
          <cell r="BB24">
            <v>0</v>
          </cell>
          <cell r="BC24">
            <v>0</v>
          </cell>
          <cell r="BD24"/>
          <cell r="BE24">
            <v>11.066000000000001</v>
          </cell>
          <cell r="BF24">
            <v>8.6890000000000001</v>
          </cell>
          <cell r="BG24">
            <v>9.3919999999999995</v>
          </cell>
          <cell r="BH24">
            <v>9.8794332000000011</v>
          </cell>
          <cell r="BI24">
            <v>39.0264332</v>
          </cell>
          <cell r="BJ24"/>
          <cell r="BK24">
            <v>10.950822446849996</v>
          </cell>
          <cell r="BL24">
            <v>11.684527550788946</v>
          </cell>
          <cell r="BM24">
            <v>12.656136809161026</v>
          </cell>
          <cell r="BN24">
            <v>13.665782009690261</v>
          </cell>
          <cell r="BO24">
            <v>48.957268816490227</v>
          </cell>
          <cell r="BP24"/>
          <cell r="BQ24">
            <v>14.35644056526851</v>
          </cell>
          <cell r="BR24">
            <v>14.920017348586493</v>
          </cell>
          <cell r="BS24">
            <v>15.563868185305896</v>
          </cell>
          <cell r="BT24">
            <v>16.805478089806087</v>
          </cell>
          <cell r="BU24">
            <v>61.645804188966991</v>
          </cell>
          <cell r="BV24"/>
          <cell r="BW24" t="e">
            <v>#VALUE!</v>
          </cell>
          <cell r="BX24" t="e">
            <v>#VALUE!</v>
          </cell>
          <cell r="BY24" t="e">
            <v>#VALUE!</v>
          </cell>
          <cell r="BZ24" t="e">
            <v>#VALUE!</v>
          </cell>
          <cell r="CA24" t="e">
            <v>#VALUE!</v>
          </cell>
          <cell r="CB24"/>
          <cell r="CC24" t="e">
            <v>#VALUE!</v>
          </cell>
          <cell r="CD24" t="e">
            <v>#VALUE!</v>
          </cell>
          <cell r="CE24" t="e">
            <v>#VALUE!</v>
          </cell>
          <cell r="CF24" t="e">
            <v>#VALUE!</v>
          </cell>
          <cell r="CG24" t="e">
            <v>#VALUE!</v>
          </cell>
        </row>
        <row r="25">
          <cell r="A25" t="str">
            <v>% margin</v>
          </cell>
          <cell r="B25"/>
          <cell r="C25"/>
          <cell r="D25"/>
          <cell r="E25"/>
          <cell r="F25"/>
          <cell r="G25"/>
          <cell r="H25"/>
          <cell r="I25"/>
          <cell r="J25"/>
          <cell r="K25"/>
          <cell r="L25"/>
          <cell r="M25"/>
          <cell r="N25"/>
          <cell r="O25"/>
          <cell r="P25"/>
          <cell r="Q25"/>
          <cell r="R25"/>
          <cell r="S25"/>
          <cell r="T25"/>
          <cell r="U25"/>
          <cell r="V25"/>
          <cell r="W25"/>
          <cell r="X25"/>
          <cell r="Y25" t="str">
            <v>NA</v>
          </cell>
          <cell r="Z25"/>
          <cell r="AA25" t="str">
            <v>NA</v>
          </cell>
          <cell r="AB25" t="str">
            <v>NA</v>
          </cell>
          <cell r="AC25" t="str">
            <v>NA</v>
          </cell>
          <cell r="AD25" t="str">
            <v>NA</v>
          </cell>
          <cell r="AE25" t="str">
            <v>NA</v>
          </cell>
          <cell r="AF25"/>
          <cell r="AG25" t="str">
            <v>NA</v>
          </cell>
          <cell r="AH25" t="str">
            <v>NA</v>
          </cell>
          <cell r="AI25" t="str">
            <v>NA</v>
          </cell>
          <cell r="AJ25" t="str">
            <v>NA</v>
          </cell>
          <cell r="AK25" t="str">
            <v>NA</v>
          </cell>
          <cell r="AL25"/>
          <cell r="AM25" t="str">
            <v>NA</v>
          </cell>
          <cell r="AN25" t="str">
            <v>NA</v>
          </cell>
          <cell r="AO25" t="str">
            <v>NA</v>
          </cell>
          <cell r="AP25" t="str">
            <v>NA</v>
          </cell>
          <cell r="AQ25" t="str">
            <v>NA</v>
          </cell>
          <cell r="AR25"/>
          <cell r="AS25">
            <v>1</v>
          </cell>
          <cell r="AT25">
            <v>1</v>
          </cell>
          <cell r="AU25">
            <v>1</v>
          </cell>
          <cell r="AV25">
            <v>1</v>
          </cell>
          <cell r="AW25">
            <v>1</v>
          </cell>
          <cell r="AX25"/>
          <cell r="AY25">
            <v>1</v>
          </cell>
          <cell r="AZ25">
            <v>1</v>
          </cell>
          <cell r="BA25">
            <v>1</v>
          </cell>
          <cell r="BB25">
            <v>1</v>
          </cell>
          <cell r="BC25">
            <v>1</v>
          </cell>
          <cell r="BD25"/>
          <cell r="BE25">
            <v>0.80949265756537603</v>
          </cell>
          <cell r="BF25">
            <v>0.85891503076948061</v>
          </cell>
          <cell r="BG25">
            <v>0.85892178510807693</v>
          </cell>
          <cell r="BH25">
            <v>0.86</v>
          </cell>
          <cell r="BI25">
            <v>0.84803641758689685</v>
          </cell>
          <cell r="BJ25"/>
          <cell r="BK25">
            <v>0.85750000000000004</v>
          </cell>
          <cell r="BL25">
            <v>0.85750000000000004</v>
          </cell>
          <cell r="BM25">
            <v>0.85750000000000004</v>
          </cell>
          <cell r="BN25">
            <v>0.85750000000000004</v>
          </cell>
          <cell r="BO25">
            <v>0.85750000000000004</v>
          </cell>
          <cell r="BP25"/>
          <cell r="BQ25">
            <v>0.85750000000000004</v>
          </cell>
          <cell r="BR25">
            <v>0.85750000000000004</v>
          </cell>
          <cell r="BS25">
            <v>0.85750000000000004</v>
          </cell>
          <cell r="BT25">
            <v>0.85750000000000004</v>
          </cell>
          <cell r="BU25">
            <v>0.85749999999999993</v>
          </cell>
          <cell r="BV25"/>
          <cell r="BW25">
            <v>0.80500000000000005</v>
          </cell>
          <cell r="BX25">
            <v>0.80500000000000005</v>
          </cell>
          <cell r="BY25">
            <v>0.80500000000000005</v>
          </cell>
          <cell r="BZ25">
            <v>0.80500000000000005</v>
          </cell>
          <cell r="CA25" t="str">
            <v>NA</v>
          </cell>
          <cell r="CB25"/>
          <cell r="CC25">
            <v>0.80500000000000005</v>
          </cell>
          <cell r="CD25">
            <v>0.80500000000000005</v>
          </cell>
          <cell r="CE25">
            <v>0.80500000000000005</v>
          </cell>
          <cell r="CF25">
            <v>0.80500000000000005</v>
          </cell>
          <cell r="CG25" t="str">
            <v>NA</v>
          </cell>
        </row>
        <row r="26">
          <cell r="A26" t="str">
            <v>Total cost of revenue</v>
          </cell>
          <cell r="B26"/>
          <cell r="C26"/>
          <cell r="D26"/>
          <cell r="E26"/>
          <cell r="F26"/>
          <cell r="G26"/>
          <cell r="H26"/>
          <cell r="I26"/>
          <cell r="J26"/>
          <cell r="K26"/>
          <cell r="L26"/>
          <cell r="M26"/>
          <cell r="N26"/>
          <cell r="O26"/>
          <cell r="P26"/>
          <cell r="Q26"/>
          <cell r="R26"/>
          <cell r="S26"/>
          <cell r="T26"/>
          <cell r="U26"/>
          <cell r="V26"/>
          <cell r="W26"/>
          <cell r="X26"/>
          <cell r="Y26">
            <v>8.4989999999999988</v>
          </cell>
          <cell r="Z26"/>
          <cell r="AA26">
            <v>2.3160000000000003</v>
          </cell>
          <cell r="AB26">
            <v>2.44</v>
          </cell>
          <cell r="AC26">
            <v>2.6229999999999998</v>
          </cell>
          <cell r="AD26">
            <v>3.1080000000000001</v>
          </cell>
          <cell r="AE26">
            <v>10.487</v>
          </cell>
          <cell r="AF26"/>
          <cell r="AG26">
            <v>3.8734200474590854</v>
          </cell>
          <cell r="AH26">
            <v>3.7437927465384697</v>
          </cell>
          <cell r="AI26">
            <v>4.0381406764414445</v>
          </cell>
          <cell r="AJ26">
            <v>4.2650000000000006</v>
          </cell>
          <cell r="AK26">
            <v>15.920353470439</v>
          </cell>
          <cell r="AL26"/>
          <cell r="AM26">
            <v>4.6399999999999997</v>
          </cell>
          <cell r="AN26">
            <v>4.9339999999999993</v>
          </cell>
          <cell r="AO26">
            <v>4.8460000000000001</v>
          </cell>
          <cell r="AP26">
            <v>5.6849999999999996</v>
          </cell>
          <cell r="AQ26">
            <v>20.104999999999997</v>
          </cell>
          <cell r="AR26"/>
          <cell r="AS26">
            <v>4.4189999999999996</v>
          </cell>
          <cell r="AT26">
            <v>4.6120000000000001</v>
          </cell>
          <cell r="AU26">
            <v>5.1279999999999992</v>
          </cell>
          <cell r="AV26">
            <v>6.0349999999999993</v>
          </cell>
          <cell r="AW26">
            <v>20.193999999999999</v>
          </cell>
          <cell r="AX26"/>
          <cell r="AY26">
            <v>7.2469999999999999</v>
          </cell>
          <cell r="AZ26">
            <v>7.7889999999999997</v>
          </cell>
          <cell r="BA26">
            <v>8.0860000000000003</v>
          </cell>
          <cell r="BB26">
            <v>10.594000000000001</v>
          </cell>
          <cell r="BC26">
            <v>33.716000000000001</v>
          </cell>
          <cell r="BD26"/>
          <cell r="BE26">
            <v>11.493</v>
          </cell>
          <cell r="BF26">
            <v>8.2759999999999998</v>
          </cell>
          <cell r="BG26">
            <v>8.9269999999999996</v>
          </cell>
          <cell r="BH26">
            <v>10.85027220000001</v>
          </cell>
          <cell r="BI26">
            <v>39.546272200000004</v>
          </cell>
          <cell r="BJ26"/>
          <cell r="BK26">
            <v>11.805160766849989</v>
          </cell>
          <cell r="BL26">
            <v>12.531176825908942</v>
          </cell>
          <cell r="BM26">
            <v>13.755327769645506</v>
          </cell>
          <cell r="BN26">
            <v>15.149689806344327</v>
          </cell>
          <cell r="BO26">
            <v>53.241355168748761</v>
          </cell>
          <cell r="BP26"/>
          <cell r="BQ26">
            <v>14.910200463474773</v>
          </cell>
          <cell r="BR26">
            <v>15.499250202110266</v>
          </cell>
          <cell r="BS26">
            <v>16.298499776709487</v>
          </cell>
          <cell r="BT26">
            <v>17.90742547691146</v>
          </cell>
          <cell r="BU26">
            <v>64.615375919205988</v>
          </cell>
          <cell r="BV26"/>
          <cell r="BW26" t="e">
            <v>#VALUE!</v>
          </cell>
          <cell r="BX26" t="e">
            <v>#VALUE!</v>
          </cell>
          <cell r="BY26" t="e">
            <v>#VALUE!</v>
          </cell>
          <cell r="BZ26" t="e">
            <v>#VALUE!</v>
          </cell>
          <cell r="CA26" t="e">
            <v>#VALUE!</v>
          </cell>
          <cell r="CB26"/>
          <cell r="CC26" t="e">
            <v>#VALUE!</v>
          </cell>
          <cell r="CD26" t="e">
            <v>#VALUE!</v>
          </cell>
          <cell r="CE26" t="e">
            <v>#VALUE!</v>
          </cell>
          <cell r="CF26" t="e">
            <v>#VALUE!</v>
          </cell>
          <cell r="CG26" t="e">
            <v>#VALUE!</v>
          </cell>
        </row>
        <row r="27">
          <cell r="A27" t="str">
            <v>Gross profit</v>
          </cell>
          <cell r="B27"/>
          <cell r="C27"/>
          <cell r="D27"/>
          <cell r="E27"/>
          <cell r="F27"/>
          <cell r="G27"/>
          <cell r="I27"/>
          <cell r="J27"/>
          <cell r="K27"/>
          <cell r="L27"/>
          <cell r="M27"/>
          <cell r="O27"/>
          <cell r="P27"/>
          <cell r="Q27"/>
          <cell r="R27"/>
          <cell r="S27"/>
          <cell r="U27"/>
          <cell r="V27"/>
          <cell r="W27"/>
          <cell r="X27"/>
          <cell r="Y27">
            <v>29.485000000000003</v>
          </cell>
          <cell r="AA27">
            <v>9.2109999999999985</v>
          </cell>
          <cell r="AB27">
            <v>10.270000000000001</v>
          </cell>
          <cell r="AC27">
            <v>11.507000000000001</v>
          </cell>
          <cell r="AD27">
            <v>12.346</v>
          </cell>
          <cell r="AE27">
            <v>43.334000000000003</v>
          </cell>
          <cell r="AG27">
            <v>14.520579952540913</v>
          </cell>
          <cell r="AH27">
            <v>16.22820725346153</v>
          </cell>
          <cell r="AI27">
            <v>18.423859323558556</v>
          </cell>
          <cell r="AJ27">
            <v>20.696999999999999</v>
          </cell>
          <cell r="AK27">
            <v>69.86964652956101</v>
          </cell>
          <cell r="AL27"/>
          <cell r="AM27">
            <v>23.905000000000001</v>
          </cell>
          <cell r="AN27">
            <v>25.384999999999998</v>
          </cell>
          <cell r="AO27">
            <v>29.309000000000001</v>
          </cell>
          <cell r="AP27">
            <v>32.902999999999999</v>
          </cell>
          <cell r="AQ27">
            <v>111.50200000000001</v>
          </cell>
          <cell r="AS27">
            <v>45.910000000000004</v>
          </cell>
          <cell r="AT27">
            <v>46.89</v>
          </cell>
          <cell r="AU27">
            <v>57.460999999999999</v>
          </cell>
          <cell r="AV27">
            <v>83.115000000000009</v>
          </cell>
          <cell r="AW27">
            <v>233.37600000000003</v>
          </cell>
          <cell r="AY27">
            <v>68.772999999999996</v>
          </cell>
          <cell r="AZ27">
            <v>74.254000000000005</v>
          </cell>
          <cell r="BA27">
            <v>95.311000000000007</v>
          </cell>
          <cell r="BB27">
            <v>145.85599999999999</v>
          </cell>
          <cell r="BC27">
            <v>384.19399999999996</v>
          </cell>
          <cell r="BE27">
            <v>97.338000000000008</v>
          </cell>
          <cell r="BF27">
            <v>87.957000000000008</v>
          </cell>
          <cell r="BG27">
            <v>100.30651685000002</v>
          </cell>
          <cell r="BH27">
            <v>130.34705543550001</v>
          </cell>
          <cell r="BI27">
            <v>415.94857228550006</v>
          </cell>
          <cell r="BK27">
            <v>102.47208234419432</v>
          </cell>
          <cell r="BL27">
            <v>98.147839505660357</v>
          </cell>
          <cell r="BM27">
            <v>110.8817393862402</v>
          </cell>
          <cell r="BN27">
            <v>167.31529378962347</v>
          </cell>
          <cell r="BO27">
            <v>478.81695502571836</v>
          </cell>
          <cell r="BQ27" t="e">
            <v>#VALUE!</v>
          </cell>
          <cell r="BR27" t="e">
            <v>#VALUE!</v>
          </cell>
          <cell r="BS27" t="e">
            <v>#VALUE!</v>
          </cell>
          <cell r="BT27" t="e">
            <v>#VALUE!</v>
          </cell>
          <cell r="BU27" t="e">
            <v>#VALUE!</v>
          </cell>
          <cell r="BW27" t="e">
            <v>#VALUE!</v>
          </cell>
          <cell r="BX27" t="e">
            <v>#VALUE!</v>
          </cell>
          <cell r="BY27" t="e">
            <v>#VALUE!</v>
          </cell>
          <cell r="BZ27" t="e">
            <v>#VALUE!</v>
          </cell>
          <cell r="CA27" t="e">
            <v>#VALUE!</v>
          </cell>
          <cell r="CC27" t="e">
            <v>#VALUE!</v>
          </cell>
          <cell r="CD27" t="e">
            <v>#VALUE!</v>
          </cell>
          <cell r="CE27" t="e">
            <v>#VALUE!</v>
          </cell>
          <cell r="CF27" t="e">
            <v>#VALUE!</v>
          </cell>
          <cell r="CG27" t="e">
            <v>#VALUE!</v>
          </cell>
        </row>
        <row r="28">
          <cell r="A28" t="str">
            <v>% gross margin</v>
          </cell>
          <cell r="B28"/>
          <cell r="C28"/>
          <cell r="D28"/>
          <cell r="E28"/>
          <cell r="F28"/>
          <cell r="G28"/>
          <cell r="H28"/>
          <cell r="I28"/>
          <cell r="J28"/>
          <cell r="K28"/>
          <cell r="L28"/>
          <cell r="M28"/>
          <cell r="N28"/>
          <cell r="O28"/>
          <cell r="P28"/>
          <cell r="Q28"/>
          <cell r="R28"/>
          <cell r="S28"/>
          <cell r="T28"/>
          <cell r="U28"/>
          <cell r="V28"/>
          <cell r="W28"/>
          <cell r="X28"/>
          <cell r="Y28">
            <v>0.77624789385004211</v>
          </cell>
          <cell r="Z28"/>
          <cell r="AA28">
            <v>0.79908041988375111</v>
          </cell>
          <cell r="AB28">
            <v>0.80802517702596388</v>
          </cell>
          <cell r="AC28">
            <v>0.81436659589525839</v>
          </cell>
          <cell r="AD28">
            <v>0.79888701954186614</v>
          </cell>
          <cell r="AE28">
            <v>0.8051504059753628</v>
          </cell>
          <cell r="AF28"/>
          <cell r="AG28">
            <v>0.78941937330330081</v>
          </cell>
          <cell r="AH28">
            <v>0.81254792977476109</v>
          </cell>
          <cell r="AI28">
            <v>0.8202234584435294</v>
          </cell>
          <cell r="AJ28">
            <v>0.82914029324573346</v>
          </cell>
          <cell r="AK28">
            <v>0.81442646613312741</v>
          </cell>
          <cell r="AL28"/>
          <cell r="AM28">
            <v>0.83744964091784901</v>
          </cell>
          <cell r="AN28">
            <v>0.83726376199742736</v>
          </cell>
          <cell r="AO28">
            <v>0.85811740594349295</v>
          </cell>
          <cell r="AP28">
            <v>0.85267440655125937</v>
          </cell>
          <cell r="AQ28">
            <v>0.84723456958976351</v>
          </cell>
          <cell r="AR28"/>
          <cell r="AS28">
            <v>0.91219773887818167</v>
          </cell>
          <cell r="AT28">
            <v>0.91045007960855884</v>
          </cell>
          <cell r="AU28">
            <v>0.91806867021361582</v>
          </cell>
          <cell r="AV28">
            <v>0.93230510375771181</v>
          </cell>
          <cell r="AW28">
            <v>0.920361241471783</v>
          </cell>
          <cell r="AX28"/>
          <cell r="AY28">
            <v>0.90466982373059723</v>
          </cell>
          <cell r="AZ28">
            <v>0.90506197969357527</v>
          </cell>
          <cell r="BA28">
            <v>0.92179657050011121</v>
          </cell>
          <cell r="BB28">
            <v>0.93228507510386704</v>
          </cell>
          <cell r="BC28">
            <v>0.91932234213108088</v>
          </cell>
          <cell r="BD28"/>
          <cell r="BE28">
            <v>0.89439589822752719</v>
          </cell>
          <cell r="BF28">
            <v>0.914000394874939</v>
          </cell>
          <cell r="BG28">
            <v>0.93118095546458834</v>
          </cell>
          <cell r="BH28">
            <v>0.92680332716068115</v>
          </cell>
          <cell r="BI28">
            <v>0.91812628745868408</v>
          </cell>
          <cell r="BJ28"/>
          <cell r="BK28">
            <v>0.90126557752981529</v>
          </cell>
          <cell r="BL28">
            <v>0.89920966245695089</v>
          </cell>
          <cell r="BM28">
            <v>0.90432709806780653</v>
          </cell>
          <cell r="BN28">
            <v>0.91093427156101547</v>
          </cell>
          <cell r="BO28">
            <v>0.90454503026444022</v>
          </cell>
          <cell r="BP28"/>
          <cell r="BQ28">
            <v>0.89720487795686044</v>
          </cell>
          <cell r="BR28">
            <v>0.89738348489754682</v>
          </cell>
          <cell r="BS28">
            <v>0.90297972358254441</v>
          </cell>
          <cell r="BT28">
            <v>0.91310827828647489</v>
          </cell>
          <cell r="BU28">
            <v>0.90358329828258788</v>
          </cell>
          <cell r="BV28"/>
          <cell r="BW28" t="e">
            <v>#VALUE!</v>
          </cell>
          <cell r="BX28" t="e">
            <v>#VALUE!</v>
          </cell>
          <cell r="BY28" t="e">
            <v>#VALUE!</v>
          </cell>
          <cell r="BZ28" t="e">
            <v>#VALUE!</v>
          </cell>
          <cell r="CA28" t="str">
            <v>NA</v>
          </cell>
          <cell r="CB28"/>
          <cell r="CC28" t="e">
            <v>#VALUE!</v>
          </cell>
          <cell r="CD28" t="e">
            <v>#VALUE!</v>
          </cell>
          <cell r="CE28" t="e">
            <v>#VALUE!</v>
          </cell>
          <cell r="CF28" t="e">
            <v>#VALUE!</v>
          </cell>
          <cell r="CG28" t="str">
            <v>NA</v>
          </cell>
        </row>
        <row r="29">
          <cell r="A29"/>
          <cell r="B29"/>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row>
        <row r="30">
          <cell r="A30" t="str">
            <v>Sales and marketing expense</v>
          </cell>
          <cell r="B30"/>
          <cell r="C30"/>
          <cell r="D30"/>
          <cell r="E30"/>
          <cell r="F30"/>
          <cell r="G30"/>
          <cell r="H30"/>
          <cell r="I30"/>
          <cell r="J30"/>
          <cell r="K30"/>
          <cell r="L30"/>
          <cell r="M30"/>
          <cell r="N30"/>
          <cell r="O30"/>
          <cell r="P30"/>
          <cell r="Q30"/>
          <cell r="R30"/>
          <cell r="S30"/>
          <cell r="T30"/>
          <cell r="U30"/>
          <cell r="V30"/>
          <cell r="W30"/>
          <cell r="X30"/>
          <cell r="Y30">
            <v>24.428999999999998</v>
          </cell>
          <cell r="Z30"/>
          <cell r="AA30">
            <v>8.9219999999999988</v>
          </cell>
          <cell r="AB30">
            <v>11.167</v>
          </cell>
          <cell r="AC30">
            <v>10.507</v>
          </cell>
          <cell r="AD30">
            <v>11.847999999999999</v>
          </cell>
          <cell r="AE30">
            <v>42.443999999999996</v>
          </cell>
          <cell r="AF30"/>
          <cell r="AG30">
            <v>13.319828767860249</v>
          </cell>
          <cell r="AH30">
            <v>15.120472732343869</v>
          </cell>
          <cell r="AI30">
            <v>13.148</v>
          </cell>
          <cell r="AJ30">
            <v>14.715999999999999</v>
          </cell>
          <cell r="AK30">
            <v>56.304301500204119</v>
          </cell>
          <cell r="AL30"/>
          <cell r="AM30">
            <v>14.968999999999999</v>
          </cell>
          <cell r="AN30">
            <v>17.064999999999998</v>
          </cell>
          <cell r="AO30">
            <v>15.055</v>
          </cell>
          <cell r="AP30">
            <v>17.029</v>
          </cell>
          <cell r="AQ30">
            <v>64.117999999999995</v>
          </cell>
          <cell r="AR30"/>
          <cell r="AS30">
            <v>20.891000000000002</v>
          </cell>
          <cell r="AT30">
            <v>25.861000000000001</v>
          </cell>
          <cell r="AU30">
            <v>23.230999999999998</v>
          </cell>
          <cell r="AV30">
            <v>32.928000000000004</v>
          </cell>
          <cell r="AW30">
            <v>102.911</v>
          </cell>
          <cell r="AX30"/>
          <cell r="AY30">
            <v>36.192</v>
          </cell>
          <cell r="AZ30">
            <v>44.977000000000004</v>
          </cell>
          <cell r="BA30">
            <v>40.255000000000003</v>
          </cell>
          <cell r="BB30">
            <v>57.430999999999997</v>
          </cell>
          <cell r="BC30">
            <v>178.85500000000002</v>
          </cell>
          <cell r="BD30"/>
          <cell r="BE30">
            <v>59.966000000000008</v>
          </cell>
          <cell r="BF30">
            <v>50.281000000000006</v>
          </cell>
          <cell r="BG30">
            <v>53.19</v>
          </cell>
          <cell r="BH30">
            <v>69.147000000000006</v>
          </cell>
          <cell r="BI30">
            <v>232.584</v>
          </cell>
          <cell r="BJ30"/>
          <cell r="BK30">
            <v>56.195452625400002</v>
          </cell>
          <cell r="BL30">
            <v>59.677991195011195</v>
          </cell>
          <cell r="BM30">
            <v>55.798921767335472</v>
          </cell>
          <cell r="BN30">
            <v>89.278274827736766</v>
          </cell>
          <cell r="BO30">
            <v>260.95064041548346</v>
          </cell>
          <cell r="BP30"/>
          <cell r="BQ30">
            <v>70.34815544798397</v>
          </cell>
          <cell r="BR30">
            <v>72.499442117919614</v>
          </cell>
          <cell r="BS30">
            <v>67.786978380254837</v>
          </cell>
          <cell r="BT30">
            <v>111.84851432742046</v>
          </cell>
          <cell r="BU30">
            <v>322.48309027357885</v>
          </cell>
          <cell r="BV30"/>
          <cell r="BW30" t="e">
            <v>#VALUE!</v>
          </cell>
          <cell r="BX30" t="e">
            <v>#VALUE!</v>
          </cell>
          <cell r="BY30" t="e">
            <v>#VALUE!</v>
          </cell>
          <cell r="BZ30" t="e">
            <v>#VALUE!</v>
          </cell>
          <cell r="CA30" t="e">
            <v>#VALUE!</v>
          </cell>
          <cell r="CB30"/>
          <cell r="CC30" t="e">
            <v>#VALUE!</v>
          </cell>
          <cell r="CD30" t="e">
            <v>#VALUE!</v>
          </cell>
          <cell r="CE30" t="e">
            <v>#VALUE!</v>
          </cell>
          <cell r="CF30" t="e">
            <v>#VALUE!</v>
          </cell>
          <cell r="CG30" t="e">
            <v>#VALUE!</v>
          </cell>
        </row>
        <row r="31">
          <cell r="A31" t="str">
            <v>q/q change</v>
          </cell>
          <cell r="B31"/>
          <cell r="C31"/>
          <cell r="D31"/>
          <cell r="E31"/>
          <cell r="F31"/>
          <cell r="G31"/>
          <cell r="I31"/>
          <cell r="J31"/>
          <cell r="K31"/>
          <cell r="L31"/>
          <cell r="M31"/>
          <cell r="O31"/>
          <cell r="P31"/>
          <cell r="Q31"/>
          <cell r="R31"/>
          <cell r="S31"/>
          <cell r="U31"/>
          <cell r="V31"/>
          <cell r="W31"/>
          <cell r="X31"/>
          <cell r="Y31" t="str">
            <v>NA</v>
          </cell>
          <cell r="AA31" t="str">
            <v>NA</v>
          </cell>
          <cell r="AB31">
            <v>0.2516251961443623</v>
          </cell>
          <cell r="AC31">
            <v>-5.9102713351840253E-2</v>
          </cell>
          <cell r="AD31">
            <v>0.12762919958123153</v>
          </cell>
          <cell r="AE31" t="str">
            <v>NA</v>
          </cell>
          <cell r="AG31">
            <v>0.12422592571406565</v>
          </cell>
          <cell r="AH31">
            <v>0.13518521865899946</v>
          </cell>
          <cell r="AI31">
            <v>-0.13045046720825049</v>
          </cell>
          <cell r="AJ31">
            <v>0.11925768177669616</v>
          </cell>
          <cell r="AK31" t="str">
            <v>NA</v>
          </cell>
          <cell r="AL31"/>
          <cell r="AM31" t="str">
            <v>NA</v>
          </cell>
          <cell r="AN31">
            <v>0.14002271360812335</v>
          </cell>
          <cell r="AO31">
            <v>-0.11778493993554051</v>
          </cell>
          <cell r="AP31">
            <v>0.13111922949186328</v>
          </cell>
          <cell r="AQ31" t="str">
            <v>NA</v>
          </cell>
          <cell r="AS31">
            <v>0.22678959422162204</v>
          </cell>
          <cell r="AT31">
            <v>0.23790148867933558</v>
          </cell>
          <cell r="AU31">
            <v>-0.10169753683152249</v>
          </cell>
          <cell r="AV31">
            <v>0.4174163832809612</v>
          </cell>
          <cell r="AW31" t="str">
            <v>NA</v>
          </cell>
          <cell r="AY31">
            <v>9.9125364431486673E-2</v>
          </cell>
          <cell r="AZ31">
            <v>0.24273320070733884</v>
          </cell>
          <cell r="BA31">
            <v>-0.10498699335215778</v>
          </cell>
          <cell r="BB31">
            <v>0.4266799155384422</v>
          </cell>
          <cell r="BC31" t="str">
            <v>NA</v>
          </cell>
          <cell r="BE31">
            <v>4.4139924431056521E-2</v>
          </cell>
          <cell r="BF31">
            <v>-0.16150818797318478</v>
          </cell>
          <cell r="BG31">
            <v>-6.9999999999999951E-2</v>
          </cell>
          <cell r="BH31">
            <v>0.39999999999999969</v>
          </cell>
          <cell r="BI31" t="str">
            <v>NA</v>
          </cell>
          <cell r="BK31">
            <v>-0.1583556756776936</v>
          </cell>
          <cell r="BL31">
            <v>-1.2830851216161343E-2</v>
          </cell>
          <cell r="BM31">
            <v>-6.4999999999999947E-2</v>
          </cell>
          <cell r="BN31">
            <v>0.60000000000000009</v>
          </cell>
          <cell r="BO31" t="str">
            <v>NA</v>
          </cell>
          <cell r="BQ31" t="str">
            <v>NA</v>
          </cell>
          <cell r="BR31" t="str">
            <v>NA</v>
          </cell>
          <cell r="BS31" t="str">
            <v>NA</v>
          </cell>
          <cell r="BT31" t="str">
            <v>NA</v>
          </cell>
          <cell r="BU31" t="str">
            <v>NA</v>
          </cell>
          <cell r="BW31" t="str">
            <v>NA</v>
          </cell>
          <cell r="BX31" t="str">
            <v>NA</v>
          </cell>
          <cell r="BY31" t="str">
            <v>NA</v>
          </cell>
          <cell r="BZ31" t="str">
            <v>NA</v>
          </cell>
          <cell r="CA31" t="str">
            <v>NA</v>
          </cell>
          <cell r="CC31" t="str">
            <v>NA</v>
          </cell>
          <cell r="CD31" t="str">
            <v>NA</v>
          </cell>
          <cell r="CE31" t="str">
            <v>NA</v>
          </cell>
          <cell r="CF31" t="str">
            <v>NA</v>
          </cell>
          <cell r="CG31" t="str">
            <v>NA</v>
          </cell>
        </row>
        <row r="32">
          <cell r="A32" t="str">
            <v>y/y change</v>
          </cell>
          <cell r="B32"/>
          <cell r="C32"/>
          <cell r="D32"/>
          <cell r="E32"/>
          <cell r="F32"/>
          <cell r="G32"/>
          <cell r="H32"/>
          <cell r="I32"/>
          <cell r="J32"/>
          <cell r="K32"/>
          <cell r="L32"/>
          <cell r="M32"/>
          <cell r="N32"/>
          <cell r="O32"/>
          <cell r="P32"/>
          <cell r="Q32"/>
          <cell r="R32"/>
          <cell r="S32"/>
          <cell r="T32"/>
          <cell r="U32"/>
          <cell r="V32"/>
          <cell r="W32"/>
          <cell r="X32"/>
          <cell r="Y32" t="str">
            <v>NA</v>
          </cell>
          <cell r="Z32"/>
          <cell r="AA32" t="str">
            <v>NA</v>
          </cell>
          <cell r="AB32" t="str">
            <v>NA</v>
          </cell>
          <cell r="AC32" t="str">
            <v>NA</v>
          </cell>
          <cell r="AD32" t="str">
            <v>NA</v>
          </cell>
          <cell r="AE32">
            <v>0.73744320275082886</v>
          </cell>
          <cell r="AF32"/>
          <cell r="AG32">
            <v>0.492919610833922</v>
          </cell>
          <cell r="AH32">
            <v>0.35403176612732778</v>
          </cell>
          <cell r="AI32">
            <v>0.25135623869801083</v>
          </cell>
          <cell r="AJ32">
            <v>0.2420661715057395</v>
          </cell>
          <cell r="AK32">
            <v>0.32655502545010195</v>
          </cell>
          <cell r="AL32"/>
          <cell r="AM32" t="str">
            <v>NA</v>
          </cell>
          <cell r="AN32" t="str">
            <v>NA</v>
          </cell>
          <cell r="AO32" t="str">
            <v>NA</v>
          </cell>
          <cell r="AP32" t="str">
            <v>NA</v>
          </cell>
          <cell r="AQ32" t="str">
            <v>NA</v>
          </cell>
          <cell r="AR32"/>
          <cell r="AS32">
            <v>0.39561760972676874</v>
          </cell>
          <cell r="AT32">
            <v>0.51544096103135106</v>
          </cell>
          <cell r="AU32">
            <v>0.54307539023580187</v>
          </cell>
          <cell r="AV32">
            <v>0.93364260966586432</v>
          </cell>
          <cell r="AW32">
            <v>0.60502510995352332</v>
          </cell>
          <cell r="AX32"/>
          <cell r="AY32">
            <v>0.73242065961418779</v>
          </cell>
          <cell r="AZ32">
            <v>0.73918255287885248</v>
          </cell>
          <cell r="BA32">
            <v>0.73281391244457872</v>
          </cell>
          <cell r="BB32">
            <v>0.74413872691933891</v>
          </cell>
          <cell r="BC32">
            <v>0.73795804141442622</v>
          </cell>
          <cell r="BD32"/>
          <cell r="BE32">
            <v>0.65688549955791364</v>
          </cell>
          <cell r="BF32">
            <v>0.11792694043622309</v>
          </cell>
          <cell r="BG32">
            <v>0.32132654328654819</v>
          </cell>
          <cell r="BH32">
            <v>0.20400132332712317</v>
          </cell>
          <cell r="BI32">
            <v>0.30040535629420462</v>
          </cell>
          <cell r="BJ32"/>
          <cell r="BK32">
            <v>-6.2878087159390472E-2</v>
          </cell>
          <cell r="BL32">
            <v>0.18688950488278255</v>
          </cell>
          <cell r="BM32">
            <v>4.904910260077977E-2</v>
          </cell>
          <cell r="BN32">
            <v>0.29113735704711363</v>
          </cell>
          <cell r="BO32">
            <v>0.1219629915019238</v>
          </cell>
          <cell r="BP32"/>
          <cell r="BQ32">
            <v>0.25184783040944914</v>
          </cell>
          <cell r="BR32">
            <v>0.21484387570974794</v>
          </cell>
          <cell r="BS32">
            <v>0.21484387570974794</v>
          </cell>
          <cell r="BT32">
            <v>0.25280774682567708</v>
          </cell>
          <cell r="BU32">
            <v>0.23580110690712974</v>
          </cell>
          <cell r="BV32"/>
          <cell r="BW32" t="str">
            <v>NA</v>
          </cell>
          <cell r="BX32" t="str">
            <v>NA</v>
          </cell>
          <cell r="BY32" t="str">
            <v>NA</v>
          </cell>
          <cell r="BZ32" t="str">
            <v>NA</v>
          </cell>
          <cell r="CA32" t="str">
            <v>NA</v>
          </cell>
          <cell r="CB32"/>
          <cell r="CC32" t="str">
            <v>NA</v>
          </cell>
          <cell r="CD32" t="str">
            <v>NA</v>
          </cell>
          <cell r="CE32" t="str">
            <v>NA</v>
          </cell>
          <cell r="CF32" t="str">
            <v>NA</v>
          </cell>
          <cell r="CG32" t="str">
            <v>NA</v>
          </cell>
        </row>
        <row r="33">
          <cell r="A33" t="str">
            <v>% seasonality</v>
          </cell>
          <cell r="B33"/>
          <cell r="C33"/>
          <cell r="D33"/>
          <cell r="E33"/>
          <cell r="F33"/>
          <cell r="G33"/>
          <cell r="H33"/>
          <cell r="I33"/>
          <cell r="J33"/>
          <cell r="K33"/>
          <cell r="L33"/>
          <cell r="M33"/>
          <cell r="N33"/>
          <cell r="O33"/>
          <cell r="P33"/>
          <cell r="Q33"/>
          <cell r="R33"/>
          <cell r="S33"/>
          <cell r="T33"/>
          <cell r="U33"/>
          <cell r="V33"/>
          <cell r="W33"/>
          <cell r="X33"/>
          <cell r="Y33">
            <v>0</v>
          </cell>
          <cell r="Z33"/>
          <cell r="AA33">
            <v>0.21020638959570256</v>
          </cell>
          <cell r="AB33">
            <v>0.26309961360851947</v>
          </cell>
          <cell r="AC33">
            <v>0.24754971256243521</v>
          </cell>
          <cell r="AD33">
            <v>0.27914428423334275</v>
          </cell>
          <cell r="AE33">
            <v>1</v>
          </cell>
          <cell r="AF33"/>
          <cell r="AG33">
            <v>0.23656858202586814</v>
          </cell>
          <cell r="AH33">
            <v>0.26854915751488456</v>
          </cell>
          <cell r="AI33">
            <v>0.23351679444868587</v>
          </cell>
          <cell r="AJ33">
            <v>0.26136546601056138</v>
          </cell>
          <cell r="AK33">
            <v>1</v>
          </cell>
          <cell r="AL33"/>
          <cell r="AM33">
            <v>0.23346018278798467</v>
          </cell>
          <cell r="AN33">
            <v>0.26614991110140679</v>
          </cell>
          <cell r="AO33">
            <v>0.23480145980847814</v>
          </cell>
          <cell r="AP33">
            <v>0.26558844630213047</v>
          </cell>
          <cell r="AQ33">
            <v>1</v>
          </cell>
          <cell r="AR33"/>
          <cell r="AS33">
            <v>0.20300065104799295</v>
          </cell>
          <cell r="AT33">
            <v>0.25129480813518479</v>
          </cell>
          <cell r="AU33">
            <v>0.22573874512928646</v>
          </cell>
          <cell r="AV33">
            <v>0.31996579568753586</v>
          </cell>
          <cell r="AW33">
            <v>1</v>
          </cell>
          <cell r="AX33"/>
          <cell r="AY33">
            <v>0.20235386206703754</v>
          </cell>
          <cell r="AZ33">
            <v>0.2514718626820609</v>
          </cell>
          <cell r="BA33">
            <v>0.22507058790640463</v>
          </cell>
          <cell r="BB33">
            <v>0.3211036873444969</v>
          </cell>
          <cell r="BC33">
            <v>1</v>
          </cell>
          <cell r="BD33"/>
          <cell r="BE33">
            <v>0.25782512984556122</v>
          </cell>
          <cell r="BF33">
            <v>0.28112717005395432</v>
          </cell>
          <cell r="BG33">
            <v>0.29739174191384077</v>
          </cell>
          <cell r="BH33">
            <v>0.29729904034671345</v>
          </cell>
          <cell r="BI33">
            <v>1.1336430821600698</v>
          </cell>
          <cell r="BJ33"/>
          <cell r="BK33">
            <v>0.21534897379797982</v>
          </cell>
          <cell r="BL33">
            <v>0.22869455733081318</v>
          </cell>
          <cell r="BM33">
            <v>0.21382941110431034</v>
          </cell>
          <cell r="BN33">
            <v>0.34212705776689656</v>
          </cell>
          <cell r="BO33">
            <v>0.99999999999999989</v>
          </cell>
          <cell r="BP33"/>
          <cell r="BQ33">
            <v>0.26958414562990235</v>
          </cell>
          <cell r="BR33">
            <v>0.27782818238149021</v>
          </cell>
          <cell r="BS33">
            <v>0.25976935052669337</v>
          </cell>
          <cell r="BT33">
            <v>0.42861942836904393</v>
          </cell>
          <cell r="BU33">
            <v>1.2358011069071297</v>
          </cell>
          <cell r="BV33"/>
          <cell r="BW33" t="str">
            <v>NA</v>
          </cell>
          <cell r="BX33" t="str">
            <v>NA</v>
          </cell>
          <cell r="BY33" t="str">
            <v>NA</v>
          </cell>
          <cell r="BZ33" t="str">
            <v>NA</v>
          </cell>
          <cell r="CA33">
            <v>0</v>
          </cell>
          <cell r="CB33"/>
          <cell r="CC33" t="str">
            <v>NA</v>
          </cell>
          <cell r="CD33" t="str">
            <v>NA</v>
          </cell>
          <cell r="CE33" t="str">
            <v>NA</v>
          </cell>
          <cell r="CF33" t="str">
            <v>NA</v>
          </cell>
          <cell r="CG33">
            <v>0</v>
          </cell>
        </row>
        <row r="34">
          <cell r="A34" t="str">
            <v>% of total revenue</v>
          </cell>
          <cell r="B34"/>
          <cell r="C34"/>
          <cell r="D34"/>
          <cell r="E34"/>
          <cell r="F34"/>
          <cell r="G34"/>
          <cell r="H34"/>
          <cell r="I34"/>
          <cell r="J34"/>
          <cell r="K34"/>
          <cell r="L34"/>
          <cell r="M34"/>
          <cell r="N34"/>
          <cell r="O34"/>
          <cell r="P34"/>
          <cell r="Q34"/>
          <cell r="R34"/>
          <cell r="S34"/>
          <cell r="T34"/>
          <cell r="U34"/>
          <cell r="V34"/>
          <cell r="W34"/>
          <cell r="X34"/>
          <cell r="Y34">
            <v>0.64313921651221562</v>
          </cell>
          <cell r="Z34"/>
          <cell r="AA34">
            <v>0.77400884878979781</v>
          </cell>
          <cell r="AB34">
            <v>0.87859952793076312</v>
          </cell>
          <cell r="AC34">
            <v>0.74359518754423204</v>
          </cell>
          <cell r="AD34">
            <v>0.76666235278892192</v>
          </cell>
          <cell r="AE34">
            <v>0.7886141097341185</v>
          </cell>
          <cell r="AF34"/>
          <cell r="AG34">
            <v>0.72413986994999735</v>
          </cell>
          <cell r="AH34">
            <v>0.75708355359222246</v>
          </cell>
          <cell r="AI34">
            <v>0.58534413676431307</v>
          </cell>
          <cell r="AJ34">
            <v>0.58953609486419356</v>
          </cell>
          <cell r="AK34">
            <v>0.65630378249451116</v>
          </cell>
          <cell r="AL34"/>
          <cell r="AM34">
            <v>0.52440007006480993</v>
          </cell>
          <cell r="AN34">
            <v>0.56284837890431738</v>
          </cell>
          <cell r="AO34">
            <v>0.44078465817596252</v>
          </cell>
          <cell r="AP34">
            <v>0.44130299574997406</v>
          </cell>
          <cell r="AQ34">
            <v>0.48719293046722434</v>
          </cell>
          <cell r="AR34"/>
          <cell r="AS34">
            <v>0.41508871624709415</v>
          </cell>
          <cell r="AT34">
            <v>0.50213583938487827</v>
          </cell>
          <cell r="AU34">
            <v>0.37116745754046238</v>
          </cell>
          <cell r="AV34">
            <v>0.36935501962983736</v>
          </cell>
          <cell r="AW34">
            <v>0.40584848365342902</v>
          </cell>
          <cell r="AX34"/>
          <cell r="AY34">
            <v>0.47608524072612474</v>
          </cell>
          <cell r="AZ34">
            <v>0.54821252270151022</v>
          </cell>
          <cell r="BA34">
            <v>0.38932464191417548</v>
          </cell>
          <cell r="BB34">
            <v>0.36708852668584213</v>
          </cell>
          <cell r="BC34">
            <v>0.42797492283027455</v>
          </cell>
          <cell r="BD34"/>
          <cell r="BE34">
            <v>0.5510010934384505</v>
          </cell>
          <cell r="BF34">
            <v>0.52249228435152184</v>
          </cell>
          <cell r="BG34">
            <v>0.41004648581142028</v>
          </cell>
          <cell r="BH34">
            <v>0.46647035609119342</v>
          </cell>
          <cell r="BI34">
            <v>0.48152492000774305</v>
          </cell>
          <cell r="BJ34"/>
          <cell r="BK34">
            <v>0.47</v>
          </cell>
          <cell r="BL34">
            <v>0.48</v>
          </cell>
          <cell r="BM34">
            <v>0.38810014996145753</v>
          </cell>
          <cell r="BN34">
            <v>0.52487111504938389</v>
          </cell>
          <cell r="BO34">
            <v>0.46785126720357839</v>
          </cell>
          <cell r="BP34"/>
          <cell r="BQ34">
            <v>0.48499999999999999</v>
          </cell>
          <cell r="BR34">
            <v>0.48</v>
          </cell>
          <cell r="BS34">
            <v>0.40351636469968311</v>
          </cell>
          <cell r="BT34">
            <v>0.54271955471991473</v>
          </cell>
          <cell r="BU34">
            <v>0.48119747786803552</v>
          </cell>
          <cell r="BV34"/>
          <cell r="BW34"/>
          <cell r="BX34"/>
          <cell r="BY34"/>
          <cell r="BZ34"/>
          <cell r="CA34" t="str">
            <v>NA</v>
          </cell>
          <cell r="CB34"/>
          <cell r="CC34"/>
          <cell r="CD34"/>
          <cell r="CE34"/>
          <cell r="CF34"/>
          <cell r="CG34" t="str">
            <v>NA</v>
          </cell>
        </row>
        <row r="35">
          <cell r="A35"/>
          <cell r="B35"/>
          <cell r="C35"/>
          <cell r="D35"/>
          <cell r="E35"/>
          <cell r="F35"/>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row>
        <row r="36">
          <cell r="A36" t="str">
            <v>Research and development expense</v>
          </cell>
          <cell r="B36"/>
          <cell r="C36"/>
          <cell r="D36"/>
          <cell r="E36"/>
          <cell r="F36"/>
          <cell r="G36"/>
          <cell r="H36"/>
          <cell r="I36"/>
          <cell r="J36"/>
          <cell r="K36"/>
          <cell r="L36"/>
          <cell r="M36"/>
          <cell r="N36"/>
          <cell r="O36"/>
          <cell r="P36"/>
          <cell r="Q36"/>
          <cell r="R36"/>
          <cell r="S36"/>
          <cell r="T36"/>
          <cell r="U36"/>
          <cell r="V36"/>
          <cell r="W36"/>
          <cell r="X36"/>
          <cell r="Y36">
            <v>6.7059999999999995</v>
          </cell>
          <cell r="Z36"/>
          <cell r="AA36">
            <v>2.3459999999999996</v>
          </cell>
          <cell r="AB36">
            <v>2.411</v>
          </cell>
          <cell r="AC36">
            <v>2.7170000000000001</v>
          </cell>
          <cell r="AD36">
            <v>3.39</v>
          </cell>
          <cell r="AE36">
            <v>10.864000000000001</v>
          </cell>
          <cell r="AF36"/>
          <cell r="AG36">
            <v>3.7822001099999998</v>
          </cell>
          <cell r="AH36">
            <v>3.9969571399999997</v>
          </cell>
          <cell r="AI36">
            <v>4.3969170600000007</v>
          </cell>
          <cell r="AJ36">
            <v>4.9670000000000005</v>
          </cell>
          <cell r="AK36">
            <v>17.143074310000003</v>
          </cell>
          <cell r="AL36"/>
          <cell r="AM36">
            <v>5.7860000000000005</v>
          </cell>
          <cell r="AN36">
            <v>6.6840000000000002</v>
          </cell>
          <cell r="AO36">
            <v>7.3159999999999998</v>
          </cell>
          <cell r="AP36">
            <v>7.9209999999999994</v>
          </cell>
          <cell r="AQ36">
            <v>27.707000000000001</v>
          </cell>
          <cell r="AR36"/>
          <cell r="AS36">
            <v>9.5350000000000001</v>
          </cell>
          <cell r="AT36">
            <v>9.4599999999999991</v>
          </cell>
          <cell r="AU36">
            <v>9.702</v>
          </cell>
          <cell r="AV36">
            <v>11.053000000000001</v>
          </cell>
          <cell r="AW36">
            <v>39.75</v>
          </cell>
          <cell r="AX36"/>
          <cell r="AY36">
            <v>13.232999999999999</v>
          </cell>
          <cell r="AZ36">
            <v>14.865</v>
          </cell>
          <cell r="BA36">
            <v>16.096</v>
          </cell>
          <cell r="BB36">
            <v>17.951999999999998</v>
          </cell>
          <cell r="BC36">
            <v>62.146000000000001</v>
          </cell>
          <cell r="BD36"/>
          <cell r="BE36">
            <v>22.554000000000002</v>
          </cell>
          <cell r="BF36">
            <v>20.263999999999999</v>
          </cell>
          <cell r="BG36">
            <v>19.436</v>
          </cell>
          <cell r="BH36">
            <v>22.235174999999998</v>
          </cell>
          <cell r="BI36">
            <v>84.489174999999989</v>
          </cell>
          <cell r="BJ36"/>
          <cell r="BK36">
            <v>25</v>
          </cell>
          <cell r="BL36">
            <v>26</v>
          </cell>
          <cell r="BM36">
            <v>27</v>
          </cell>
          <cell r="BN36">
            <v>29.999999999999996</v>
          </cell>
          <cell r="BO36">
            <v>108</v>
          </cell>
          <cell r="BP36"/>
          <cell r="BQ36">
            <v>25</v>
          </cell>
          <cell r="BR36">
            <v>26</v>
          </cell>
          <cell r="BS36">
            <v>25.198598239270392</v>
          </cell>
          <cell r="BT36">
            <v>26.791566170982332</v>
          </cell>
          <cell r="BU36">
            <v>102.99016441025273</v>
          </cell>
          <cell r="BV36"/>
          <cell r="BW36" t="e">
            <v>#VALUE!</v>
          </cell>
          <cell r="BX36" t="e">
            <v>#VALUE!</v>
          </cell>
          <cell r="BY36" t="e">
            <v>#VALUE!</v>
          </cell>
          <cell r="BZ36" t="e">
            <v>#VALUE!</v>
          </cell>
          <cell r="CA36" t="e">
            <v>#VALUE!</v>
          </cell>
          <cell r="CB36"/>
          <cell r="CC36" t="e">
            <v>#VALUE!</v>
          </cell>
          <cell r="CD36" t="e">
            <v>#VALUE!</v>
          </cell>
          <cell r="CE36" t="e">
            <v>#VALUE!</v>
          </cell>
          <cell r="CF36" t="e">
            <v>#VALUE!</v>
          </cell>
          <cell r="CG36" t="e">
            <v>#VALUE!</v>
          </cell>
        </row>
        <row r="37">
          <cell r="A37" t="str">
            <v>q/q change</v>
          </cell>
          <cell r="B37"/>
          <cell r="C37"/>
          <cell r="D37"/>
          <cell r="E37"/>
          <cell r="F37"/>
          <cell r="G37"/>
          <cell r="I37"/>
          <cell r="J37"/>
          <cell r="K37"/>
          <cell r="L37"/>
          <cell r="M37"/>
          <cell r="O37"/>
          <cell r="P37"/>
          <cell r="Q37"/>
          <cell r="R37"/>
          <cell r="S37"/>
          <cell r="U37"/>
          <cell r="V37"/>
          <cell r="W37"/>
          <cell r="X37"/>
          <cell r="Y37" t="str">
            <v>NA</v>
          </cell>
          <cell r="AA37" t="str">
            <v>NA</v>
          </cell>
          <cell r="AB37">
            <v>2.770673486786035E-2</v>
          </cell>
          <cell r="AC37">
            <v>0.12691829116549158</v>
          </cell>
          <cell r="AD37">
            <v>0.24769966875230032</v>
          </cell>
          <cell r="AE37" t="str">
            <v>NA</v>
          </cell>
          <cell r="AG37">
            <v>0.11569324778761048</v>
          </cell>
          <cell r="AH37">
            <v>5.6780980316771146E-2</v>
          </cell>
          <cell r="AI37">
            <v>0.10006610178461939</v>
          </cell>
          <cell r="AJ37">
            <v>0.12965514978351655</v>
          </cell>
          <cell r="AK37" t="str">
            <v>NA</v>
          </cell>
          <cell r="AL37"/>
          <cell r="AM37" t="str">
            <v>NA</v>
          </cell>
          <cell r="AN37">
            <v>0.15520221223643271</v>
          </cell>
          <cell r="AO37">
            <v>9.4554159186116093E-2</v>
          </cell>
          <cell r="AP37">
            <v>8.2695462001093345E-2</v>
          </cell>
          <cell r="AQ37" t="str">
            <v>NA</v>
          </cell>
          <cell r="AS37">
            <v>0.20376215124352992</v>
          </cell>
          <cell r="AT37">
            <v>-7.8657577346619156E-3</v>
          </cell>
          <cell r="AU37">
            <v>2.5581395348837299E-2</v>
          </cell>
          <cell r="AV37">
            <v>0.1392496392496394</v>
          </cell>
          <cell r="AW37" t="str">
            <v>NA</v>
          </cell>
          <cell r="AY37">
            <v>0.19723152085406648</v>
          </cell>
          <cell r="AZ37">
            <v>0.12332804352754501</v>
          </cell>
          <cell r="BA37">
            <v>8.2811974436596048E-2</v>
          </cell>
          <cell r="BB37">
            <v>0.11530815109343928</v>
          </cell>
          <cell r="BC37" t="str">
            <v>NA</v>
          </cell>
          <cell r="BE37">
            <v>0.25635026737967936</v>
          </cell>
          <cell r="BF37">
            <v>-0.10153409594750384</v>
          </cell>
          <cell r="BG37">
            <v>5.606000789577581E-2</v>
          </cell>
          <cell r="BH37">
            <v>7.4766355140186924E-2</v>
          </cell>
          <cell r="BI37" t="str">
            <v>NA</v>
          </cell>
          <cell r="BK37">
            <v>8.6956521739130377E-2</v>
          </cell>
          <cell r="BL37">
            <v>4.0000000000000036E-2</v>
          </cell>
          <cell r="BM37">
            <v>3.8461538461538547E-2</v>
          </cell>
          <cell r="BN37">
            <v>0.11111111111111116</v>
          </cell>
          <cell r="BO37" t="str">
            <v>NA</v>
          </cell>
          <cell r="BQ37" t="str">
            <v>NA</v>
          </cell>
          <cell r="BR37" t="str">
            <v>NA</v>
          </cell>
          <cell r="BS37" t="str">
            <v>NA</v>
          </cell>
          <cell r="BT37" t="str">
            <v>NA</v>
          </cell>
          <cell r="BU37" t="str">
            <v>NA</v>
          </cell>
          <cell r="BW37" t="str">
            <v>NA</v>
          </cell>
          <cell r="BX37" t="str">
            <v>NA</v>
          </cell>
          <cell r="BY37" t="str">
            <v>NA</v>
          </cell>
          <cell r="BZ37" t="str">
            <v>NA</v>
          </cell>
          <cell r="CA37" t="str">
            <v>NA</v>
          </cell>
          <cell r="CC37" t="str">
            <v>NA</v>
          </cell>
          <cell r="CD37" t="str">
            <v>NA</v>
          </cell>
          <cell r="CE37" t="str">
            <v>NA</v>
          </cell>
          <cell r="CF37" t="str">
            <v>NA</v>
          </cell>
          <cell r="CG37" t="str">
            <v>NA</v>
          </cell>
        </row>
        <row r="38">
          <cell r="A38" t="str">
            <v>y/y change</v>
          </cell>
          <cell r="B38"/>
          <cell r="C38"/>
          <cell r="D38"/>
          <cell r="E38"/>
          <cell r="F38"/>
          <cell r="G38"/>
          <cell r="H38"/>
          <cell r="I38"/>
          <cell r="J38"/>
          <cell r="K38"/>
          <cell r="L38"/>
          <cell r="M38"/>
          <cell r="N38"/>
          <cell r="O38"/>
          <cell r="P38"/>
          <cell r="Q38"/>
          <cell r="R38"/>
          <cell r="S38"/>
          <cell r="T38"/>
          <cell r="U38"/>
          <cell r="V38"/>
          <cell r="W38"/>
          <cell r="X38"/>
          <cell r="Y38" t="str">
            <v>NA</v>
          </cell>
          <cell r="Z38"/>
          <cell r="AA38" t="str">
            <v>NA</v>
          </cell>
          <cell r="AB38" t="str">
            <v>NA</v>
          </cell>
          <cell r="AC38" t="str">
            <v>NA</v>
          </cell>
          <cell r="AD38" t="str">
            <v>NA</v>
          </cell>
          <cell r="AE38">
            <v>0.62004175365344483</v>
          </cell>
          <cell r="AF38"/>
          <cell r="AG38">
            <v>0.61219101023017908</v>
          </cell>
          <cell r="AH38">
            <v>0.65780055578598073</v>
          </cell>
          <cell r="AI38">
            <v>0.61829851306588179</v>
          </cell>
          <cell r="AJ38">
            <v>0.4651917404129795</v>
          </cell>
          <cell r="AK38">
            <v>0.57797075754786476</v>
          </cell>
          <cell r="AL38"/>
          <cell r="AM38" t="str">
            <v>NA</v>
          </cell>
          <cell r="AN38" t="str">
            <v>NA</v>
          </cell>
          <cell r="AO38" t="str">
            <v>NA</v>
          </cell>
          <cell r="AP38" t="str">
            <v>NA</v>
          </cell>
          <cell r="AQ38" t="str">
            <v>NA</v>
          </cell>
          <cell r="AR38"/>
          <cell r="AS38">
            <v>0.64794331144141015</v>
          </cell>
          <cell r="AT38">
            <v>0.41532016756433254</v>
          </cell>
          <cell r="AU38">
            <v>0.32613449972662667</v>
          </cell>
          <cell r="AV38">
            <v>0.39540462062870874</v>
          </cell>
          <cell r="AW38">
            <v>0.43465550221965565</v>
          </cell>
          <cell r="AX38"/>
          <cell r="AY38">
            <v>0.38783429470372299</v>
          </cell>
          <cell r="AZ38">
            <v>0.57135306553911214</v>
          </cell>
          <cell r="BA38">
            <v>0.65903937332508766</v>
          </cell>
          <cell r="BB38">
            <v>0.62417443228082847</v>
          </cell>
          <cell r="BC38">
            <v>0.56342138364779881</v>
          </cell>
          <cell r="BD38"/>
          <cell r="BE38">
            <v>0.70437542507367978</v>
          </cell>
          <cell r="BF38">
            <v>0.36320215270770251</v>
          </cell>
          <cell r="BG38">
            <v>0.20750497017892644</v>
          </cell>
          <cell r="BH38">
            <v>0.23859040775401064</v>
          </cell>
          <cell r="BI38">
            <v>0.35952716184468803</v>
          </cell>
          <cell r="BJ38"/>
          <cell r="BK38">
            <v>0.10845082912122006</v>
          </cell>
          <cell r="BL38">
            <v>0.28306356099486774</v>
          </cell>
          <cell r="BM38">
            <v>0.38917472731014602</v>
          </cell>
          <cell r="BN38">
            <v>0.34921357713622658</v>
          </cell>
          <cell r="BO38">
            <v>0.27827026361661145</v>
          </cell>
          <cell r="BP38"/>
          <cell r="BQ38">
            <v>0</v>
          </cell>
          <cell r="BR38">
            <v>0</v>
          </cell>
          <cell r="BS38">
            <v>-6.6718583730726255E-2</v>
          </cell>
          <cell r="BT38">
            <v>-0.10694779430058887</v>
          </cell>
          <cell r="BU38">
            <v>-4.6387366571733923E-2</v>
          </cell>
          <cell r="BV38"/>
          <cell r="BW38" t="str">
            <v>NA</v>
          </cell>
          <cell r="BX38" t="str">
            <v>NA</v>
          </cell>
          <cell r="BY38" t="str">
            <v>NA</v>
          </cell>
          <cell r="BZ38" t="str">
            <v>NA</v>
          </cell>
          <cell r="CA38" t="str">
            <v>NA</v>
          </cell>
          <cell r="CB38"/>
          <cell r="CC38" t="str">
            <v>NA</v>
          </cell>
          <cell r="CD38" t="str">
            <v>NA</v>
          </cell>
          <cell r="CE38" t="str">
            <v>NA</v>
          </cell>
          <cell r="CF38" t="str">
            <v>NA</v>
          </cell>
          <cell r="CG38" t="str">
            <v>NA</v>
          </cell>
        </row>
        <row r="39">
          <cell r="A39" t="str">
            <v>% seasonality</v>
          </cell>
          <cell r="B39"/>
          <cell r="C39"/>
          <cell r="D39"/>
          <cell r="E39"/>
          <cell r="F39"/>
          <cell r="G39"/>
          <cell r="H39"/>
          <cell r="I39"/>
          <cell r="J39"/>
          <cell r="K39"/>
          <cell r="L39"/>
          <cell r="M39"/>
          <cell r="N39"/>
          <cell r="O39"/>
          <cell r="P39"/>
          <cell r="Q39"/>
          <cell r="R39"/>
          <cell r="S39"/>
          <cell r="T39"/>
          <cell r="U39"/>
          <cell r="V39"/>
          <cell r="W39"/>
          <cell r="X39"/>
          <cell r="Y39">
            <v>0</v>
          </cell>
          <cell r="Z39"/>
          <cell r="AA39">
            <v>0.21594256259204708</v>
          </cell>
          <cell r="AB39">
            <v>0.22192562592047127</v>
          </cell>
          <cell r="AC39">
            <v>0.2500920471281296</v>
          </cell>
          <cell r="AD39">
            <v>0.31203976435935199</v>
          </cell>
          <cell r="AE39">
            <v>1</v>
          </cell>
          <cell r="AF39"/>
          <cell r="AG39">
            <v>0.22062554484721236</v>
          </cell>
          <cell r="AH39">
            <v>0.23315287956655886</v>
          </cell>
          <cell r="AI39">
            <v>0.25648357934464322</v>
          </cell>
          <cell r="AJ39">
            <v>0.28973799624158542</v>
          </cell>
          <cell r="AK39">
            <v>0.99999999999999978</v>
          </cell>
          <cell r="AL39"/>
          <cell r="AM39">
            <v>0.20882809398346988</v>
          </cell>
          <cell r="AN39">
            <v>0.2412386761468221</v>
          </cell>
          <cell r="AO39">
            <v>0.26404879633305661</v>
          </cell>
          <cell r="AP39">
            <v>0.28588443353665138</v>
          </cell>
          <cell r="AQ39">
            <v>0.99999999999999989</v>
          </cell>
          <cell r="AR39"/>
          <cell r="AS39">
            <v>0.239874213836478</v>
          </cell>
          <cell r="AT39">
            <v>0.23798742138364778</v>
          </cell>
          <cell r="AU39">
            <v>0.24407547169811319</v>
          </cell>
          <cell r="AV39">
            <v>0.27806289308176102</v>
          </cell>
          <cell r="AW39">
            <v>1</v>
          </cell>
          <cell r="AX39"/>
          <cell r="AY39">
            <v>0.21293405850738581</v>
          </cell>
          <cell r="AZ39">
            <v>0.23919479934348148</v>
          </cell>
          <cell r="BA39">
            <v>0.25900299295208057</v>
          </cell>
          <cell r="BB39">
            <v>0.28886814919705206</v>
          </cell>
          <cell r="BC39">
            <v>0.99999999999999989</v>
          </cell>
          <cell r="BD39"/>
          <cell r="BE39">
            <v>0.26694544005193571</v>
          </cell>
          <cell r="BF39">
            <v>0.32607086538152091</v>
          </cell>
          <cell r="BG39">
            <v>0.31274740128085476</v>
          </cell>
          <cell r="BH39">
            <v>0.26317187971121747</v>
          </cell>
          <cell r="BI39">
            <v>1.1689355864255289</v>
          </cell>
          <cell r="BJ39"/>
          <cell r="BK39">
            <v>0.23148148148148148</v>
          </cell>
          <cell r="BL39">
            <v>0.24074074074074073</v>
          </cell>
          <cell r="BM39">
            <v>0.25</v>
          </cell>
          <cell r="BN39">
            <v>0.27777777777777773</v>
          </cell>
          <cell r="BO39">
            <v>1</v>
          </cell>
          <cell r="BP39"/>
          <cell r="BQ39">
            <v>0.23148148148148148</v>
          </cell>
          <cell r="BR39">
            <v>0.24074074074074073</v>
          </cell>
          <cell r="BS39">
            <v>0.23332035406731844</v>
          </cell>
          <cell r="BT39">
            <v>0.24807005713872529</v>
          </cell>
          <cell r="BU39">
            <v>0.95361263342826597</v>
          </cell>
          <cell r="BV39"/>
          <cell r="BW39" t="str">
            <v>NA</v>
          </cell>
          <cell r="BX39" t="str">
            <v>NA</v>
          </cell>
          <cell r="BY39" t="str">
            <v>NA</v>
          </cell>
          <cell r="BZ39" t="str">
            <v>NA</v>
          </cell>
          <cell r="CA39">
            <v>0</v>
          </cell>
          <cell r="CB39"/>
          <cell r="CC39" t="str">
            <v>NA</v>
          </cell>
          <cell r="CD39" t="str">
            <v>NA</v>
          </cell>
          <cell r="CE39" t="str">
            <v>NA</v>
          </cell>
          <cell r="CF39" t="str">
            <v>NA</v>
          </cell>
          <cell r="CG39">
            <v>0</v>
          </cell>
        </row>
        <row r="40">
          <cell r="A40" t="str">
            <v>% of total revenue</v>
          </cell>
          <cell r="B40"/>
          <cell r="C40"/>
          <cell r="D40"/>
          <cell r="E40"/>
          <cell r="F40"/>
          <cell r="G40"/>
          <cell r="H40"/>
          <cell r="I40"/>
          <cell r="J40"/>
          <cell r="K40"/>
          <cell r="L40"/>
          <cell r="M40"/>
          <cell r="N40"/>
          <cell r="O40"/>
          <cell r="P40"/>
          <cell r="Q40"/>
          <cell r="R40"/>
          <cell r="S40"/>
          <cell r="T40"/>
          <cell r="U40"/>
          <cell r="V40"/>
          <cell r="W40"/>
          <cell r="X40"/>
          <cell r="Y40">
            <v>0.17654802021903956</v>
          </cell>
          <cell r="Z40"/>
          <cell r="AA40">
            <v>0.20352216535091522</v>
          </cell>
          <cell r="AB40">
            <v>0.18969315499606607</v>
          </cell>
          <cell r="AC40">
            <v>0.19228591648973814</v>
          </cell>
          <cell r="AD40">
            <v>0.21936068331823477</v>
          </cell>
          <cell r="AE40">
            <v>0.20185429479199568</v>
          </cell>
          <cell r="AF40"/>
          <cell r="AG40">
            <v>0.20562140426225944</v>
          </cell>
          <cell r="AH40">
            <v>0.20012803625075101</v>
          </cell>
          <cell r="AI40">
            <v>0.19574913453833143</v>
          </cell>
          <cell r="AJ40">
            <v>0.1989824533290602</v>
          </cell>
          <cell r="AK40">
            <v>0.19982602063177529</v>
          </cell>
          <cell r="AL40"/>
          <cell r="AM40">
            <v>0.20269749518304431</v>
          </cell>
          <cell r="AN40">
            <v>0.22045581978297438</v>
          </cell>
          <cell r="AO40">
            <v>0.21419997072170985</v>
          </cell>
          <cell r="AP40">
            <v>0.20527106872602879</v>
          </cell>
          <cell r="AQ40">
            <v>0.21052831536316458</v>
          </cell>
          <cell r="AR40"/>
          <cell r="AS40">
            <v>0.18945339665004271</v>
          </cell>
          <cell r="AT40">
            <v>0.18368218709953008</v>
          </cell>
          <cell r="AU40">
            <v>0.1550112639601208</v>
          </cell>
          <cell r="AV40">
            <v>0.1239820527201346</v>
          </cell>
          <cell r="AW40">
            <v>0.1567614465433608</v>
          </cell>
          <cell r="AX40"/>
          <cell r="AY40">
            <v>0.17407261247040251</v>
          </cell>
          <cell r="AZ40">
            <v>0.18118547590897455</v>
          </cell>
          <cell r="BA40">
            <v>0.15567182800274668</v>
          </cell>
          <cell r="BB40">
            <v>0.11474592521572387</v>
          </cell>
          <cell r="BC40">
            <v>0.14870665932856358</v>
          </cell>
          <cell r="BD40"/>
          <cell r="BE40">
            <v>0.20723874631309094</v>
          </cell>
          <cell r="BF40">
            <v>0.21057225691810499</v>
          </cell>
          <cell r="BG40">
            <v>0.1498338691150736</v>
          </cell>
          <cell r="BH40">
            <v>0.15</v>
          </cell>
          <cell r="BI40">
            <v>0.17492021477571629</v>
          </cell>
          <cell r="BJ40"/>
          <cell r="BK40">
            <v>0.20909165156700013</v>
          </cell>
          <cell r="BL40">
            <v>0.20912232047521179</v>
          </cell>
          <cell r="BM40">
            <v>0.18779402391774452</v>
          </cell>
          <cell r="BN40">
            <v>0.17637139026111134</v>
          </cell>
          <cell r="BO40">
            <v>0.19363024661497782</v>
          </cell>
          <cell r="BP40"/>
          <cell r="BQ40">
            <v>0.17235704223922871</v>
          </cell>
          <cell r="BR40">
            <v>0.17213925563318688</v>
          </cell>
          <cell r="BS40">
            <v>0.15</v>
          </cell>
          <cell r="BT40">
            <v>0.13</v>
          </cell>
          <cell r="BU40">
            <v>0.15367815818616981</v>
          </cell>
          <cell r="BV40"/>
          <cell r="BW40"/>
          <cell r="BX40"/>
          <cell r="BY40"/>
          <cell r="BZ40"/>
          <cell r="CA40" t="str">
            <v>NA</v>
          </cell>
          <cell r="CB40"/>
          <cell r="CC40"/>
          <cell r="CD40"/>
          <cell r="CE40"/>
          <cell r="CF40"/>
          <cell r="CG40" t="str">
            <v>NA</v>
          </cell>
        </row>
        <row r="41">
          <cell r="A41"/>
          <cell r="B41"/>
          <cell r="C41"/>
          <cell r="D41"/>
          <cell r="E41"/>
          <cell r="F41"/>
          <cell r="G41"/>
          <cell r="H41"/>
          <cell r="I41"/>
          <cell r="J41"/>
          <cell r="K41"/>
          <cell r="L41"/>
          <cell r="M41"/>
          <cell r="N41"/>
          <cell r="O41"/>
          <cell r="P41"/>
          <cell r="Q41"/>
          <cell r="R41"/>
          <cell r="S41"/>
          <cell r="T41"/>
          <cell r="U41"/>
          <cell r="V41"/>
          <cell r="W41"/>
          <cell r="X41"/>
          <cell r="Y41"/>
          <cell r="Z41"/>
          <cell r="AA41"/>
          <cell r="AB41"/>
          <cell r="AC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J41"/>
          <cell r="BK41"/>
          <cell r="BL41"/>
          <cell r="BM41"/>
          <cell r="BN41"/>
          <cell r="BO41"/>
          <cell r="BP41"/>
          <cell r="BQ41"/>
          <cell r="BR41"/>
          <cell r="BS41"/>
          <cell r="BT41"/>
          <cell r="BU41"/>
          <cell r="BV41"/>
          <cell r="BW41"/>
          <cell r="BX41"/>
          <cell r="BY41"/>
          <cell r="BZ41"/>
          <cell r="CA41"/>
          <cell r="CB41"/>
          <cell r="CC41"/>
          <cell r="CD41"/>
          <cell r="CE41"/>
          <cell r="CF41"/>
          <cell r="CG41"/>
        </row>
        <row r="42">
          <cell r="A42" t="str">
            <v>General and administrative expense</v>
          </cell>
          <cell r="B42"/>
          <cell r="C42"/>
          <cell r="D42"/>
          <cell r="E42"/>
          <cell r="F42"/>
          <cell r="G42"/>
          <cell r="H42"/>
          <cell r="I42"/>
          <cell r="J42"/>
          <cell r="K42"/>
          <cell r="L42"/>
          <cell r="M42"/>
          <cell r="N42"/>
          <cell r="O42"/>
          <cell r="P42"/>
          <cell r="Q42"/>
          <cell r="R42"/>
          <cell r="S42"/>
          <cell r="T42"/>
          <cell r="U42"/>
          <cell r="V42"/>
          <cell r="W42"/>
          <cell r="X42"/>
          <cell r="Y42">
            <v>7.8849999999999998</v>
          </cell>
          <cell r="Z42"/>
          <cell r="AA42">
            <v>1.883</v>
          </cell>
          <cell r="AB42">
            <v>1.865</v>
          </cell>
          <cell r="AC42">
            <v>2.2469999999999999</v>
          </cell>
          <cell r="AD42">
            <v>3.6350000000000002</v>
          </cell>
          <cell r="AE42">
            <v>9.6300000000000008</v>
          </cell>
          <cell r="AF42"/>
          <cell r="AG42">
            <v>3.1879105700000001</v>
          </cell>
          <cell r="AH42">
            <v>3.534658746691453</v>
          </cell>
          <cell r="AI42">
            <v>3.823</v>
          </cell>
          <cell r="AJ42">
            <v>5.6150000000000002</v>
          </cell>
          <cell r="AK42">
            <v>16.160569316691454</v>
          </cell>
          <cell r="AL42"/>
          <cell r="AM42">
            <v>6.7569999999999997</v>
          </cell>
          <cell r="AN42">
            <v>7.25</v>
          </cell>
          <cell r="AO42">
            <v>6.7660000000000009</v>
          </cell>
          <cell r="AP42">
            <v>6.9489999999999998</v>
          </cell>
          <cell r="AQ42">
            <v>27.722000000000001</v>
          </cell>
          <cell r="AR42"/>
          <cell r="AS42">
            <v>8.2420000000000009</v>
          </cell>
          <cell r="AT42">
            <v>10.422000000000001</v>
          </cell>
          <cell r="AU42">
            <v>10.233000000000001</v>
          </cell>
          <cell r="AV42">
            <v>12.748000000000001</v>
          </cell>
          <cell r="AW42">
            <v>41.645000000000003</v>
          </cell>
          <cell r="AX42"/>
          <cell r="AY42">
            <v>17.91</v>
          </cell>
          <cell r="AZ42">
            <v>13.598999999999998</v>
          </cell>
          <cell r="BA42">
            <v>17.007000000000001</v>
          </cell>
          <cell r="BB42">
            <v>19.449000000000002</v>
          </cell>
          <cell r="BC42">
            <v>67.965000000000003</v>
          </cell>
          <cell r="BD42"/>
          <cell r="BE42">
            <v>18.065999999999999</v>
          </cell>
          <cell r="BF42">
            <v>17.471</v>
          </cell>
          <cell r="BG42">
            <v>17.005000000000003</v>
          </cell>
          <cell r="BH42">
            <v>19.270485000000001</v>
          </cell>
          <cell r="BI42">
            <v>71.812485000000009</v>
          </cell>
          <cell r="BJ42"/>
          <cell r="BK42">
            <v>19.010802058380001</v>
          </cell>
          <cell r="BL42">
            <v>1.8649372248440999</v>
          </cell>
          <cell r="BM42">
            <v>21.422406933258486</v>
          </cell>
          <cell r="BN42">
            <v>23.813386024695134</v>
          </cell>
          <cell r="BO42">
            <v>66.111532241177713</v>
          </cell>
          <cell r="BP42"/>
          <cell r="BQ42">
            <v>22</v>
          </cell>
          <cell r="BR42">
            <v>21.145670617726555</v>
          </cell>
          <cell r="BS42">
            <v>22.678738415343357</v>
          </cell>
          <cell r="BT42">
            <v>24.730676465522148</v>
          </cell>
          <cell r="BU42">
            <v>90.555085498592064</v>
          </cell>
          <cell r="BV42"/>
          <cell r="BW42" t="e">
            <v>#VALUE!</v>
          </cell>
          <cell r="BX42" t="e">
            <v>#VALUE!</v>
          </cell>
          <cell r="BY42" t="e">
            <v>#VALUE!</v>
          </cell>
          <cell r="BZ42" t="e">
            <v>#VALUE!</v>
          </cell>
          <cell r="CA42" t="e">
            <v>#VALUE!</v>
          </cell>
          <cell r="CB42"/>
          <cell r="CC42" t="e">
            <v>#VALUE!</v>
          </cell>
          <cell r="CD42" t="e">
            <v>#VALUE!</v>
          </cell>
          <cell r="CE42" t="e">
            <v>#VALUE!</v>
          </cell>
          <cell r="CF42" t="e">
            <v>#VALUE!</v>
          </cell>
          <cell r="CG42" t="e">
            <v>#VALUE!</v>
          </cell>
        </row>
        <row r="43">
          <cell r="A43" t="str">
            <v>q/q change</v>
          </cell>
          <cell r="B43"/>
          <cell r="C43"/>
          <cell r="D43"/>
          <cell r="E43"/>
          <cell r="F43"/>
          <cell r="G43"/>
          <cell r="I43"/>
          <cell r="J43"/>
          <cell r="K43"/>
          <cell r="L43"/>
          <cell r="M43"/>
          <cell r="O43"/>
          <cell r="P43"/>
          <cell r="Q43"/>
          <cell r="R43"/>
          <cell r="S43"/>
          <cell r="U43"/>
          <cell r="V43"/>
          <cell r="W43"/>
          <cell r="X43"/>
          <cell r="Y43" t="str">
            <v>NA</v>
          </cell>
          <cell r="AA43" t="str">
            <v>NA</v>
          </cell>
          <cell r="AB43">
            <v>-9.559214020180562E-3</v>
          </cell>
          <cell r="AC43">
            <v>0.20482573726541542</v>
          </cell>
          <cell r="AD43">
            <v>0.61771250556297308</v>
          </cell>
          <cell r="AE43" t="str">
            <v>NA</v>
          </cell>
          <cell r="AG43">
            <v>-0.12299571664374143</v>
          </cell>
          <cell r="AH43">
            <v>0.10876973148323077</v>
          </cell>
          <cell r="AI43">
            <v>8.1575414763431775E-2</v>
          </cell>
          <cell r="AJ43">
            <v>0.46874182579126344</v>
          </cell>
          <cell r="AK43" t="str">
            <v>NA</v>
          </cell>
          <cell r="AL43"/>
          <cell r="AM43" t="str">
            <v>NA</v>
          </cell>
          <cell r="AN43">
            <v>7.2961373390558082E-2</v>
          </cell>
          <cell r="AO43">
            <v>-6.6758620689655102E-2</v>
          </cell>
          <cell r="AP43">
            <v>2.7046999704404273E-2</v>
          </cell>
          <cell r="AQ43" t="str">
            <v>NA</v>
          </cell>
          <cell r="AS43">
            <v>0.18606993812059303</v>
          </cell>
          <cell r="AT43">
            <v>0.26449890803203102</v>
          </cell>
          <cell r="AU43">
            <v>-1.8134715025906689E-2</v>
          </cell>
          <cell r="AV43">
            <v>0.24577347796345173</v>
          </cell>
          <cell r="AW43" t="str">
            <v>NA</v>
          </cell>
          <cell r="AY43">
            <v>0.40492626294320666</v>
          </cell>
          <cell r="AZ43">
            <v>-0.24070351758793984</v>
          </cell>
          <cell r="BA43">
            <v>0.25060666225457773</v>
          </cell>
          <cell r="BB43">
            <v>0.14358793437996109</v>
          </cell>
          <cell r="BC43" t="str">
            <v>NA</v>
          </cell>
          <cell r="BE43">
            <v>-7.1109054450100406E-2</v>
          </cell>
          <cell r="BF43">
            <v>-3.2934794641868659E-2</v>
          </cell>
          <cell r="BG43">
            <v>0.25922958044759881</v>
          </cell>
          <cell r="BH43">
            <v>9.0909090909090828E-2</v>
          </cell>
          <cell r="BI43" t="str">
            <v>NA</v>
          </cell>
          <cell r="BK43">
            <v>-8.333333333333337E-2</v>
          </cell>
          <cell r="BL43">
            <v>0</v>
          </cell>
          <cell r="BM43">
            <v>9.0909090909090828E-2</v>
          </cell>
          <cell r="BN43">
            <v>0.10416666666666674</v>
          </cell>
          <cell r="BO43" t="str">
            <v>NA</v>
          </cell>
          <cell r="BQ43" t="str">
            <v>NA</v>
          </cell>
          <cell r="BR43" t="str">
            <v>NA</v>
          </cell>
          <cell r="BS43" t="str">
            <v>NA</v>
          </cell>
          <cell r="BT43" t="str">
            <v>NA</v>
          </cell>
          <cell r="BU43" t="str">
            <v>NA</v>
          </cell>
          <cell r="BW43" t="str">
            <v>NA</v>
          </cell>
          <cell r="BX43" t="str">
            <v>NA</v>
          </cell>
          <cell r="BY43" t="str">
            <v>NA</v>
          </cell>
          <cell r="BZ43" t="str">
            <v>NA</v>
          </cell>
          <cell r="CA43" t="str">
            <v>NA</v>
          </cell>
          <cell r="CC43" t="str">
            <v>NA</v>
          </cell>
          <cell r="CD43" t="str">
            <v>NA</v>
          </cell>
          <cell r="CE43" t="str">
            <v>NA</v>
          </cell>
          <cell r="CF43" t="str">
            <v>NA</v>
          </cell>
          <cell r="CG43" t="str">
            <v>NA</v>
          </cell>
        </row>
        <row r="44">
          <cell r="A44" t="str">
            <v>y/y change</v>
          </cell>
          <cell r="B44"/>
          <cell r="C44"/>
          <cell r="D44"/>
          <cell r="E44"/>
          <cell r="F44"/>
          <cell r="G44"/>
          <cell r="H44"/>
          <cell r="I44"/>
          <cell r="J44"/>
          <cell r="K44"/>
          <cell r="L44"/>
          <cell r="M44"/>
          <cell r="N44"/>
          <cell r="O44"/>
          <cell r="P44"/>
          <cell r="Q44"/>
          <cell r="R44"/>
          <cell r="S44"/>
          <cell r="T44"/>
          <cell r="U44"/>
          <cell r="V44"/>
          <cell r="W44"/>
          <cell r="X44"/>
          <cell r="Y44" t="str">
            <v>NA</v>
          </cell>
          <cell r="Z44"/>
          <cell r="AA44" t="str">
            <v>NA</v>
          </cell>
          <cell r="AB44" t="str">
            <v>NA</v>
          </cell>
          <cell r="AC44" t="str">
            <v>NA</v>
          </cell>
          <cell r="AD44" t="str">
            <v>NA</v>
          </cell>
          <cell r="AE44">
            <v>0.22130627774254918</v>
          </cell>
          <cell r="AF44"/>
          <cell r="AG44">
            <v>0.69299552310143397</v>
          </cell>
          <cell r="AH44">
            <v>0.89525938160399621</v>
          </cell>
          <cell r="AI44">
            <v>0.70137961726746778</v>
          </cell>
          <cell r="AJ44">
            <v>0.54470426409903716</v>
          </cell>
          <cell r="AK44">
            <v>0.67814842333244574</v>
          </cell>
          <cell r="AL44"/>
          <cell r="AM44" t="str">
            <v>NA</v>
          </cell>
          <cell r="AN44" t="str">
            <v>NA</v>
          </cell>
          <cell r="AO44" t="str">
            <v>NA</v>
          </cell>
          <cell r="AP44" t="str">
            <v>NA</v>
          </cell>
          <cell r="AQ44" t="str">
            <v>NA</v>
          </cell>
          <cell r="AR44"/>
          <cell r="AS44">
            <v>0.21977208820482486</v>
          </cell>
          <cell r="AT44">
            <v>0.43751724137931047</v>
          </cell>
          <cell r="AU44">
            <v>0.5124150162577592</v>
          </cell>
          <cell r="AV44">
            <v>0.8345085623830768</v>
          </cell>
          <cell r="AW44">
            <v>0.50223649087367428</v>
          </cell>
          <cell r="AX44"/>
          <cell r="AY44">
            <v>1.1730162581897594</v>
          </cell>
          <cell r="AZ44">
            <v>0.30483592400690829</v>
          </cell>
          <cell r="BA44">
            <v>0.66197596012899451</v>
          </cell>
          <cell r="BB44">
            <v>0.52565108252274872</v>
          </cell>
          <cell r="BC44">
            <v>0.63200864449513738</v>
          </cell>
          <cell r="BD44"/>
          <cell r="BE44">
            <v>8.7102177554438942E-3</v>
          </cell>
          <cell r="BF44">
            <v>0.28472681814839351</v>
          </cell>
          <cell r="BG44">
            <v>-1.1759863585580899E-4</v>
          </cell>
          <cell r="BH44">
            <v>-9.1786210087922981E-3</v>
          </cell>
          <cell r="BI44">
            <v>5.6609799161333019E-2</v>
          </cell>
          <cell r="BJ44"/>
          <cell r="BK44">
            <v>5.2297246672202036E-2</v>
          </cell>
          <cell r="BL44">
            <v>-0.89325526730902072</v>
          </cell>
          <cell r="BM44">
            <v>0.25977106340832012</v>
          </cell>
          <cell r="BN44">
            <v>0.23574399008095193</v>
          </cell>
          <cell r="BO44">
            <v>-7.9386652039994066E-2</v>
          </cell>
          <cell r="BP44"/>
          <cell r="BQ44">
            <v>0.15723681370415155</v>
          </cell>
          <cell r="BR44">
            <v>10.338542839957649</v>
          </cell>
          <cell r="BS44">
            <v>5.8645673476326543E-2</v>
          </cell>
          <cell r="BT44">
            <v>3.8519950076639997E-2</v>
          </cell>
          <cell r="BU44">
            <v>0.36973206381366586</v>
          </cell>
          <cell r="BV44"/>
          <cell r="BW44" t="str">
            <v>NA</v>
          </cell>
          <cell r="BX44" t="str">
            <v>NA</v>
          </cell>
          <cell r="BY44" t="str">
            <v>NA</v>
          </cell>
          <cell r="BZ44" t="str">
            <v>NA</v>
          </cell>
          <cell r="CA44" t="str">
            <v>NA</v>
          </cell>
          <cell r="CB44"/>
          <cell r="CC44" t="str">
            <v>NA</v>
          </cell>
          <cell r="CD44" t="str">
            <v>NA</v>
          </cell>
          <cell r="CE44" t="str">
            <v>NA</v>
          </cell>
          <cell r="CF44" t="str">
            <v>NA</v>
          </cell>
          <cell r="CG44" t="str">
            <v>NA</v>
          </cell>
        </row>
        <row r="45">
          <cell r="A45" t="str">
            <v>% seasonality</v>
          </cell>
          <cell r="B45"/>
          <cell r="C45"/>
          <cell r="D45"/>
          <cell r="E45"/>
          <cell r="F45"/>
          <cell r="G45"/>
          <cell r="H45"/>
          <cell r="I45"/>
          <cell r="J45"/>
          <cell r="K45"/>
          <cell r="L45"/>
          <cell r="M45"/>
          <cell r="N45"/>
          <cell r="O45"/>
          <cell r="P45"/>
          <cell r="Q45"/>
          <cell r="R45"/>
          <cell r="S45"/>
          <cell r="T45"/>
          <cell r="U45"/>
          <cell r="V45"/>
          <cell r="W45"/>
          <cell r="X45"/>
          <cell r="Y45">
            <v>0</v>
          </cell>
          <cell r="Z45"/>
          <cell r="AA45">
            <v>0.19553478712357217</v>
          </cell>
          <cell r="AB45">
            <v>0.19366562824506747</v>
          </cell>
          <cell r="AC45">
            <v>0.23333333333333331</v>
          </cell>
          <cell r="AD45">
            <v>0.37746625129802697</v>
          </cell>
          <cell r="AE45">
            <v>1</v>
          </cell>
          <cell r="AF45"/>
          <cell r="AG45">
            <v>0.19726474405251088</v>
          </cell>
          <cell r="AH45">
            <v>0.2187211772942107</v>
          </cell>
          <cell r="AI45">
            <v>0.23656344804953203</v>
          </cell>
          <cell r="AJ45">
            <v>0.34745063060374637</v>
          </cell>
          <cell r="AK45">
            <v>1</v>
          </cell>
          <cell r="AL45"/>
          <cell r="AM45">
            <v>0.24374143279705646</v>
          </cell>
          <cell r="AN45">
            <v>0.26152514248611208</v>
          </cell>
          <cell r="AO45">
            <v>0.24406608469807375</v>
          </cell>
          <cell r="AP45">
            <v>0.25066734001875762</v>
          </cell>
          <cell r="AQ45">
            <v>1</v>
          </cell>
          <cell r="AR45"/>
          <cell r="AS45">
            <v>0.19791091367511107</v>
          </cell>
          <cell r="AT45">
            <v>0.25025813422979948</v>
          </cell>
          <cell r="AU45">
            <v>0.24571977428262695</v>
          </cell>
          <cell r="AV45">
            <v>0.3061111778124625</v>
          </cell>
          <cell r="AW45">
            <v>1</v>
          </cell>
          <cell r="AX45"/>
          <cell r="AY45">
            <v>0.26351798719929376</v>
          </cell>
          <cell r="AZ45">
            <v>0.20008828073273005</v>
          </cell>
          <cell r="BA45">
            <v>0.25023173692341649</v>
          </cell>
          <cell r="BB45">
            <v>0.2861619951445597</v>
          </cell>
          <cell r="BC45">
            <v>1</v>
          </cell>
          <cell r="BD45"/>
          <cell r="BE45">
            <v>0.25157185411422534</v>
          </cell>
          <cell r="BF45">
            <v>0.25705878025454276</v>
          </cell>
          <cell r="BG45">
            <v>0.25020231001250648</v>
          </cell>
          <cell r="BH45">
            <v>0.26834449469336702</v>
          </cell>
          <cell r="BI45">
            <v>1.0271774390746415</v>
          </cell>
          <cell r="BJ45"/>
          <cell r="BK45">
            <v>0.2875565187179111</v>
          </cell>
          <cell r="BL45">
            <v>2.8208954801421462E-2</v>
          </cell>
          <cell r="BM45">
            <v>0.32403434328384079</v>
          </cell>
          <cell r="BN45">
            <v>0.36020018319682678</v>
          </cell>
          <cell r="BO45">
            <v>1</v>
          </cell>
          <cell r="BP45"/>
          <cell r="BQ45">
            <v>0.33277098948097367</v>
          </cell>
          <cell r="BR45">
            <v>0.31984844248634625</v>
          </cell>
          <cell r="BS45">
            <v>0.34303755557518079</v>
          </cell>
          <cell r="BT45">
            <v>0.37407507627116515</v>
          </cell>
          <cell r="BU45">
            <v>1.3697320638136659</v>
          </cell>
          <cell r="BV45"/>
          <cell r="BW45" t="str">
            <v>NA</v>
          </cell>
          <cell r="BX45" t="str">
            <v>NA</v>
          </cell>
          <cell r="BY45" t="str">
            <v>NA</v>
          </cell>
          <cell r="BZ45" t="str">
            <v>NA</v>
          </cell>
          <cell r="CA45">
            <v>0</v>
          </cell>
          <cell r="CB45"/>
          <cell r="CC45" t="str">
            <v>NA</v>
          </cell>
          <cell r="CD45" t="str">
            <v>NA</v>
          </cell>
          <cell r="CE45" t="str">
            <v>NA</v>
          </cell>
          <cell r="CF45" t="str">
            <v>NA</v>
          </cell>
          <cell r="CG45">
            <v>0</v>
          </cell>
        </row>
        <row r="46">
          <cell r="A46" t="str">
            <v>% of total revenue</v>
          </cell>
          <cell r="B46"/>
          <cell r="C46"/>
          <cell r="D46"/>
          <cell r="E46"/>
          <cell r="F46"/>
          <cell r="G46"/>
          <cell r="H46"/>
          <cell r="I46"/>
          <cell r="J46"/>
          <cell r="K46"/>
          <cell r="L46"/>
          <cell r="M46"/>
          <cell r="N46"/>
          <cell r="O46"/>
          <cell r="P46"/>
          <cell r="Q46"/>
          <cell r="R46"/>
          <cell r="S46"/>
          <cell r="T46"/>
          <cell r="U46"/>
          <cell r="V46"/>
          <cell r="W46"/>
          <cell r="X46"/>
          <cell r="Y46">
            <v>0.20758740522325189</v>
          </cell>
          <cell r="Z46"/>
          <cell r="AA46">
            <v>0.1633555998958966</v>
          </cell>
          <cell r="AB46">
            <v>0.14673485444531864</v>
          </cell>
          <cell r="AC46">
            <v>0.15902335456475583</v>
          </cell>
          <cell r="AD46">
            <v>0.23521418403002459</v>
          </cell>
          <cell r="AE46">
            <v>0.17892644135188868</v>
          </cell>
          <cell r="AF46"/>
          <cell r="AG46">
            <v>0.17331252419267154</v>
          </cell>
          <cell r="AH46">
            <v>0.17698071032903329</v>
          </cell>
          <cell r="AI46">
            <v>0.17019855756388566</v>
          </cell>
          <cell r="AJ46">
            <v>0.22494191170579281</v>
          </cell>
          <cell r="AK46">
            <v>0.18837357870021509</v>
          </cell>
          <cell r="AL46"/>
          <cell r="AM46">
            <v>0.23671396041338236</v>
          </cell>
          <cell r="AN46">
            <v>0.23912398166166432</v>
          </cell>
          <cell r="AO46">
            <v>0.19809691114038941</v>
          </cell>
          <cell r="AP46">
            <v>0.18008189074323622</v>
          </cell>
          <cell r="AQ46">
            <v>0.21064229106354526</v>
          </cell>
          <cell r="AR46"/>
          <cell r="AS46">
            <v>0.16376244312424251</v>
          </cell>
          <cell r="AT46">
            <v>0.20236107335637452</v>
          </cell>
          <cell r="AU46">
            <v>0.16349518285960793</v>
          </cell>
          <cell r="AV46">
            <v>0.14299495232753787</v>
          </cell>
          <cell r="AW46">
            <v>0.16423472808297512</v>
          </cell>
          <cell r="AX46"/>
          <cell r="AY46">
            <v>0.23559589581689031</v>
          </cell>
          <cell r="AZ46">
            <v>0.16575454334921927</v>
          </cell>
          <cell r="BA46">
            <v>0.16448252850662978</v>
          </cell>
          <cell r="BB46">
            <v>0.1243144774688399</v>
          </cell>
          <cell r="BC46">
            <v>0.16263070996147497</v>
          </cell>
          <cell r="BD46"/>
          <cell r="BE46">
            <v>0.16600049618215396</v>
          </cell>
          <cell r="BF46">
            <v>0.18154894890526119</v>
          </cell>
          <cell r="BG46">
            <v>0.13109307184100777</v>
          </cell>
          <cell r="BH46">
            <v>0.13</v>
          </cell>
          <cell r="BI46">
            <v>0.14867532201347577</v>
          </cell>
          <cell r="BJ46"/>
          <cell r="BK46">
            <v>0.159</v>
          </cell>
          <cell r="BL46">
            <v>1.4999999999999999E-2</v>
          </cell>
          <cell r="BM46">
            <v>0.14899999999999999</v>
          </cell>
          <cell r="BN46">
            <v>0.14000000000000001</v>
          </cell>
          <cell r="BO46">
            <v>0.11852955825882684</v>
          </cell>
          <cell r="BP46"/>
          <cell r="BQ46">
            <v>0.15167419717052127</v>
          </cell>
          <cell r="BR46">
            <v>0.14000000000000001</v>
          </cell>
          <cell r="BS46">
            <v>0.13500000000000001</v>
          </cell>
          <cell r="BT46">
            <v>0.12</v>
          </cell>
          <cell r="BU46">
            <v>0.13512298803971404</v>
          </cell>
          <cell r="BV46"/>
          <cell r="BW46"/>
          <cell r="BX46"/>
          <cell r="BY46"/>
          <cell r="BZ46"/>
          <cell r="CA46" t="str">
            <v>NA</v>
          </cell>
          <cell r="CB46"/>
          <cell r="CC46"/>
          <cell r="CD46"/>
          <cell r="CE46"/>
          <cell r="CF46"/>
          <cell r="CG46" t="str">
            <v>NA</v>
          </cell>
        </row>
        <row r="47">
          <cell r="A47"/>
          <cell r="B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row>
        <row r="48">
          <cell r="A48" t="str">
            <v>Other operating expenses</v>
          </cell>
          <cell r="B48"/>
          <cell r="C48"/>
          <cell r="D48"/>
          <cell r="E48"/>
          <cell r="F48"/>
          <cell r="G48"/>
          <cell r="H48"/>
          <cell r="I48"/>
          <cell r="J48"/>
          <cell r="K48"/>
          <cell r="L48"/>
          <cell r="M48"/>
          <cell r="N48"/>
          <cell r="O48"/>
          <cell r="P48"/>
          <cell r="Q48"/>
          <cell r="R48"/>
          <cell r="S48"/>
          <cell r="T48"/>
          <cell r="U48"/>
          <cell r="V48"/>
          <cell r="W48"/>
          <cell r="X48"/>
          <cell r="Y48">
            <v>0</v>
          </cell>
          <cell r="Z48"/>
          <cell r="AA48">
            <v>0</v>
          </cell>
          <cell r="AB48">
            <v>0</v>
          </cell>
          <cell r="AC48">
            <v>0</v>
          </cell>
          <cell r="AD48">
            <v>0</v>
          </cell>
          <cell r="AE48">
            <v>0</v>
          </cell>
          <cell r="AF48"/>
          <cell r="AG48">
            <v>0</v>
          </cell>
          <cell r="AH48">
            <v>0</v>
          </cell>
          <cell r="AI48">
            <v>0</v>
          </cell>
          <cell r="AJ48">
            <v>0</v>
          </cell>
          <cell r="AK48">
            <v>0</v>
          </cell>
          <cell r="AL48"/>
          <cell r="AM48">
            <v>0</v>
          </cell>
          <cell r="AN48">
            <v>0</v>
          </cell>
          <cell r="AO48">
            <v>0</v>
          </cell>
          <cell r="AP48">
            <v>0</v>
          </cell>
          <cell r="AQ48">
            <v>0</v>
          </cell>
          <cell r="AR48"/>
          <cell r="AS48">
            <v>0</v>
          </cell>
          <cell r="AT48">
            <v>0</v>
          </cell>
          <cell r="AU48">
            <v>0</v>
          </cell>
          <cell r="AV48">
            <v>0</v>
          </cell>
          <cell r="AW48">
            <v>0</v>
          </cell>
          <cell r="AX48"/>
          <cell r="AY48">
            <v>0</v>
          </cell>
          <cell r="AZ48">
            <v>0</v>
          </cell>
          <cell r="BA48">
            <v>0</v>
          </cell>
          <cell r="BB48">
            <v>0</v>
          </cell>
          <cell r="BC48">
            <v>0</v>
          </cell>
          <cell r="BD48"/>
          <cell r="BE48">
            <v>0</v>
          </cell>
          <cell r="BF48">
            <v>0</v>
          </cell>
          <cell r="BG48">
            <v>0</v>
          </cell>
          <cell r="BH48">
            <v>0</v>
          </cell>
          <cell r="BI48">
            <v>0</v>
          </cell>
          <cell r="BJ48"/>
          <cell r="BK48">
            <v>0</v>
          </cell>
          <cell r="BL48">
            <v>0</v>
          </cell>
          <cell r="BM48">
            <v>0</v>
          </cell>
          <cell r="BN48">
            <v>0</v>
          </cell>
          <cell r="BO48">
            <v>0</v>
          </cell>
          <cell r="BP48"/>
          <cell r="BQ48">
            <v>0</v>
          </cell>
          <cell r="BR48">
            <v>0</v>
          </cell>
          <cell r="BS48">
            <v>0</v>
          </cell>
          <cell r="BT48">
            <v>0</v>
          </cell>
          <cell r="BU48">
            <v>0</v>
          </cell>
          <cell r="BV48"/>
          <cell r="BW48" t="e">
            <v>#VALUE!</v>
          </cell>
          <cell r="BX48" t="e">
            <v>#VALUE!</v>
          </cell>
          <cell r="BY48" t="e">
            <v>#VALUE!</v>
          </cell>
          <cell r="BZ48" t="e">
            <v>#VALUE!</v>
          </cell>
          <cell r="CA48" t="e">
            <v>#VALUE!</v>
          </cell>
          <cell r="CB48"/>
          <cell r="CC48" t="e">
            <v>#VALUE!</v>
          </cell>
          <cell r="CD48" t="e">
            <v>#VALUE!</v>
          </cell>
          <cell r="CE48" t="e">
            <v>#VALUE!</v>
          </cell>
          <cell r="CF48" t="e">
            <v>#VALUE!</v>
          </cell>
          <cell r="CG48" t="e">
            <v>#VALUE!</v>
          </cell>
        </row>
        <row r="49">
          <cell r="A49" t="str">
            <v>q/q change</v>
          </cell>
          <cell r="B49"/>
          <cell r="C49"/>
          <cell r="D49"/>
          <cell r="E49"/>
          <cell r="F49"/>
          <cell r="G49"/>
          <cell r="I49"/>
          <cell r="J49"/>
          <cell r="K49"/>
          <cell r="L49"/>
          <cell r="M49"/>
          <cell r="O49"/>
          <cell r="P49"/>
          <cell r="Q49"/>
          <cell r="R49"/>
          <cell r="S49"/>
          <cell r="U49"/>
          <cell r="V49"/>
          <cell r="W49"/>
          <cell r="X49"/>
          <cell r="Y49" t="str">
            <v>NA</v>
          </cell>
          <cell r="AA49" t="str">
            <v>NA</v>
          </cell>
          <cell r="AB49" t="str">
            <v>NA</v>
          </cell>
          <cell r="AC49" t="str">
            <v>NA</v>
          </cell>
          <cell r="AD49" t="str">
            <v>NA</v>
          </cell>
          <cell r="AE49" t="str">
            <v>NA</v>
          </cell>
          <cell r="AG49" t="str">
            <v>NA</v>
          </cell>
          <cell r="AH49" t="str">
            <v>NA</v>
          </cell>
          <cell r="AI49" t="str">
            <v>NA</v>
          </cell>
          <cell r="AJ49" t="str">
            <v>NA</v>
          </cell>
          <cell r="AK49" t="str">
            <v>NA</v>
          </cell>
          <cell r="AL49"/>
          <cell r="AM49" t="str">
            <v>NA</v>
          </cell>
          <cell r="AN49" t="str">
            <v>NA</v>
          </cell>
          <cell r="AO49" t="str">
            <v>NA</v>
          </cell>
          <cell r="AP49" t="str">
            <v>NA</v>
          </cell>
          <cell r="AQ49" t="str">
            <v>NA</v>
          </cell>
          <cell r="AS49" t="str">
            <v>NA</v>
          </cell>
          <cell r="AT49" t="str">
            <v>NA</v>
          </cell>
          <cell r="AU49" t="str">
            <v>NA</v>
          </cell>
          <cell r="AV49" t="str">
            <v>NA</v>
          </cell>
          <cell r="AW49" t="str">
            <v>NA</v>
          </cell>
          <cell r="AY49" t="str">
            <v>NA</v>
          </cell>
          <cell r="AZ49" t="str">
            <v>NA</v>
          </cell>
          <cell r="BA49" t="str">
            <v>NA</v>
          </cell>
          <cell r="BB49" t="str">
            <v>NA</v>
          </cell>
          <cell r="BC49" t="str">
            <v>NA</v>
          </cell>
          <cell r="BE49" t="str">
            <v>NA</v>
          </cell>
          <cell r="BF49" t="str">
            <v>NA</v>
          </cell>
          <cell r="BG49" t="str">
            <v>NA</v>
          </cell>
          <cell r="BH49" t="str">
            <v>NA</v>
          </cell>
          <cell r="BI49" t="str">
            <v>NA</v>
          </cell>
          <cell r="BK49" t="str">
            <v>NA</v>
          </cell>
          <cell r="BL49" t="str">
            <v>NA</v>
          </cell>
          <cell r="BM49" t="str">
            <v>NA</v>
          </cell>
          <cell r="BN49" t="str">
            <v>NA</v>
          </cell>
          <cell r="BO49" t="str">
            <v>NA</v>
          </cell>
          <cell r="BQ49" t="str">
            <v>NA</v>
          </cell>
          <cell r="BR49" t="str">
            <v>NA</v>
          </cell>
          <cell r="BS49" t="str">
            <v>NA</v>
          </cell>
          <cell r="BT49" t="str">
            <v>NA</v>
          </cell>
          <cell r="BU49" t="str">
            <v>NA</v>
          </cell>
          <cell r="BW49" t="str">
            <v>NA</v>
          </cell>
          <cell r="BX49" t="str">
            <v>NA</v>
          </cell>
          <cell r="BY49" t="str">
            <v>NA</v>
          </cell>
          <cell r="BZ49" t="str">
            <v>NA</v>
          </cell>
          <cell r="CA49" t="str">
            <v>NA</v>
          </cell>
          <cell r="CC49" t="str">
            <v>NA</v>
          </cell>
          <cell r="CD49" t="str">
            <v>NA</v>
          </cell>
          <cell r="CE49" t="str">
            <v>NA</v>
          </cell>
          <cell r="CF49" t="str">
            <v>NA</v>
          </cell>
          <cell r="CG49" t="str">
            <v>NA</v>
          </cell>
        </row>
        <row r="50">
          <cell r="A50" t="str">
            <v>y/y change</v>
          </cell>
          <cell r="B50"/>
          <cell r="C50"/>
          <cell r="D50"/>
          <cell r="E50"/>
          <cell r="F50"/>
          <cell r="G50"/>
          <cell r="H50"/>
          <cell r="I50"/>
          <cell r="J50"/>
          <cell r="K50"/>
          <cell r="L50"/>
          <cell r="M50"/>
          <cell r="N50"/>
          <cell r="O50"/>
          <cell r="P50"/>
          <cell r="Q50"/>
          <cell r="R50"/>
          <cell r="S50"/>
          <cell r="T50"/>
          <cell r="U50"/>
          <cell r="V50"/>
          <cell r="W50"/>
          <cell r="X50"/>
          <cell r="Y50" t="str">
            <v>NA</v>
          </cell>
          <cell r="Z50"/>
          <cell r="AA50" t="str">
            <v>NA</v>
          </cell>
          <cell r="AB50" t="str">
            <v>NA</v>
          </cell>
          <cell r="AC50" t="str">
            <v>NA</v>
          </cell>
          <cell r="AD50" t="str">
            <v>NA</v>
          </cell>
          <cell r="AE50" t="str">
            <v>NA</v>
          </cell>
          <cell r="AF50"/>
          <cell r="AG50" t="str">
            <v>NA</v>
          </cell>
          <cell r="AH50" t="str">
            <v>NA</v>
          </cell>
          <cell r="AI50" t="str">
            <v>NA</v>
          </cell>
          <cell r="AJ50" t="str">
            <v>NA</v>
          </cell>
          <cell r="AK50" t="str">
            <v>NA</v>
          </cell>
          <cell r="AL50"/>
          <cell r="AM50" t="str">
            <v>NA</v>
          </cell>
          <cell r="AN50" t="str">
            <v>NA</v>
          </cell>
          <cell r="AO50" t="str">
            <v>NA</v>
          </cell>
          <cell r="AP50" t="str">
            <v>NA</v>
          </cell>
          <cell r="AQ50" t="str">
            <v>NA</v>
          </cell>
          <cell r="AR50"/>
          <cell r="AS50" t="str">
            <v>NA</v>
          </cell>
          <cell r="AT50" t="str">
            <v>NA</v>
          </cell>
          <cell r="AU50" t="str">
            <v>NA</v>
          </cell>
          <cell r="AV50" t="str">
            <v>NA</v>
          </cell>
          <cell r="AW50" t="str">
            <v>NA</v>
          </cell>
          <cell r="AX50"/>
          <cell r="AY50" t="str">
            <v>NA</v>
          </cell>
          <cell r="AZ50" t="str">
            <v>NA</v>
          </cell>
          <cell r="BA50" t="str">
            <v>NA</v>
          </cell>
          <cell r="BB50" t="str">
            <v>NA</v>
          </cell>
          <cell r="BC50" t="str">
            <v>NA</v>
          </cell>
          <cell r="BD50"/>
          <cell r="BE50" t="str">
            <v>NA</v>
          </cell>
          <cell r="BF50" t="str">
            <v>NA</v>
          </cell>
          <cell r="BG50" t="str">
            <v>NA</v>
          </cell>
          <cell r="BH50" t="str">
            <v>NA</v>
          </cell>
          <cell r="BI50" t="str">
            <v>NA</v>
          </cell>
          <cell r="BJ50"/>
          <cell r="BK50" t="str">
            <v>NA</v>
          </cell>
          <cell r="BL50" t="str">
            <v>NA</v>
          </cell>
          <cell r="BM50" t="str">
            <v>NA</v>
          </cell>
          <cell r="BN50" t="str">
            <v>NA</v>
          </cell>
          <cell r="BO50" t="str">
            <v>NA</v>
          </cell>
          <cell r="BP50"/>
          <cell r="BQ50" t="str">
            <v>NA</v>
          </cell>
          <cell r="BR50" t="str">
            <v>NA</v>
          </cell>
          <cell r="BS50" t="str">
            <v>NA</v>
          </cell>
          <cell r="BT50" t="str">
            <v>NA</v>
          </cell>
          <cell r="BU50" t="str">
            <v>NA</v>
          </cell>
          <cell r="BV50"/>
          <cell r="BW50" t="str">
            <v>NA</v>
          </cell>
          <cell r="BX50" t="str">
            <v>NA</v>
          </cell>
          <cell r="BY50" t="str">
            <v>NA</v>
          </cell>
          <cell r="BZ50" t="str">
            <v>NA</v>
          </cell>
          <cell r="CA50" t="str">
            <v>NA</v>
          </cell>
          <cell r="CB50"/>
          <cell r="CC50" t="str">
            <v>NA</v>
          </cell>
          <cell r="CD50" t="str">
            <v>NA</v>
          </cell>
          <cell r="CE50" t="str">
            <v>NA</v>
          </cell>
          <cell r="CF50" t="str">
            <v>NA</v>
          </cell>
          <cell r="CG50" t="str">
            <v>NA</v>
          </cell>
        </row>
        <row r="51">
          <cell r="A51" t="str">
            <v>% seasonality</v>
          </cell>
          <cell r="B51"/>
          <cell r="C51"/>
          <cell r="D51"/>
          <cell r="E51"/>
          <cell r="F51"/>
          <cell r="G51"/>
          <cell r="H51"/>
          <cell r="I51"/>
          <cell r="J51"/>
          <cell r="K51"/>
          <cell r="L51"/>
          <cell r="M51"/>
          <cell r="N51"/>
          <cell r="O51"/>
          <cell r="P51"/>
          <cell r="Q51"/>
          <cell r="R51"/>
          <cell r="S51"/>
          <cell r="T51"/>
          <cell r="U51"/>
          <cell r="V51"/>
          <cell r="W51"/>
          <cell r="X51"/>
          <cell r="Y51">
            <v>0</v>
          </cell>
          <cell r="Z51"/>
          <cell r="AA51" t="str">
            <v>NA</v>
          </cell>
          <cell r="AB51" t="str">
            <v>NA</v>
          </cell>
          <cell r="AC51" t="str">
            <v>NA</v>
          </cell>
          <cell r="AD51" t="str">
            <v>NA</v>
          </cell>
          <cell r="AE51">
            <v>0</v>
          </cell>
          <cell r="AF51"/>
          <cell r="AG51" t="str">
            <v>NA</v>
          </cell>
          <cell r="AH51" t="str">
            <v>NA</v>
          </cell>
          <cell r="AI51" t="str">
            <v>NA</v>
          </cell>
          <cell r="AJ51" t="str">
            <v>NA</v>
          </cell>
          <cell r="AK51">
            <v>0</v>
          </cell>
          <cell r="AL51"/>
          <cell r="AM51" t="str">
            <v>NA</v>
          </cell>
          <cell r="AN51" t="str">
            <v>NA</v>
          </cell>
          <cell r="AO51" t="str">
            <v>NA</v>
          </cell>
          <cell r="AP51" t="str">
            <v>NA</v>
          </cell>
          <cell r="AQ51">
            <v>0</v>
          </cell>
          <cell r="AR51"/>
          <cell r="AS51" t="str">
            <v>NA</v>
          </cell>
          <cell r="AT51" t="str">
            <v>NA</v>
          </cell>
          <cell r="AU51" t="str">
            <v>NA</v>
          </cell>
          <cell r="AV51" t="str">
            <v>NA</v>
          </cell>
          <cell r="AW51">
            <v>0</v>
          </cell>
          <cell r="AX51"/>
          <cell r="AY51" t="str">
            <v>NA</v>
          </cell>
          <cell r="AZ51" t="str">
            <v>NA</v>
          </cell>
          <cell r="BA51" t="str">
            <v>NA</v>
          </cell>
          <cell r="BB51" t="str">
            <v>NA</v>
          </cell>
          <cell r="BC51">
            <v>0</v>
          </cell>
          <cell r="BD51"/>
          <cell r="BE51" t="str">
            <v>NA</v>
          </cell>
          <cell r="BF51" t="str">
            <v>NA</v>
          </cell>
          <cell r="BG51" t="str">
            <v>NA</v>
          </cell>
          <cell r="BH51" t="str">
            <v>NA</v>
          </cell>
          <cell r="BI51">
            <v>0</v>
          </cell>
          <cell r="BJ51"/>
          <cell r="BK51" t="str">
            <v>NA</v>
          </cell>
          <cell r="BL51" t="str">
            <v>NA</v>
          </cell>
          <cell r="BM51" t="str">
            <v>NA</v>
          </cell>
          <cell r="BN51" t="str">
            <v>NA</v>
          </cell>
          <cell r="BO51">
            <v>0</v>
          </cell>
          <cell r="BP51"/>
          <cell r="BQ51" t="str">
            <v>NA</v>
          </cell>
          <cell r="BR51" t="str">
            <v>NA</v>
          </cell>
          <cell r="BS51" t="str">
            <v>NA</v>
          </cell>
          <cell r="BT51" t="str">
            <v>NA</v>
          </cell>
          <cell r="BU51">
            <v>0</v>
          </cell>
          <cell r="BV51"/>
          <cell r="BW51" t="str">
            <v>NA</v>
          </cell>
          <cell r="BX51" t="str">
            <v>NA</v>
          </cell>
          <cell r="BY51" t="str">
            <v>NA</v>
          </cell>
          <cell r="BZ51" t="str">
            <v>NA</v>
          </cell>
          <cell r="CA51">
            <v>0</v>
          </cell>
          <cell r="CB51"/>
          <cell r="CC51" t="str">
            <v>NA</v>
          </cell>
          <cell r="CD51" t="str">
            <v>NA</v>
          </cell>
          <cell r="CE51" t="str">
            <v>NA</v>
          </cell>
          <cell r="CF51" t="str">
            <v>NA</v>
          </cell>
          <cell r="CG51">
            <v>0</v>
          </cell>
        </row>
        <row r="52">
          <cell r="A52" t="str">
            <v>% of total revenue</v>
          </cell>
          <cell r="B52"/>
          <cell r="C52"/>
          <cell r="D52"/>
          <cell r="E52"/>
          <cell r="F52"/>
          <cell r="G52"/>
          <cell r="H52"/>
          <cell r="I52"/>
          <cell r="J52"/>
          <cell r="K52"/>
          <cell r="L52"/>
          <cell r="M52"/>
          <cell r="N52"/>
          <cell r="O52"/>
          <cell r="P52"/>
          <cell r="Q52"/>
          <cell r="R52"/>
          <cell r="S52"/>
          <cell r="T52"/>
          <cell r="U52"/>
          <cell r="V52"/>
          <cell r="W52"/>
          <cell r="X52"/>
          <cell r="Y52">
            <v>0</v>
          </cell>
          <cell r="Z52"/>
          <cell r="AA52">
            <v>0</v>
          </cell>
          <cell r="AB52">
            <v>0</v>
          </cell>
          <cell r="AC52">
            <v>0</v>
          </cell>
          <cell r="AD52">
            <v>0</v>
          </cell>
          <cell r="AE52">
            <v>0</v>
          </cell>
          <cell r="AF52"/>
          <cell r="AG52">
            <v>0</v>
          </cell>
          <cell r="AH52">
            <v>0</v>
          </cell>
          <cell r="AI52">
            <v>0</v>
          </cell>
          <cell r="AJ52">
            <v>0</v>
          </cell>
          <cell r="AK52">
            <v>0</v>
          </cell>
          <cell r="AL52"/>
          <cell r="AM52">
            <v>0</v>
          </cell>
          <cell r="AN52">
            <v>0</v>
          </cell>
          <cell r="AO52">
            <v>0</v>
          </cell>
          <cell r="AP52">
            <v>0</v>
          </cell>
          <cell r="AQ52">
            <v>0</v>
          </cell>
          <cell r="AR52"/>
          <cell r="AS52">
            <v>0</v>
          </cell>
          <cell r="AT52">
            <v>0</v>
          </cell>
          <cell r="AU52">
            <v>0</v>
          </cell>
          <cell r="AV52">
            <v>0</v>
          </cell>
          <cell r="AW52">
            <v>0</v>
          </cell>
          <cell r="AX52"/>
          <cell r="AY52">
            <v>0</v>
          </cell>
          <cell r="AZ52">
            <v>0</v>
          </cell>
          <cell r="BA52">
            <v>0</v>
          </cell>
          <cell r="BB52">
            <v>0</v>
          </cell>
          <cell r="BC52">
            <v>0</v>
          </cell>
          <cell r="BD52"/>
          <cell r="BE52">
            <v>0</v>
          </cell>
          <cell r="BF52">
            <v>0</v>
          </cell>
          <cell r="BG52">
            <v>0</v>
          </cell>
          <cell r="BH52">
            <v>0</v>
          </cell>
          <cell r="BI52">
            <v>0</v>
          </cell>
          <cell r="BJ52"/>
          <cell r="BK52">
            <v>0</v>
          </cell>
          <cell r="BL52">
            <v>0</v>
          </cell>
          <cell r="BM52">
            <v>0</v>
          </cell>
          <cell r="BN52">
            <v>0</v>
          </cell>
          <cell r="BO52">
            <v>0</v>
          </cell>
          <cell r="BP52"/>
          <cell r="BQ52">
            <v>0</v>
          </cell>
          <cell r="BR52">
            <v>0</v>
          </cell>
          <cell r="BS52">
            <v>0</v>
          </cell>
          <cell r="BT52">
            <v>0</v>
          </cell>
          <cell r="BU52">
            <v>0</v>
          </cell>
          <cell r="BV52"/>
          <cell r="BW52"/>
          <cell r="BX52"/>
          <cell r="BY52"/>
          <cell r="BZ52"/>
          <cell r="CA52" t="str">
            <v>NA</v>
          </cell>
          <cell r="CB52"/>
          <cell r="CC52"/>
          <cell r="CD52"/>
          <cell r="CE52"/>
          <cell r="CF52"/>
          <cell r="CG52" t="str">
            <v>NA</v>
          </cell>
        </row>
        <row r="53">
          <cell r="A53"/>
          <cell r="B53"/>
          <cell r="C53"/>
          <cell r="D53"/>
          <cell r="E53"/>
          <cell r="F53"/>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J53"/>
          <cell r="BK53"/>
          <cell r="BL53"/>
          <cell r="BM53"/>
          <cell r="BN53"/>
          <cell r="BO53"/>
          <cell r="BP53"/>
          <cell r="BQ53"/>
          <cell r="BR53"/>
          <cell r="BS53"/>
          <cell r="BT53"/>
          <cell r="BU53"/>
          <cell r="BV53"/>
          <cell r="BW53"/>
          <cell r="BX53"/>
          <cell r="BY53"/>
          <cell r="BZ53"/>
          <cell r="CA53"/>
          <cell r="CB53"/>
          <cell r="CC53"/>
          <cell r="CD53"/>
          <cell r="CE53"/>
          <cell r="CF53"/>
          <cell r="CG53"/>
        </row>
        <row r="54">
          <cell r="A54" t="str">
            <v>Total operating expenses</v>
          </cell>
          <cell r="B54"/>
          <cell r="C54"/>
          <cell r="D54"/>
          <cell r="E54"/>
          <cell r="F54"/>
          <cell r="G54"/>
          <cell r="H54"/>
          <cell r="I54"/>
          <cell r="J54"/>
          <cell r="K54"/>
          <cell r="L54"/>
          <cell r="M54"/>
          <cell r="N54"/>
          <cell r="O54"/>
          <cell r="P54"/>
          <cell r="Q54"/>
          <cell r="R54"/>
          <cell r="S54"/>
          <cell r="T54"/>
          <cell r="U54"/>
          <cell r="V54"/>
          <cell r="W54"/>
          <cell r="X54"/>
          <cell r="Y54">
            <v>39.019999999999996</v>
          </cell>
          <cell r="Z54"/>
          <cell r="AA54">
            <v>13.151</v>
          </cell>
          <cell r="AB54">
            <v>15.443</v>
          </cell>
          <cell r="AC54">
            <v>15.471</v>
          </cell>
          <cell r="AD54">
            <v>18.873000000000001</v>
          </cell>
          <cell r="AE54">
            <v>62.938000000000002</v>
          </cell>
          <cell r="AF54"/>
          <cell r="AG54">
            <v>20.289939447860249</v>
          </cell>
          <cell r="AH54">
            <v>22.652088619035322</v>
          </cell>
          <cell r="AI54">
            <v>21.36791706</v>
          </cell>
          <cell r="AJ54">
            <v>25.298000000000002</v>
          </cell>
          <cell r="AK54">
            <v>89.607945126895572</v>
          </cell>
          <cell r="AL54"/>
          <cell r="AM54">
            <v>27.512</v>
          </cell>
          <cell r="AN54">
            <v>30.838999999999999</v>
          </cell>
          <cell r="AO54">
            <v>28.423999999999999</v>
          </cell>
          <cell r="AP54">
            <v>31.894000000000002</v>
          </cell>
          <cell r="AQ54">
            <v>118.66900000000001</v>
          </cell>
          <cell r="AR54"/>
          <cell r="AS54">
            <v>38.668000000000006</v>
          </cell>
          <cell r="AT54">
            <v>45.742999999999995</v>
          </cell>
          <cell r="AU54">
            <v>43.165999999999997</v>
          </cell>
          <cell r="AV54">
            <v>56.729000000000013</v>
          </cell>
          <cell r="AW54">
            <v>184.30600000000001</v>
          </cell>
          <cell r="AX54"/>
          <cell r="AY54">
            <v>67.334999999999994</v>
          </cell>
          <cell r="AZ54">
            <v>73.441000000000003</v>
          </cell>
          <cell r="BA54">
            <v>73.358000000000004</v>
          </cell>
          <cell r="BB54">
            <v>94.831999999999994</v>
          </cell>
          <cell r="BC54">
            <v>308.96600000000001</v>
          </cell>
          <cell r="BD54"/>
          <cell r="BE54">
            <v>100.58600000000001</v>
          </cell>
          <cell r="BF54">
            <v>88.016000000000005</v>
          </cell>
          <cell r="BG54">
            <v>89.631</v>
          </cell>
          <cell r="BH54">
            <v>110.65266</v>
          </cell>
          <cell r="BI54">
            <v>388.88566000000003</v>
          </cell>
          <cell r="BJ54"/>
          <cell r="BK54">
            <v>100.20625468378</v>
          </cell>
          <cell r="BL54">
            <v>87.542928419855301</v>
          </cell>
          <cell r="BM54">
            <v>104.22132870059396</v>
          </cell>
          <cell r="BN54">
            <v>143.09166085243191</v>
          </cell>
          <cell r="BO54">
            <v>435.06217265666118</v>
          </cell>
          <cell r="BP54"/>
          <cell r="BQ54">
            <v>117.34815544798397</v>
          </cell>
          <cell r="BR54">
            <v>119.64511273564617</v>
          </cell>
          <cell r="BS54">
            <v>115.66431503486859</v>
          </cell>
          <cell r="BT54">
            <v>163.37075696392495</v>
          </cell>
          <cell r="BU54">
            <v>516.02834018242368</v>
          </cell>
          <cell r="BV54"/>
          <cell r="BW54" t="e">
            <v>#VALUE!</v>
          </cell>
          <cell r="BX54" t="e">
            <v>#VALUE!</v>
          </cell>
          <cell r="BY54" t="e">
            <v>#VALUE!</v>
          </cell>
          <cell r="BZ54" t="e">
            <v>#VALUE!</v>
          </cell>
          <cell r="CA54" t="e">
            <v>#VALUE!</v>
          </cell>
          <cell r="CB54"/>
          <cell r="CC54" t="e">
            <v>#VALUE!</v>
          </cell>
          <cell r="CD54" t="e">
            <v>#VALUE!</v>
          </cell>
          <cell r="CE54" t="e">
            <v>#VALUE!</v>
          </cell>
          <cell r="CF54" t="e">
            <v>#VALUE!</v>
          </cell>
          <cell r="CG54" t="e">
            <v>#VALUE!</v>
          </cell>
          <cell r="CH54"/>
        </row>
        <row r="55">
          <cell r="A55" t="str">
            <v>q/q change</v>
          </cell>
          <cell r="B55"/>
          <cell r="C55"/>
          <cell r="D55"/>
          <cell r="E55"/>
          <cell r="F55"/>
          <cell r="G55"/>
          <cell r="I55"/>
          <cell r="J55"/>
          <cell r="K55"/>
          <cell r="L55"/>
          <cell r="M55"/>
          <cell r="O55"/>
          <cell r="P55"/>
          <cell r="Q55"/>
          <cell r="R55"/>
          <cell r="S55"/>
          <cell r="U55"/>
          <cell r="V55"/>
          <cell r="W55"/>
          <cell r="X55"/>
          <cell r="Y55" t="str">
            <v>NA</v>
          </cell>
          <cell r="AA55" t="str">
            <v>NA</v>
          </cell>
          <cell r="AB55">
            <v>0.17428332446201811</v>
          </cell>
          <cell r="AC55">
            <v>1.81311921258831E-3</v>
          </cell>
          <cell r="AD55">
            <v>0.2198952879581153</v>
          </cell>
          <cell r="AE55" t="str">
            <v>NA</v>
          </cell>
          <cell r="AG55">
            <v>7.5077594863574904E-2</v>
          </cell>
          <cell r="AH55">
            <v>0.11641972501914899</v>
          </cell>
          <cell r="AI55">
            <v>-5.6691088430414704E-2</v>
          </cell>
          <cell r="AJ55">
            <v>0.18392447560351965</v>
          </cell>
          <cell r="AK55" t="str">
            <v>NA</v>
          </cell>
          <cell r="AL55"/>
          <cell r="AM55" t="str">
            <v>NA</v>
          </cell>
          <cell r="AN55">
            <v>0.12092904914219238</v>
          </cell>
          <cell r="AO55">
            <v>-7.8309932228671442E-2</v>
          </cell>
          <cell r="AP55">
            <v>0.12207993245144966</v>
          </cell>
          <cell r="AQ55" t="str">
            <v>NA</v>
          </cell>
          <cell r="AS55">
            <v>0.21239104533768116</v>
          </cell>
          <cell r="AT55">
            <v>0.18296782869556183</v>
          </cell>
          <cell r="AU55">
            <v>-5.6336488643071059E-2</v>
          </cell>
          <cell r="AV55">
            <v>0.31420562479729464</v>
          </cell>
          <cell r="AW55" t="str">
            <v>NA</v>
          </cell>
          <cell r="AY55">
            <v>0.18695905092633369</v>
          </cell>
          <cell r="AZ55">
            <v>9.0680923739511643E-2</v>
          </cell>
          <cell r="BA55">
            <v>-1.1301589030650039E-3</v>
          </cell>
          <cell r="BB55">
            <v>0.2927288094004743</v>
          </cell>
          <cell r="BC55" t="str">
            <v>NA</v>
          </cell>
          <cell r="BE55">
            <v>6.0675721275519123E-2</v>
          </cell>
          <cell r="BF55">
            <v>-0.12496768934046498</v>
          </cell>
          <cell r="BG55">
            <v>2.4374318305762532E-2</v>
          </cell>
          <cell r="BH55">
            <v>0.24738468254627555</v>
          </cell>
          <cell r="BI55" t="str">
            <v>NA</v>
          </cell>
          <cell r="BK55">
            <v>-9.2178111886366376E-2</v>
          </cell>
          <cell r="BL55">
            <v>2.8700906100738166E-3</v>
          </cell>
          <cell r="BM55">
            <v>-5.2297080653731509E-3</v>
          </cell>
          <cell r="BN55">
            <v>0.35357494084810481</v>
          </cell>
          <cell r="BO55" t="str">
            <v>NA</v>
          </cell>
          <cell r="BQ55" t="str">
            <v>NA</v>
          </cell>
          <cell r="BR55" t="str">
            <v>NA</v>
          </cell>
          <cell r="BS55" t="str">
            <v>NA</v>
          </cell>
          <cell r="BT55" t="str">
            <v>NA</v>
          </cell>
          <cell r="BU55" t="str">
            <v>NA</v>
          </cell>
          <cell r="BW55" t="str">
            <v>NA</v>
          </cell>
          <cell r="BX55" t="str">
            <v>NA</v>
          </cell>
          <cell r="BY55" t="str">
            <v>NA</v>
          </cell>
          <cell r="BZ55" t="str">
            <v>NA</v>
          </cell>
          <cell r="CA55" t="str">
            <v>NA</v>
          </cell>
          <cell r="CC55" t="str">
            <v>NA</v>
          </cell>
          <cell r="CD55" t="str">
            <v>NA</v>
          </cell>
          <cell r="CE55" t="str">
            <v>NA</v>
          </cell>
          <cell r="CF55" t="str">
            <v>NA</v>
          </cell>
          <cell r="CG55" t="str">
            <v>NA</v>
          </cell>
        </row>
        <row r="56">
          <cell r="A56" t="str">
            <v>y/y change</v>
          </cell>
          <cell r="B56"/>
          <cell r="C56"/>
          <cell r="D56"/>
          <cell r="E56"/>
          <cell r="F56"/>
          <cell r="G56"/>
          <cell r="H56"/>
          <cell r="I56"/>
          <cell r="J56"/>
          <cell r="K56"/>
          <cell r="L56"/>
          <cell r="M56"/>
          <cell r="N56"/>
          <cell r="O56"/>
          <cell r="P56"/>
          <cell r="Q56"/>
          <cell r="R56"/>
          <cell r="S56"/>
          <cell r="T56"/>
          <cell r="U56"/>
          <cell r="V56"/>
          <cell r="W56"/>
          <cell r="X56"/>
          <cell r="Y56" t="str">
            <v>NA</v>
          </cell>
          <cell r="Z56"/>
          <cell r="AA56" t="str">
            <v>NA</v>
          </cell>
          <cell r="AB56" t="str">
            <v>NA</v>
          </cell>
          <cell r="AC56" t="str">
            <v>NA</v>
          </cell>
          <cell r="AD56" t="str">
            <v>NA</v>
          </cell>
          <cell r="AE56">
            <v>0.61296770886724783</v>
          </cell>
          <cell r="AF56"/>
          <cell r="AG56">
            <v>0.54284384821384291</v>
          </cell>
          <cell r="AH56">
            <v>0.46681918144371704</v>
          </cell>
          <cell r="AI56">
            <v>0.38115939887531503</v>
          </cell>
          <cell r="AJ56">
            <v>0.34043342340910288</v>
          </cell>
          <cell r="AK56">
            <v>0.42374948563499903</v>
          </cell>
          <cell r="AL56"/>
          <cell r="AM56" t="str">
            <v>NA</v>
          </cell>
          <cell r="AN56" t="str">
            <v>NA</v>
          </cell>
          <cell r="AO56" t="str">
            <v>NA</v>
          </cell>
          <cell r="AP56" t="str">
            <v>NA</v>
          </cell>
          <cell r="AQ56" t="str">
            <v>NA</v>
          </cell>
          <cell r="AR56"/>
          <cell r="AS56">
            <v>0.4054957836580404</v>
          </cell>
          <cell r="AT56">
            <v>0.48328415318265816</v>
          </cell>
          <cell r="AU56">
            <v>0.51864621446664771</v>
          </cell>
          <cell r="AV56">
            <v>0.77867310465918393</v>
          </cell>
          <cell r="AW56">
            <v>0.55310991076018157</v>
          </cell>
          <cell r="AX56"/>
          <cell r="AY56">
            <v>0.74136236681493695</v>
          </cell>
          <cell r="AZ56">
            <v>0.60551341188815799</v>
          </cell>
          <cell r="BA56">
            <v>0.69943937358105934</v>
          </cell>
          <cell r="BB56">
            <v>0.67166704859948134</v>
          </cell>
          <cell r="BC56">
            <v>0.67637515870346054</v>
          </cell>
          <cell r="BD56"/>
          <cell r="BE56">
            <v>0.49381450954184336</v>
          </cell>
          <cell r="BF56">
            <v>0.19845862665268732</v>
          </cell>
          <cell r="BG56">
            <v>0.22182992993265893</v>
          </cell>
          <cell r="BH56">
            <v>0.16682828581069686</v>
          </cell>
          <cell r="BI56">
            <v>0.25866813824174839</v>
          </cell>
          <cell r="BJ56"/>
          <cell r="BK56">
            <v>-3.7753297299824018E-3</v>
          </cell>
          <cell r="BL56">
            <v>-5.3748361677956602E-3</v>
          </cell>
          <cell r="BM56">
            <v>0.1627821702379082</v>
          </cell>
          <cell r="BN56">
            <v>0.29316060592155591</v>
          </cell>
          <cell r="BO56">
            <v>0.11874058986042613</v>
          </cell>
          <cell r="BP56"/>
          <cell r="BQ56">
            <v>0.17106617564241389</v>
          </cell>
          <cell r="BR56">
            <v>0.36670219851258579</v>
          </cell>
          <cell r="BS56">
            <v>0.10979505324814975</v>
          </cell>
          <cell r="BT56">
            <v>0.14172101987415275</v>
          </cell>
          <cell r="BU56">
            <v>0.1861025219254322</v>
          </cell>
          <cell r="BV56"/>
          <cell r="BW56" t="str">
            <v>NA</v>
          </cell>
          <cell r="BX56" t="str">
            <v>NA</v>
          </cell>
          <cell r="BY56" t="str">
            <v>NA</v>
          </cell>
          <cell r="BZ56" t="str">
            <v>NA</v>
          </cell>
          <cell r="CA56" t="str">
            <v>NA</v>
          </cell>
          <cell r="CB56"/>
          <cell r="CC56" t="str">
            <v>NA</v>
          </cell>
          <cell r="CD56" t="str">
            <v>NA</v>
          </cell>
          <cell r="CE56" t="str">
            <v>NA</v>
          </cell>
          <cell r="CF56" t="str">
            <v>NA</v>
          </cell>
          <cell r="CG56" t="str">
            <v>NA</v>
          </cell>
        </row>
        <row r="57">
          <cell r="A57" t="str">
            <v>% seasonality</v>
          </cell>
          <cell r="B57"/>
          <cell r="C57"/>
          <cell r="D57"/>
          <cell r="E57"/>
          <cell r="F57"/>
          <cell r="G57"/>
          <cell r="H57"/>
          <cell r="I57"/>
          <cell r="J57"/>
          <cell r="K57"/>
          <cell r="L57"/>
          <cell r="M57"/>
          <cell r="N57"/>
          <cell r="O57"/>
          <cell r="P57"/>
          <cell r="Q57"/>
          <cell r="R57"/>
          <cell r="S57"/>
          <cell r="T57"/>
          <cell r="U57"/>
          <cell r="V57"/>
          <cell r="W57"/>
          <cell r="X57"/>
          <cell r="Y57">
            <v>0</v>
          </cell>
          <cell r="Z57"/>
          <cell r="AA57">
            <v>0.20895166671962884</v>
          </cell>
          <cell r="AB57">
            <v>0.24536845784740538</v>
          </cell>
          <cell r="AC57">
            <v>0.24581334011249165</v>
          </cell>
          <cell r="AD57">
            <v>0.29986653532047414</v>
          </cell>
          <cell r="AE57">
            <v>1</v>
          </cell>
          <cell r="AF57"/>
          <cell r="AG57">
            <v>0.22643013874637194</v>
          </cell>
          <cell r="AH57">
            <v>0.25279107323527233</v>
          </cell>
          <cell r="AI57">
            <v>0.23846007214807205</v>
          </cell>
          <cell r="AJ57">
            <v>0.28231871587028368</v>
          </cell>
          <cell r="AK57">
            <v>1</v>
          </cell>
          <cell r="AL57"/>
          <cell r="AM57">
            <v>0.23183813801414016</v>
          </cell>
          <cell r="AN57">
            <v>0.25987410359908653</v>
          </cell>
          <cell r="AO57">
            <v>0.23952338015825528</v>
          </cell>
          <cell r="AP57">
            <v>0.26876437822851795</v>
          </cell>
          <cell r="AQ57">
            <v>0.99999999999999989</v>
          </cell>
          <cell r="AR57"/>
          <cell r="AS57">
            <v>0.20980326196651222</v>
          </cell>
          <cell r="AT57">
            <v>0.24819050926177114</v>
          </cell>
          <cell r="AU57">
            <v>0.23420832745542736</v>
          </cell>
          <cell r="AV57">
            <v>0.30779790131628926</v>
          </cell>
          <cell r="AW57">
            <v>1</v>
          </cell>
          <cell r="AX57"/>
          <cell r="AY57">
            <v>0.21793660143834595</v>
          </cell>
          <cell r="AZ57">
            <v>0.23769929377342491</v>
          </cell>
          <cell r="BA57">
            <v>0.23743065580031461</v>
          </cell>
          <cell r="BB57">
            <v>0.30693344898791453</v>
          </cell>
          <cell r="BC57">
            <v>1</v>
          </cell>
          <cell r="BD57"/>
          <cell r="BE57">
            <v>0.25865186183517286</v>
          </cell>
          <cell r="BF57">
            <v>0.22632873631802211</v>
          </cell>
          <cell r="BG57">
            <v>0.23048162794174512</v>
          </cell>
          <cell r="BH57">
            <v>0.28453777390505985</v>
          </cell>
          <cell r="BI57">
            <v>0.99999999999999989</v>
          </cell>
          <cell r="BJ57"/>
          <cell r="BK57">
            <v>0.2303262866359562</v>
          </cell>
          <cell r="BL57">
            <v>0.2012193519038524</v>
          </cell>
          <cell r="BM57">
            <v>0.23955502282392752</v>
          </cell>
          <cell r="BN57">
            <v>0.32889933863626392</v>
          </cell>
          <cell r="BO57">
            <v>1</v>
          </cell>
          <cell r="BP57"/>
          <cell r="BQ57">
            <v>0.22740641610206846</v>
          </cell>
          <cell r="BR57">
            <v>0.2318576392400267</v>
          </cell>
          <cell r="BS57">
            <v>0.22414333870496247</v>
          </cell>
          <cell r="BT57">
            <v>0.31659260595294236</v>
          </cell>
          <cell r="BU57">
            <v>1</v>
          </cell>
          <cell r="BV57"/>
          <cell r="BW57" t="str">
            <v>NA</v>
          </cell>
          <cell r="BX57" t="str">
            <v>NA</v>
          </cell>
          <cell r="BY57" t="str">
            <v>NA</v>
          </cell>
          <cell r="BZ57" t="str">
            <v>NA</v>
          </cell>
          <cell r="CA57">
            <v>0</v>
          </cell>
          <cell r="CB57"/>
          <cell r="CC57" t="str">
            <v>NA</v>
          </cell>
          <cell r="CD57" t="str">
            <v>NA</v>
          </cell>
          <cell r="CE57" t="str">
            <v>NA</v>
          </cell>
          <cell r="CF57" t="str">
            <v>NA</v>
          </cell>
          <cell r="CG57">
            <v>0</v>
          </cell>
        </row>
        <row r="58">
          <cell r="A58" t="str">
            <v>% of total revenue</v>
          </cell>
          <cell r="B58"/>
          <cell r="C58"/>
          <cell r="D58"/>
          <cell r="E58"/>
          <cell r="F58"/>
          <cell r="G58"/>
          <cell r="H58"/>
          <cell r="I58"/>
          <cell r="J58"/>
          <cell r="K58"/>
          <cell r="L58"/>
          <cell r="M58"/>
          <cell r="N58"/>
          <cell r="O58"/>
          <cell r="P58"/>
          <cell r="Q58"/>
          <cell r="R58"/>
          <cell r="S58"/>
          <cell r="T58"/>
          <cell r="U58"/>
          <cell r="V58"/>
          <cell r="W58"/>
          <cell r="X58"/>
          <cell r="Y58">
            <v>1.0272746419545069</v>
          </cell>
          <cell r="Z58"/>
          <cell r="AA58">
            <v>1.1408866140366098</v>
          </cell>
          <cell r="AB58">
            <v>1.2150275373721477</v>
          </cell>
          <cell r="AC58">
            <v>1.094904458598726</v>
          </cell>
          <cell r="AD58">
            <v>1.2212372201371813</v>
          </cell>
          <cell r="AE58">
            <v>1.169394845878003</v>
          </cell>
          <cell r="AF58"/>
          <cell r="AG58">
            <v>1.1030737984049284</v>
          </cell>
          <cell r="AH58">
            <v>1.1341923001720069</v>
          </cell>
          <cell r="AI58">
            <v>0.95129182886653019</v>
          </cell>
          <cell r="AJ58">
            <v>1.0134604598990467</v>
          </cell>
          <cell r="AK58">
            <v>1.0445033818265015</v>
          </cell>
          <cell r="AL58"/>
          <cell r="AM58">
            <v>0.96381152566123662</v>
          </cell>
          <cell r="AN58">
            <v>1.0171509614433194</v>
          </cell>
          <cell r="AO58">
            <v>0.83220611916264087</v>
          </cell>
          <cell r="AP58">
            <v>0.82652638125842237</v>
          </cell>
          <cell r="AQ58">
            <v>0.90169215923165191</v>
          </cell>
          <cell r="AR58"/>
          <cell r="AS58">
            <v>0.76830455602137948</v>
          </cell>
          <cell r="AT58">
            <v>0.88817909984078269</v>
          </cell>
          <cell r="AU58">
            <v>0.68967390436019105</v>
          </cell>
          <cell r="AV58">
            <v>0.63633202467750993</v>
          </cell>
          <cell r="AW58">
            <v>0.72684465827976497</v>
          </cell>
          <cell r="AX58"/>
          <cell r="AY58">
            <v>0.88575374901341752</v>
          </cell>
          <cell r="AZ58">
            <v>0.89515254195970406</v>
          </cell>
          <cell r="BA58">
            <v>0.70947899842355189</v>
          </cell>
          <cell r="BB58">
            <v>0.60614892937040588</v>
          </cell>
          <cell r="BC58">
            <v>0.73931229212031302</v>
          </cell>
          <cell r="BD58"/>
          <cell r="BE58">
            <v>0.92424033593369548</v>
          </cell>
          <cell r="BF58">
            <v>0.91461349017488802</v>
          </cell>
          <cell r="BG58">
            <v>0.69097342676750162</v>
          </cell>
          <cell r="BH58">
            <v>0.74647035609119339</v>
          </cell>
          <cell r="BI58">
            <v>0.80512045679693522</v>
          </cell>
          <cell r="BJ58"/>
          <cell r="BK58">
            <v>0.83809165156700005</v>
          </cell>
          <cell r="BL58">
            <v>0.70412232047521184</v>
          </cell>
          <cell r="BM58">
            <v>0.72489417387920208</v>
          </cell>
          <cell r="BN58">
            <v>0.84124250531049527</v>
          </cell>
          <cell r="BO58">
            <v>0.78001107207738307</v>
          </cell>
          <cell r="BP58"/>
          <cell r="BQ58">
            <v>0.80903123940974997</v>
          </cell>
          <cell r="BR58">
            <v>0.79213925563318688</v>
          </cell>
          <cell r="BS58">
            <v>0.68851636469968314</v>
          </cell>
          <cell r="BT58">
            <v>0.79271955471991473</v>
          </cell>
          <cell r="BU58">
            <v>0.76999862409391939</v>
          </cell>
          <cell r="BV58"/>
          <cell r="BW58" t="str">
            <v>NA</v>
          </cell>
          <cell r="BX58" t="str">
            <v>NA</v>
          </cell>
          <cell r="BY58" t="str">
            <v>NA</v>
          </cell>
          <cell r="BZ58" t="str">
            <v>NA</v>
          </cell>
          <cell r="CA58" t="str">
            <v>NA</v>
          </cell>
          <cell r="CB58"/>
          <cell r="CC58" t="str">
            <v>NA</v>
          </cell>
          <cell r="CD58" t="str">
            <v>NA</v>
          </cell>
          <cell r="CE58" t="str">
            <v>NA</v>
          </cell>
          <cell r="CF58" t="str">
            <v>NA</v>
          </cell>
          <cell r="CG58" t="str">
            <v>NA</v>
          </cell>
        </row>
        <row r="59">
          <cell r="A59" t="str">
            <v>Operating income (loss)</v>
          </cell>
          <cell r="B59"/>
          <cell r="C59"/>
          <cell r="D59"/>
          <cell r="E59"/>
          <cell r="F59"/>
          <cell r="G59"/>
          <cell r="I59"/>
          <cell r="J59"/>
          <cell r="K59"/>
          <cell r="L59"/>
          <cell r="M59"/>
          <cell r="O59"/>
          <cell r="P59"/>
          <cell r="Q59"/>
          <cell r="R59"/>
          <cell r="S59"/>
          <cell r="U59"/>
          <cell r="V59"/>
          <cell r="W59"/>
          <cell r="X59"/>
          <cell r="Y59">
            <v>-9.534999999999993</v>
          </cell>
          <cell r="AA59">
            <v>-3.9400000000000013</v>
          </cell>
          <cell r="AB59">
            <v>-5.1729999999999983</v>
          </cell>
          <cell r="AC59">
            <v>-3.9639999999999986</v>
          </cell>
          <cell r="AD59">
            <v>-6.527000000000001</v>
          </cell>
          <cell r="AE59">
            <v>-19.603999999999999</v>
          </cell>
          <cell r="AG59">
            <v>-5.7693594953193355</v>
          </cell>
          <cell r="AH59">
            <v>-6.4238813655737914</v>
          </cell>
          <cell r="AI59">
            <v>-2.9440577364414438</v>
          </cell>
          <cell r="AJ59">
            <v>-4.6010000000000026</v>
          </cell>
          <cell r="AK59">
            <v>-19.738298597334563</v>
          </cell>
          <cell r="AL59"/>
          <cell r="AM59">
            <v>-3.6069999999999993</v>
          </cell>
          <cell r="AN59">
            <v>-5.4540000000000006</v>
          </cell>
          <cell r="AO59">
            <v>0.88500000000000156</v>
          </cell>
          <cell r="AP59">
            <v>1.0089999999999968</v>
          </cell>
          <cell r="AQ59">
            <v>-7.1670000000000016</v>
          </cell>
          <cell r="AS59">
            <v>7.2419999999999973</v>
          </cell>
          <cell r="AT59">
            <v>1.1470000000000056</v>
          </cell>
          <cell r="AU59">
            <v>14.295000000000002</v>
          </cell>
          <cell r="AV59">
            <v>26.385999999999996</v>
          </cell>
          <cell r="AW59">
            <v>49.070000000000022</v>
          </cell>
          <cell r="AY59">
            <v>1.4380000000000024</v>
          </cell>
          <cell r="AZ59">
            <v>0.81300000000000239</v>
          </cell>
          <cell r="BA59">
            <v>21.953000000000003</v>
          </cell>
          <cell r="BB59">
            <v>51.024000000000001</v>
          </cell>
          <cell r="BC59">
            <v>75.227999999999952</v>
          </cell>
          <cell r="BE59">
            <v>-3.2480000000000047</v>
          </cell>
          <cell r="BF59">
            <v>-5.8999999999997499E-2</v>
          </cell>
          <cell r="BG59">
            <v>10.145186850000016</v>
          </cell>
          <cell r="BH59">
            <v>17.881193435500009</v>
          </cell>
          <cell r="BI59">
            <v>24.719380285499994</v>
          </cell>
          <cell r="BK59">
            <v>0.37311115502696168</v>
          </cell>
          <cell r="BL59">
            <v>-4.244164982015235</v>
          </cell>
          <cell r="BM59">
            <v>9.0252151902635234</v>
          </cell>
          <cell r="BN59">
            <v>29.444855076060776</v>
          </cell>
          <cell r="BO59">
            <v>34.599016439336026</v>
          </cell>
          <cell r="BQ59" t="e">
            <v>#VALUE!</v>
          </cell>
          <cell r="BR59" t="e">
            <v>#VALUE!</v>
          </cell>
          <cell r="BS59" t="e">
            <v>#VALUE!</v>
          </cell>
          <cell r="BT59" t="e">
            <v>#VALUE!</v>
          </cell>
          <cell r="BU59" t="e">
            <v>#VALUE!</v>
          </cell>
          <cell r="BW59" t="e">
            <v>#VALUE!</v>
          </cell>
          <cell r="BX59" t="e">
            <v>#VALUE!</v>
          </cell>
          <cell r="BY59" t="e">
            <v>#VALUE!</v>
          </cell>
          <cell r="BZ59" t="e">
            <v>#VALUE!</v>
          </cell>
          <cell r="CA59" t="e">
            <v>#VALUE!</v>
          </cell>
          <cell r="CC59" t="e">
            <v>#VALUE!</v>
          </cell>
          <cell r="CD59" t="e">
            <v>#VALUE!</v>
          </cell>
          <cell r="CE59" t="e">
            <v>#VALUE!</v>
          </cell>
          <cell r="CF59" t="e">
            <v>#VALUE!</v>
          </cell>
          <cell r="CG59" t="e">
            <v>#VALUE!</v>
          </cell>
        </row>
        <row r="60">
          <cell r="A60" t="str">
            <v>% operating margin</v>
          </cell>
          <cell r="B60"/>
          <cell r="C60"/>
          <cell r="D60"/>
          <cell r="E60"/>
          <cell r="F60"/>
          <cell r="G60"/>
          <cell r="H60"/>
          <cell r="I60"/>
          <cell r="J60"/>
          <cell r="K60"/>
          <cell r="L60"/>
          <cell r="M60"/>
          <cell r="N60"/>
          <cell r="O60"/>
          <cell r="P60"/>
          <cell r="Q60"/>
          <cell r="R60"/>
          <cell r="S60"/>
          <cell r="T60"/>
          <cell r="U60"/>
          <cell r="V60"/>
          <cell r="W60"/>
          <cell r="X60"/>
          <cell r="Y60">
            <v>-0.25102674810446485</v>
          </cell>
          <cell r="Z60"/>
          <cell r="AA60">
            <v>-0.34180619415285862</v>
          </cell>
          <cell r="AB60">
            <v>-0.40700236034618392</v>
          </cell>
          <cell r="AC60">
            <v>-0.2805378627034677</v>
          </cell>
          <cell r="AD60">
            <v>-0.42235020059531519</v>
          </cell>
          <cell r="AE60">
            <v>-0.36424443990264016</v>
          </cell>
          <cell r="AF60"/>
          <cell r="AG60">
            <v>-0.3136544251016275</v>
          </cell>
          <cell r="AH60">
            <v>-0.32164437039724569</v>
          </cell>
          <cell r="AI60">
            <v>-0.13106837042300079</v>
          </cell>
          <cell r="AJ60">
            <v>-0.18432016665331313</v>
          </cell>
          <cell r="AK60">
            <v>-0.23007691569337407</v>
          </cell>
          <cell r="AL60"/>
          <cell r="AM60">
            <v>-0.12636188474338761</v>
          </cell>
          <cell r="AN60">
            <v>-0.17988719944589204</v>
          </cell>
          <cell r="AO60">
            <v>2.5911286780852045E-2</v>
          </cell>
          <cell r="AP60">
            <v>2.6148025292837069E-2</v>
          </cell>
          <cell r="AQ60">
            <v>-5.4457589641888363E-2</v>
          </cell>
          <cell r="AR60"/>
          <cell r="AS60">
            <v>0.14389318285680219</v>
          </cell>
          <cell r="AT60">
            <v>2.2270979767776117E-2</v>
          </cell>
          <cell r="AU60">
            <v>0.22839476585342475</v>
          </cell>
          <cell r="AV60">
            <v>0.29597307908020182</v>
          </cell>
          <cell r="AW60">
            <v>0.19351658319201806</v>
          </cell>
          <cell r="AX60"/>
          <cell r="AY60">
            <v>1.8916074717179723E-2</v>
          </cell>
          <cell r="AZ60">
            <v>9.9094377338712902E-3</v>
          </cell>
          <cell r="BA60">
            <v>0.2123175720765593</v>
          </cell>
          <cell r="BB60">
            <v>0.32613614573346122</v>
          </cell>
          <cell r="BC60">
            <v>0.18001005001076778</v>
          </cell>
          <cell r="BD60"/>
          <cell r="BE60">
            <v>-2.984443770616832E-2</v>
          </cell>
          <cell r="BF60">
            <v>-6.1309529994905585E-4</v>
          </cell>
          <cell r="BG60">
            <v>0.2402075286970867</v>
          </cell>
          <cell r="BH60">
            <v>0.18033297106948784</v>
          </cell>
          <cell r="BI60">
            <v>0.11300583066174889</v>
          </cell>
          <cell r="BJ60"/>
          <cell r="BK60">
            <v>6.3173925962815139E-2</v>
          </cell>
          <cell r="BL60">
            <v>0.19508734198173908</v>
          </cell>
          <cell r="BM60">
            <v>0.17943292418860451</v>
          </cell>
          <cell r="BN60">
            <v>6.9691766250520162E-2</v>
          </cell>
          <cell r="BO60">
            <v>0.12453395818705723</v>
          </cell>
          <cell r="BP60"/>
          <cell r="BQ60">
            <v>8.8173638547110397E-2</v>
          </cell>
          <cell r="BR60">
            <v>0.10524422926435997</v>
          </cell>
          <cell r="BS60">
            <v>0.21446335888286125</v>
          </cell>
          <cell r="BT60">
            <v>0.12038872356656012</v>
          </cell>
          <cell r="BU60">
            <v>0.13358467418866846</v>
          </cell>
          <cell r="BV60"/>
          <cell r="BW60" t="str">
            <v>NA</v>
          </cell>
          <cell r="BX60" t="str">
            <v>NA</v>
          </cell>
          <cell r="BY60" t="str">
            <v>NA</v>
          </cell>
          <cell r="BZ60" t="str">
            <v>NA</v>
          </cell>
          <cell r="CA60" t="str">
            <v>NA</v>
          </cell>
          <cell r="CB60"/>
          <cell r="CC60" t="str">
            <v>NA</v>
          </cell>
          <cell r="CD60" t="str">
            <v>NA</v>
          </cell>
          <cell r="CE60" t="str">
            <v>NA</v>
          </cell>
          <cell r="CF60" t="str">
            <v>NA</v>
          </cell>
          <cell r="CG60" t="str">
            <v>NA</v>
          </cell>
        </row>
        <row r="61">
          <cell r="A61"/>
          <cell r="B61"/>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cell r="BT61"/>
          <cell r="BU61"/>
          <cell r="BV61"/>
          <cell r="BW61"/>
          <cell r="BX61"/>
          <cell r="BY61"/>
          <cell r="BZ61"/>
          <cell r="CA61"/>
          <cell r="CB61"/>
          <cell r="CC61"/>
          <cell r="CD61"/>
          <cell r="CE61"/>
          <cell r="CF61"/>
          <cell r="CG61"/>
        </row>
        <row r="62">
          <cell r="A62" t="str">
            <v>Interest (expense), net</v>
          </cell>
          <cell r="B62"/>
          <cell r="C62"/>
          <cell r="D62"/>
          <cell r="E62"/>
          <cell r="F62"/>
          <cell r="G62"/>
          <cell r="H62"/>
          <cell r="I62"/>
          <cell r="J62"/>
          <cell r="K62"/>
          <cell r="L62"/>
          <cell r="M62"/>
          <cell r="N62"/>
          <cell r="O62"/>
          <cell r="P62"/>
          <cell r="Q62"/>
          <cell r="R62"/>
          <cell r="S62"/>
          <cell r="T62"/>
          <cell r="U62"/>
          <cell r="V62"/>
          <cell r="W62"/>
          <cell r="X62"/>
          <cell r="Y62">
            <v>0</v>
          </cell>
          <cell r="Z62"/>
          <cell r="AA62">
            <v>0</v>
          </cell>
          <cell r="AB62">
            <v>0</v>
          </cell>
          <cell r="AC62">
            <v>0</v>
          </cell>
          <cell r="AD62">
            <v>0</v>
          </cell>
          <cell r="AE62">
            <v>0</v>
          </cell>
          <cell r="AF62"/>
          <cell r="AG62">
            <v>0</v>
          </cell>
          <cell r="AH62">
            <v>0</v>
          </cell>
          <cell r="AI62">
            <v>0</v>
          </cell>
          <cell r="AJ62">
            <v>0</v>
          </cell>
          <cell r="AK62">
            <v>0</v>
          </cell>
          <cell r="AL62"/>
          <cell r="AM62">
            <v>0</v>
          </cell>
          <cell r="AN62">
            <v>0</v>
          </cell>
          <cell r="AO62">
            <v>0</v>
          </cell>
          <cell r="AP62">
            <v>0</v>
          </cell>
          <cell r="AQ62">
            <v>0</v>
          </cell>
          <cell r="AR62"/>
          <cell r="AS62">
            <v>0</v>
          </cell>
          <cell r="AT62">
            <v>0</v>
          </cell>
          <cell r="AU62">
            <v>0</v>
          </cell>
          <cell r="AV62">
            <v>0</v>
          </cell>
          <cell r="AW62">
            <v>0</v>
          </cell>
          <cell r="AX62"/>
          <cell r="AY62">
            <v>0</v>
          </cell>
          <cell r="AZ62">
            <v>0</v>
          </cell>
          <cell r="BA62">
            <v>-6.4770000000000003</v>
          </cell>
          <cell r="BB62">
            <v>-9.2829999999999995</v>
          </cell>
          <cell r="BC62">
            <v>-15.76</v>
          </cell>
          <cell r="BD62"/>
          <cell r="BE62">
            <v>-9.3030000000000008</v>
          </cell>
          <cell r="BF62">
            <v>-9.4960000000000004</v>
          </cell>
          <cell r="BG62">
            <v>-9.6029999999999998</v>
          </cell>
          <cell r="BH62">
            <v>-9</v>
          </cell>
          <cell r="BI62">
            <v>-37.402000000000001</v>
          </cell>
          <cell r="BJ62"/>
          <cell r="BK62">
            <v>-9</v>
          </cell>
          <cell r="BL62">
            <v>-9</v>
          </cell>
          <cell r="BM62">
            <v>-9</v>
          </cell>
          <cell r="BN62">
            <v>-9</v>
          </cell>
          <cell r="BO62">
            <v>-36</v>
          </cell>
          <cell r="BP62"/>
          <cell r="BQ62">
            <v>0</v>
          </cell>
          <cell r="BR62">
            <v>0</v>
          </cell>
          <cell r="BS62">
            <v>0</v>
          </cell>
          <cell r="BT62">
            <v>0</v>
          </cell>
          <cell r="BU62">
            <v>0</v>
          </cell>
          <cell r="BV62"/>
          <cell r="BW62">
            <v>0</v>
          </cell>
          <cell r="BX62">
            <v>0</v>
          </cell>
          <cell r="BY62">
            <v>0</v>
          </cell>
          <cell r="BZ62">
            <v>0</v>
          </cell>
          <cell r="CA62">
            <v>0</v>
          </cell>
          <cell r="CB62"/>
          <cell r="CC62">
            <v>0</v>
          </cell>
          <cell r="CD62">
            <v>0</v>
          </cell>
          <cell r="CE62">
            <v>0</v>
          </cell>
          <cell r="CF62">
            <v>0</v>
          </cell>
          <cell r="CG62">
            <v>0</v>
          </cell>
        </row>
        <row r="63">
          <cell r="A63" t="str">
            <v>% of total revenue</v>
          </cell>
          <cell r="B63"/>
          <cell r="C63"/>
          <cell r="D63"/>
          <cell r="E63"/>
          <cell r="F63"/>
          <cell r="G63"/>
          <cell r="H63"/>
          <cell r="I63"/>
          <cell r="J63"/>
          <cell r="K63"/>
          <cell r="L63"/>
          <cell r="M63"/>
          <cell r="N63"/>
          <cell r="O63"/>
          <cell r="P63"/>
          <cell r="Q63"/>
          <cell r="R63"/>
          <cell r="S63"/>
          <cell r="T63"/>
          <cell r="U63"/>
          <cell r="V63"/>
          <cell r="W63"/>
          <cell r="X63"/>
          <cell r="Y63">
            <v>0</v>
          </cell>
          <cell r="Z63"/>
          <cell r="AA63">
            <v>0</v>
          </cell>
          <cell r="AB63">
            <v>0</v>
          </cell>
          <cell r="AC63">
            <v>0</v>
          </cell>
          <cell r="AD63">
            <v>0</v>
          </cell>
          <cell r="AE63">
            <v>0</v>
          </cell>
          <cell r="AF63"/>
          <cell r="AG63">
            <v>0</v>
          </cell>
          <cell r="AH63">
            <v>0</v>
          </cell>
          <cell r="AI63">
            <v>0</v>
          </cell>
          <cell r="AJ63">
            <v>0</v>
          </cell>
          <cell r="AK63">
            <v>0</v>
          </cell>
          <cell r="AL63"/>
          <cell r="AM63">
            <v>0</v>
          </cell>
          <cell r="AN63">
            <v>0</v>
          </cell>
          <cell r="AO63">
            <v>0</v>
          </cell>
          <cell r="AP63">
            <v>0</v>
          </cell>
          <cell r="AQ63">
            <v>0</v>
          </cell>
          <cell r="AR63"/>
          <cell r="AS63">
            <v>0</v>
          </cell>
          <cell r="AT63">
            <v>0</v>
          </cell>
          <cell r="AU63">
            <v>0</v>
          </cell>
          <cell r="AV63">
            <v>0</v>
          </cell>
          <cell r="AW63">
            <v>0</v>
          </cell>
          <cell r="AX63"/>
          <cell r="AY63">
            <v>0</v>
          </cell>
          <cell r="AZ63">
            <v>0</v>
          </cell>
          <cell r="BA63">
            <v>-6.2642049575906453E-2</v>
          </cell>
          <cell r="BB63">
            <v>-5.9335250878875041E-2</v>
          </cell>
          <cell r="BC63">
            <v>-3.7711468976573903E-2</v>
          </cell>
          <cell r="BD63"/>
          <cell r="BE63">
            <v>-8.5481158860986312E-2</v>
          </cell>
          <cell r="BF63">
            <v>-9.8677168954516642E-2</v>
          </cell>
          <cell r="BG63">
            <v>-7.4030389231943397E-2</v>
          </cell>
          <cell r="BH63">
            <v>-6.0714610971130206E-2</v>
          </cell>
          <cell r="BI63">
            <v>-7.743436804823034E-2</v>
          </cell>
          <cell r="BJ63"/>
          <cell r="BK63">
            <v>-7.5272994564120038E-2</v>
          </cell>
          <cell r="BL63">
            <v>-7.2388495549111781E-2</v>
          </cell>
          <cell r="BM63">
            <v>-6.2598007972581499E-2</v>
          </cell>
          <cell r="BN63">
            <v>-5.2911417078333405E-2</v>
          </cell>
          <cell r="BO63">
            <v>-6.4543415538325946E-2</v>
          </cell>
          <cell r="BP63"/>
          <cell r="BQ63">
            <v>0</v>
          </cell>
          <cell r="BR63">
            <v>0</v>
          </cell>
          <cell r="BS63">
            <v>0</v>
          </cell>
          <cell r="BT63">
            <v>0</v>
          </cell>
          <cell r="BU63">
            <v>0</v>
          </cell>
          <cell r="BV63"/>
          <cell r="BW63" t="str">
            <v>NA</v>
          </cell>
          <cell r="BX63" t="str">
            <v>NA</v>
          </cell>
          <cell r="BY63" t="str">
            <v>NA</v>
          </cell>
          <cell r="BZ63" t="str">
            <v>NA</v>
          </cell>
          <cell r="CA63" t="str">
            <v>NA</v>
          </cell>
          <cell r="CB63"/>
          <cell r="CC63" t="str">
            <v>NA</v>
          </cell>
          <cell r="CD63" t="str">
            <v>NA</v>
          </cell>
          <cell r="CE63" t="str">
            <v>NA</v>
          </cell>
          <cell r="CF63" t="str">
            <v>NA</v>
          </cell>
          <cell r="CG63" t="str">
            <v>NA</v>
          </cell>
        </row>
        <row r="64">
          <cell r="A64" t="str">
            <v>Other income (expense), net</v>
          </cell>
          <cell r="B64"/>
          <cell r="C64"/>
          <cell r="D64"/>
          <cell r="E64"/>
          <cell r="F64"/>
          <cell r="G64"/>
          <cell r="H64"/>
          <cell r="I64"/>
          <cell r="J64"/>
          <cell r="K64"/>
          <cell r="L64"/>
          <cell r="M64"/>
          <cell r="N64"/>
          <cell r="O64"/>
          <cell r="P64"/>
          <cell r="Q64"/>
          <cell r="R64"/>
          <cell r="S64"/>
          <cell r="T64"/>
          <cell r="U64"/>
          <cell r="V64"/>
          <cell r="W64"/>
          <cell r="X64"/>
          <cell r="Y64">
            <v>-8.1000000000000003E-2</v>
          </cell>
          <cell r="Z64"/>
          <cell r="AA64">
            <v>-4.3999999999999997E-2</v>
          </cell>
          <cell r="AB64">
            <v>8.9999999999999993E-3</v>
          </cell>
          <cell r="AC64">
            <v>-0.107</v>
          </cell>
          <cell r="AD64">
            <v>-4.3999999999999997E-2</v>
          </cell>
          <cell r="AE64">
            <v>-0.186</v>
          </cell>
          <cell r="AF64"/>
          <cell r="AG64">
            <v>-0.09</v>
          </cell>
          <cell r="AH64">
            <v>-0.188</v>
          </cell>
          <cell r="AI64">
            <v>-0.28399999999999997</v>
          </cell>
          <cell r="AJ64">
            <v>-0.46600000000000003</v>
          </cell>
          <cell r="AK64">
            <v>-1.028</v>
          </cell>
          <cell r="AL64"/>
          <cell r="AM64">
            <v>9.7000000000000003E-2</v>
          </cell>
          <cell r="AN64">
            <v>0.33700000000000002</v>
          </cell>
          <cell r="AO64">
            <v>0.33900000000000008</v>
          </cell>
          <cell r="AP64">
            <v>7.1999999999999995E-2</v>
          </cell>
          <cell r="AQ64">
            <v>0.84500000000000008</v>
          </cell>
          <cell r="AR64"/>
          <cell r="AS64">
            <v>0.76800000000000002</v>
          </cell>
          <cell r="AT64">
            <v>-1.0859999999999999</v>
          </cell>
          <cell r="AU64">
            <v>1.2119999999999997</v>
          </cell>
          <cell r="AV64">
            <v>0.81500000000000017</v>
          </cell>
          <cell r="AW64">
            <v>1.7090000000000001</v>
          </cell>
          <cell r="AX64"/>
          <cell r="AY64">
            <v>2.2949999999999999</v>
          </cell>
          <cell r="AZ64">
            <v>0.30699999999999994</v>
          </cell>
          <cell r="BA64">
            <v>5.07</v>
          </cell>
          <cell r="BB64">
            <v>13.56</v>
          </cell>
          <cell r="BC64">
            <v>21.231999999999999</v>
          </cell>
          <cell r="BD64"/>
          <cell r="BE64">
            <v>4.4849999999999994</v>
          </cell>
          <cell r="BF64">
            <v>11.661999999999999</v>
          </cell>
          <cell r="BG64">
            <v>12.372</v>
          </cell>
          <cell r="BH64">
            <v>8.8940699999999993</v>
          </cell>
          <cell r="BI64">
            <v>37.413069999999998</v>
          </cell>
          <cell r="BJ64"/>
          <cell r="BK64">
            <v>6.5</v>
          </cell>
          <cell r="BL64">
            <v>6.5</v>
          </cell>
          <cell r="BM64">
            <v>6.5</v>
          </cell>
          <cell r="BN64">
            <v>6.5</v>
          </cell>
          <cell r="BO64">
            <v>26</v>
          </cell>
          <cell r="BP64"/>
          <cell r="BQ64">
            <v>1</v>
          </cell>
          <cell r="BR64">
            <v>1</v>
          </cell>
          <cell r="BS64">
            <v>1</v>
          </cell>
          <cell r="BT64">
            <v>1</v>
          </cell>
          <cell r="BU64">
            <v>4</v>
          </cell>
          <cell r="BV64"/>
          <cell r="BW64" t="e">
            <v>#VALUE!</v>
          </cell>
          <cell r="BX64" t="e">
            <v>#VALUE!</v>
          </cell>
          <cell r="BY64" t="e">
            <v>#VALUE!</v>
          </cell>
          <cell r="BZ64" t="e">
            <v>#VALUE!</v>
          </cell>
          <cell r="CA64" t="e">
            <v>#VALUE!</v>
          </cell>
          <cell r="CB64"/>
          <cell r="CC64" t="e">
            <v>#VALUE!</v>
          </cell>
          <cell r="CD64" t="e">
            <v>#VALUE!</v>
          </cell>
          <cell r="CE64" t="e">
            <v>#VALUE!</v>
          </cell>
          <cell r="CF64" t="e">
            <v>#VALUE!</v>
          </cell>
          <cell r="CG64" t="e">
            <v>#VALUE!</v>
          </cell>
        </row>
        <row r="65">
          <cell r="A65" t="str">
            <v>% of total revenue</v>
          </cell>
          <cell r="B65"/>
          <cell r="C65"/>
          <cell r="D65"/>
          <cell r="E65"/>
          <cell r="F65"/>
          <cell r="G65"/>
          <cell r="H65"/>
          <cell r="I65"/>
          <cell r="J65"/>
          <cell r="K65"/>
          <cell r="L65"/>
          <cell r="M65"/>
          <cell r="N65"/>
          <cell r="O65"/>
          <cell r="P65"/>
          <cell r="Q65"/>
          <cell r="R65"/>
          <cell r="S65"/>
          <cell r="T65"/>
          <cell r="U65"/>
          <cell r="V65"/>
          <cell r="W65"/>
          <cell r="X65"/>
          <cell r="Y65">
            <v>-2.1324768323504632E-3</v>
          </cell>
          <cell r="Z65"/>
          <cell r="AA65">
            <v>-3.8171250108441053E-3</v>
          </cell>
          <cell r="AB65">
            <v>7.081038552321006E-4</v>
          </cell>
          <cell r="AC65">
            <v>-7.5725406935598016E-3</v>
          </cell>
          <cell r="AD65">
            <v>-2.8471593115051118E-3</v>
          </cell>
          <cell r="AE65">
            <v>-3.4559001133386592E-3</v>
          </cell>
          <cell r="AF65"/>
          <cell r="AG65">
            <v>-4.8928998586495595E-3</v>
          </cell>
          <cell r="AH65">
            <v>-9.4131784498297615E-3</v>
          </cell>
          <cell r="AI65">
            <v>-1.2643575816935267E-2</v>
          </cell>
          <cell r="AJ65">
            <v>-1.8668375931415754E-2</v>
          </cell>
          <cell r="AK65">
            <v>-1.1982748572094649E-2</v>
          </cell>
          <cell r="AL65"/>
          <cell r="AM65">
            <v>3.3981432825363461E-3</v>
          </cell>
          <cell r="AN65">
            <v>1.1115142319997362E-2</v>
          </cell>
          <cell r="AO65">
            <v>9.9253403601229709E-3</v>
          </cell>
          <cell r="AP65">
            <v>1.865865035762413E-3</v>
          </cell>
          <cell r="AQ65">
            <v>6.4206311214449084E-3</v>
          </cell>
          <cell r="AR65"/>
          <cell r="AS65">
            <v>1.5259591885394106E-2</v>
          </cell>
          <cell r="AT65">
            <v>-2.1086559745252607E-2</v>
          </cell>
          <cell r="AU65">
            <v>1.9364425058716384E-2</v>
          </cell>
          <cell r="AV65">
            <v>9.1418956814357834E-3</v>
          </cell>
          <cell r="AW65">
            <v>6.739756280317072E-3</v>
          </cell>
          <cell r="AX65"/>
          <cell r="AY65">
            <v>3.0189423835832677E-2</v>
          </cell>
          <cell r="AZ65">
            <v>3.7419402020891475E-3</v>
          </cell>
          <cell r="BA65">
            <v>4.9034304670348271E-2</v>
          </cell>
          <cell r="BB65">
            <v>8.6673058485139037E-2</v>
          </cell>
          <cell r="BC65">
            <v>5.0805197291282814E-2</v>
          </cell>
          <cell r="BD65"/>
          <cell r="BE65">
            <v>4.1210684455715733E-2</v>
          </cell>
          <cell r="BF65">
            <v>0.12118504047468123</v>
          </cell>
          <cell r="BG65">
            <v>9.537685885427509E-2</v>
          </cell>
          <cell r="BH65">
            <v>0.06</v>
          </cell>
          <cell r="BI65">
            <v>7.7457286567408287E-2</v>
          </cell>
          <cell r="BJ65"/>
          <cell r="BK65">
            <v>5.4363829407420031E-2</v>
          </cell>
          <cell r="BL65">
            <v>5.2280580118802947E-2</v>
          </cell>
          <cell r="BM65">
            <v>4.5209672424642196E-2</v>
          </cell>
          <cell r="BN65">
            <v>3.8213801223240793E-2</v>
          </cell>
          <cell r="BO65">
            <v>4.6614688999902072E-2</v>
          </cell>
          <cell r="BP65"/>
          <cell r="BQ65">
            <v>6.8942816895691487E-3</v>
          </cell>
          <cell r="BR65">
            <v>6.6207406012764184E-3</v>
          </cell>
          <cell r="BS65">
            <v>5.9527120745246319E-3</v>
          </cell>
          <cell r="BT65">
            <v>4.8522732553351686E-3</v>
          </cell>
          <cell r="BU65">
            <v>5.9686537667424508E-3</v>
          </cell>
          <cell r="BV65"/>
          <cell r="BW65" t="e">
            <v>#VALUE!</v>
          </cell>
          <cell r="BX65" t="e">
            <v>#VALUE!</v>
          </cell>
          <cell r="BY65" t="e">
            <v>#VALUE!</v>
          </cell>
          <cell r="BZ65" t="e">
            <v>#VALUE!</v>
          </cell>
          <cell r="CA65" t="str">
            <v>NA</v>
          </cell>
          <cell r="CB65"/>
          <cell r="CC65" t="e">
            <v>#VALUE!</v>
          </cell>
          <cell r="CD65" t="e">
            <v>#VALUE!</v>
          </cell>
          <cell r="CE65" t="e">
            <v>#VALUE!</v>
          </cell>
          <cell r="CF65" t="e">
            <v>#VALUE!</v>
          </cell>
          <cell r="CG65" t="str">
            <v>NA</v>
          </cell>
        </row>
        <row r="66">
          <cell r="A66" t="str">
            <v>Income (loss) before tax expense (benefit)</v>
          </cell>
          <cell r="B66"/>
          <cell r="C66"/>
          <cell r="D66"/>
          <cell r="E66"/>
          <cell r="F66"/>
          <cell r="G66"/>
          <cell r="H66"/>
          <cell r="I66"/>
          <cell r="J66"/>
          <cell r="K66"/>
          <cell r="L66"/>
          <cell r="M66"/>
          <cell r="N66"/>
          <cell r="O66"/>
          <cell r="P66"/>
          <cell r="Q66"/>
          <cell r="R66"/>
          <cell r="S66"/>
          <cell r="T66"/>
          <cell r="U66"/>
          <cell r="V66"/>
          <cell r="W66"/>
          <cell r="X66"/>
          <cell r="Y66">
            <v>-9.6159999999999926</v>
          </cell>
          <cell r="Z66"/>
          <cell r="AA66">
            <v>-3.9840000000000013</v>
          </cell>
          <cell r="AB66">
            <v>-5.1639999999999979</v>
          </cell>
          <cell r="AC66">
            <v>-4.0709999999999988</v>
          </cell>
          <cell r="AD66">
            <v>-6.5710000000000006</v>
          </cell>
          <cell r="AE66">
            <v>-19.79</v>
          </cell>
          <cell r="AF66"/>
          <cell r="AG66">
            <v>-5.8593594953193353</v>
          </cell>
          <cell r="AH66">
            <v>-6.6118813655737911</v>
          </cell>
          <cell r="AI66">
            <v>-3.2280577364414436</v>
          </cell>
          <cell r="AJ66">
            <v>-5.0670000000000028</v>
          </cell>
          <cell r="AK66">
            <v>-20.766298597334561</v>
          </cell>
          <cell r="AL66"/>
          <cell r="AM66">
            <v>-3.5099999999999993</v>
          </cell>
          <cell r="AN66">
            <v>-5.1170000000000009</v>
          </cell>
          <cell r="AO66">
            <v>1.2240000000000015</v>
          </cell>
          <cell r="AP66">
            <v>1.0809999999999969</v>
          </cell>
          <cell r="AQ66">
            <v>-6.3220000000000018</v>
          </cell>
          <cell r="AR66"/>
          <cell r="AS66">
            <v>8.009999999999998</v>
          </cell>
          <cell r="AT66">
            <v>6.1000000000005716E-2</v>
          </cell>
          <cell r="AU66">
            <v>15.507000000000001</v>
          </cell>
          <cell r="AV66">
            <v>27.200999999999997</v>
          </cell>
          <cell r="AW66">
            <v>50.779000000000025</v>
          </cell>
          <cell r="AX66"/>
          <cell r="AY66">
            <v>3.7330000000000023</v>
          </cell>
          <cell r="AZ66">
            <v>1.1200000000000023</v>
          </cell>
          <cell r="BA66">
            <v>20.546000000000003</v>
          </cell>
          <cell r="BB66">
            <v>55.301000000000002</v>
          </cell>
          <cell r="BC66">
            <v>80.69999999999996</v>
          </cell>
          <cell r="BD66"/>
          <cell r="BE66">
            <v>-8.0660000000000061</v>
          </cell>
          <cell r="BF66">
            <v>2.1070000000000011</v>
          </cell>
          <cell r="BG66">
            <v>33.92799999999999</v>
          </cell>
          <cell r="BH66">
            <v>26.625637799999993</v>
          </cell>
          <cell r="BI66">
            <v>54.594637799999965</v>
          </cell>
          <cell r="BJ66"/>
          <cell r="BK66">
            <v>5.0533773693700113</v>
          </cell>
          <cell r="BL66">
            <v>21.755043077175756</v>
          </cell>
          <cell r="BM66">
            <v>23.297886705991985</v>
          </cell>
          <cell r="BN66">
            <v>9.3542638033318326</v>
          </cell>
          <cell r="BO66">
            <v>59.460570955869514</v>
          </cell>
          <cell r="BP66"/>
          <cell r="BQ66">
            <v>13.789387280260769</v>
          </cell>
          <cell r="BR66">
            <v>16.896141474576098</v>
          </cell>
          <cell r="BS66">
            <v>37.027840116891213</v>
          </cell>
          <cell r="BT66">
            <v>25.810788105181501</v>
          </cell>
          <cell r="BU66">
            <v>93.52415697690958</v>
          </cell>
          <cell r="BV66"/>
          <cell r="BW66" t="e">
            <v>#VALUE!</v>
          </cell>
          <cell r="BX66" t="e">
            <v>#VALUE!</v>
          </cell>
          <cell r="BY66" t="e">
            <v>#VALUE!</v>
          </cell>
          <cell r="BZ66" t="e">
            <v>#VALUE!</v>
          </cell>
          <cell r="CA66" t="e">
            <v>#VALUE!</v>
          </cell>
          <cell r="CB66"/>
          <cell r="CC66" t="e">
            <v>#VALUE!</v>
          </cell>
          <cell r="CD66" t="e">
            <v>#VALUE!</v>
          </cell>
          <cell r="CE66" t="e">
            <v>#VALUE!</v>
          </cell>
          <cell r="CF66" t="e">
            <v>#VALUE!</v>
          </cell>
          <cell r="CG66" t="e">
            <v>#VALUE!</v>
          </cell>
        </row>
        <row r="67">
          <cell r="A67" t="str">
            <v>Income tax expense (benefit)</v>
          </cell>
          <cell r="B67"/>
          <cell r="C67"/>
          <cell r="D67"/>
          <cell r="E67"/>
          <cell r="F67"/>
          <cell r="G67"/>
          <cell r="H67"/>
          <cell r="I67"/>
          <cell r="J67"/>
          <cell r="K67"/>
          <cell r="L67"/>
          <cell r="M67"/>
          <cell r="N67"/>
          <cell r="O67"/>
          <cell r="P67"/>
          <cell r="Q67"/>
          <cell r="R67"/>
          <cell r="S67"/>
          <cell r="T67"/>
          <cell r="U67"/>
          <cell r="V67"/>
          <cell r="W67"/>
          <cell r="X67"/>
          <cell r="Y67">
            <v>3.5999999999999997E-2</v>
          </cell>
          <cell r="Z67"/>
          <cell r="AA67">
            <v>1E-3</v>
          </cell>
          <cell r="AB67">
            <v>1E-3</v>
          </cell>
          <cell r="AC67">
            <v>7.0000000000000007E-2</v>
          </cell>
          <cell r="AD67">
            <v>0.106</v>
          </cell>
          <cell r="AE67">
            <v>0.17799999999999999</v>
          </cell>
          <cell r="AF67"/>
          <cell r="AG67">
            <v>3.6999999999999998E-2</v>
          </cell>
          <cell r="AH67">
            <v>5.2999999999999999E-2</v>
          </cell>
          <cell r="AI67">
            <v>5.8000000000000003E-2</v>
          </cell>
          <cell r="AJ67">
            <v>0.06</v>
          </cell>
          <cell r="AK67">
            <v>0.20799999999999999</v>
          </cell>
          <cell r="AL67"/>
          <cell r="AM67">
            <v>0.15</v>
          </cell>
          <cell r="AN67">
            <v>0.19099999999999995</v>
          </cell>
          <cell r="AO67">
            <v>2.5000000000000001E-2</v>
          </cell>
          <cell r="AP67">
            <v>-0.27300000000000002</v>
          </cell>
          <cell r="AQ67">
            <v>9.2999999999999972E-2</v>
          </cell>
          <cell r="AR67"/>
          <cell r="AS67">
            <v>-1.446</v>
          </cell>
          <cell r="AT67">
            <v>4.6280000000000001</v>
          </cell>
          <cell r="AU67">
            <v>-0.7699999999999998</v>
          </cell>
          <cell r="AV67">
            <v>4.0990000000000002</v>
          </cell>
          <cell r="AW67">
            <v>6.511000000000001</v>
          </cell>
          <cell r="AX67"/>
          <cell r="AY67">
            <v>0.74699999999999989</v>
          </cell>
          <cell r="AZ67">
            <v>0.22399999999999931</v>
          </cell>
          <cell r="BA67">
            <v>4.109</v>
          </cell>
          <cell r="BB67">
            <v>11.059999999999999</v>
          </cell>
          <cell r="BC67">
            <v>16.139999999999997</v>
          </cell>
          <cell r="BD67"/>
          <cell r="BE67">
            <v>-1.6129999999999978</v>
          </cell>
          <cell r="BF67">
            <v>0.42300000000000004</v>
          </cell>
          <cell r="BG67">
            <v>6.7880000000000003</v>
          </cell>
          <cell r="BH67">
            <v>5.3251275599999985</v>
          </cell>
          <cell r="BI67">
            <v>10.923127560000001</v>
          </cell>
          <cell r="BJ67"/>
          <cell r="BK67">
            <v>1.0106754738740023</v>
          </cell>
          <cell r="BL67">
            <v>4.3510086154351511</v>
          </cell>
          <cell r="BM67">
            <v>4.6595773411983972</v>
          </cell>
          <cell r="BN67">
            <v>1.8708527606663665</v>
          </cell>
          <cell r="BO67">
            <v>11.892114191173917</v>
          </cell>
          <cell r="BP67"/>
          <cell r="BQ67">
            <v>0</v>
          </cell>
          <cell r="BR67">
            <v>0</v>
          </cell>
          <cell r="BS67">
            <v>0</v>
          </cell>
          <cell r="BT67">
            <v>0</v>
          </cell>
          <cell r="BU67">
            <v>0</v>
          </cell>
          <cell r="BV67"/>
          <cell r="BW67" t="e">
            <v>#VALUE!</v>
          </cell>
          <cell r="BX67" t="e">
            <v>#VALUE!</v>
          </cell>
          <cell r="BY67" t="e">
            <v>#VALUE!</v>
          </cell>
          <cell r="BZ67" t="e">
            <v>#VALUE!</v>
          </cell>
          <cell r="CA67" t="e">
            <v>#VALUE!</v>
          </cell>
          <cell r="CB67"/>
          <cell r="CC67" t="e">
            <v>#VALUE!</v>
          </cell>
          <cell r="CD67" t="e">
            <v>#VALUE!</v>
          </cell>
          <cell r="CE67" t="e">
            <v>#VALUE!</v>
          </cell>
          <cell r="CF67" t="e">
            <v>#VALUE!</v>
          </cell>
          <cell r="CG67" t="e">
            <v>#VALUE!</v>
          </cell>
        </row>
        <row r="68">
          <cell r="A68" t="str">
            <v>% tax rate</v>
          </cell>
          <cell r="B68"/>
          <cell r="C68"/>
          <cell r="D68"/>
          <cell r="E68"/>
          <cell r="F68"/>
          <cell r="G68"/>
          <cell r="H68"/>
          <cell r="I68"/>
          <cell r="J68"/>
          <cell r="K68"/>
          <cell r="L68"/>
          <cell r="M68"/>
          <cell r="N68"/>
          <cell r="O68"/>
          <cell r="P68"/>
          <cell r="Q68"/>
          <cell r="R68"/>
          <cell r="S68"/>
          <cell r="T68"/>
          <cell r="U68"/>
          <cell r="V68"/>
          <cell r="W68"/>
          <cell r="X68"/>
          <cell r="Y68">
            <v>-3.7437603993344453E-3</v>
          </cell>
          <cell r="Z68"/>
          <cell r="AA68">
            <v>-2.5100401606425695E-4</v>
          </cell>
          <cell r="AB68">
            <v>-1.9364833462432232E-4</v>
          </cell>
          <cell r="AC68">
            <v>-1.7194792434291336E-2</v>
          </cell>
          <cell r="AD68">
            <v>-1.6131486836098004E-2</v>
          </cell>
          <cell r="AE68">
            <v>-8.9944416371905006E-3</v>
          </cell>
          <cell r="AF68"/>
          <cell r="AG68">
            <v>-6.314683376153471E-3</v>
          </cell>
          <cell r="AH68">
            <v>-8.0158728007365815E-3</v>
          </cell>
          <cell r="AI68">
            <v>-1.7967460539890536E-2</v>
          </cell>
          <cell r="AJ68">
            <v>-1.1841326228537589E-2</v>
          </cell>
          <cell r="AK68">
            <v>-1.0016228892456435E-2</v>
          </cell>
          <cell r="AL68"/>
          <cell r="AM68">
            <v>-4.2735042735042743E-2</v>
          </cell>
          <cell r="AN68">
            <v>-3.7326558530388881E-2</v>
          </cell>
          <cell r="AO68">
            <v>2.0424836601307166E-2</v>
          </cell>
          <cell r="AP68">
            <v>-0.25254394079556042</v>
          </cell>
          <cell r="AQ68">
            <v>-1.4710534640936404E-2</v>
          </cell>
          <cell r="AR68"/>
          <cell r="AS68">
            <v>-0.18052434456928843</v>
          </cell>
          <cell r="AT68">
            <v>75.86885245900929</v>
          </cell>
          <cell r="AU68">
            <v>-4.9654994518604487E-2</v>
          </cell>
          <cell r="AV68">
            <v>0.15069298922833721</v>
          </cell>
          <cell r="AW68">
            <v>0.1282222966186809</v>
          </cell>
          <cell r="AX68"/>
          <cell r="AY68">
            <v>0.20010715242432345</v>
          </cell>
          <cell r="AZ68">
            <v>0.19999999999999896</v>
          </cell>
          <cell r="BA68">
            <v>0.19999026574515719</v>
          </cell>
          <cell r="BB68">
            <v>0.19999638342887105</v>
          </cell>
          <cell r="BC68">
            <v>0.20000000000000007</v>
          </cell>
          <cell r="BD68"/>
          <cell r="BE68">
            <v>0.19997520456236009</v>
          </cell>
          <cell r="BF68">
            <v>0.20075937351684853</v>
          </cell>
          <cell r="BG68">
            <v>0.20007073803348274</v>
          </cell>
          <cell r="BH68">
            <v>0.2</v>
          </cell>
          <cell r="BI68">
            <v>0.20007693063218762</v>
          </cell>
          <cell r="BJ68"/>
          <cell r="BK68">
            <v>0.2</v>
          </cell>
          <cell r="BL68">
            <v>0.2</v>
          </cell>
          <cell r="BM68">
            <v>0.2</v>
          </cell>
          <cell r="BN68">
            <v>0.2</v>
          </cell>
          <cell r="BO68">
            <v>0.20000000000000023</v>
          </cell>
          <cell r="BP68"/>
          <cell r="BQ68"/>
          <cell r="BR68"/>
          <cell r="BS68"/>
          <cell r="BT68"/>
          <cell r="BU68">
            <v>0</v>
          </cell>
          <cell r="BV68"/>
          <cell r="BW68"/>
          <cell r="BX68"/>
          <cell r="BY68"/>
          <cell r="BZ68"/>
          <cell r="CA68" t="str">
            <v>NA</v>
          </cell>
          <cell r="CB68"/>
          <cell r="CC68"/>
          <cell r="CD68"/>
          <cell r="CE68"/>
          <cell r="CF68"/>
          <cell r="CG68" t="str">
            <v>NA</v>
          </cell>
        </row>
        <row r="69">
          <cell r="A69" t="str">
            <v>Net income (loss)</v>
          </cell>
          <cell r="B69"/>
          <cell r="C69"/>
          <cell r="D69"/>
          <cell r="E69"/>
          <cell r="F69"/>
          <cell r="G69"/>
          <cell r="I69"/>
          <cell r="J69"/>
          <cell r="K69"/>
          <cell r="L69"/>
          <cell r="M69"/>
          <cell r="O69"/>
          <cell r="P69"/>
          <cell r="Q69"/>
          <cell r="R69"/>
          <cell r="S69"/>
          <cell r="U69"/>
          <cell r="V69"/>
          <cell r="W69"/>
          <cell r="X69"/>
          <cell r="Y69">
            <v>-9.6519999999999921</v>
          </cell>
          <cell r="AA69">
            <v>-3.9850000000000012</v>
          </cell>
          <cell r="AB69">
            <v>-5.1649999999999983</v>
          </cell>
          <cell r="AC69">
            <v>-4.1409999999999991</v>
          </cell>
          <cell r="AD69">
            <v>-6.6770000000000005</v>
          </cell>
          <cell r="AE69">
            <v>-19.968</v>
          </cell>
          <cell r="AG69">
            <v>-5.8963594953193352</v>
          </cell>
          <cell r="AH69">
            <v>-6.6648813655737911</v>
          </cell>
          <cell r="AI69">
            <v>-3.2860577364414434</v>
          </cell>
          <cell r="AJ69">
            <v>-5.1270000000000024</v>
          </cell>
          <cell r="AK69">
            <v>-20.97429859733456</v>
          </cell>
          <cell r="AL69"/>
          <cell r="AM69">
            <v>-3.6599999999999993</v>
          </cell>
          <cell r="AN69">
            <v>-5.3080000000000007</v>
          </cell>
          <cell r="AO69">
            <v>1.1990000000000016</v>
          </cell>
          <cell r="AP69">
            <v>1.353999999999997</v>
          </cell>
          <cell r="AQ69">
            <v>-6.4150000000000018</v>
          </cell>
          <cell r="AS69">
            <v>9.4559999999999977</v>
          </cell>
          <cell r="AT69">
            <v>-4.5669999999999948</v>
          </cell>
          <cell r="AU69">
            <v>16.277000000000001</v>
          </cell>
          <cell r="AV69">
            <v>23.101999999999997</v>
          </cell>
          <cell r="AW69">
            <v>44.268000000000022</v>
          </cell>
          <cell r="AY69">
            <v>2.9860000000000024</v>
          </cell>
          <cell r="AZ69">
            <v>0.89600000000000302</v>
          </cell>
          <cell r="BA69">
            <v>16.437000000000005</v>
          </cell>
          <cell r="BB69">
            <v>44.241</v>
          </cell>
          <cell r="BC69">
            <v>64.55999999999996</v>
          </cell>
          <cell r="BE69">
            <v>-6.4530000000000083</v>
          </cell>
          <cell r="BF69">
            <v>1.6840000000000011</v>
          </cell>
          <cell r="BG69">
            <v>8.1467664400000146</v>
          </cell>
          <cell r="BH69">
            <v>12.304954748400007</v>
          </cell>
          <cell r="BI69">
            <v>15.68272118839999</v>
          </cell>
          <cell r="BK69">
            <v>-1.7015110759784307</v>
          </cell>
          <cell r="BL69">
            <v>-5.395331985612188</v>
          </cell>
          <cell r="BM69">
            <v>5.2201721522108189</v>
          </cell>
          <cell r="BN69">
            <v>21.555884060848619</v>
          </cell>
          <cell r="BO69">
            <v>19.679213151468822</v>
          </cell>
          <cell r="BQ69" t="e">
            <v>#VALUE!</v>
          </cell>
          <cell r="BR69" t="e">
            <v>#VALUE!</v>
          </cell>
          <cell r="BS69" t="e">
            <v>#VALUE!</v>
          </cell>
          <cell r="BT69" t="e">
            <v>#VALUE!</v>
          </cell>
          <cell r="BU69" t="e">
            <v>#VALUE!</v>
          </cell>
          <cell r="BW69" t="e">
            <v>#VALUE!</v>
          </cell>
          <cell r="BX69" t="e">
            <v>#VALUE!</v>
          </cell>
          <cell r="BY69" t="e">
            <v>#VALUE!</v>
          </cell>
          <cell r="BZ69" t="e">
            <v>#VALUE!</v>
          </cell>
          <cell r="CA69" t="e">
            <v>#VALUE!</v>
          </cell>
          <cell r="CC69" t="e">
            <v>#VALUE!</v>
          </cell>
          <cell r="CD69" t="e">
            <v>#VALUE!</v>
          </cell>
          <cell r="CE69" t="e">
            <v>#VALUE!</v>
          </cell>
          <cell r="CF69" t="e">
            <v>#VALUE!</v>
          </cell>
          <cell r="CG69" t="e">
            <v>#VALUE!</v>
          </cell>
        </row>
        <row r="70">
          <cell r="A70" t="str">
            <v>% net margin</v>
          </cell>
          <cell r="B70"/>
          <cell r="C70"/>
          <cell r="D70"/>
          <cell r="E70"/>
          <cell r="F70"/>
          <cell r="G70"/>
          <cell r="H70"/>
          <cell r="I70"/>
          <cell r="J70"/>
          <cell r="K70"/>
          <cell r="L70"/>
          <cell r="M70"/>
          <cell r="N70"/>
          <cell r="O70"/>
          <cell r="P70"/>
          <cell r="Q70"/>
          <cell r="R70"/>
          <cell r="S70"/>
          <cell r="T70"/>
          <cell r="U70"/>
          <cell r="V70"/>
          <cell r="W70"/>
          <cell r="X70"/>
          <cell r="Y70">
            <v>-0.25410699241785994</v>
          </cell>
          <cell r="Z70"/>
          <cell r="AA70">
            <v>-0.34571007200485826</v>
          </cell>
          <cell r="AB70">
            <v>-0.40637293469708874</v>
          </cell>
          <cell r="AC70">
            <v>-0.29306440198159933</v>
          </cell>
          <cell r="AD70">
            <v>-0.43205642552090073</v>
          </cell>
          <cell r="AE70">
            <v>-0.37100759926422766</v>
          </cell>
          <cell r="AF70"/>
          <cell r="AG70">
            <v>-0.32055885045772187</v>
          </cell>
          <cell r="AH70">
            <v>-0.33371126404835721</v>
          </cell>
          <cell r="AI70">
            <v>-0.14629408496311297</v>
          </cell>
          <cell r="AJ70">
            <v>-0.20539219613813006</v>
          </cell>
          <cell r="AK70">
            <v>-0.24448418926838278</v>
          </cell>
          <cell r="AL70"/>
          <cell r="AM70">
            <v>-0.12821860220704148</v>
          </cell>
          <cell r="AN70">
            <v>-0.17507173719449853</v>
          </cell>
          <cell r="AO70">
            <v>3.5104669887278631E-2</v>
          </cell>
          <cell r="AP70">
            <v>3.5088628589198638E-2</v>
          </cell>
          <cell r="AQ70">
            <v>-4.8743607862803663E-2</v>
          </cell>
          <cell r="AR70"/>
          <cell r="AS70">
            <v>0.1878837250889149</v>
          </cell>
          <cell r="AT70">
            <v>-8.8676167915808984E-2</v>
          </cell>
          <cell r="AU70">
            <v>0.26006167217881737</v>
          </cell>
          <cell r="AV70">
            <v>0.2591362871564778</v>
          </cell>
          <cell r="AW70">
            <v>0.17457901171274212</v>
          </cell>
          <cell r="AX70"/>
          <cell r="AY70">
            <v>3.9279137069192352E-2</v>
          </cell>
          <cell r="AZ70">
            <v>1.0921102348768365E-2</v>
          </cell>
          <cell r="BA70">
            <v>0.15896979602889835</v>
          </cell>
          <cell r="BB70">
            <v>0.28278044103547462</v>
          </cell>
          <cell r="BC70">
            <v>0.15448302266038133</v>
          </cell>
          <cell r="BD70"/>
          <cell r="BE70">
            <v>-5.9293767400832559E-2</v>
          </cell>
          <cell r="BF70">
            <v>1.7499194662953466E-2</v>
          </cell>
          <cell r="BG70">
            <v>0.20922469684004405</v>
          </cell>
          <cell r="BH70">
            <v>0.1436946880786861</v>
          </cell>
          <cell r="BI70">
            <v>9.0414303971611598E-2</v>
          </cell>
          <cell r="BJ70"/>
          <cell r="BK70">
            <v>3.3811808644892097E-2</v>
          </cell>
          <cell r="BL70">
            <v>0.13998354124114418</v>
          </cell>
          <cell r="BM70">
            <v>0.12963567091253217</v>
          </cell>
          <cell r="BN70">
            <v>4.399532031634204E-2</v>
          </cell>
          <cell r="BO70">
            <v>8.5284185318906663E-2</v>
          </cell>
          <cell r="BP70"/>
          <cell r="BQ70">
            <v>9.5067920236679537E-2</v>
          </cell>
          <cell r="BR70">
            <v>0.11186496986563639</v>
          </cell>
          <cell r="BS70">
            <v>0.22041607095738586</v>
          </cell>
          <cell r="BT70">
            <v>0.1252409968218953</v>
          </cell>
          <cell r="BU70">
            <v>0.13955332795541089</v>
          </cell>
          <cell r="BV70"/>
          <cell r="BW70" t="str">
            <v>NA</v>
          </cell>
          <cell r="BX70" t="str">
            <v>NA</v>
          </cell>
          <cell r="BY70" t="str">
            <v>NA</v>
          </cell>
          <cell r="BZ70" t="str">
            <v>NA</v>
          </cell>
          <cell r="CA70" t="str">
            <v>NA</v>
          </cell>
          <cell r="CB70"/>
          <cell r="CC70" t="str">
            <v>NA</v>
          </cell>
          <cell r="CD70" t="str">
            <v>NA</v>
          </cell>
          <cell r="CE70" t="str">
            <v>NA</v>
          </cell>
          <cell r="CF70" t="str">
            <v>NA</v>
          </cell>
          <cell r="CG70" t="str">
            <v>NA</v>
          </cell>
        </row>
        <row r="71">
          <cell r="A71"/>
          <cell r="B71"/>
          <cell r="C71"/>
          <cell r="D71"/>
          <cell r="E71"/>
          <cell r="F71"/>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cell r="BI71"/>
          <cell r="BJ71"/>
          <cell r="BK71"/>
          <cell r="BL71"/>
          <cell r="BM71"/>
          <cell r="BN71"/>
          <cell r="BO71"/>
          <cell r="BP71"/>
          <cell r="BQ71"/>
          <cell r="BR71"/>
          <cell r="BS71"/>
          <cell r="BT71"/>
          <cell r="BU71"/>
          <cell r="BV71"/>
          <cell r="BW71"/>
          <cell r="BX71"/>
          <cell r="BY71"/>
          <cell r="BZ71"/>
          <cell r="CA71"/>
          <cell r="CB71"/>
          <cell r="CC71"/>
          <cell r="CD71"/>
          <cell r="CE71"/>
          <cell r="CF71"/>
          <cell r="CG71"/>
        </row>
        <row r="72">
          <cell r="A72" t="str">
            <v>Basic shares</v>
          </cell>
          <cell r="B72"/>
          <cell r="C72"/>
          <cell r="D72"/>
          <cell r="E72"/>
          <cell r="F72"/>
          <cell r="G72"/>
          <cell r="H72"/>
          <cell r="I72"/>
          <cell r="J72"/>
          <cell r="K72"/>
          <cell r="L72"/>
          <cell r="M72"/>
          <cell r="N72"/>
          <cell r="O72"/>
          <cell r="P72"/>
          <cell r="Q72"/>
          <cell r="R72"/>
          <cell r="S72"/>
          <cell r="T72"/>
          <cell r="U72"/>
          <cell r="V72"/>
          <cell r="W72"/>
          <cell r="X72"/>
          <cell r="Y72">
            <v>16.111999999999998</v>
          </cell>
          <cell r="Z72"/>
          <cell r="AA72" t="str">
            <v>ND</v>
          </cell>
          <cell r="AB72" t="str">
            <v>ND</v>
          </cell>
          <cell r="AC72" t="str">
            <v>ND</v>
          </cell>
          <cell r="AD72" t="str">
            <v>ND</v>
          </cell>
          <cell r="AE72">
            <v>31.696999999999999</v>
          </cell>
          <cell r="AF72"/>
          <cell r="AG72" t="str">
            <v>ND</v>
          </cell>
          <cell r="AH72" t="str">
            <v>ND</v>
          </cell>
          <cell r="AI72" t="str">
            <v>ND</v>
          </cell>
          <cell r="AJ72" t="str">
            <v>ND</v>
          </cell>
          <cell r="AK72">
            <v>47.087000000000003</v>
          </cell>
          <cell r="AL72"/>
          <cell r="AM72">
            <v>48.47</v>
          </cell>
          <cell r="AN72">
            <v>58.262</v>
          </cell>
          <cell r="AO72">
            <v>62.347999999999999</v>
          </cell>
          <cell r="AP72">
            <v>62.744</v>
          </cell>
          <cell r="AQ72">
            <v>57.955999999999996</v>
          </cell>
          <cell r="AR72"/>
          <cell r="AS72">
            <v>63.475999999999999</v>
          </cell>
          <cell r="AT72">
            <v>60.685000000000002</v>
          </cell>
          <cell r="AU72">
            <v>65.548000000000002</v>
          </cell>
          <cell r="AV72">
            <v>66.078999999999994</v>
          </cell>
          <cell r="AW72">
            <v>63.947000000000003</v>
          </cell>
          <cell r="AX72"/>
          <cell r="AY72">
            <v>67.477999999999994</v>
          </cell>
          <cell r="AZ72">
            <v>68.504000000000005</v>
          </cell>
          <cell r="BA72">
            <v>69.503</v>
          </cell>
          <cell r="BB72">
            <v>65.152000000000001</v>
          </cell>
          <cell r="BC72">
            <v>67.65925</v>
          </cell>
          <cell r="BD72"/>
          <cell r="BE72">
            <v>65.569000000000003</v>
          </cell>
          <cell r="BF72">
            <v>69.596999999999994</v>
          </cell>
          <cell r="BG72">
            <v>69.774000000000001</v>
          </cell>
          <cell r="BH72">
            <v>71.867220000000003</v>
          </cell>
          <cell r="BI72">
            <v>69.201805000000007</v>
          </cell>
          <cell r="BJ72"/>
          <cell r="BK72">
            <v>72.945228299999997</v>
          </cell>
          <cell r="BL72">
            <v>74.039406724499983</v>
          </cell>
          <cell r="BM72">
            <v>75.149997825367478</v>
          </cell>
          <cell r="BN72">
            <v>76.277247792747985</v>
          </cell>
          <cell r="BO72">
            <v>74.602970160653868</v>
          </cell>
          <cell r="BP72"/>
          <cell r="BQ72">
            <v>77.04002027067547</v>
          </cell>
          <cell r="BR72">
            <v>77.810420473382223</v>
          </cell>
          <cell r="BS72">
            <v>78.588524678116045</v>
          </cell>
          <cell r="BT72">
            <v>79.374409924897208</v>
          </cell>
          <cell r="BU72">
            <v>78.203343836767743</v>
          </cell>
          <cell r="BV72"/>
          <cell r="BW72">
            <v>76.475249514707627</v>
          </cell>
          <cell r="BX72">
            <v>76.475249514707627</v>
          </cell>
          <cell r="BY72">
            <v>76.475249514707627</v>
          </cell>
          <cell r="BZ72">
            <v>76.475249514707627</v>
          </cell>
          <cell r="CA72">
            <v>76.475249514707627</v>
          </cell>
          <cell r="CB72"/>
          <cell r="CC72">
            <v>76.475249514707627</v>
          </cell>
          <cell r="CD72">
            <v>76.475249514707627</v>
          </cell>
          <cell r="CE72">
            <v>76.475249514707627</v>
          </cell>
          <cell r="CF72">
            <v>76.475249514707627</v>
          </cell>
          <cell r="CG72">
            <v>76.475249514707627</v>
          </cell>
        </row>
        <row r="73">
          <cell r="A73" t="str">
            <v>Diluted shares</v>
          </cell>
          <cell r="B73"/>
          <cell r="C73"/>
          <cell r="D73"/>
          <cell r="E73"/>
          <cell r="F73"/>
          <cell r="G73"/>
          <cell r="H73"/>
          <cell r="I73"/>
          <cell r="J73"/>
          <cell r="K73"/>
          <cell r="L73"/>
          <cell r="M73"/>
          <cell r="N73"/>
          <cell r="O73"/>
          <cell r="P73"/>
          <cell r="Q73"/>
          <cell r="R73"/>
          <cell r="S73"/>
          <cell r="T73"/>
          <cell r="U73"/>
          <cell r="V73"/>
          <cell r="W73"/>
          <cell r="X73"/>
          <cell r="Y73">
            <v>16.111999999999998</v>
          </cell>
          <cell r="Z73"/>
          <cell r="AA73" t="str">
            <v>ND</v>
          </cell>
          <cell r="AB73" t="str">
            <v>ND</v>
          </cell>
          <cell r="AC73" t="str">
            <v>ND</v>
          </cell>
          <cell r="AD73" t="str">
            <v>ND</v>
          </cell>
          <cell r="AE73">
            <v>31.696999999999999</v>
          </cell>
          <cell r="AF73"/>
          <cell r="AG73" t="str">
            <v>ND</v>
          </cell>
          <cell r="AH73" t="str">
            <v>ND</v>
          </cell>
          <cell r="AI73" t="str">
            <v>ND</v>
          </cell>
          <cell r="AJ73" t="str">
            <v>ND</v>
          </cell>
          <cell r="AK73">
            <v>47.087000000000003</v>
          </cell>
          <cell r="AL73"/>
          <cell r="AM73">
            <v>48.47</v>
          </cell>
          <cell r="AN73">
            <v>58.262</v>
          </cell>
          <cell r="AO73">
            <v>62.347999999999999</v>
          </cell>
          <cell r="AP73">
            <v>62.744</v>
          </cell>
          <cell r="AQ73">
            <v>57.955999999999996</v>
          </cell>
          <cell r="AR73"/>
          <cell r="AS73">
            <v>63.475999999999999</v>
          </cell>
          <cell r="AT73">
            <v>60.685000000000002</v>
          </cell>
          <cell r="AU73">
            <v>65.548000000000002</v>
          </cell>
          <cell r="AV73">
            <v>66.078999999999994</v>
          </cell>
          <cell r="AW73">
            <v>63.947000000000003</v>
          </cell>
          <cell r="AX73"/>
          <cell r="AY73">
            <v>67.477999999999994</v>
          </cell>
          <cell r="AZ73">
            <v>68.504000000000005</v>
          </cell>
          <cell r="BA73">
            <v>69.503</v>
          </cell>
          <cell r="BB73">
            <v>69.132000000000005</v>
          </cell>
          <cell r="BC73">
            <v>68.654250000000005</v>
          </cell>
          <cell r="BD73"/>
          <cell r="BE73">
            <v>65.569000000000003</v>
          </cell>
          <cell r="BF73">
            <v>69.596999999999994</v>
          </cell>
          <cell r="BG73">
            <v>69.774000000000001</v>
          </cell>
          <cell r="BH73">
            <v>71.867220000000003</v>
          </cell>
          <cell r="BI73">
            <v>69.201805000000007</v>
          </cell>
          <cell r="BJ73"/>
          <cell r="BK73">
            <v>72.945228299999997</v>
          </cell>
          <cell r="BL73">
            <v>74.039406724499983</v>
          </cell>
          <cell r="BM73">
            <v>75.149997825367478</v>
          </cell>
          <cell r="BN73">
            <v>76.277247792747985</v>
          </cell>
          <cell r="BO73">
            <v>74.602970160653868</v>
          </cell>
          <cell r="BP73"/>
          <cell r="BQ73">
            <v>77.04002027067547</v>
          </cell>
          <cell r="BR73">
            <v>77.810420473382223</v>
          </cell>
          <cell r="BS73">
            <v>78.588524678116045</v>
          </cell>
          <cell r="BT73">
            <v>79.374409924897208</v>
          </cell>
          <cell r="BU73">
            <v>78.203343836767743</v>
          </cell>
          <cell r="BV73"/>
          <cell r="BW73">
            <v>76.475249514707627</v>
          </cell>
          <cell r="BX73">
            <v>76.475249514707627</v>
          </cell>
          <cell r="BY73">
            <v>76.475249514707627</v>
          </cell>
          <cell r="BZ73">
            <v>76.475249514707627</v>
          </cell>
          <cell r="CA73">
            <v>76.475249514707627</v>
          </cell>
          <cell r="CB73"/>
          <cell r="CC73">
            <v>76.475249514707627</v>
          </cell>
          <cell r="CD73">
            <v>76.475249514707627</v>
          </cell>
          <cell r="CE73">
            <v>76.475249514707627</v>
          </cell>
          <cell r="CF73">
            <v>76.475249514707627</v>
          </cell>
          <cell r="CG73">
            <v>76.475249514707627</v>
          </cell>
        </row>
        <row r="74">
          <cell r="A74" t="str">
            <v>q/q change, basic</v>
          </cell>
          <cell r="B74"/>
          <cell r="C74"/>
          <cell r="D74"/>
          <cell r="E74"/>
          <cell r="F74"/>
          <cell r="G74"/>
          <cell r="H74"/>
          <cell r="I74"/>
          <cell r="J74"/>
          <cell r="K74"/>
          <cell r="L74"/>
          <cell r="M74"/>
          <cell r="N74"/>
          <cell r="O74"/>
          <cell r="P74"/>
          <cell r="Q74"/>
          <cell r="R74"/>
          <cell r="S74"/>
          <cell r="T74"/>
          <cell r="U74"/>
          <cell r="V74"/>
          <cell r="W74"/>
          <cell r="X74"/>
          <cell r="Y74" t="str">
            <v>NA</v>
          </cell>
          <cell r="Z74"/>
          <cell r="AA74" t="str">
            <v>NA</v>
          </cell>
          <cell r="AB74" t="str">
            <v>NA</v>
          </cell>
          <cell r="AC74" t="str">
            <v>NA</v>
          </cell>
          <cell r="AD74" t="str">
            <v>NA</v>
          </cell>
          <cell r="AE74" t="str">
            <v>NA</v>
          </cell>
          <cell r="AF74"/>
          <cell r="AG74" t="str">
            <v>NA</v>
          </cell>
          <cell r="AH74" t="str">
            <v>NA</v>
          </cell>
          <cell r="AI74" t="str">
            <v>NA</v>
          </cell>
          <cell r="AJ74" t="str">
            <v>NA</v>
          </cell>
          <cell r="AK74" t="str">
            <v>NA</v>
          </cell>
          <cell r="AL74"/>
          <cell r="AM74" t="str">
            <v>NA</v>
          </cell>
          <cell r="AN74">
            <v>0.20202186919744181</v>
          </cell>
          <cell r="AO74">
            <v>7.0131475060931647E-2</v>
          </cell>
          <cell r="AP74">
            <v>6.3514467184191403E-3</v>
          </cell>
          <cell r="AQ74" t="str">
            <v>NA</v>
          </cell>
          <cell r="AR74"/>
          <cell r="AS74">
            <v>1.166645416294787E-2</v>
          </cell>
          <cell r="AT74">
            <v>-4.3969374251685678E-2</v>
          </cell>
          <cell r="AU74">
            <v>8.0135124000988656E-2</v>
          </cell>
          <cell r="AV74">
            <v>8.1009336669308762E-3</v>
          </cell>
          <cell r="AW74" t="str">
            <v>NA</v>
          </cell>
          <cell r="AX74"/>
          <cell r="AY74">
            <v>2.1171627899937873E-2</v>
          </cell>
          <cell r="AZ74">
            <v>1.5204955689261945E-2</v>
          </cell>
          <cell r="BA74">
            <v>1.4583090038537749E-2</v>
          </cell>
          <cell r="BB74">
            <v>-6.2601614318806398E-2</v>
          </cell>
          <cell r="BC74" t="str">
            <v>NA</v>
          </cell>
          <cell r="BD74"/>
          <cell r="BE74">
            <v>6.4004174852652085E-3</v>
          </cell>
          <cell r="BF74">
            <v>6.1431469139379802E-2</v>
          </cell>
          <cell r="BG74">
            <v>2.5432130695288713E-3</v>
          </cell>
          <cell r="BH74">
            <v>0.03</v>
          </cell>
          <cell r="BI74" t="str">
            <v>NA</v>
          </cell>
          <cell r="BJ74"/>
          <cell r="BK74">
            <v>1.4999999999999999E-2</v>
          </cell>
          <cell r="BL74">
            <v>1.4999999999999999E-2</v>
          </cell>
          <cell r="BM74">
            <v>1.4999999999999999E-2</v>
          </cell>
          <cell r="BN74">
            <v>1.4999999999999999E-2</v>
          </cell>
          <cell r="BO74" t="str">
            <v>NA</v>
          </cell>
          <cell r="BP74"/>
          <cell r="BQ74">
            <v>0.01</v>
          </cell>
          <cell r="BR74">
            <v>0.01</v>
          </cell>
          <cell r="BS74">
            <v>0.01</v>
          </cell>
          <cell r="BT74">
            <v>0.01</v>
          </cell>
          <cell r="BU74" t="str">
            <v>NA</v>
          </cell>
          <cell r="BV74"/>
          <cell r="BW74">
            <v>0</v>
          </cell>
          <cell r="BX74">
            <v>0</v>
          </cell>
          <cell r="BY74">
            <v>0</v>
          </cell>
          <cell r="BZ74">
            <v>0</v>
          </cell>
          <cell r="CA74" t="str">
            <v>NA</v>
          </cell>
          <cell r="CB74"/>
          <cell r="CC74">
            <v>0</v>
          </cell>
          <cell r="CD74">
            <v>0</v>
          </cell>
          <cell r="CE74">
            <v>0</v>
          </cell>
          <cell r="CF74">
            <v>0</v>
          </cell>
          <cell r="CG74" t="str">
            <v>NA</v>
          </cell>
          <cell r="CH74"/>
        </row>
        <row r="75">
          <cell r="A75" t="str">
            <v>q/q change, diluted</v>
          </cell>
          <cell r="B75"/>
          <cell r="C75"/>
          <cell r="D75"/>
          <cell r="E75"/>
          <cell r="F75"/>
          <cell r="G75"/>
          <cell r="H75"/>
          <cell r="I75"/>
          <cell r="J75"/>
          <cell r="K75"/>
          <cell r="L75"/>
          <cell r="M75"/>
          <cell r="N75"/>
          <cell r="O75"/>
          <cell r="P75"/>
          <cell r="Q75"/>
          <cell r="R75"/>
          <cell r="S75"/>
          <cell r="T75"/>
          <cell r="U75"/>
          <cell r="V75"/>
          <cell r="W75"/>
          <cell r="X75"/>
          <cell r="Y75" t="str">
            <v>NA</v>
          </cell>
          <cell r="Z75"/>
          <cell r="AA75" t="str">
            <v>NA</v>
          </cell>
          <cell r="AB75" t="str">
            <v>NA</v>
          </cell>
          <cell r="AC75" t="str">
            <v>NA</v>
          </cell>
          <cell r="AD75" t="str">
            <v>NA</v>
          </cell>
          <cell r="AE75" t="str">
            <v>NA</v>
          </cell>
          <cell r="AF75"/>
          <cell r="AG75" t="str">
            <v>NA</v>
          </cell>
          <cell r="AH75" t="str">
            <v>NA</v>
          </cell>
          <cell r="AI75" t="str">
            <v>NA</v>
          </cell>
          <cell r="AJ75" t="str">
            <v>NA</v>
          </cell>
          <cell r="AK75" t="str">
            <v>NA</v>
          </cell>
          <cell r="AL75"/>
          <cell r="AM75" t="str">
            <v>NA</v>
          </cell>
          <cell r="AN75">
            <v>0.20202186919744181</v>
          </cell>
          <cell r="AO75">
            <v>7.0131475060931647E-2</v>
          </cell>
          <cell r="AP75">
            <v>6.3514467184191403E-3</v>
          </cell>
          <cell r="AQ75" t="str">
            <v>NA</v>
          </cell>
          <cell r="AR75"/>
          <cell r="AS75">
            <v>1.166645416294787E-2</v>
          </cell>
          <cell r="AT75">
            <v>-4.3969374251685678E-2</v>
          </cell>
          <cell r="AU75">
            <v>8.0135124000988656E-2</v>
          </cell>
          <cell r="AV75">
            <v>8.1009336669308762E-3</v>
          </cell>
          <cell r="AW75" t="str">
            <v>NA</v>
          </cell>
          <cell r="AX75"/>
          <cell r="AY75">
            <v>2.1171627899937873E-2</v>
          </cell>
          <cell r="AZ75">
            <v>1.5204955689261945E-2</v>
          </cell>
          <cell r="BA75">
            <v>1.4583090038537749E-2</v>
          </cell>
          <cell r="BB75">
            <v>-5.337899083492692E-3</v>
          </cell>
          <cell r="BC75" t="str">
            <v>NA</v>
          </cell>
          <cell r="BD75"/>
          <cell r="BE75">
            <v>-5.1539084649655731E-2</v>
          </cell>
          <cell r="BF75">
            <v>6.1431469139379802E-2</v>
          </cell>
          <cell r="BG75">
            <v>2.5432130695288713E-3</v>
          </cell>
          <cell r="BH75">
            <v>0.03</v>
          </cell>
          <cell r="BI75" t="str">
            <v>NA</v>
          </cell>
          <cell r="BJ75"/>
          <cell r="BK75">
            <v>1.4999999999999999E-2</v>
          </cell>
          <cell r="BL75">
            <v>1.4999999999999999E-2</v>
          </cell>
          <cell r="BM75">
            <v>1.4999999999999999E-2</v>
          </cell>
          <cell r="BN75">
            <v>1.4999999999999999E-2</v>
          </cell>
          <cell r="BO75" t="str">
            <v>NA</v>
          </cell>
          <cell r="BP75"/>
          <cell r="BQ75">
            <v>0.01</v>
          </cell>
          <cell r="BR75">
            <v>0.01</v>
          </cell>
          <cell r="BS75">
            <v>0.01</v>
          </cell>
          <cell r="BT75">
            <v>0.01</v>
          </cell>
          <cell r="BU75" t="str">
            <v>NA</v>
          </cell>
          <cell r="BV75"/>
          <cell r="BW75">
            <v>0</v>
          </cell>
          <cell r="BX75">
            <v>0</v>
          </cell>
          <cell r="BY75">
            <v>0</v>
          </cell>
          <cell r="BZ75">
            <v>0</v>
          </cell>
          <cell r="CA75" t="str">
            <v>NA</v>
          </cell>
          <cell r="CB75"/>
          <cell r="CC75">
            <v>0</v>
          </cell>
          <cell r="CD75">
            <v>0</v>
          </cell>
          <cell r="CE75">
            <v>0</v>
          </cell>
          <cell r="CF75">
            <v>0</v>
          </cell>
          <cell r="CG75" t="str">
            <v>NA</v>
          </cell>
          <cell r="CH75"/>
        </row>
        <row r="76">
          <cell r="A76" t="str">
            <v>y/y change, basic</v>
          </cell>
          <cell r="B76"/>
          <cell r="C76"/>
          <cell r="D76"/>
          <cell r="E76"/>
          <cell r="F76"/>
          <cell r="G76"/>
          <cell r="H76"/>
          <cell r="I76"/>
          <cell r="J76"/>
          <cell r="K76"/>
          <cell r="L76"/>
          <cell r="M76"/>
          <cell r="N76"/>
          <cell r="O76"/>
          <cell r="P76"/>
          <cell r="Q76"/>
          <cell r="R76"/>
          <cell r="S76"/>
          <cell r="T76"/>
          <cell r="U76"/>
          <cell r="V76"/>
          <cell r="W76"/>
          <cell r="X76"/>
          <cell r="Y76" t="str">
            <v>NA</v>
          </cell>
          <cell r="Z76"/>
          <cell r="AA76" t="str">
            <v>NA</v>
          </cell>
          <cell r="AB76" t="str">
            <v>NA</v>
          </cell>
          <cell r="AC76" t="str">
            <v>NA</v>
          </cell>
          <cell r="AD76" t="str">
            <v>NA</v>
          </cell>
          <cell r="AE76">
            <v>0.96729145978152942</v>
          </cell>
          <cell r="AF76"/>
          <cell r="AG76" t="str">
            <v>NA</v>
          </cell>
          <cell r="AH76" t="str">
            <v>NA</v>
          </cell>
          <cell r="AI76" t="str">
            <v>NA</v>
          </cell>
          <cell r="AJ76" t="str">
            <v>NA</v>
          </cell>
          <cell r="AK76">
            <v>0.48553490866643556</v>
          </cell>
          <cell r="AL76"/>
          <cell r="AM76" t="str">
            <v>NA</v>
          </cell>
          <cell r="AN76" t="str">
            <v>NA</v>
          </cell>
          <cell r="AO76" t="str">
            <v>NA</v>
          </cell>
          <cell r="AP76" t="str">
            <v>NA</v>
          </cell>
          <cell r="AQ76">
            <v>0.23082804171002591</v>
          </cell>
          <cell r="AR76"/>
          <cell r="AS76">
            <v>0.30959356302867747</v>
          </cell>
          <cell r="AT76">
            <v>4.1587999038824597E-2</v>
          </cell>
          <cell r="AU76">
            <v>5.1324821967023926E-2</v>
          </cell>
          <cell r="AV76">
            <v>5.3152492668621543E-2</v>
          </cell>
          <cell r="AW76">
            <v>0.10337152322451537</v>
          </cell>
          <cell r="AX76"/>
          <cell r="AY76">
            <v>6.3047451005104227E-2</v>
          </cell>
          <cell r="AZ76">
            <v>0.12884567850374884</v>
          </cell>
          <cell r="BA76">
            <v>6.0337462622810811E-2</v>
          </cell>
          <cell r="BB76">
            <v>-1.4028662661359825E-2</v>
          </cell>
          <cell r="BC76">
            <v>5.8051980546389936E-2</v>
          </cell>
          <cell r="BD76"/>
          <cell r="BE76">
            <v>-2.8290702154776248E-2</v>
          </cell>
          <cell r="BF76">
            <v>1.5955272684806676E-2</v>
          </cell>
          <cell r="BG76">
            <v>3.899112268535232E-3</v>
          </cell>
          <cell r="BH76">
            <v>0.10307005157170934</v>
          </cell>
          <cell r="BI76">
            <v>2.2798878202167527E-2</v>
          </cell>
          <cell r="BJ76"/>
          <cell r="BK76">
            <v>0.11249566563467472</v>
          </cell>
          <cell r="BL76">
            <v>6.3830434135091929E-2</v>
          </cell>
          <cell r="BM76">
            <v>7.7048726249999699E-2</v>
          </cell>
          <cell r="BN76">
            <v>6.1363550624999652E-2</v>
          </cell>
          <cell r="BO76">
            <v>7.8049483834328637E-2</v>
          </cell>
          <cell r="BP76"/>
          <cell r="BQ76">
            <v>5.6135158749999636E-2</v>
          </cell>
          <cell r="BR76">
            <v>5.093252249999991E-2</v>
          </cell>
          <cell r="BS76">
            <v>4.5755514999999969E-2</v>
          </cell>
          <cell r="BT76">
            <v>4.0604010000000024E-2</v>
          </cell>
          <cell r="BU76">
            <v>4.8260460251926318E-2</v>
          </cell>
          <cell r="BV76"/>
          <cell r="BW76">
            <v>0</v>
          </cell>
          <cell r="BX76">
            <v>0</v>
          </cell>
          <cell r="BY76">
            <v>0</v>
          </cell>
          <cell r="BZ76">
            <v>0</v>
          </cell>
          <cell r="CA76">
            <v>0</v>
          </cell>
          <cell r="CB76"/>
          <cell r="CC76">
            <v>0</v>
          </cell>
          <cell r="CD76">
            <v>0</v>
          </cell>
          <cell r="CE76">
            <v>0</v>
          </cell>
          <cell r="CF76">
            <v>0</v>
          </cell>
          <cell r="CG76">
            <v>0</v>
          </cell>
          <cell r="CH76"/>
        </row>
        <row r="77">
          <cell r="A77" t="str">
            <v>y/y change, diluted</v>
          </cell>
          <cell r="B77"/>
          <cell r="C77"/>
          <cell r="D77"/>
          <cell r="E77"/>
          <cell r="F77"/>
          <cell r="G77"/>
          <cell r="H77"/>
          <cell r="I77"/>
          <cell r="J77"/>
          <cell r="K77"/>
          <cell r="L77"/>
          <cell r="M77"/>
          <cell r="N77"/>
          <cell r="O77"/>
          <cell r="P77"/>
          <cell r="Q77"/>
          <cell r="R77"/>
          <cell r="S77"/>
          <cell r="T77"/>
          <cell r="U77"/>
          <cell r="V77"/>
          <cell r="W77"/>
          <cell r="X77"/>
          <cell r="Y77" t="str">
            <v>NA</v>
          </cell>
          <cell r="Z77"/>
          <cell r="AA77" t="str">
            <v>NA</v>
          </cell>
          <cell r="AB77" t="str">
            <v>NA</v>
          </cell>
          <cell r="AC77" t="str">
            <v>NA</v>
          </cell>
          <cell r="AD77" t="str">
            <v>NA</v>
          </cell>
          <cell r="AE77">
            <v>0.96729145978152942</v>
          </cell>
          <cell r="AF77"/>
          <cell r="AG77" t="str">
            <v>NA</v>
          </cell>
          <cell r="AH77" t="str">
            <v>NA</v>
          </cell>
          <cell r="AI77" t="str">
            <v>NA</v>
          </cell>
          <cell r="AJ77" t="str">
            <v>NA</v>
          </cell>
          <cell r="AK77">
            <v>0.48553490866643556</v>
          </cell>
          <cell r="AL77"/>
          <cell r="AM77" t="str">
            <v>NA</v>
          </cell>
          <cell r="AN77" t="str">
            <v>NA</v>
          </cell>
          <cell r="AO77" t="str">
            <v>NA</v>
          </cell>
          <cell r="AP77" t="str">
            <v>NA</v>
          </cell>
          <cell r="AQ77">
            <v>0.23082804171002591</v>
          </cell>
          <cell r="AR77"/>
          <cell r="AS77">
            <v>0.30959356302867747</v>
          </cell>
          <cell r="AT77">
            <v>4.1587999038824597E-2</v>
          </cell>
          <cell r="AU77">
            <v>5.1324821967023926E-2</v>
          </cell>
          <cell r="AV77">
            <v>5.3152492668621543E-2</v>
          </cell>
          <cell r="AW77">
            <v>0.10337152322451537</v>
          </cell>
          <cell r="AX77"/>
          <cell r="AY77">
            <v>6.3047451005104227E-2</v>
          </cell>
          <cell r="AZ77">
            <v>0.12884567850374884</v>
          </cell>
          <cell r="BA77">
            <v>6.0337462622810811E-2</v>
          </cell>
          <cell r="BB77">
            <v>4.6202273036819674E-2</v>
          </cell>
          <cell r="BC77">
            <v>7.3611740972993278E-2</v>
          </cell>
          <cell r="BD77"/>
          <cell r="BE77">
            <v>-2.8290702154776248E-2</v>
          </cell>
          <cell r="BF77">
            <v>1.5955272684806676E-2</v>
          </cell>
          <cell r="BG77">
            <v>3.899112268535232E-3</v>
          </cell>
          <cell r="BH77">
            <v>3.9565179656309679E-2</v>
          </cell>
          <cell r="BI77">
            <v>7.9755441214490741E-3</v>
          </cell>
          <cell r="BJ77"/>
          <cell r="BK77">
            <v>0.11249566563467472</v>
          </cell>
          <cell r="BL77">
            <v>6.3830434135091929E-2</v>
          </cell>
          <cell r="BM77">
            <v>7.7048726249999699E-2</v>
          </cell>
          <cell r="BN77">
            <v>6.1363550624999652E-2</v>
          </cell>
          <cell r="BO77">
            <v>7.8049483834328637E-2</v>
          </cell>
          <cell r="BP77"/>
          <cell r="BQ77">
            <v>5.6135158749999636E-2</v>
          </cell>
          <cell r="BR77">
            <v>5.093252249999991E-2</v>
          </cell>
          <cell r="BS77">
            <v>4.5755514999999969E-2</v>
          </cell>
          <cell r="BT77">
            <v>4.0604010000000024E-2</v>
          </cell>
          <cell r="BU77">
            <v>4.8260460251926318E-2</v>
          </cell>
          <cell r="BV77"/>
          <cell r="BW77">
            <v>0</v>
          </cell>
          <cell r="BX77">
            <v>0</v>
          </cell>
          <cell r="BY77">
            <v>0</v>
          </cell>
          <cell r="BZ77">
            <v>0</v>
          </cell>
          <cell r="CA77">
            <v>0</v>
          </cell>
          <cell r="CB77"/>
          <cell r="CC77">
            <v>0</v>
          </cell>
          <cell r="CD77">
            <v>0</v>
          </cell>
          <cell r="CE77">
            <v>0</v>
          </cell>
          <cell r="CF77">
            <v>0</v>
          </cell>
          <cell r="CG77">
            <v>0</v>
          </cell>
          <cell r="CH77"/>
        </row>
        <row r="78">
          <cell r="A78" t="str">
            <v>Basic EPS</v>
          </cell>
          <cell r="B78"/>
          <cell r="C78"/>
          <cell r="D78"/>
          <cell r="E78"/>
          <cell r="F78"/>
          <cell r="G78"/>
          <cell r="H78"/>
          <cell r="I78"/>
          <cell r="J78"/>
          <cell r="K78"/>
          <cell r="L78"/>
          <cell r="M78"/>
          <cell r="N78"/>
          <cell r="O78"/>
          <cell r="P78"/>
          <cell r="Q78"/>
          <cell r="R78"/>
          <cell r="S78"/>
          <cell r="T78"/>
          <cell r="U78"/>
          <cell r="V78"/>
          <cell r="W78"/>
          <cell r="X78"/>
          <cell r="Y78">
            <v>-0.5990566037735845</v>
          </cell>
          <cell r="Z78"/>
          <cell r="AA78" t="str">
            <v>NA</v>
          </cell>
          <cell r="AB78" t="str">
            <v>NA</v>
          </cell>
          <cell r="AC78" t="str">
            <v>NA</v>
          </cell>
          <cell r="AD78" t="str">
            <v>NA</v>
          </cell>
          <cell r="AE78">
            <v>-0.62996498091302022</v>
          </cell>
          <cell r="AF78"/>
          <cell r="AG78" t="str">
            <v>NA</v>
          </cell>
          <cell r="AH78" t="str">
            <v>NA</v>
          </cell>
          <cell r="AI78" t="str">
            <v>NA</v>
          </cell>
          <cell r="AJ78" t="str">
            <v>NA</v>
          </cell>
          <cell r="AK78">
            <v>-0.44543713970596044</v>
          </cell>
          <cell r="AL78"/>
          <cell r="AM78">
            <v>-7.5510625128945727E-2</v>
          </cell>
          <cell r="AN78">
            <v>-9.110569496412757E-2</v>
          </cell>
          <cell r="AO78">
            <v>1.9230769230769256E-2</v>
          </cell>
          <cell r="AP78">
            <v>2.157975264567125E-2</v>
          </cell>
          <cell r="AQ78">
            <v>-0.11068741804127273</v>
          </cell>
          <cell r="AR78"/>
          <cell r="AS78">
            <v>0.14896968933140081</v>
          </cell>
          <cell r="AT78">
            <v>-7.5257477136030232E-2</v>
          </cell>
          <cell r="AU78">
            <v>0.24832184048330994</v>
          </cell>
          <cell r="AV78">
            <v>0.34961182826616621</v>
          </cell>
          <cell r="AW78">
            <v>0.69226077845716016</v>
          </cell>
          <cell r="AX78"/>
          <cell r="AY78">
            <v>4.4251459735024791E-2</v>
          </cell>
          <cell r="AZ78">
            <v>1.307952820273273E-2</v>
          </cell>
          <cell r="BA78">
            <v>0.23649338877458534</v>
          </cell>
          <cell r="BB78">
            <v>0.67904285363457761</v>
          </cell>
          <cell r="BC78">
            <v>0.95419325517205644</v>
          </cell>
          <cell r="BD78"/>
          <cell r="BE78">
            <v>-9.8415409721057334E-2</v>
          </cell>
          <cell r="BF78">
            <v>2.4196445249076846E-2</v>
          </cell>
          <cell r="BG78">
            <v>0.38897010347693967</v>
          </cell>
          <cell r="BH78">
            <v>0.29638700703881399</v>
          </cell>
          <cell r="BI78">
            <v>0.63107472760284156</v>
          </cell>
          <cell r="BJ78"/>
          <cell r="BK78">
            <v>5.5421060290190484E-2</v>
          </cell>
          <cell r="BL78">
            <v>0.23506447757612203</v>
          </cell>
          <cell r="BM78">
            <v>0.24801476918342744</v>
          </cell>
          <cell r="BN78">
            <v>9.8108036920767708E-2</v>
          </cell>
          <cell r="BO78">
            <v>0.63762148694963805</v>
          </cell>
          <cell r="BP78"/>
          <cell r="BQ78">
            <v>0.17898992279353754</v>
          </cell>
          <cell r="BR78">
            <v>0.21714497070936681</v>
          </cell>
          <cell r="BS78">
            <v>0.47116090127089605</v>
          </cell>
          <cell r="BT78">
            <v>0.32517770059145329</v>
          </cell>
          <cell r="BU78">
            <v>1.1959099494788952</v>
          </cell>
          <cell r="BV78"/>
          <cell r="BW78" t="str">
            <v>NA</v>
          </cell>
          <cell r="BX78" t="str">
            <v>NA</v>
          </cell>
          <cell r="BY78" t="str">
            <v>NA</v>
          </cell>
          <cell r="BZ78" t="str">
            <v>NA</v>
          </cell>
          <cell r="CA78" t="str">
            <v>NA</v>
          </cell>
          <cell r="CB78"/>
          <cell r="CC78" t="str">
            <v>NA</v>
          </cell>
          <cell r="CD78" t="str">
            <v>NA</v>
          </cell>
          <cell r="CE78" t="str">
            <v>NA</v>
          </cell>
          <cell r="CF78" t="str">
            <v>NA</v>
          </cell>
          <cell r="CG78" t="str">
            <v>NA</v>
          </cell>
        </row>
        <row r="79">
          <cell r="A79" t="str">
            <v>Diluted EPS</v>
          </cell>
          <cell r="B79"/>
          <cell r="C79"/>
          <cell r="D79"/>
          <cell r="E79"/>
          <cell r="F79"/>
          <cell r="G79"/>
          <cell r="H79"/>
          <cell r="I79"/>
          <cell r="J79"/>
          <cell r="K79"/>
          <cell r="L79"/>
          <cell r="M79"/>
          <cell r="N79"/>
          <cell r="O79"/>
          <cell r="P79"/>
          <cell r="Q79"/>
          <cell r="R79"/>
          <cell r="S79"/>
          <cell r="T79"/>
          <cell r="U79"/>
          <cell r="V79"/>
          <cell r="W79"/>
          <cell r="X79"/>
          <cell r="Y79">
            <v>-0.5990566037735845</v>
          </cell>
          <cell r="Z79"/>
          <cell r="AA79" t="str">
            <v>NA</v>
          </cell>
          <cell r="AB79" t="str">
            <v>NA</v>
          </cell>
          <cell r="AC79" t="str">
            <v>NA</v>
          </cell>
          <cell r="AD79" t="str">
            <v>NA</v>
          </cell>
          <cell r="AE79">
            <v>-0.62996498091302022</v>
          </cell>
          <cell r="AF79"/>
          <cell r="AG79" t="str">
            <v>NA</v>
          </cell>
          <cell r="AH79" t="str">
            <v>NA</v>
          </cell>
          <cell r="AI79" t="str">
            <v>NA</v>
          </cell>
          <cell r="AJ79" t="str">
            <v>NA</v>
          </cell>
          <cell r="AK79">
            <v>-0.44543713970596044</v>
          </cell>
          <cell r="AL79"/>
          <cell r="AM79">
            <v>-7.5510625128945727E-2</v>
          </cell>
          <cell r="AN79">
            <v>-9.110569496412757E-2</v>
          </cell>
          <cell r="AO79">
            <v>1.9230769230769256E-2</v>
          </cell>
          <cell r="AP79">
            <v>2.157975264567125E-2</v>
          </cell>
          <cell r="AQ79">
            <v>-0.11068741804127273</v>
          </cell>
          <cell r="AR79"/>
          <cell r="AS79">
            <v>0.14896968933140081</v>
          </cell>
          <cell r="AT79">
            <v>-7.5257477136030232E-2</v>
          </cell>
          <cell r="AU79">
            <v>0.24832184048330994</v>
          </cell>
          <cell r="AV79">
            <v>0.34961182826616621</v>
          </cell>
          <cell r="AW79">
            <v>0.69226077845716016</v>
          </cell>
          <cell r="AX79"/>
          <cell r="AY79">
            <v>4.4251459735024791E-2</v>
          </cell>
          <cell r="AZ79">
            <v>1.307952820273273E-2</v>
          </cell>
          <cell r="BA79">
            <v>0.23649338877458534</v>
          </cell>
          <cell r="BB79">
            <v>0.63994966151709765</v>
          </cell>
          <cell r="BC79">
            <v>0.94036421634494527</v>
          </cell>
          <cell r="BD79"/>
          <cell r="BE79">
            <v>-9.8415409721057334E-2</v>
          </cell>
          <cell r="BF79">
            <v>2.4196445249076846E-2</v>
          </cell>
          <cell r="BG79">
            <v>0.38897010347693967</v>
          </cell>
          <cell r="BH79">
            <v>0.29638700703881399</v>
          </cell>
          <cell r="BI79">
            <v>0.63107472760284156</v>
          </cell>
          <cell r="BJ79"/>
          <cell r="BK79">
            <v>5.5421060290190484E-2</v>
          </cell>
          <cell r="BL79">
            <v>0.23506447757612203</v>
          </cell>
          <cell r="BM79">
            <v>0.24801476918342744</v>
          </cell>
          <cell r="BN79">
            <v>9.8108036920767708E-2</v>
          </cell>
          <cell r="BO79">
            <v>0.63762148694963805</v>
          </cell>
          <cell r="BP79"/>
          <cell r="BQ79">
            <v>0.17898992279353754</v>
          </cell>
          <cell r="BR79">
            <v>0.21714497070936681</v>
          </cell>
          <cell r="BS79">
            <v>0.47116090127089605</v>
          </cell>
          <cell r="BT79">
            <v>0.32517770059145329</v>
          </cell>
          <cell r="BU79">
            <v>1.1959099494788952</v>
          </cell>
          <cell r="BV79"/>
          <cell r="BW79" t="str">
            <v>NA</v>
          </cell>
          <cell r="BX79" t="str">
            <v>NA</v>
          </cell>
          <cell r="BY79" t="str">
            <v>NA</v>
          </cell>
          <cell r="BZ79" t="str">
            <v>NA</v>
          </cell>
          <cell r="CA79" t="str">
            <v>NA</v>
          </cell>
          <cell r="CB79"/>
          <cell r="CC79" t="str">
            <v>NA</v>
          </cell>
          <cell r="CD79" t="str">
            <v>NA</v>
          </cell>
          <cell r="CE79" t="str">
            <v>NA</v>
          </cell>
          <cell r="CF79" t="str">
            <v>NA</v>
          </cell>
          <cell r="CG79" t="str">
            <v>NA</v>
          </cell>
        </row>
        <row r="80">
          <cell r="A80"/>
          <cell r="B80"/>
          <cell r="C80"/>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cell r="BP80"/>
          <cell r="BQ80"/>
          <cell r="BR80"/>
          <cell r="BS80"/>
          <cell r="BT80"/>
          <cell r="BU80"/>
          <cell r="BV80"/>
          <cell r="BW80"/>
          <cell r="BX80"/>
          <cell r="BY80"/>
          <cell r="BZ80"/>
          <cell r="CA80"/>
          <cell r="CB80"/>
          <cell r="CC80"/>
          <cell r="CD80"/>
          <cell r="CE80"/>
          <cell r="CF80"/>
          <cell r="CG80"/>
          <cell r="CH80"/>
        </row>
        <row r="81">
          <cell r="A81" t="str">
            <v>EPS</v>
          </cell>
          <cell r="B81"/>
          <cell r="C81"/>
          <cell r="D81"/>
          <cell r="E81"/>
          <cell r="F81"/>
          <cell r="G81"/>
          <cell r="H81"/>
          <cell r="I81"/>
          <cell r="J81"/>
          <cell r="K81"/>
          <cell r="L81"/>
          <cell r="M81"/>
          <cell r="N81"/>
          <cell r="O81"/>
          <cell r="P81"/>
          <cell r="Q81"/>
          <cell r="R81"/>
          <cell r="S81"/>
          <cell r="T81"/>
          <cell r="U81"/>
          <cell r="V81"/>
          <cell r="W81"/>
          <cell r="X81"/>
          <cell r="Y81">
            <v>-0.5990566037735845</v>
          </cell>
          <cell r="Z81"/>
          <cell r="AA81" t="str">
            <v>NA</v>
          </cell>
          <cell r="AB81" t="str">
            <v>NA</v>
          </cell>
          <cell r="AC81" t="str">
            <v>NA</v>
          </cell>
          <cell r="AD81" t="str">
            <v>NA</v>
          </cell>
          <cell r="AE81">
            <v>-0.62996498091302022</v>
          </cell>
          <cell r="AF81"/>
          <cell r="AG81" t="str">
            <v>NA</v>
          </cell>
          <cell r="AH81" t="str">
            <v>NA</v>
          </cell>
          <cell r="AI81" t="str">
            <v>NA</v>
          </cell>
          <cell r="AJ81" t="str">
            <v>NA</v>
          </cell>
          <cell r="AK81">
            <v>-0.44543713970596044</v>
          </cell>
          <cell r="AL81"/>
          <cell r="AM81">
            <v>-7.5510625128945727E-2</v>
          </cell>
          <cell r="AN81">
            <v>-9.110569496412757E-2</v>
          </cell>
          <cell r="AO81">
            <v>1.9230769230769256E-2</v>
          </cell>
          <cell r="AP81">
            <v>2.157975264567125E-2</v>
          </cell>
          <cell r="AQ81">
            <v>-0.11068741804127273</v>
          </cell>
          <cell r="AR81"/>
          <cell r="AS81">
            <v>0.14896968933140081</v>
          </cell>
          <cell r="AT81">
            <v>-7.5257477136030232E-2</v>
          </cell>
          <cell r="AU81">
            <v>0.24832184048330994</v>
          </cell>
          <cell r="AV81">
            <v>0.34961182826616621</v>
          </cell>
          <cell r="AW81">
            <v>0.69226077845716016</v>
          </cell>
          <cell r="AX81"/>
          <cell r="AY81">
            <v>4.4251459735024791E-2</v>
          </cell>
          <cell r="AZ81">
            <v>1.307952820273273E-2</v>
          </cell>
          <cell r="BA81">
            <v>0.23649338877458534</v>
          </cell>
          <cell r="BB81">
            <v>0.63994966151709765</v>
          </cell>
          <cell r="BC81">
            <v>0.94036421634494527</v>
          </cell>
          <cell r="BD81"/>
          <cell r="BE81">
            <v>-9.8415409721057334E-2</v>
          </cell>
          <cell r="BF81">
            <v>2.4196445249076846E-2</v>
          </cell>
          <cell r="BG81">
            <v>0.38897010347693967</v>
          </cell>
          <cell r="BH81">
            <v>0.29638700703881399</v>
          </cell>
          <cell r="BI81">
            <v>0.63107472760284156</v>
          </cell>
          <cell r="BJ81"/>
          <cell r="BK81">
            <v>5.5421060290190484E-2</v>
          </cell>
          <cell r="BL81">
            <v>0.23506447757612203</v>
          </cell>
          <cell r="BM81">
            <v>0.24801476918342744</v>
          </cell>
          <cell r="BN81">
            <v>9.8108036920767708E-2</v>
          </cell>
          <cell r="BO81">
            <v>0.63762148694963805</v>
          </cell>
          <cell r="BP81"/>
          <cell r="BQ81">
            <v>0.17898992279353754</v>
          </cell>
          <cell r="BR81">
            <v>0.21714497070936681</v>
          </cell>
          <cell r="BS81">
            <v>0.47116090127089605</v>
          </cell>
          <cell r="BT81">
            <v>0.32517770059145329</v>
          </cell>
          <cell r="BU81">
            <v>1.1959099494788952</v>
          </cell>
          <cell r="BV81"/>
          <cell r="BW81" t="str">
            <v>NA</v>
          </cell>
          <cell r="BX81" t="str">
            <v>NA</v>
          </cell>
          <cell r="BY81" t="str">
            <v>NA</v>
          </cell>
          <cell r="BZ81" t="str">
            <v>NA</v>
          </cell>
          <cell r="CA81" t="str">
            <v>NA</v>
          </cell>
          <cell r="CB81"/>
          <cell r="CC81" t="str">
            <v>NA</v>
          </cell>
          <cell r="CD81" t="str">
            <v>NA</v>
          </cell>
          <cell r="CE81" t="str">
            <v>NA</v>
          </cell>
          <cell r="CF81" t="str">
            <v>NA</v>
          </cell>
          <cell r="CG81" t="str">
            <v>NA</v>
          </cell>
          <cell r="CH81"/>
        </row>
        <row r="82">
          <cell r="A82" t="str">
            <v>y/y change</v>
          </cell>
          <cell r="B82"/>
          <cell r="C82"/>
          <cell r="D82"/>
          <cell r="E82"/>
          <cell r="F82"/>
          <cell r="G82"/>
          <cell r="H82"/>
          <cell r="I82"/>
          <cell r="J82"/>
          <cell r="K82"/>
          <cell r="L82"/>
          <cell r="M82"/>
          <cell r="N82"/>
          <cell r="O82"/>
          <cell r="P82"/>
          <cell r="Q82"/>
          <cell r="R82"/>
          <cell r="S82"/>
          <cell r="T82"/>
          <cell r="U82"/>
          <cell r="V82"/>
          <cell r="W82"/>
          <cell r="X82"/>
          <cell r="Y82" t="str">
            <v>NM</v>
          </cell>
          <cell r="Z82"/>
          <cell r="AA82" t="str">
            <v>NA</v>
          </cell>
          <cell r="AB82" t="str">
            <v>NA</v>
          </cell>
          <cell r="AC82" t="str">
            <v>NA</v>
          </cell>
          <cell r="AD82" t="str">
            <v>NA</v>
          </cell>
          <cell r="AE82" t="str">
            <v>NM</v>
          </cell>
          <cell r="AF82"/>
          <cell r="AG82" t="str">
            <v>NA</v>
          </cell>
          <cell r="AH82" t="str">
            <v>NA</v>
          </cell>
          <cell r="AI82" t="str">
            <v>NA</v>
          </cell>
          <cell r="AJ82" t="str">
            <v>NA</v>
          </cell>
          <cell r="AK82" t="str">
            <v>NM</v>
          </cell>
          <cell r="AL82"/>
          <cell r="AM82" t="str">
            <v>NA</v>
          </cell>
          <cell r="AN82" t="str">
            <v>NA</v>
          </cell>
          <cell r="AO82" t="str">
            <v>NA</v>
          </cell>
          <cell r="AP82" t="str">
            <v>NA</v>
          </cell>
          <cell r="AQ82" t="str">
            <v>NA</v>
          </cell>
          <cell r="AR82"/>
          <cell r="AS82" t="str">
            <v>NM</v>
          </cell>
          <cell r="AT82" t="str">
            <v>NM</v>
          </cell>
          <cell r="AU82">
            <v>11.9127357051321</v>
          </cell>
          <cell r="AV82">
            <v>15.200919167453755</v>
          </cell>
          <cell r="AW82" t="str">
            <v>NM</v>
          </cell>
          <cell r="AX82"/>
          <cell r="AY82">
            <v>-0.70294990924910805</v>
          </cell>
          <cell r="AZ82" t="str">
            <v>NM</v>
          </cell>
          <cell r="BA82">
            <v>-4.7633553640319515E-2</v>
          </cell>
          <cell r="BB82">
            <v>0.8304576955842915</v>
          </cell>
          <cell r="BC82">
            <v>0.3583959190071877</v>
          </cell>
          <cell r="BD82"/>
          <cell r="BE82" t="str">
            <v>NM</v>
          </cell>
          <cell r="BF82">
            <v>0.8499478631057531</v>
          </cell>
          <cell r="BG82">
            <v>0.64473986140766137</v>
          </cell>
          <cell r="BH82">
            <v>-0.53685887365549401</v>
          </cell>
          <cell r="BI82">
            <v>-0.32890393250422223</v>
          </cell>
          <cell r="BJ82"/>
          <cell r="BK82" t="str">
            <v>NM</v>
          </cell>
          <cell r="BL82">
            <v>8.7148351816302565</v>
          </cell>
          <cell r="BM82">
            <v>-0.36238089517301131</v>
          </cell>
          <cell r="BN82">
            <v>-0.6689867146979227</v>
          </cell>
          <cell r="BO82">
            <v>1.0373984348358567E-2</v>
          </cell>
          <cell r="BP82"/>
          <cell r="BQ82">
            <v>2.2296372869145324</v>
          </cell>
          <cell r="BR82">
            <v>-7.6232304649060723E-2</v>
          </cell>
          <cell r="BS82">
            <v>0.89972920895865527</v>
          </cell>
          <cell r="BT82">
            <v>2.3144858545489764</v>
          </cell>
          <cell r="BU82">
            <v>0.8755797506136318</v>
          </cell>
          <cell r="BV82"/>
          <cell r="BW82" t="str">
            <v>NA</v>
          </cell>
          <cell r="BX82" t="str">
            <v>NA</v>
          </cell>
          <cell r="BY82" t="str">
            <v>NA</v>
          </cell>
          <cell r="BZ82" t="str">
            <v>NA</v>
          </cell>
          <cell r="CA82" t="str">
            <v>NA</v>
          </cell>
          <cell r="CB82"/>
          <cell r="CC82" t="str">
            <v>NA</v>
          </cell>
          <cell r="CD82" t="str">
            <v>NA</v>
          </cell>
          <cell r="CE82" t="str">
            <v>NA</v>
          </cell>
          <cell r="CF82" t="str">
            <v>NA</v>
          </cell>
          <cell r="CG82" t="str">
            <v>NA</v>
          </cell>
        </row>
        <row r="83">
          <cell r="A83"/>
          <cell r="B83"/>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row>
        <row r="84">
          <cell r="A84"/>
          <cell r="B84"/>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cell r="BP84"/>
          <cell r="BQ84"/>
          <cell r="BR84"/>
          <cell r="BS84"/>
          <cell r="BT84"/>
          <cell r="BU84"/>
          <cell r="BV84"/>
          <cell r="BW84"/>
          <cell r="BX84"/>
          <cell r="BY84"/>
          <cell r="BZ84"/>
          <cell r="CA84"/>
          <cell r="CB84"/>
          <cell r="CC84"/>
          <cell r="CD84"/>
          <cell r="CE84"/>
          <cell r="CF84"/>
          <cell r="CG84"/>
        </row>
        <row r="85">
          <cell r="B85"/>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cell r="BP85"/>
          <cell r="BQ85"/>
          <cell r="BR85"/>
          <cell r="BS85"/>
          <cell r="BT85"/>
          <cell r="BU85"/>
          <cell r="BV85"/>
          <cell r="BW85"/>
          <cell r="BX85"/>
          <cell r="BY85"/>
          <cell r="BZ85"/>
          <cell r="CA85"/>
          <cell r="CB85"/>
          <cell r="CC85"/>
          <cell r="CD85"/>
          <cell r="CE85"/>
          <cell r="CF85"/>
          <cell r="CG85"/>
        </row>
        <row r="86">
          <cell r="A86" t="str">
            <v>GAAP MODEL</v>
          </cell>
          <cell r="C86"/>
          <cell r="D86"/>
          <cell r="E86"/>
          <cell r="F86"/>
          <cell r="G86"/>
          <cell r="I86"/>
          <cell r="J86"/>
          <cell r="K86"/>
          <cell r="L86"/>
          <cell r="M86"/>
          <cell r="O86"/>
          <cell r="P86"/>
          <cell r="Q86"/>
          <cell r="R86"/>
          <cell r="S86"/>
          <cell r="U86"/>
          <cell r="V86"/>
          <cell r="W86"/>
          <cell r="X86"/>
          <cell r="Y86"/>
          <cell r="AA86"/>
          <cell r="AB86"/>
          <cell r="AC86"/>
          <cell r="AD86"/>
          <cell r="AE86"/>
          <cell r="AG86"/>
          <cell r="AH86"/>
          <cell r="AI86"/>
          <cell r="AJ86"/>
          <cell r="AK86"/>
          <cell r="AM86"/>
          <cell r="AN86"/>
          <cell r="AO86"/>
          <cell r="AP86"/>
          <cell r="AQ86"/>
          <cell r="AS86"/>
          <cell r="AT86"/>
          <cell r="AU86"/>
          <cell r="AV86"/>
          <cell r="AW86"/>
          <cell r="AY86"/>
          <cell r="AZ86"/>
          <cell r="BA86"/>
          <cell r="BB86"/>
          <cell r="BC86"/>
          <cell r="BE86"/>
          <cell r="BF86"/>
          <cell r="BG86"/>
          <cell r="BH86"/>
          <cell r="BI86"/>
          <cell r="BK86"/>
          <cell r="BL86"/>
          <cell r="BM86"/>
          <cell r="BN86"/>
          <cell r="BO86"/>
          <cell r="BQ86"/>
          <cell r="BR86"/>
          <cell r="BS86"/>
          <cell r="BT86"/>
          <cell r="BU86"/>
          <cell r="BW86"/>
          <cell r="BX86"/>
          <cell r="BY86"/>
          <cell r="BZ86"/>
          <cell r="CA86"/>
          <cell r="CC86"/>
          <cell r="CD86"/>
          <cell r="CE86"/>
          <cell r="CF86"/>
          <cell r="CG86"/>
        </row>
        <row r="87">
          <cell r="A87"/>
          <cell r="C87"/>
          <cell r="D87"/>
          <cell r="E87"/>
          <cell r="F87"/>
          <cell r="G87"/>
          <cell r="I87"/>
          <cell r="J87"/>
          <cell r="K87"/>
          <cell r="L87"/>
          <cell r="M87"/>
          <cell r="O87"/>
          <cell r="P87"/>
          <cell r="Q87"/>
          <cell r="R87"/>
          <cell r="S87"/>
          <cell r="U87"/>
          <cell r="V87"/>
          <cell r="W87"/>
          <cell r="X87"/>
          <cell r="Y87"/>
          <cell r="AA87"/>
          <cell r="AB87"/>
          <cell r="AC87"/>
          <cell r="AD87"/>
          <cell r="AE87"/>
          <cell r="AG87"/>
          <cell r="AH87"/>
          <cell r="AI87"/>
          <cell r="AJ87"/>
          <cell r="AK87"/>
          <cell r="AM87"/>
          <cell r="AN87"/>
          <cell r="AO87"/>
          <cell r="AP87"/>
          <cell r="AQ87"/>
          <cell r="AS87"/>
          <cell r="AT87"/>
          <cell r="AU87"/>
          <cell r="AV87"/>
          <cell r="AW87"/>
          <cell r="AY87"/>
          <cell r="AZ87"/>
          <cell r="BA87"/>
          <cell r="BB87"/>
          <cell r="BC87"/>
          <cell r="BE87"/>
          <cell r="BF87"/>
          <cell r="BG87"/>
          <cell r="BH87"/>
          <cell r="BI87"/>
          <cell r="BK87"/>
          <cell r="BL87"/>
          <cell r="BM87"/>
          <cell r="BN87"/>
          <cell r="BO87"/>
          <cell r="BQ87"/>
          <cell r="BR87"/>
          <cell r="BS87"/>
          <cell r="BT87"/>
          <cell r="BU87"/>
          <cell r="BW87"/>
          <cell r="BX87"/>
          <cell r="BY87"/>
          <cell r="BZ87"/>
          <cell r="CA87"/>
          <cell r="CC87"/>
          <cell r="CD87"/>
          <cell r="CE87"/>
          <cell r="CF87"/>
          <cell r="CG87"/>
        </row>
        <row r="88">
          <cell r="A88" t="str">
            <v>License revenue</v>
          </cell>
          <cell r="C88">
            <v>0</v>
          </cell>
          <cell r="D88">
            <v>0</v>
          </cell>
          <cell r="E88">
            <v>0</v>
          </cell>
          <cell r="F88">
            <v>0</v>
          </cell>
          <cell r="G88">
            <v>0</v>
          </cell>
          <cell r="I88">
            <v>0</v>
          </cell>
          <cell r="J88">
            <v>0</v>
          </cell>
          <cell r="K88">
            <v>0</v>
          </cell>
          <cell r="L88">
            <v>0</v>
          </cell>
          <cell r="M88">
            <v>0</v>
          </cell>
          <cell r="O88">
            <v>0</v>
          </cell>
          <cell r="P88">
            <v>0</v>
          </cell>
          <cell r="Q88">
            <v>0</v>
          </cell>
          <cell r="R88">
            <v>0</v>
          </cell>
          <cell r="S88">
            <v>0</v>
          </cell>
          <cell r="U88">
            <v>0</v>
          </cell>
          <cell r="V88">
            <v>0</v>
          </cell>
          <cell r="W88">
            <v>0</v>
          </cell>
          <cell r="X88">
            <v>0</v>
          </cell>
          <cell r="Y88">
            <v>0</v>
          </cell>
          <cell r="AA88">
            <v>0</v>
          </cell>
          <cell r="AB88">
            <v>0</v>
          </cell>
          <cell r="AC88">
            <v>0</v>
          </cell>
          <cell r="AD88">
            <v>0</v>
          </cell>
          <cell r="AE88">
            <v>0</v>
          </cell>
          <cell r="AG88">
            <v>0</v>
          </cell>
          <cell r="AH88">
            <v>0</v>
          </cell>
          <cell r="AI88">
            <v>0</v>
          </cell>
          <cell r="AJ88">
            <v>0</v>
          </cell>
          <cell r="AK88">
            <v>0</v>
          </cell>
          <cell r="AM88">
            <v>0</v>
          </cell>
          <cell r="AN88">
            <v>0</v>
          </cell>
          <cell r="AO88">
            <v>0</v>
          </cell>
          <cell r="AP88">
            <v>0</v>
          </cell>
          <cell r="AQ88">
            <v>0</v>
          </cell>
          <cell r="AS88">
            <v>22.475000000000001</v>
          </cell>
          <cell r="AT88">
            <v>21.484000000000002</v>
          </cell>
          <cell r="AU88">
            <v>28.821999999999999</v>
          </cell>
          <cell r="AV88">
            <v>51.887999999999991</v>
          </cell>
          <cell r="AW88">
            <v>124.669</v>
          </cell>
          <cell r="AY88">
            <v>34.807000000000002</v>
          </cell>
          <cell r="AZ88">
            <v>36.841000000000001</v>
          </cell>
          <cell r="BA88">
            <v>54.332000000000001</v>
          </cell>
          <cell r="BB88">
            <v>103.214</v>
          </cell>
          <cell r="BC88">
            <v>229.19399999999999</v>
          </cell>
          <cell r="BE88">
            <v>50.744</v>
          </cell>
          <cell r="BF88">
            <v>34.646000000000001</v>
          </cell>
          <cell r="BG88">
            <v>49.543779999999998</v>
          </cell>
          <cell r="BH88">
            <v>75.801983399999997</v>
          </cell>
          <cell r="BI88">
            <v>210.7357634</v>
          </cell>
          <cell r="BK88">
            <v>45.260061258324768</v>
          </cell>
          <cell r="BL88">
            <v>38.519557233320349</v>
          </cell>
          <cell r="BM88">
            <v>48.853726887774144</v>
          </cell>
          <cell r="BN88">
            <v>101.31016994211936</v>
          </cell>
          <cell r="BO88">
            <v>233.94351532153863</v>
          </cell>
          <cell r="BQ88" t="e">
            <v>#VALUE!</v>
          </cell>
          <cell r="BR88" t="e">
            <v>#VALUE!</v>
          </cell>
          <cell r="BS88" t="e">
            <v>#VALUE!</v>
          </cell>
          <cell r="BT88" t="e">
            <v>#VALUE!</v>
          </cell>
          <cell r="BU88" t="e">
            <v>#VALUE!</v>
          </cell>
          <cell r="BW88" t="e">
            <v>#VALUE!</v>
          </cell>
          <cell r="BX88" t="e">
            <v>#VALUE!</v>
          </cell>
          <cell r="BY88" t="e">
            <v>#VALUE!</v>
          </cell>
          <cell r="BZ88" t="e">
            <v>#VALUE!</v>
          </cell>
          <cell r="CA88" t="e">
            <v>#VALUE!</v>
          </cell>
          <cell r="CC88" t="e">
            <v>#VALUE!</v>
          </cell>
          <cell r="CD88" t="e">
            <v>#VALUE!</v>
          </cell>
          <cell r="CE88" t="e">
            <v>#VALUE!</v>
          </cell>
          <cell r="CF88" t="e">
            <v>#VALUE!</v>
          </cell>
          <cell r="CG88" t="e">
            <v>#VALUE!</v>
          </cell>
        </row>
        <row r="89">
          <cell r="A89" t="str">
            <v>q/q change</v>
          </cell>
          <cell r="B89"/>
          <cell r="C89" t="str">
            <v>NA</v>
          </cell>
          <cell r="D89" t="str">
            <v>NA</v>
          </cell>
          <cell r="E89" t="str">
            <v>NA</v>
          </cell>
          <cell r="F89" t="str">
            <v>NA</v>
          </cell>
          <cell r="G89" t="str">
            <v>NA</v>
          </cell>
          <cell r="I89" t="str">
            <v>NA</v>
          </cell>
          <cell r="J89" t="str">
            <v>NA</v>
          </cell>
          <cell r="K89" t="str">
            <v>NA</v>
          </cell>
          <cell r="L89" t="str">
            <v>NA</v>
          </cell>
          <cell r="M89" t="str">
            <v>NA</v>
          </cell>
          <cell r="O89" t="str">
            <v>NA</v>
          </cell>
          <cell r="P89" t="str">
            <v>NA</v>
          </cell>
          <cell r="Q89" t="str">
            <v>NA</v>
          </cell>
          <cell r="R89" t="str">
            <v>NA</v>
          </cell>
          <cell r="S89" t="str">
            <v>NA</v>
          </cell>
          <cell r="U89" t="str">
            <v>NA</v>
          </cell>
          <cell r="V89" t="str">
            <v>NA</v>
          </cell>
          <cell r="W89" t="str">
            <v>NA</v>
          </cell>
          <cell r="X89" t="str">
            <v>NA</v>
          </cell>
          <cell r="Y89" t="str">
            <v>NA</v>
          </cell>
          <cell r="AA89" t="str">
            <v>NA</v>
          </cell>
          <cell r="AB89" t="str">
            <v>NA</v>
          </cell>
          <cell r="AC89" t="str">
            <v>NA</v>
          </cell>
          <cell r="AD89" t="str">
            <v>NA</v>
          </cell>
          <cell r="AE89" t="str">
            <v>NA</v>
          </cell>
          <cell r="AG89" t="str">
            <v>NA</v>
          </cell>
          <cell r="AH89" t="str">
            <v>NA</v>
          </cell>
          <cell r="AI89" t="str">
            <v>NA</v>
          </cell>
          <cell r="AJ89" t="str">
            <v>NA</v>
          </cell>
          <cell r="AK89" t="str">
            <v>NA</v>
          </cell>
          <cell r="AL89"/>
          <cell r="AM89" t="str">
            <v>NA</v>
          </cell>
          <cell r="AN89" t="str">
            <v>NA</v>
          </cell>
          <cell r="AO89" t="str">
            <v>NA</v>
          </cell>
          <cell r="AP89" t="str">
            <v>NA</v>
          </cell>
          <cell r="AQ89" t="str">
            <v>NA</v>
          </cell>
          <cell r="AS89" t="str">
            <v>NA</v>
          </cell>
          <cell r="AT89">
            <v>-4.4093437152391557E-2</v>
          </cell>
          <cell r="AU89">
            <v>0.34155650716812502</v>
          </cell>
          <cell r="AV89">
            <v>0.80029144403580577</v>
          </cell>
          <cell r="AW89" t="str">
            <v>NA</v>
          </cell>
          <cell r="AY89">
            <v>-0.3291897934011716</v>
          </cell>
          <cell r="AZ89">
            <v>5.8436521389375606E-2</v>
          </cell>
          <cell r="BA89">
            <v>0.47476995738443573</v>
          </cell>
          <cell r="BB89">
            <v>0.89969078995803575</v>
          </cell>
          <cell r="BC89" t="str">
            <v>NA</v>
          </cell>
          <cell r="BE89">
            <v>-0.50836126882012134</v>
          </cell>
          <cell r="BF89">
            <v>-0.31723947658836515</v>
          </cell>
          <cell r="BG89">
            <v>0.42999999999999994</v>
          </cell>
          <cell r="BH89">
            <v>0.53</v>
          </cell>
          <cell r="BI89" t="str">
            <v>NA</v>
          </cell>
          <cell r="BK89">
            <v>-0.4029171899171603</v>
          </cell>
          <cell r="BL89">
            <v>-0.14892830097008825</v>
          </cell>
          <cell r="BM89">
            <v>0.26828370824352277</v>
          </cell>
          <cell r="BN89">
            <v>1.073744960642351</v>
          </cell>
          <cell r="BO89" t="str">
            <v>NA</v>
          </cell>
          <cell r="BQ89" t="str">
            <v>NA</v>
          </cell>
          <cell r="BR89" t="str">
            <v>NA</v>
          </cell>
          <cell r="BS89" t="str">
            <v>NA</v>
          </cell>
          <cell r="BT89" t="str">
            <v>NA</v>
          </cell>
          <cell r="BU89" t="str">
            <v>NA</v>
          </cell>
          <cell r="BW89" t="str">
            <v>NA</v>
          </cell>
          <cell r="BX89" t="str">
            <v>NA</v>
          </cell>
          <cell r="BY89" t="str">
            <v>NA</v>
          </cell>
          <cell r="BZ89" t="str">
            <v>NA</v>
          </cell>
          <cell r="CA89" t="str">
            <v>NA</v>
          </cell>
          <cell r="CC89" t="str">
            <v>NA</v>
          </cell>
          <cell r="CD89" t="str">
            <v>NA</v>
          </cell>
          <cell r="CE89" t="str">
            <v>NA</v>
          </cell>
          <cell r="CF89" t="str">
            <v>NA</v>
          </cell>
          <cell r="CG89" t="str">
            <v>NA</v>
          </cell>
        </row>
        <row r="90">
          <cell r="A90" t="str">
            <v>y/y change</v>
          </cell>
          <cell r="B90"/>
          <cell r="C90" t="str">
            <v>NA</v>
          </cell>
          <cell r="D90" t="str">
            <v>NA</v>
          </cell>
          <cell r="E90" t="str">
            <v>NA</v>
          </cell>
          <cell r="F90" t="str">
            <v>NA</v>
          </cell>
          <cell r="G90" t="str">
            <v>NA</v>
          </cell>
          <cell r="H90"/>
          <cell r="I90" t="str">
            <v>NA</v>
          </cell>
          <cell r="J90" t="str">
            <v>NA</v>
          </cell>
          <cell r="K90" t="str">
            <v>NA</v>
          </cell>
          <cell r="L90" t="str">
            <v>NA</v>
          </cell>
          <cell r="M90" t="str">
            <v>NA</v>
          </cell>
          <cell r="N90"/>
          <cell r="O90" t="str">
            <v>NA</v>
          </cell>
          <cell r="P90" t="str">
            <v>NA</v>
          </cell>
          <cell r="Q90" t="str">
            <v>NA</v>
          </cell>
          <cell r="R90" t="str">
            <v>NA</v>
          </cell>
          <cell r="S90" t="str">
            <v>NA</v>
          </cell>
          <cell r="T90"/>
          <cell r="U90" t="str">
            <v>NA</v>
          </cell>
          <cell r="V90" t="str">
            <v>NA</v>
          </cell>
          <cell r="W90" t="str">
            <v>NA</v>
          </cell>
          <cell r="X90" t="str">
            <v>NA</v>
          </cell>
          <cell r="Y90" t="str">
            <v>NA</v>
          </cell>
          <cell r="Z90"/>
          <cell r="AA90" t="str">
            <v>NA</v>
          </cell>
          <cell r="AB90" t="str">
            <v>NA</v>
          </cell>
          <cell r="AC90" t="str">
            <v>NA</v>
          </cell>
          <cell r="AD90" t="str">
            <v>NA</v>
          </cell>
          <cell r="AE90" t="str">
            <v>NA</v>
          </cell>
          <cell r="AF90"/>
          <cell r="AG90" t="str">
            <v>NA</v>
          </cell>
          <cell r="AH90" t="str">
            <v>NA</v>
          </cell>
          <cell r="AI90" t="str">
            <v>NA</v>
          </cell>
          <cell r="AJ90" t="str">
            <v>NA</v>
          </cell>
          <cell r="AK90" t="str">
            <v>NA</v>
          </cell>
          <cell r="AL90"/>
          <cell r="AM90" t="str">
            <v>NA</v>
          </cell>
          <cell r="AN90" t="str">
            <v>NA</v>
          </cell>
          <cell r="AO90" t="str">
            <v>NA</v>
          </cell>
          <cell r="AP90" t="str">
            <v>NA</v>
          </cell>
          <cell r="AQ90" t="str">
            <v>NA</v>
          </cell>
          <cell r="AR90"/>
          <cell r="AS90" t="str">
            <v>NA</v>
          </cell>
          <cell r="AT90" t="str">
            <v>NA</v>
          </cell>
          <cell r="AU90" t="str">
            <v>NA</v>
          </cell>
          <cell r="AV90" t="str">
            <v>NA</v>
          </cell>
          <cell r="AW90" t="str">
            <v>NA</v>
          </cell>
          <cell r="AX90"/>
          <cell r="AY90">
            <v>0.54869855394883205</v>
          </cell>
          <cell r="AZ90">
            <v>0.7148110221560231</v>
          </cell>
          <cell r="BA90">
            <v>0.88508778016792733</v>
          </cell>
          <cell r="BB90">
            <v>0.98916897934011749</v>
          </cell>
          <cell r="BC90">
            <v>0.83842013652150893</v>
          </cell>
          <cell r="BD90"/>
          <cell r="BE90">
            <v>0.45786767029620479</v>
          </cell>
          <cell r="BF90">
            <v>-5.9580358839336656E-2</v>
          </cell>
          <cell r="BG90">
            <v>0.16218802915408959</v>
          </cell>
          <cell r="BH90">
            <v>-0.24751370938051043</v>
          </cell>
          <cell r="BI90">
            <v>-1.3058282503032315E-2</v>
          </cell>
          <cell r="BJ90"/>
          <cell r="BK90">
            <v>-0.15818784486835868</v>
          </cell>
          <cell r="BL90">
            <v>0.22185717704785546</v>
          </cell>
          <cell r="BM90">
            <v>-0.12961567173089728</v>
          </cell>
          <cell r="BN90">
            <v>-4.4700127509521348E-2</v>
          </cell>
          <cell r="BO90">
            <v>-5.3035999057268635E-2</v>
          </cell>
          <cell r="BP90"/>
          <cell r="BQ90">
            <v>3.7078422433442393E-2</v>
          </cell>
          <cell r="BR90">
            <v>9.4635751630051335E-2</v>
          </cell>
          <cell r="BS90">
            <v>6.9341532546511875E-2</v>
          </cell>
          <cell r="BT90">
            <v>0.18815725838501307</v>
          </cell>
          <cell r="BU90">
            <v>0.10906139085585331</v>
          </cell>
          <cell r="BV90"/>
          <cell r="BW90" t="str">
            <v>NA</v>
          </cell>
          <cell r="BX90" t="str">
            <v>NA</v>
          </cell>
          <cell r="BY90" t="str">
            <v>NA</v>
          </cell>
          <cell r="BZ90" t="str">
            <v>NA</v>
          </cell>
          <cell r="CA90" t="str">
            <v>NA</v>
          </cell>
          <cell r="CB90"/>
          <cell r="CC90" t="str">
            <v>NA</v>
          </cell>
          <cell r="CD90" t="str">
            <v>NA</v>
          </cell>
          <cell r="CE90" t="str">
            <v>NA</v>
          </cell>
          <cell r="CF90" t="str">
            <v>NA</v>
          </cell>
          <cell r="CG90" t="str">
            <v>NA</v>
          </cell>
        </row>
        <row r="91">
          <cell r="A91"/>
          <cell r="B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cell r="CF91"/>
          <cell r="CG91"/>
        </row>
        <row r="92">
          <cell r="A92" t="str">
            <v>Maintenance and services revenue</v>
          </cell>
          <cell r="C92">
            <v>0</v>
          </cell>
          <cell r="D92">
            <v>0</v>
          </cell>
          <cell r="E92">
            <v>0</v>
          </cell>
          <cell r="F92">
            <v>0</v>
          </cell>
          <cell r="G92">
            <v>0</v>
          </cell>
          <cell r="I92">
            <v>0</v>
          </cell>
          <cell r="J92">
            <v>0</v>
          </cell>
          <cell r="K92">
            <v>0</v>
          </cell>
          <cell r="L92">
            <v>0</v>
          </cell>
          <cell r="M92">
            <v>0</v>
          </cell>
          <cell r="O92">
            <v>0</v>
          </cell>
          <cell r="P92">
            <v>0</v>
          </cell>
          <cell r="Q92">
            <v>0</v>
          </cell>
          <cell r="R92">
            <v>0</v>
          </cell>
          <cell r="S92">
            <v>0</v>
          </cell>
          <cell r="U92">
            <v>0</v>
          </cell>
          <cell r="V92">
            <v>0</v>
          </cell>
          <cell r="W92">
            <v>0</v>
          </cell>
          <cell r="X92">
            <v>0</v>
          </cell>
          <cell r="Y92">
            <v>0</v>
          </cell>
          <cell r="AA92">
            <v>0</v>
          </cell>
          <cell r="AB92">
            <v>0</v>
          </cell>
          <cell r="AC92">
            <v>0</v>
          </cell>
          <cell r="AD92">
            <v>0</v>
          </cell>
          <cell r="AE92">
            <v>0</v>
          </cell>
          <cell r="AG92">
            <v>0</v>
          </cell>
          <cell r="AH92">
            <v>0</v>
          </cell>
          <cell r="AI92">
            <v>0</v>
          </cell>
          <cell r="AJ92">
            <v>0</v>
          </cell>
          <cell r="AK92">
            <v>0</v>
          </cell>
          <cell r="AM92">
            <v>0</v>
          </cell>
          <cell r="AN92">
            <v>0</v>
          </cell>
          <cell r="AO92">
            <v>0</v>
          </cell>
          <cell r="AP92">
            <v>0</v>
          </cell>
          <cell r="AQ92">
            <v>0</v>
          </cell>
          <cell r="AS92">
            <v>27.853999999999999</v>
          </cell>
          <cell r="AT92">
            <v>30.018000000000001</v>
          </cell>
          <cell r="AU92">
            <v>33.767000000000003</v>
          </cell>
          <cell r="AV92">
            <v>37.262</v>
          </cell>
          <cell r="AW92">
            <v>128.90100000000001</v>
          </cell>
          <cell r="AY92">
            <v>41.213000000000001</v>
          </cell>
          <cell r="AZ92">
            <v>45.201999999999998</v>
          </cell>
          <cell r="BA92">
            <v>49.064999999999998</v>
          </cell>
          <cell r="BB92">
            <v>53.236000000000018</v>
          </cell>
          <cell r="BC92">
            <v>188.71600000000001</v>
          </cell>
          <cell r="BE92">
            <v>58.087000000000003</v>
          </cell>
          <cell r="BF92">
            <v>61.587000000000003</v>
          </cell>
          <cell r="BG92">
            <v>63.434610000000006</v>
          </cell>
          <cell r="BH92">
            <v>68.509378800000007</v>
          </cell>
          <cell r="BI92">
            <v>251.61798880000001</v>
          </cell>
          <cell r="BK92">
            <v>71.971792335648345</v>
          </cell>
          <cell r="BL92">
            <v>74.797118782670481</v>
          </cell>
          <cell r="BM92">
            <v>78.024875586652044</v>
          </cell>
          <cell r="BN92">
            <v>84.249321667302155</v>
          </cell>
          <cell r="BO92">
            <v>309.04310837227308</v>
          </cell>
          <cell r="BQ92" t="e">
            <v>#VALUE!</v>
          </cell>
          <cell r="BR92" t="e">
            <v>#VALUE!</v>
          </cell>
          <cell r="BS92" t="e">
            <v>#VALUE!</v>
          </cell>
          <cell r="BT92" t="e">
            <v>#VALUE!</v>
          </cell>
          <cell r="BU92" t="e">
            <v>#VALUE!</v>
          </cell>
          <cell r="BW92" t="e">
            <v>#VALUE!</v>
          </cell>
          <cell r="BX92" t="e">
            <v>#VALUE!</v>
          </cell>
          <cell r="BY92" t="e">
            <v>#VALUE!</v>
          </cell>
          <cell r="BZ92" t="e">
            <v>#VALUE!</v>
          </cell>
          <cell r="CA92" t="e">
            <v>#VALUE!</v>
          </cell>
          <cell r="CC92" t="e">
            <v>#VALUE!</v>
          </cell>
          <cell r="CD92" t="e">
            <v>#VALUE!</v>
          </cell>
          <cell r="CE92" t="e">
            <v>#VALUE!</v>
          </cell>
          <cell r="CF92" t="e">
            <v>#VALUE!</v>
          </cell>
          <cell r="CG92" t="e">
            <v>#VALUE!</v>
          </cell>
        </row>
        <row r="93">
          <cell r="A93" t="str">
            <v>q/q change</v>
          </cell>
          <cell r="B93"/>
          <cell r="C93" t="str">
            <v>NA</v>
          </cell>
          <cell r="D93" t="str">
            <v>NA</v>
          </cell>
          <cell r="E93" t="str">
            <v>NA</v>
          </cell>
          <cell r="F93" t="str">
            <v>NA</v>
          </cell>
          <cell r="G93" t="str">
            <v>NA</v>
          </cell>
          <cell r="I93" t="str">
            <v>NA</v>
          </cell>
          <cell r="J93" t="str">
            <v>NA</v>
          </cell>
          <cell r="K93" t="str">
            <v>NA</v>
          </cell>
          <cell r="L93" t="str">
            <v>NA</v>
          </cell>
          <cell r="M93" t="str">
            <v>NA</v>
          </cell>
          <cell r="O93" t="str">
            <v>NA</v>
          </cell>
          <cell r="P93" t="str">
            <v>NA</v>
          </cell>
          <cell r="Q93" t="str">
            <v>NA</v>
          </cell>
          <cell r="R93" t="str">
            <v>NA</v>
          </cell>
          <cell r="S93" t="str">
            <v>NA</v>
          </cell>
          <cell r="U93" t="str">
            <v>NA</v>
          </cell>
          <cell r="V93" t="str">
            <v>NA</v>
          </cell>
          <cell r="W93" t="str">
            <v>NA</v>
          </cell>
          <cell r="X93" t="str">
            <v>NA</v>
          </cell>
          <cell r="Y93" t="str">
            <v>NA</v>
          </cell>
          <cell r="AA93" t="str">
            <v>NA</v>
          </cell>
          <cell r="AB93" t="str">
            <v>NA</v>
          </cell>
          <cell r="AC93" t="str">
            <v>NA</v>
          </cell>
          <cell r="AD93" t="str">
            <v>NA</v>
          </cell>
          <cell r="AE93" t="str">
            <v>NA</v>
          </cell>
          <cell r="AG93" t="str">
            <v>NA</v>
          </cell>
          <cell r="AH93" t="str">
            <v>NA</v>
          </cell>
          <cell r="AI93" t="str">
            <v>NA</v>
          </cell>
          <cell r="AJ93" t="str">
            <v>NA</v>
          </cell>
          <cell r="AK93" t="str">
            <v>NA</v>
          </cell>
          <cell r="AL93"/>
          <cell r="AM93" t="str">
            <v>NA</v>
          </cell>
          <cell r="AN93" t="str">
            <v>NA</v>
          </cell>
          <cell r="AO93" t="str">
            <v>NA</v>
          </cell>
          <cell r="AP93" t="str">
            <v>NA</v>
          </cell>
          <cell r="AQ93" t="str">
            <v>NA</v>
          </cell>
          <cell r="AS93" t="str">
            <v>NA</v>
          </cell>
          <cell r="AT93">
            <v>7.7690816399798912E-2</v>
          </cell>
          <cell r="AU93">
            <v>0.12489173162769007</v>
          </cell>
          <cell r="AV93">
            <v>0.10350342049930394</v>
          </cell>
          <cell r="AW93" t="str">
            <v>NA</v>
          </cell>
          <cell r="AY93">
            <v>0.10603295582631089</v>
          </cell>
          <cell r="AZ93">
            <v>9.6789847863538059E-2</v>
          </cell>
          <cell r="BA93">
            <v>8.5460820317684982E-2</v>
          </cell>
          <cell r="BB93">
            <v>8.5009681035361773E-2</v>
          </cell>
          <cell r="BC93" t="str">
            <v>NA</v>
          </cell>
          <cell r="BE93">
            <v>9.1122548651288326E-2</v>
          </cell>
          <cell r="BF93">
            <v>6.0254445917330868E-2</v>
          </cell>
          <cell r="BG93">
            <v>3.0000000000000027E-2</v>
          </cell>
          <cell r="BH93">
            <v>8.0000000000000071E-2</v>
          </cell>
          <cell r="BI93" t="str">
            <v>NA</v>
          </cell>
          <cell r="BK93">
            <v>5.0539263328546413E-2</v>
          </cell>
          <cell r="BL93">
            <v>3.9256024552590141E-2</v>
          </cell>
          <cell r="BM93">
            <v>4.3153491157327695E-2</v>
          </cell>
          <cell r="BN93">
            <v>7.977514906431904E-2</v>
          </cell>
          <cell r="BO93" t="str">
            <v>NA</v>
          </cell>
          <cell r="BQ93" t="str">
            <v>NA</v>
          </cell>
          <cell r="BR93" t="str">
            <v>NA</v>
          </cell>
          <cell r="BS93" t="str">
            <v>NA</v>
          </cell>
          <cell r="BT93" t="str">
            <v>NA</v>
          </cell>
          <cell r="BU93" t="str">
            <v>NA</v>
          </cell>
          <cell r="BW93" t="str">
            <v>NA</v>
          </cell>
          <cell r="BX93" t="str">
            <v>NA</v>
          </cell>
          <cell r="BY93" t="str">
            <v>NA</v>
          </cell>
          <cell r="BZ93" t="str">
            <v>NA</v>
          </cell>
          <cell r="CA93" t="str">
            <v>NA</v>
          </cell>
          <cell r="CC93" t="str">
            <v>NA</v>
          </cell>
          <cell r="CD93" t="str">
            <v>NA</v>
          </cell>
          <cell r="CE93" t="str">
            <v>NA</v>
          </cell>
          <cell r="CF93" t="str">
            <v>NA</v>
          </cell>
          <cell r="CG93" t="str">
            <v>NA</v>
          </cell>
        </row>
        <row r="94">
          <cell r="A94" t="str">
            <v>y/y change</v>
          </cell>
          <cell r="B94"/>
          <cell r="C94" t="str">
            <v>NA</v>
          </cell>
          <cell r="D94" t="str">
            <v>NA</v>
          </cell>
          <cell r="E94" t="str">
            <v>NA</v>
          </cell>
          <cell r="F94" t="str">
            <v>NA</v>
          </cell>
          <cell r="G94" t="str">
            <v>NA</v>
          </cell>
          <cell r="H94"/>
          <cell r="I94" t="str">
            <v>NA</v>
          </cell>
          <cell r="J94" t="str">
            <v>NA</v>
          </cell>
          <cell r="K94" t="str">
            <v>NA</v>
          </cell>
          <cell r="L94" t="str">
            <v>NA</v>
          </cell>
          <cell r="M94" t="str">
            <v>NA</v>
          </cell>
          <cell r="N94"/>
          <cell r="O94" t="str">
            <v>NA</v>
          </cell>
          <cell r="P94" t="str">
            <v>NA</v>
          </cell>
          <cell r="Q94" t="str">
            <v>NA</v>
          </cell>
          <cell r="R94" t="str">
            <v>NA</v>
          </cell>
          <cell r="S94" t="str">
            <v>NA</v>
          </cell>
          <cell r="T94"/>
          <cell r="U94" t="str">
            <v>NA</v>
          </cell>
          <cell r="V94" t="str">
            <v>NA</v>
          </cell>
          <cell r="W94" t="str">
            <v>NA</v>
          </cell>
          <cell r="X94" t="str">
            <v>NA</v>
          </cell>
          <cell r="Y94" t="str">
            <v>NA</v>
          </cell>
          <cell r="Z94"/>
          <cell r="AA94" t="str">
            <v>NA</v>
          </cell>
          <cell r="AB94" t="str">
            <v>NA</v>
          </cell>
          <cell r="AC94" t="str">
            <v>NA</v>
          </cell>
          <cell r="AD94" t="str">
            <v>NA</v>
          </cell>
          <cell r="AE94" t="str">
            <v>NA</v>
          </cell>
          <cell r="AF94"/>
          <cell r="AG94" t="str">
            <v>NA</v>
          </cell>
          <cell r="AH94" t="str">
            <v>NA</v>
          </cell>
          <cell r="AI94" t="str">
            <v>NA</v>
          </cell>
          <cell r="AJ94" t="str">
            <v>NA</v>
          </cell>
          <cell r="AK94" t="str">
            <v>NA</v>
          </cell>
          <cell r="AL94"/>
          <cell r="AM94" t="str">
            <v>NA</v>
          </cell>
          <cell r="AN94" t="str">
            <v>NA</v>
          </cell>
          <cell r="AO94" t="str">
            <v>NA</v>
          </cell>
          <cell r="AP94" t="str">
            <v>NA</v>
          </cell>
          <cell r="AQ94" t="str">
            <v>NA</v>
          </cell>
          <cell r="AR94"/>
          <cell r="AS94" t="str">
            <v>NA</v>
          </cell>
          <cell r="AT94" t="str">
            <v>NA</v>
          </cell>
          <cell r="AU94" t="str">
            <v>NA</v>
          </cell>
          <cell r="AV94" t="str">
            <v>NA</v>
          </cell>
          <cell r="AW94" t="str">
            <v>NA</v>
          </cell>
          <cell r="AX94"/>
          <cell r="AY94">
            <v>0.47960795576936888</v>
          </cell>
          <cell r="AZ94">
            <v>0.50582983543207405</v>
          </cell>
          <cell r="BA94">
            <v>0.45304587318980039</v>
          </cell>
          <cell r="BB94">
            <v>0.42869411196393159</v>
          </cell>
          <cell r="BC94">
            <v>0.46403829295350696</v>
          </cell>
          <cell r="BD94"/>
          <cell r="BE94">
            <v>0.40943391648266325</v>
          </cell>
          <cell r="BF94">
            <v>0.36248396088668655</v>
          </cell>
          <cell r="BG94">
            <v>0.35683277285233861</v>
          </cell>
          <cell r="BH94">
            <v>0.32555751746938122</v>
          </cell>
          <cell r="BI94">
            <v>0.36085112020178478</v>
          </cell>
          <cell r="BJ94"/>
          <cell r="BK94">
            <v>0.32297892506068471</v>
          </cell>
          <cell r="BL94">
            <v>0.33139598562910977</v>
          </cell>
          <cell r="BM94">
            <v>0.33409933684838045</v>
          </cell>
          <cell r="BN94">
            <v>0.35898802859629164</v>
          </cell>
          <cell r="BO94">
            <v>0.33777470392566222</v>
          </cell>
          <cell r="BP94"/>
          <cell r="BQ94">
            <v>0.31099199488876206</v>
          </cell>
          <cell r="BR94">
            <v>0.27690377584663972</v>
          </cell>
          <cell r="BS94">
            <v>0.22974873138540475</v>
          </cell>
          <cell r="BT94">
            <v>0.22974873138540475</v>
          </cell>
          <cell r="BU94">
            <v>0.25917571954510032</v>
          </cell>
          <cell r="BV94"/>
          <cell r="BW94" t="str">
            <v>NA</v>
          </cell>
          <cell r="BX94" t="str">
            <v>NA</v>
          </cell>
          <cell r="BY94" t="str">
            <v>NA</v>
          </cell>
          <cell r="BZ94" t="str">
            <v>NA</v>
          </cell>
          <cell r="CA94" t="str">
            <v>NA</v>
          </cell>
          <cell r="CB94"/>
          <cell r="CC94" t="str">
            <v>NA</v>
          </cell>
          <cell r="CD94" t="str">
            <v>NA</v>
          </cell>
          <cell r="CE94" t="str">
            <v>NA</v>
          </cell>
          <cell r="CF94" t="str">
            <v>NA</v>
          </cell>
          <cell r="CG94" t="str">
            <v>NA</v>
          </cell>
        </row>
        <row r="95">
          <cell r="A95"/>
          <cell r="C95"/>
          <cell r="D95"/>
          <cell r="E95"/>
          <cell r="F95"/>
          <cell r="G95"/>
          <cell r="I95"/>
          <cell r="J95"/>
          <cell r="K95"/>
          <cell r="L95"/>
          <cell r="M95"/>
          <cell r="O95"/>
          <cell r="P95"/>
          <cell r="Q95"/>
          <cell r="R95"/>
          <cell r="S95"/>
          <cell r="U95"/>
          <cell r="V95"/>
          <cell r="W95"/>
          <cell r="X95"/>
          <cell r="Y95"/>
          <cell r="AA95"/>
          <cell r="AB95"/>
          <cell r="AC95"/>
          <cell r="AD95"/>
          <cell r="AE95"/>
          <cell r="AG95"/>
          <cell r="AH95"/>
          <cell r="AI95"/>
          <cell r="AJ95"/>
          <cell r="AK95"/>
          <cell r="AM95"/>
          <cell r="AN95"/>
          <cell r="AO95"/>
          <cell r="AP95"/>
          <cell r="AQ95"/>
          <cell r="AS95"/>
          <cell r="AT95"/>
          <cell r="AU95"/>
          <cell r="AV95"/>
          <cell r="AW95"/>
          <cell r="AY95"/>
          <cell r="AZ95"/>
          <cell r="BA95"/>
          <cell r="BB95"/>
          <cell r="BC95"/>
          <cell r="BE95"/>
          <cell r="BF95"/>
          <cell r="BG95"/>
          <cell r="BH95"/>
          <cell r="BI95"/>
          <cell r="BK95"/>
          <cell r="BL95"/>
          <cell r="BM95"/>
          <cell r="BN95"/>
          <cell r="BO95"/>
          <cell r="BQ95"/>
          <cell r="BR95"/>
          <cell r="BS95"/>
          <cell r="BT95"/>
          <cell r="BU95"/>
          <cell r="BW95"/>
          <cell r="BX95"/>
          <cell r="BY95"/>
          <cell r="BZ95"/>
          <cell r="CA95"/>
          <cell r="CC95"/>
          <cell r="CD95"/>
          <cell r="CE95"/>
          <cell r="CF95"/>
          <cell r="CG95"/>
        </row>
        <row r="96">
          <cell r="A96" t="str">
            <v>Total revenue</v>
          </cell>
          <cell r="B96"/>
          <cell r="C96"/>
          <cell r="D96"/>
          <cell r="E96"/>
          <cell r="F96"/>
          <cell r="G96"/>
          <cell r="I96"/>
          <cell r="J96"/>
          <cell r="K96"/>
          <cell r="L96"/>
          <cell r="M96"/>
          <cell r="O96"/>
          <cell r="P96"/>
          <cell r="Q96"/>
          <cell r="R96"/>
          <cell r="S96"/>
          <cell r="U96"/>
          <cell r="V96"/>
          <cell r="W96"/>
          <cell r="X96"/>
          <cell r="Y96">
            <v>37.984000000000002</v>
          </cell>
          <cell r="AA96">
            <v>11.526999999999999</v>
          </cell>
          <cell r="AB96">
            <v>12.71</v>
          </cell>
          <cell r="AC96">
            <v>14.13</v>
          </cell>
          <cell r="AD96">
            <v>15.454000000000001</v>
          </cell>
          <cell r="AE96">
            <v>53.821000000000005</v>
          </cell>
          <cell r="AG96">
            <v>18.393999999999998</v>
          </cell>
          <cell r="AH96">
            <v>19.972000000000001</v>
          </cell>
          <cell r="AI96">
            <v>22.462</v>
          </cell>
          <cell r="AJ96">
            <v>24.962</v>
          </cell>
          <cell r="AK96">
            <v>85.79</v>
          </cell>
          <cell r="AL96"/>
          <cell r="AM96">
            <v>28.545000000000002</v>
          </cell>
          <cell r="AN96">
            <v>30.318999999999999</v>
          </cell>
          <cell r="AO96">
            <v>34.155000000000001</v>
          </cell>
          <cell r="AP96">
            <v>38.588000000000001</v>
          </cell>
          <cell r="AQ96">
            <v>131.607</v>
          </cell>
          <cell r="AS96">
            <v>50.329000000000001</v>
          </cell>
          <cell r="AT96">
            <v>51.502000000000002</v>
          </cell>
          <cell r="AU96">
            <v>62.588999999999999</v>
          </cell>
          <cell r="AV96">
            <v>89.15</v>
          </cell>
          <cell r="AW96">
            <v>253.57000000000002</v>
          </cell>
          <cell r="AY96">
            <v>76.02</v>
          </cell>
          <cell r="AZ96">
            <v>82.043000000000006</v>
          </cell>
          <cell r="BA96">
            <v>103.39700000000001</v>
          </cell>
          <cell r="BB96">
            <v>156.44999999999999</v>
          </cell>
          <cell r="BC96">
            <v>417.90999999999997</v>
          </cell>
          <cell r="BE96">
            <v>108.831</v>
          </cell>
          <cell r="BF96">
            <v>96.233000000000004</v>
          </cell>
          <cell r="BG96">
            <v>112.97839000000002</v>
          </cell>
          <cell r="BH96">
            <v>144.31136220000002</v>
          </cell>
          <cell r="BI96">
            <v>462.35375220000009</v>
          </cell>
          <cell r="BK96">
            <v>117.23185359397311</v>
          </cell>
          <cell r="BL96">
            <v>113.31667601599082</v>
          </cell>
          <cell r="BM96">
            <v>126.87860247442619</v>
          </cell>
          <cell r="BN96">
            <v>185.55949160942151</v>
          </cell>
          <cell r="BO96">
            <v>542.98662369381168</v>
          </cell>
          <cell r="BQ96" t="e">
            <v>#VALUE!</v>
          </cell>
          <cell r="BR96" t="e">
            <v>#VALUE!</v>
          </cell>
          <cell r="BS96" t="e">
            <v>#VALUE!</v>
          </cell>
          <cell r="BT96" t="e">
            <v>#VALUE!</v>
          </cell>
          <cell r="BU96" t="e">
            <v>#VALUE!</v>
          </cell>
          <cell r="BW96" t="e">
            <v>#VALUE!</v>
          </cell>
          <cell r="BX96" t="e">
            <v>#VALUE!</v>
          </cell>
          <cell r="BY96" t="e">
            <v>#VALUE!</v>
          </cell>
          <cell r="BZ96" t="e">
            <v>#VALUE!</v>
          </cell>
          <cell r="CA96" t="e">
            <v>#VALUE!</v>
          </cell>
          <cell r="CC96" t="e">
            <v>#VALUE!</v>
          </cell>
          <cell r="CD96" t="e">
            <v>#VALUE!</v>
          </cell>
          <cell r="CE96" t="e">
            <v>#VALUE!</v>
          </cell>
          <cell r="CF96" t="e">
            <v>#VALUE!</v>
          </cell>
          <cell r="CG96" t="e">
            <v>#VALUE!</v>
          </cell>
        </row>
        <row r="97">
          <cell r="A97" t="str">
            <v>q/q change</v>
          </cell>
          <cell r="B97"/>
          <cell r="C97"/>
          <cell r="D97"/>
          <cell r="E97"/>
          <cell r="F97"/>
          <cell r="G97"/>
          <cell r="I97"/>
          <cell r="J97"/>
          <cell r="K97"/>
          <cell r="L97"/>
          <cell r="M97"/>
          <cell r="O97"/>
          <cell r="P97"/>
          <cell r="Q97"/>
          <cell r="R97"/>
          <cell r="S97"/>
          <cell r="U97"/>
          <cell r="V97"/>
          <cell r="W97"/>
          <cell r="X97"/>
          <cell r="Y97" t="str">
            <v>NA</v>
          </cell>
          <cell r="AA97" t="str">
            <v>NA</v>
          </cell>
          <cell r="AB97">
            <v>0.10262861108701316</v>
          </cell>
          <cell r="AC97">
            <v>0.1117230527143982</v>
          </cell>
          <cell r="AD97">
            <v>9.3701344656758723E-2</v>
          </cell>
          <cell r="AE97" t="str">
            <v>NA</v>
          </cell>
          <cell r="AG97">
            <v>0.19024200854147777</v>
          </cell>
          <cell r="AH97">
            <v>8.5788844188322555E-2</v>
          </cell>
          <cell r="AI97">
            <v>0.1246745443621069</v>
          </cell>
          <cell r="AJ97">
            <v>0.1112990828955569</v>
          </cell>
          <cell r="AK97" t="str">
            <v>NA</v>
          </cell>
          <cell r="AL97"/>
          <cell r="AM97" t="str">
            <v>NA</v>
          </cell>
          <cell r="AN97">
            <v>6.2147486424942944E-2</v>
          </cell>
          <cell r="AO97">
            <v>0.12652132326264076</v>
          </cell>
          <cell r="AP97">
            <v>0.12979066022544283</v>
          </cell>
          <cell r="AQ97" t="str">
            <v>NA</v>
          </cell>
          <cell r="AS97">
            <v>0.3042655747900902</v>
          </cell>
          <cell r="AT97">
            <v>2.330664229370738E-2</v>
          </cell>
          <cell r="AU97">
            <v>0.21527319327404748</v>
          </cell>
          <cell r="AV97">
            <v>0.42437169470673775</v>
          </cell>
          <cell r="AW97" t="str">
            <v>NA</v>
          </cell>
          <cell r="AY97">
            <v>-0.14727986539540106</v>
          </cell>
          <cell r="AZ97">
            <v>7.9229150223625533E-2</v>
          </cell>
          <cell r="BA97">
            <v>0.26027814682544514</v>
          </cell>
          <cell r="BB97">
            <v>0.51309999322997757</v>
          </cell>
          <cell r="BC97" t="str">
            <v>NA</v>
          </cell>
          <cell r="BE97">
            <v>-0.304372003835091</v>
          </cell>
          <cell r="BF97">
            <v>-0.11575745881228694</v>
          </cell>
          <cell r="BG97">
            <v>0.17400881194600615</v>
          </cell>
          <cell r="BH97">
            <v>0.27733597726078418</v>
          </cell>
          <cell r="BI97" t="str">
            <v>NA</v>
          </cell>
          <cell r="BK97">
            <v>-0.18764640699945456</v>
          </cell>
          <cell r="BL97">
            <v>-3.3396875149158012E-2</v>
          </cell>
          <cell r="BM97">
            <v>0.1196816473554303</v>
          </cell>
          <cell r="BN97">
            <v>0.46249633894590803</v>
          </cell>
          <cell r="BO97" t="str">
            <v>NA</v>
          </cell>
          <cell r="BQ97" t="str">
            <v>NA</v>
          </cell>
          <cell r="BR97" t="str">
            <v>NA</v>
          </cell>
          <cell r="BS97" t="str">
            <v>NA</v>
          </cell>
          <cell r="BT97" t="str">
            <v>NA</v>
          </cell>
          <cell r="BU97" t="str">
            <v>NA</v>
          </cell>
          <cell r="BW97" t="str">
            <v>NA</v>
          </cell>
          <cell r="BX97" t="str">
            <v>NA</v>
          </cell>
          <cell r="BY97" t="str">
            <v>NA</v>
          </cell>
          <cell r="BZ97" t="str">
            <v>NA</v>
          </cell>
          <cell r="CA97" t="str">
            <v>NA</v>
          </cell>
          <cell r="CC97" t="str">
            <v>NA</v>
          </cell>
          <cell r="CD97" t="str">
            <v>NA</v>
          </cell>
          <cell r="CE97" t="str">
            <v>NA</v>
          </cell>
          <cell r="CF97" t="str">
            <v>NA</v>
          </cell>
          <cell r="CG97" t="str">
            <v>NA</v>
          </cell>
        </row>
        <row r="98">
          <cell r="A98" t="str">
            <v>y/y change</v>
          </cell>
          <cell r="B98"/>
          <cell r="C98"/>
          <cell r="D98"/>
          <cell r="E98"/>
          <cell r="F98"/>
          <cell r="G98"/>
          <cell r="H98"/>
          <cell r="I98"/>
          <cell r="J98"/>
          <cell r="K98"/>
          <cell r="L98"/>
          <cell r="M98"/>
          <cell r="N98"/>
          <cell r="O98"/>
          <cell r="P98"/>
          <cell r="Q98"/>
          <cell r="R98"/>
          <cell r="S98"/>
          <cell r="T98"/>
          <cell r="U98"/>
          <cell r="V98"/>
          <cell r="W98"/>
          <cell r="X98"/>
          <cell r="Y98" t="str">
            <v>NA</v>
          </cell>
          <cell r="Z98"/>
          <cell r="AA98" t="str">
            <v>NA</v>
          </cell>
          <cell r="AB98" t="str">
            <v>NA</v>
          </cell>
          <cell r="AC98" t="str">
            <v>NA</v>
          </cell>
          <cell r="AD98" t="str">
            <v>NA</v>
          </cell>
          <cell r="AE98">
            <v>0.41693871103622593</v>
          </cell>
          <cell r="AF98"/>
          <cell r="AG98">
            <v>0.59573176021514707</v>
          </cell>
          <cell r="AH98">
            <v>0.57136113296616831</v>
          </cell>
          <cell r="AI98">
            <v>0.58966737438075012</v>
          </cell>
          <cell r="AJ98">
            <v>0.61524524394978641</v>
          </cell>
          <cell r="AK98">
            <v>0.59398747700711607</v>
          </cell>
          <cell r="AL98"/>
          <cell r="AM98" t="str">
            <v>NA</v>
          </cell>
          <cell r="AN98" t="str">
            <v>NA</v>
          </cell>
          <cell r="AO98" t="str">
            <v>NA</v>
          </cell>
          <cell r="AP98" t="str">
            <v>NA</v>
          </cell>
          <cell r="AQ98" t="str">
            <v>NA</v>
          </cell>
          <cell r="AR98"/>
          <cell r="AS98">
            <v>0.76314590996671905</v>
          </cell>
          <cell r="AT98">
            <v>0.69867080048814278</v>
          </cell>
          <cell r="AU98">
            <v>0.83249890206411936</v>
          </cell>
          <cell r="AV98">
            <v>1.3103037213641548</v>
          </cell>
          <cell r="AW98">
            <v>0.92672122303524906</v>
          </cell>
          <cell r="AX98"/>
          <cell r="AY98">
            <v>0.51046116553080711</v>
          </cell>
          <cell r="AZ98">
            <v>0.5930060968506079</v>
          </cell>
          <cell r="BA98">
            <v>0.65199955263704501</v>
          </cell>
          <cell r="BB98">
            <v>0.75490745933819392</v>
          </cell>
          <cell r="BC98">
            <v>0.6481050597468152</v>
          </cell>
          <cell r="BD98"/>
          <cell r="BE98">
            <v>0.43161010260457777</v>
          </cell>
          <cell r="BF98">
            <v>0.17295808295649828</v>
          </cell>
          <cell r="BG98">
            <v>0.25455284002437195</v>
          </cell>
          <cell r="BH98">
            <v>-5.251198465963558E-2</v>
          </cell>
          <cell r="BI98">
            <v>0.15578832763035111</v>
          </cell>
          <cell r="BJ98"/>
          <cell r="BK98">
            <v>9.8628082255974858E-2</v>
          </cell>
          <cell r="BL98">
            <v>0.29195960141469146</v>
          </cell>
          <cell r="BM98">
            <v>0.10837086254100448</v>
          </cell>
          <cell r="BN98">
            <v>0.14747656221802674</v>
          </cell>
          <cell r="BO98">
            <v>0.1547540374610743</v>
          </cell>
          <cell r="BP98"/>
          <cell r="BQ98">
            <v>0.21313088720090922</v>
          </cell>
          <cell r="BR98">
            <v>0.21484387570974772</v>
          </cell>
          <cell r="BS98">
            <v>0.16843115072572323</v>
          </cell>
          <cell r="BT98">
            <v>0.21160660842274703</v>
          </cell>
          <cell r="BU98">
            <v>0.20152565312622883</v>
          </cell>
          <cell r="BV98"/>
          <cell r="BW98" t="str">
            <v>NA</v>
          </cell>
          <cell r="BX98" t="str">
            <v>NA</v>
          </cell>
          <cell r="BY98" t="str">
            <v>NA</v>
          </cell>
          <cell r="BZ98" t="str">
            <v>NA</v>
          </cell>
          <cell r="CA98" t="str">
            <v>NA</v>
          </cell>
          <cell r="CB98"/>
          <cell r="CC98" t="str">
            <v>NA</v>
          </cell>
          <cell r="CD98" t="str">
            <v>NA</v>
          </cell>
          <cell r="CE98" t="str">
            <v>NA</v>
          </cell>
          <cell r="CF98" t="str">
            <v>NA</v>
          </cell>
          <cell r="CG98" t="str">
            <v>NA</v>
          </cell>
        </row>
        <row r="99">
          <cell r="C99"/>
          <cell r="D99"/>
          <cell r="E99"/>
          <cell r="F99"/>
          <cell r="G99"/>
          <cell r="I99"/>
          <cell r="J99"/>
          <cell r="K99"/>
          <cell r="L99"/>
          <cell r="M99"/>
          <cell r="O99"/>
          <cell r="P99"/>
          <cell r="Q99"/>
          <cell r="R99"/>
          <cell r="S99"/>
          <cell r="U99"/>
          <cell r="V99"/>
          <cell r="W99"/>
          <cell r="X99"/>
          <cell r="Y99"/>
          <cell r="AA99"/>
          <cell r="AB99"/>
          <cell r="AC99"/>
          <cell r="AD99"/>
          <cell r="AE99"/>
          <cell r="AG99"/>
          <cell r="AH99"/>
          <cell r="AI99"/>
          <cell r="AJ99"/>
          <cell r="AK99"/>
          <cell r="AM99"/>
          <cell r="AN99"/>
          <cell r="AO99"/>
          <cell r="AP99"/>
          <cell r="AQ99"/>
          <cell r="AS99"/>
          <cell r="AT99"/>
          <cell r="AU99"/>
          <cell r="AV99"/>
          <cell r="AW99"/>
          <cell r="AY99"/>
          <cell r="AZ99"/>
          <cell r="BA99"/>
          <cell r="BB99"/>
          <cell r="BC99"/>
          <cell r="BE99"/>
          <cell r="BF99"/>
          <cell r="BG99"/>
          <cell r="BH99"/>
          <cell r="BI99"/>
          <cell r="BK99"/>
          <cell r="BL99"/>
          <cell r="BM99"/>
          <cell r="BN99"/>
          <cell r="BO99"/>
          <cell r="BQ99"/>
          <cell r="BR99"/>
          <cell r="BS99"/>
          <cell r="BT99"/>
          <cell r="BU99"/>
          <cell r="BW99"/>
          <cell r="BX99"/>
          <cell r="BY99"/>
          <cell r="BZ99"/>
          <cell r="CA99"/>
          <cell r="CC99"/>
          <cell r="CD99"/>
          <cell r="CE99"/>
          <cell r="CF99"/>
          <cell r="CG99"/>
        </row>
        <row r="100">
          <cell r="A100" t="str">
            <v>Cost of license revenue</v>
          </cell>
          <cell r="C100"/>
          <cell r="D100"/>
          <cell r="E100"/>
          <cell r="F100"/>
          <cell r="G100"/>
          <cell r="I100"/>
          <cell r="J100"/>
          <cell r="K100"/>
          <cell r="L100"/>
          <cell r="M100"/>
          <cell r="O100"/>
          <cell r="P100"/>
          <cell r="Q100"/>
          <cell r="R100"/>
          <cell r="S100"/>
          <cell r="U100"/>
          <cell r="V100"/>
          <cell r="W100"/>
          <cell r="X100"/>
          <cell r="Y100">
            <v>0</v>
          </cell>
          <cell r="AA100"/>
          <cell r="AB100"/>
          <cell r="AC100"/>
          <cell r="AD100"/>
          <cell r="AE100">
            <v>0</v>
          </cell>
          <cell r="AG100"/>
          <cell r="AH100"/>
          <cell r="AI100"/>
          <cell r="AJ100"/>
          <cell r="AK100">
            <v>0</v>
          </cell>
          <cell r="AM100"/>
          <cell r="AN100"/>
          <cell r="AO100"/>
          <cell r="AP100"/>
          <cell r="AQ100">
            <v>0</v>
          </cell>
          <cell r="AS100"/>
          <cell r="AT100"/>
          <cell r="AU100"/>
          <cell r="AV100"/>
          <cell r="AW100">
            <v>0</v>
          </cell>
          <cell r="AY100"/>
          <cell r="AZ100"/>
          <cell r="BA100"/>
          <cell r="BB100"/>
          <cell r="BC100">
            <v>0</v>
          </cell>
          <cell r="BE100">
            <v>1.9810000000000001</v>
          </cell>
          <cell r="BF100">
            <v>0.94599999999999995</v>
          </cell>
          <cell r="BG100">
            <v>0.6192972499999978</v>
          </cell>
          <cell r="BH100">
            <v>0.94752479249999655</v>
          </cell>
          <cell r="BI100">
            <v>4.4938220424999944</v>
          </cell>
          <cell r="BK100">
            <v>0.90520122516649615</v>
          </cell>
          <cell r="BL100">
            <v>0.77039114466640768</v>
          </cell>
          <cell r="BM100">
            <v>0.9770745377554837</v>
          </cell>
          <cell r="BN100">
            <v>2.0262033988423891</v>
          </cell>
          <cell r="BO100">
            <v>4.6788703064307766</v>
          </cell>
          <cell r="BQ100" t="e">
            <v>#VALUE!</v>
          </cell>
          <cell r="BR100" t="e">
            <v>#VALUE!</v>
          </cell>
          <cell r="BS100" t="e">
            <v>#VALUE!</v>
          </cell>
          <cell r="BT100" t="e">
            <v>#VALUE!</v>
          </cell>
          <cell r="BU100" t="e">
            <v>#VALUE!</v>
          </cell>
          <cell r="BW100" t="e">
            <v>#VALUE!</v>
          </cell>
          <cell r="BX100" t="e">
            <v>#VALUE!</v>
          </cell>
          <cell r="BY100" t="e">
            <v>#VALUE!</v>
          </cell>
          <cell r="BZ100" t="e">
            <v>#VALUE!</v>
          </cell>
          <cell r="CA100" t="e">
            <v>#VALUE!</v>
          </cell>
          <cell r="CC100" t="e">
            <v>#VALUE!</v>
          </cell>
          <cell r="CD100" t="e">
            <v>#VALUE!</v>
          </cell>
          <cell r="CE100" t="e">
            <v>#VALUE!</v>
          </cell>
          <cell r="CF100" t="e">
            <v>#VALUE!</v>
          </cell>
          <cell r="CG100" t="e">
            <v>#VALUE!</v>
          </cell>
        </row>
        <row r="101">
          <cell r="A101" t="str">
            <v>% margin</v>
          </cell>
          <cell r="C101"/>
          <cell r="D101"/>
          <cell r="E101"/>
          <cell r="F101"/>
          <cell r="G101"/>
          <cell r="I101"/>
          <cell r="J101"/>
          <cell r="K101"/>
          <cell r="L101"/>
          <cell r="M101"/>
          <cell r="O101"/>
          <cell r="P101"/>
          <cell r="Q101"/>
          <cell r="R101"/>
          <cell r="S101"/>
          <cell r="U101"/>
          <cell r="V101"/>
          <cell r="W101"/>
          <cell r="X101"/>
          <cell r="Y101" t="str">
            <v>NA</v>
          </cell>
          <cell r="AA101" t="str">
            <v>NA</v>
          </cell>
          <cell r="AB101" t="str">
            <v>NA</v>
          </cell>
          <cell r="AC101" t="str">
            <v>NA</v>
          </cell>
          <cell r="AD101" t="str">
            <v>NA</v>
          </cell>
          <cell r="AE101" t="str">
            <v>NA</v>
          </cell>
          <cell r="AG101" t="str">
            <v>NA</v>
          </cell>
          <cell r="AH101" t="str">
            <v>NA</v>
          </cell>
          <cell r="AI101" t="str">
            <v>NA</v>
          </cell>
          <cell r="AJ101" t="str">
            <v>NA</v>
          </cell>
          <cell r="AK101" t="str">
            <v>NA</v>
          </cell>
          <cell r="AM101" t="str">
            <v>NA</v>
          </cell>
          <cell r="AN101" t="str">
            <v>NA</v>
          </cell>
          <cell r="AO101" t="str">
            <v>NA</v>
          </cell>
          <cell r="AP101" t="str">
            <v>NA</v>
          </cell>
          <cell r="AQ101" t="str">
            <v>NA</v>
          </cell>
          <cell r="AS101">
            <v>1</v>
          </cell>
          <cell r="AT101">
            <v>1</v>
          </cell>
          <cell r="AU101">
            <v>1</v>
          </cell>
          <cell r="AV101">
            <v>1</v>
          </cell>
          <cell r="AW101">
            <v>1</v>
          </cell>
          <cell r="AY101">
            <v>1</v>
          </cell>
          <cell r="AZ101">
            <v>1</v>
          </cell>
          <cell r="BA101">
            <v>1</v>
          </cell>
          <cell r="BB101">
            <v>1</v>
          </cell>
          <cell r="BC101">
            <v>1</v>
          </cell>
          <cell r="BE101">
            <v>0.96096090178149141</v>
          </cell>
          <cell r="BF101">
            <v>0.97269526063614853</v>
          </cell>
          <cell r="BG101">
            <v>0.98750000000000004</v>
          </cell>
          <cell r="BH101">
            <v>0.98750000000000016</v>
          </cell>
          <cell r="BI101">
            <v>0.97867556047442117</v>
          </cell>
          <cell r="BK101">
            <v>0.98000000000000009</v>
          </cell>
          <cell r="BL101">
            <v>0.98000000000000009</v>
          </cell>
          <cell r="BM101">
            <v>0.98</v>
          </cell>
          <cell r="BN101">
            <v>0.98</v>
          </cell>
          <cell r="BO101">
            <v>0.98</v>
          </cell>
          <cell r="BQ101" t="str">
            <v>NA</v>
          </cell>
          <cell r="BR101" t="str">
            <v>NA</v>
          </cell>
          <cell r="BS101" t="str">
            <v>NA</v>
          </cell>
          <cell r="BT101" t="str">
            <v>NA</v>
          </cell>
          <cell r="BU101" t="str">
            <v>NA</v>
          </cell>
          <cell r="BW101" t="str">
            <v>NA</v>
          </cell>
          <cell r="BX101" t="str">
            <v>NA</v>
          </cell>
          <cell r="BY101" t="str">
            <v>NA</v>
          </cell>
          <cell r="BZ101" t="str">
            <v>NA</v>
          </cell>
          <cell r="CA101" t="str">
            <v>NA</v>
          </cell>
          <cell r="CC101" t="str">
            <v>NA</v>
          </cell>
          <cell r="CD101" t="str">
            <v>NA</v>
          </cell>
          <cell r="CE101" t="str">
            <v>NA</v>
          </cell>
          <cell r="CF101" t="str">
            <v>NA</v>
          </cell>
          <cell r="CG101" t="str">
            <v>NA</v>
          </cell>
        </row>
        <row r="102">
          <cell r="A102" t="str">
            <v>Cost of maintenance and services revenue</v>
          </cell>
          <cell r="C102"/>
          <cell r="D102"/>
          <cell r="E102"/>
          <cell r="F102"/>
          <cell r="G102"/>
          <cell r="I102"/>
          <cell r="J102"/>
          <cell r="K102"/>
          <cell r="L102"/>
          <cell r="M102"/>
          <cell r="O102"/>
          <cell r="P102"/>
          <cell r="Q102"/>
          <cell r="R102"/>
          <cell r="S102"/>
          <cell r="U102"/>
          <cell r="V102"/>
          <cell r="W102"/>
          <cell r="X102"/>
          <cell r="Y102">
            <v>0</v>
          </cell>
          <cell r="AA102"/>
          <cell r="AB102"/>
          <cell r="AC102"/>
          <cell r="AD102"/>
          <cell r="AE102">
            <v>0</v>
          </cell>
          <cell r="AG102"/>
          <cell r="AH102"/>
          <cell r="AI102"/>
          <cell r="AJ102"/>
          <cell r="AK102">
            <v>0</v>
          </cell>
          <cell r="AM102"/>
          <cell r="AN102"/>
          <cell r="AO102"/>
          <cell r="AP102"/>
          <cell r="AQ102">
            <v>0</v>
          </cell>
          <cell r="AS102"/>
          <cell r="AT102"/>
          <cell r="AU102"/>
          <cell r="AV102"/>
          <cell r="AW102">
            <v>0</v>
          </cell>
          <cell r="AY102"/>
          <cell r="AZ102"/>
          <cell r="BA102"/>
          <cell r="BB102"/>
          <cell r="BC102">
            <v>0</v>
          </cell>
          <cell r="BE102">
            <v>11.066000000000001</v>
          </cell>
          <cell r="BF102">
            <v>8.6890000000000001</v>
          </cell>
          <cell r="BG102">
            <v>12.052575899999997</v>
          </cell>
          <cell r="BH102">
            <v>13.016781971999999</v>
          </cell>
          <cell r="BI102">
            <v>44.824357872</v>
          </cell>
          <cell r="BK102">
            <v>14.944553578316302</v>
          </cell>
          <cell r="BL102">
            <v>15.349880359342727</v>
          </cell>
          <cell r="BM102">
            <v>16.06271309446435</v>
          </cell>
          <cell r="BN102">
            <v>17.710537435664627</v>
          </cell>
          <cell r="BO102">
            <v>64.067684467788013</v>
          </cell>
          <cell r="BQ102" t="e">
            <v>#VALUE!</v>
          </cell>
          <cell r="BR102" t="e">
            <v>#VALUE!</v>
          </cell>
          <cell r="BS102" t="e">
            <v>#VALUE!</v>
          </cell>
          <cell r="BT102" t="e">
            <v>#VALUE!</v>
          </cell>
          <cell r="BU102" t="e">
            <v>#VALUE!</v>
          </cell>
          <cell r="BW102" t="e">
            <v>#VALUE!</v>
          </cell>
          <cell r="BX102" t="e">
            <v>#VALUE!</v>
          </cell>
          <cell r="BY102" t="e">
            <v>#VALUE!</v>
          </cell>
          <cell r="BZ102" t="e">
            <v>#VALUE!</v>
          </cell>
          <cell r="CA102" t="e">
            <v>#VALUE!</v>
          </cell>
          <cell r="CC102" t="e">
            <v>#VALUE!</v>
          </cell>
          <cell r="CD102" t="e">
            <v>#VALUE!</v>
          </cell>
          <cell r="CE102" t="e">
            <v>#VALUE!</v>
          </cell>
          <cell r="CF102" t="e">
            <v>#VALUE!</v>
          </cell>
          <cell r="CG102" t="e">
            <v>#VALUE!</v>
          </cell>
        </row>
        <row r="103">
          <cell r="A103" t="str">
            <v>% margin</v>
          </cell>
          <cell r="C103"/>
          <cell r="D103"/>
          <cell r="E103"/>
          <cell r="F103"/>
          <cell r="G103"/>
          <cell r="I103"/>
          <cell r="J103"/>
          <cell r="K103"/>
          <cell r="L103"/>
          <cell r="M103"/>
          <cell r="O103"/>
          <cell r="P103"/>
          <cell r="Q103"/>
          <cell r="R103"/>
          <cell r="S103"/>
          <cell r="U103"/>
          <cell r="V103"/>
          <cell r="W103"/>
          <cell r="X103"/>
          <cell r="Y103" t="str">
            <v>NA</v>
          </cell>
          <cell r="AA103" t="str">
            <v>NA</v>
          </cell>
          <cell r="AB103" t="str">
            <v>NA</v>
          </cell>
          <cell r="AC103" t="str">
            <v>NA</v>
          </cell>
          <cell r="AD103" t="str">
            <v>NA</v>
          </cell>
          <cell r="AE103" t="str">
            <v>NA</v>
          </cell>
          <cell r="AG103" t="str">
            <v>NA</v>
          </cell>
          <cell r="AH103" t="str">
            <v>NA</v>
          </cell>
          <cell r="AI103" t="str">
            <v>NA</v>
          </cell>
          <cell r="AJ103" t="str">
            <v>NA</v>
          </cell>
          <cell r="AK103" t="str">
            <v>NA</v>
          </cell>
          <cell r="AM103" t="str">
            <v>NA</v>
          </cell>
          <cell r="AN103" t="str">
            <v>NA</v>
          </cell>
          <cell r="AO103" t="str">
            <v>NA</v>
          </cell>
          <cell r="AP103" t="str">
            <v>NA</v>
          </cell>
          <cell r="AQ103" t="str">
            <v>NA</v>
          </cell>
          <cell r="AS103">
            <v>1</v>
          </cell>
          <cell r="AT103">
            <v>1</v>
          </cell>
          <cell r="AU103">
            <v>1</v>
          </cell>
          <cell r="AV103">
            <v>1</v>
          </cell>
          <cell r="AW103">
            <v>1</v>
          </cell>
          <cell r="AY103">
            <v>1</v>
          </cell>
          <cell r="AZ103">
            <v>1</v>
          </cell>
          <cell r="BA103">
            <v>1</v>
          </cell>
          <cell r="BB103">
            <v>1</v>
          </cell>
          <cell r="BC103">
            <v>1</v>
          </cell>
          <cell r="BE103">
            <v>0.80949265756537603</v>
          </cell>
          <cell r="BF103">
            <v>0.85891503076948061</v>
          </cell>
          <cell r="BG103">
            <v>0.81000000000000016</v>
          </cell>
          <cell r="BH103">
            <v>0.81</v>
          </cell>
          <cell r="BI103">
            <v>0.82185551165966553</v>
          </cell>
          <cell r="BK103">
            <v>0.79235540628721957</v>
          </cell>
          <cell r="BL103">
            <v>0.79477979086409545</v>
          </cell>
          <cell r="BM103">
            <v>0.79413343534747982</v>
          </cell>
          <cell r="BN103">
            <v>0.7897842132711409</v>
          </cell>
          <cell r="BO103">
            <v>0.79269013696751933</v>
          </cell>
          <cell r="BQ103" t="str">
            <v>NA</v>
          </cell>
          <cell r="BR103" t="str">
            <v>NA</v>
          </cell>
          <cell r="BS103" t="str">
            <v>NA</v>
          </cell>
          <cell r="BT103" t="str">
            <v>NA</v>
          </cell>
          <cell r="BU103" t="str">
            <v>NA</v>
          </cell>
          <cell r="BW103" t="str">
            <v>NA</v>
          </cell>
          <cell r="BX103" t="str">
            <v>NA</v>
          </cell>
          <cell r="BY103" t="str">
            <v>NA</v>
          </cell>
          <cell r="BZ103" t="str">
            <v>NA</v>
          </cell>
          <cell r="CA103" t="str">
            <v>NA</v>
          </cell>
          <cell r="CC103" t="str">
            <v>NA</v>
          </cell>
          <cell r="CD103" t="str">
            <v>NA</v>
          </cell>
          <cell r="CE103" t="str">
            <v>NA</v>
          </cell>
          <cell r="CF103" t="str">
            <v>NA</v>
          </cell>
          <cell r="CG103" t="str">
            <v>NA</v>
          </cell>
        </row>
        <row r="104">
          <cell r="A104" t="str">
            <v>Total cost of revenue</v>
          </cell>
          <cell r="C104"/>
          <cell r="D104"/>
          <cell r="E104"/>
          <cell r="F104"/>
          <cell r="G104"/>
          <cell r="I104"/>
          <cell r="J104"/>
          <cell r="K104"/>
          <cell r="L104"/>
          <cell r="M104"/>
          <cell r="O104"/>
          <cell r="P104"/>
          <cell r="Q104"/>
          <cell r="R104"/>
          <cell r="S104"/>
          <cell r="U104"/>
          <cell r="V104"/>
          <cell r="W104"/>
          <cell r="X104"/>
          <cell r="Y104">
            <v>8.5329999999999995</v>
          </cell>
          <cell r="AA104">
            <v>2.3220000000000001</v>
          </cell>
          <cell r="AB104">
            <v>2.4470000000000001</v>
          </cell>
          <cell r="AC104">
            <v>2.63</v>
          </cell>
          <cell r="AD104">
            <v>3.1219999999999999</v>
          </cell>
          <cell r="AE104">
            <v>10.521000000000001</v>
          </cell>
          <cell r="AG104">
            <v>3.899</v>
          </cell>
          <cell r="AH104">
            <v>3.766</v>
          </cell>
          <cell r="AI104">
            <v>4.0620000000000003</v>
          </cell>
          <cell r="AJ104">
            <v>4.2990000000000004</v>
          </cell>
          <cell r="AK104">
            <v>16.026</v>
          </cell>
          <cell r="AM104">
            <v>4.8259999999999996</v>
          </cell>
          <cell r="AN104">
            <v>5.2939999999999996</v>
          </cell>
          <cell r="AO104">
            <v>5.4249999999999998</v>
          </cell>
          <cell r="AP104">
            <v>6.258</v>
          </cell>
          <cell r="AQ104">
            <v>21.802999999999997</v>
          </cell>
          <cell r="AS104">
            <v>5.0039999999999996</v>
          </cell>
          <cell r="AT104">
            <v>5.2690000000000001</v>
          </cell>
          <cell r="AU104">
            <v>5.81</v>
          </cell>
          <cell r="AV104">
            <v>6.7169999999999996</v>
          </cell>
          <cell r="AW104">
            <v>22.799999999999997</v>
          </cell>
          <cell r="AY104">
            <v>8</v>
          </cell>
          <cell r="AZ104">
            <v>9.2949999999999999</v>
          </cell>
          <cell r="BA104">
            <v>9.6449999999999996</v>
          </cell>
          <cell r="BB104">
            <v>12.211</v>
          </cell>
          <cell r="BC104">
            <v>39.151000000000003</v>
          </cell>
          <cell r="BE104">
            <v>13.047000000000001</v>
          </cell>
          <cell r="BF104">
            <v>9.6349999999999998</v>
          </cell>
          <cell r="BG104">
            <v>14.11683609765964</v>
          </cell>
          <cell r="BH104">
            <v>15.417210613074577</v>
          </cell>
          <cell r="BI104">
            <v>52.216046710734219</v>
          </cell>
          <cell r="BK104">
            <v>16.939738357186801</v>
          </cell>
          <cell r="BL104">
            <v>17.071706497687803</v>
          </cell>
          <cell r="BM104">
            <v>18.082712176253672</v>
          </cell>
          <cell r="BN104">
            <v>21.229283849215989</v>
          </cell>
          <cell r="BO104">
            <v>73.323440880344265</v>
          </cell>
          <cell r="BQ104" t="e">
            <v>#VALUE!</v>
          </cell>
          <cell r="BR104" t="e">
            <v>#VALUE!</v>
          </cell>
          <cell r="BS104" t="e">
            <v>#VALUE!</v>
          </cell>
          <cell r="BT104" t="e">
            <v>#VALUE!</v>
          </cell>
          <cell r="BU104" t="e">
            <v>#VALUE!</v>
          </cell>
          <cell r="BW104" t="e">
            <v>#VALUE!</v>
          </cell>
          <cell r="BX104" t="e">
            <v>#VALUE!</v>
          </cell>
          <cell r="BY104" t="e">
            <v>#VALUE!</v>
          </cell>
          <cell r="BZ104" t="e">
            <v>#VALUE!</v>
          </cell>
          <cell r="CA104" t="e">
            <v>#VALUE!</v>
          </cell>
          <cell r="CC104" t="e">
            <v>#VALUE!</v>
          </cell>
          <cell r="CD104" t="e">
            <v>#VALUE!</v>
          </cell>
          <cell r="CE104" t="e">
            <v>#VALUE!</v>
          </cell>
          <cell r="CF104" t="e">
            <v>#VALUE!</v>
          </cell>
          <cell r="CG104" t="e">
            <v>#VALUE!</v>
          </cell>
        </row>
        <row r="105">
          <cell r="A105" t="str">
            <v>Gross profit</v>
          </cell>
          <cell r="B105"/>
          <cell r="C105"/>
          <cell r="D105"/>
          <cell r="E105"/>
          <cell r="F105"/>
          <cell r="G105"/>
          <cell r="I105"/>
          <cell r="J105"/>
          <cell r="K105"/>
          <cell r="L105"/>
          <cell r="M105"/>
          <cell r="O105"/>
          <cell r="P105"/>
          <cell r="Q105"/>
          <cell r="R105"/>
          <cell r="S105"/>
          <cell r="U105"/>
          <cell r="V105"/>
          <cell r="W105"/>
          <cell r="X105"/>
          <cell r="Y105">
            <v>29.451000000000001</v>
          </cell>
          <cell r="AA105">
            <v>9.2049999999999983</v>
          </cell>
          <cell r="AB105">
            <v>10.263000000000002</v>
          </cell>
          <cell r="AC105">
            <v>11.5</v>
          </cell>
          <cell r="AD105">
            <v>12.332000000000001</v>
          </cell>
          <cell r="AE105">
            <v>43.300000000000004</v>
          </cell>
          <cell r="AG105">
            <v>14.494999999999997</v>
          </cell>
          <cell r="AH105">
            <v>16.206000000000003</v>
          </cell>
          <cell r="AI105">
            <v>18.399999999999999</v>
          </cell>
          <cell r="AJ105">
            <v>20.663</v>
          </cell>
          <cell r="AK105">
            <v>69.76400000000001</v>
          </cell>
          <cell r="AL105"/>
          <cell r="AM105">
            <v>23.719000000000001</v>
          </cell>
          <cell r="AN105">
            <v>25.024999999999999</v>
          </cell>
          <cell r="AO105">
            <v>28.73</v>
          </cell>
          <cell r="AP105">
            <v>32.33</v>
          </cell>
          <cell r="AQ105">
            <v>109.804</v>
          </cell>
          <cell r="AS105">
            <v>45.325000000000003</v>
          </cell>
          <cell r="AT105">
            <v>46.233000000000004</v>
          </cell>
          <cell r="AU105">
            <v>56.778999999999996</v>
          </cell>
          <cell r="AV105">
            <v>82.433000000000007</v>
          </cell>
          <cell r="AW105">
            <v>230.77000000000004</v>
          </cell>
          <cell r="AY105">
            <v>68.02</v>
          </cell>
          <cell r="AZ105">
            <v>72.748000000000005</v>
          </cell>
          <cell r="BA105">
            <v>93.75200000000001</v>
          </cell>
          <cell r="BB105">
            <v>144.23899999999998</v>
          </cell>
          <cell r="BC105">
            <v>378.75899999999996</v>
          </cell>
          <cell r="BE105">
            <v>95.784000000000006</v>
          </cell>
          <cell r="BF105">
            <v>86.597999999999999</v>
          </cell>
          <cell r="BG105">
            <v>98.861553902340376</v>
          </cell>
          <cell r="BH105">
            <v>128.89415158692543</v>
          </cell>
          <cell r="BI105">
            <v>410.13770548926584</v>
          </cell>
          <cell r="BK105">
            <v>100.29211523678632</v>
          </cell>
          <cell r="BL105">
            <v>96.244969518303023</v>
          </cell>
          <cell r="BM105">
            <v>108.79589029817251</v>
          </cell>
          <cell r="BN105">
            <v>164.33020776020552</v>
          </cell>
          <cell r="BO105">
            <v>469.66318281346742</v>
          </cell>
          <cell r="BQ105" t="e">
            <v>#VALUE!</v>
          </cell>
          <cell r="BR105" t="e">
            <v>#VALUE!</v>
          </cell>
          <cell r="BS105" t="e">
            <v>#VALUE!</v>
          </cell>
          <cell r="BT105" t="e">
            <v>#VALUE!</v>
          </cell>
          <cell r="BU105" t="e">
            <v>#VALUE!</v>
          </cell>
          <cell r="BW105" t="e">
            <v>#VALUE!</v>
          </cell>
          <cell r="BX105" t="e">
            <v>#VALUE!</v>
          </cell>
          <cell r="BY105" t="e">
            <v>#VALUE!</v>
          </cell>
          <cell r="BZ105" t="e">
            <v>#VALUE!</v>
          </cell>
          <cell r="CA105" t="e">
            <v>#VALUE!</v>
          </cell>
          <cell r="CC105" t="e">
            <v>#VALUE!</v>
          </cell>
          <cell r="CD105" t="e">
            <v>#VALUE!</v>
          </cell>
          <cell r="CE105" t="e">
            <v>#VALUE!</v>
          </cell>
          <cell r="CF105" t="e">
            <v>#VALUE!</v>
          </cell>
          <cell r="CG105" t="e">
            <v>#VALUE!</v>
          </cell>
        </row>
        <row r="106">
          <cell r="A106" t="str">
            <v>% gross margin</v>
          </cell>
          <cell r="C106"/>
          <cell r="D106"/>
          <cell r="E106"/>
          <cell r="F106"/>
          <cell r="G106"/>
          <cell r="I106"/>
          <cell r="J106"/>
          <cell r="K106"/>
          <cell r="L106"/>
          <cell r="M106"/>
          <cell r="O106"/>
          <cell r="P106"/>
          <cell r="Q106"/>
          <cell r="R106"/>
          <cell r="S106"/>
          <cell r="U106"/>
          <cell r="V106"/>
          <cell r="W106"/>
          <cell r="X106"/>
          <cell r="Y106">
            <v>0.7753527801179444</v>
          </cell>
          <cell r="AA106">
            <v>0.79855990283681777</v>
          </cell>
          <cell r="AB106">
            <v>0.80747442958300564</v>
          </cell>
          <cell r="AC106">
            <v>0.81387119603680114</v>
          </cell>
          <cell r="AD106">
            <v>0.79798110521547816</v>
          </cell>
          <cell r="AE106">
            <v>0.80451868229873102</v>
          </cell>
          <cell r="AG106">
            <v>0.78802870501250399</v>
          </cell>
          <cell r="AH106">
            <v>0.81143601041458047</v>
          </cell>
          <cell r="AI106">
            <v>0.81916125011129903</v>
          </cell>
          <cell r="AJ106">
            <v>0.8277782228988062</v>
          </cell>
          <cell r="AK106">
            <v>0.81319501107355174</v>
          </cell>
          <cell r="AM106">
            <v>0.83093361359257312</v>
          </cell>
          <cell r="AN106">
            <v>0.82539001945974466</v>
          </cell>
          <cell r="AO106">
            <v>0.84116527594788459</v>
          </cell>
          <cell r="AP106">
            <v>0.83782523064165015</v>
          </cell>
          <cell r="AQ106">
            <v>0.8343325203066706</v>
          </cell>
          <cell r="AS106">
            <v>0.90057422162172907</v>
          </cell>
          <cell r="AT106">
            <v>0.89769329346433147</v>
          </cell>
          <cell r="AU106">
            <v>0.90717218680598821</v>
          </cell>
          <cell r="AV106">
            <v>0.92465507571508698</v>
          </cell>
          <cell r="AW106">
            <v>0.91008400047324223</v>
          </cell>
          <cell r="AY106">
            <v>0.89476453564851355</v>
          </cell>
          <cell r="AZ106">
            <v>0.88670575186182854</v>
          </cell>
          <cell r="BA106">
            <v>0.90671876360049131</v>
          </cell>
          <cell r="BB106">
            <v>0.92194950463406833</v>
          </cell>
          <cell r="BC106">
            <v>0.90631714962551746</v>
          </cell>
          <cell r="BE106">
            <v>0.88011687846293796</v>
          </cell>
          <cell r="BF106">
            <v>0.89987842008458629</v>
          </cell>
          <cell r="BG106">
            <v>0.87504835130276115</v>
          </cell>
          <cell r="BH106">
            <v>0.8931670356509559</v>
          </cell>
          <cell r="BI106">
            <v>0.88706472811721193</v>
          </cell>
          <cell r="BK106">
            <v>0.85550225610304886</v>
          </cell>
          <cell r="BL106">
            <v>0.84934515291219181</v>
          </cell>
          <cell r="BM106">
            <v>0.85748020687807891</v>
          </cell>
          <cell r="BN106">
            <v>0.8855931126719141</v>
          </cell>
          <cell r="BO106">
            <v>0.86496271237486122</v>
          </cell>
          <cell r="BQ106" t="str">
            <v>NA</v>
          </cell>
          <cell r="BR106" t="str">
            <v>NA</v>
          </cell>
          <cell r="BS106" t="str">
            <v>NA</v>
          </cell>
          <cell r="BT106" t="str">
            <v>NA</v>
          </cell>
          <cell r="BU106" t="str">
            <v>NA</v>
          </cell>
          <cell r="BW106" t="str">
            <v>NA</v>
          </cell>
          <cell r="BX106" t="str">
            <v>NA</v>
          </cell>
          <cell r="BY106" t="str">
            <v>NA</v>
          </cell>
          <cell r="BZ106" t="str">
            <v>NA</v>
          </cell>
          <cell r="CA106" t="str">
            <v>NA</v>
          </cell>
          <cell r="CC106" t="str">
            <v>NA</v>
          </cell>
          <cell r="CD106" t="str">
            <v>NA</v>
          </cell>
          <cell r="CE106" t="str">
            <v>NA</v>
          </cell>
          <cell r="CF106" t="str">
            <v>NA</v>
          </cell>
          <cell r="CG106" t="str">
            <v>NA</v>
          </cell>
        </row>
        <row r="107">
          <cell r="C107"/>
          <cell r="D107"/>
          <cell r="E107"/>
          <cell r="F107"/>
          <cell r="G107"/>
          <cell r="I107"/>
          <cell r="J107"/>
          <cell r="K107"/>
          <cell r="L107"/>
          <cell r="M107"/>
          <cell r="O107"/>
          <cell r="P107"/>
          <cell r="Q107"/>
          <cell r="R107"/>
          <cell r="S107"/>
          <cell r="U107"/>
          <cell r="V107"/>
          <cell r="W107"/>
          <cell r="X107"/>
          <cell r="Y107"/>
          <cell r="AA107"/>
          <cell r="AB107"/>
          <cell r="AC107"/>
          <cell r="AD107"/>
          <cell r="AE107"/>
          <cell r="AG107"/>
          <cell r="AH107"/>
          <cell r="AI107"/>
          <cell r="AJ107"/>
          <cell r="AK107"/>
          <cell r="AM107"/>
          <cell r="AN107"/>
          <cell r="AO107"/>
          <cell r="AP107"/>
          <cell r="AQ107"/>
          <cell r="AS107"/>
          <cell r="AT107"/>
          <cell r="AU107"/>
          <cell r="AV107"/>
          <cell r="AW107"/>
          <cell r="AY107"/>
          <cell r="AZ107"/>
          <cell r="BA107"/>
          <cell r="BB107"/>
          <cell r="BC107"/>
          <cell r="BE107"/>
          <cell r="BF107"/>
          <cell r="BG107"/>
          <cell r="BH107"/>
          <cell r="BI107"/>
          <cell r="BK107"/>
          <cell r="BL107"/>
          <cell r="BM107"/>
          <cell r="BN107"/>
          <cell r="BO107"/>
          <cell r="BQ107"/>
          <cell r="BR107"/>
          <cell r="BS107"/>
          <cell r="BT107"/>
          <cell r="BU107"/>
          <cell r="BW107"/>
          <cell r="BX107"/>
          <cell r="BY107"/>
          <cell r="BZ107"/>
          <cell r="CA107"/>
          <cell r="CC107"/>
          <cell r="CD107"/>
          <cell r="CE107"/>
          <cell r="CF107"/>
          <cell r="CG107"/>
        </row>
        <row r="108">
          <cell r="A108" t="str">
            <v>Sales and marketing expense</v>
          </cell>
          <cell r="C108"/>
          <cell r="D108"/>
          <cell r="E108"/>
          <cell r="F108"/>
          <cell r="G108"/>
          <cell r="I108"/>
          <cell r="J108"/>
          <cell r="K108"/>
          <cell r="L108"/>
          <cell r="M108"/>
          <cell r="O108"/>
          <cell r="P108"/>
          <cell r="Q108"/>
          <cell r="R108"/>
          <cell r="S108"/>
          <cell r="U108"/>
          <cell r="V108"/>
          <cell r="W108"/>
          <cell r="X108"/>
          <cell r="Y108">
            <v>24.611999999999998</v>
          </cell>
          <cell r="AA108">
            <v>9.0389999999999997</v>
          </cell>
          <cell r="AB108">
            <v>11.352</v>
          </cell>
          <cell r="AC108">
            <v>10.692</v>
          </cell>
          <cell r="AD108">
            <v>12.161</v>
          </cell>
          <cell r="AE108">
            <v>43.244</v>
          </cell>
          <cell r="AG108">
            <v>13.63</v>
          </cell>
          <cell r="AH108">
            <v>15.444000000000001</v>
          </cell>
          <cell r="AI108">
            <v>13.456</v>
          </cell>
          <cell r="AJ108">
            <v>15.055</v>
          </cell>
          <cell r="AK108">
            <v>57.585000000000001</v>
          </cell>
          <cell r="AM108">
            <v>15.628</v>
          </cell>
          <cell r="AN108">
            <v>17.588999999999999</v>
          </cell>
          <cell r="AO108">
            <v>15.513999999999999</v>
          </cell>
          <cell r="AP108">
            <v>17.689</v>
          </cell>
          <cell r="AQ108">
            <v>66.419999999999987</v>
          </cell>
          <cell r="AS108">
            <v>22.079000000000001</v>
          </cell>
          <cell r="AT108">
            <v>27.539000000000001</v>
          </cell>
          <cell r="AU108">
            <v>24.934999999999999</v>
          </cell>
          <cell r="AV108">
            <v>34.731000000000002</v>
          </cell>
          <cell r="AW108">
            <v>109.28399999999999</v>
          </cell>
          <cell r="AY108">
            <v>38.450000000000003</v>
          </cell>
          <cell r="AZ108">
            <v>48.185000000000002</v>
          </cell>
          <cell r="BA108">
            <v>43.779000000000003</v>
          </cell>
          <cell r="BB108">
            <v>61.320999999999998</v>
          </cell>
          <cell r="BC108">
            <v>191.73500000000001</v>
          </cell>
          <cell r="BE108">
            <v>65.165000000000006</v>
          </cell>
          <cell r="BF108">
            <v>57.941000000000003</v>
          </cell>
          <cell r="BG108">
            <v>51.657732381855318</v>
          </cell>
          <cell r="BH108">
            <v>71.3716364890401</v>
          </cell>
          <cell r="BI108">
            <v>246.13536887089543</v>
          </cell>
          <cell r="BK108">
            <v>62.01743448457318</v>
          </cell>
          <cell r="BL108">
            <v>59.777344081701997</v>
          </cell>
          <cell r="BM108">
            <v>56.601113804228795</v>
          </cell>
          <cell r="BN108">
            <v>89.354664440104727</v>
          </cell>
          <cell r="BO108">
            <v>267.75055681060871</v>
          </cell>
          <cell r="BQ108" t="e">
            <v>#VALUE!</v>
          </cell>
          <cell r="BR108" t="e">
            <v>#VALUE!</v>
          </cell>
          <cell r="BS108" t="e">
            <v>#VALUE!</v>
          </cell>
          <cell r="BT108" t="e">
            <v>#VALUE!</v>
          </cell>
          <cell r="BU108" t="e">
            <v>#VALUE!</v>
          </cell>
          <cell r="BW108" t="e">
            <v>#VALUE!</v>
          </cell>
          <cell r="BX108" t="e">
            <v>#VALUE!</v>
          </cell>
          <cell r="BY108" t="e">
            <v>#VALUE!</v>
          </cell>
          <cell r="BZ108" t="e">
            <v>#VALUE!</v>
          </cell>
          <cell r="CA108" t="e">
            <v>#VALUE!</v>
          </cell>
          <cell r="CC108" t="e">
            <v>#VALUE!</v>
          </cell>
          <cell r="CD108" t="e">
            <v>#VALUE!</v>
          </cell>
          <cell r="CE108" t="e">
            <v>#VALUE!</v>
          </cell>
          <cell r="CF108" t="e">
            <v>#VALUE!</v>
          </cell>
          <cell r="CG108" t="e">
            <v>#VALUE!</v>
          </cell>
        </row>
        <row r="109">
          <cell r="A109" t="str">
            <v>q/q change</v>
          </cell>
          <cell r="B109"/>
          <cell r="C109"/>
          <cell r="D109"/>
          <cell r="E109"/>
          <cell r="F109"/>
          <cell r="G109"/>
          <cell r="I109"/>
          <cell r="J109"/>
          <cell r="K109"/>
          <cell r="L109"/>
          <cell r="M109"/>
          <cell r="O109"/>
          <cell r="P109"/>
          <cell r="Q109"/>
          <cell r="R109"/>
          <cell r="S109"/>
          <cell r="U109"/>
          <cell r="V109"/>
          <cell r="W109"/>
          <cell r="X109"/>
          <cell r="Y109" t="str">
            <v>NA</v>
          </cell>
          <cell r="AA109" t="str">
            <v>NA</v>
          </cell>
          <cell r="AB109">
            <v>0.25589113840026556</v>
          </cell>
          <cell r="AC109">
            <v>-5.8139534883720922E-2</v>
          </cell>
          <cell r="AD109">
            <v>0.13739244294799846</v>
          </cell>
          <cell r="AE109" t="str">
            <v>NA</v>
          </cell>
          <cell r="AG109">
            <v>0.1207959871721076</v>
          </cell>
          <cell r="AH109">
            <v>0.13308877476155545</v>
          </cell>
          <cell r="AI109">
            <v>-0.12872312872312885</v>
          </cell>
          <cell r="AJ109">
            <v>0.11883174791914386</v>
          </cell>
          <cell r="AK109" t="str">
            <v>NA</v>
          </cell>
          <cell r="AL109"/>
          <cell r="AM109" t="str">
            <v>NA</v>
          </cell>
          <cell r="AN109">
            <v>0.12547990785769114</v>
          </cell>
          <cell r="AO109">
            <v>-0.11797145943487408</v>
          </cell>
          <cell r="AP109">
            <v>0.14019595204331581</v>
          </cell>
          <cell r="AQ109" t="str">
            <v>NA</v>
          </cell>
          <cell r="AS109">
            <v>0.24817683306009397</v>
          </cell>
          <cell r="AT109">
            <v>0.24729380859640382</v>
          </cell>
          <cell r="AU109">
            <v>-9.4556810341697273E-2</v>
          </cell>
          <cell r="AV109">
            <v>0.39286143974333276</v>
          </cell>
          <cell r="AW109" t="str">
            <v>NA</v>
          </cell>
          <cell r="AY109">
            <v>0.10708013014309992</v>
          </cell>
          <cell r="AZ109">
            <v>0.25318595578673597</v>
          </cell>
          <cell r="BA109">
            <v>-9.1439244578188195E-2</v>
          </cell>
          <cell r="BB109">
            <v>0.4006943968569403</v>
          </cell>
          <cell r="BC109" t="str">
            <v>NA</v>
          </cell>
          <cell r="BE109">
            <v>6.2686518484695419E-2</v>
          </cell>
          <cell r="BF109">
            <v>-0.11085705516765143</v>
          </cell>
          <cell r="BG109">
            <v>-0.10844251252385506</v>
          </cell>
          <cell r="BH109">
            <v>0.38162542562765012</v>
          </cell>
          <cell r="BI109" t="str">
            <v>NA</v>
          </cell>
          <cell r="BK109">
            <v>-0.13106329719514498</v>
          </cell>
          <cell r="BL109">
            <v>-3.6120333281900008E-2</v>
          </cell>
          <cell r="BM109">
            <v>-5.3134349246631296E-2</v>
          </cell>
          <cell r="BN109">
            <v>0.57867325277667669</v>
          </cell>
          <cell r="BO109" t="str">
            <v>NA</v>
          </cell>
          <cell r="BQ109" t="str">
            <v>NA</v>
          </cell>
          <cell r="BR109" t="str">
            <v>NA</v>
          </cell>
          <cell r="BS109" t="str">
            <v>NA</v>
          </cell>
          <cell r="BT109" t="str">
            <v>NA</v>
          </cell>
          <cell r="BU109" t="str">
            <v>NA</v>
          </cell>
          <cell r="BW109" t="str">
            <v>NA</v>
          </cell>
          <cell r="BX109" t="str">
            <v>NA</v>
          </cell>
          <cell r="BY109" t="str">
            <v>NA</v>
          </cell>
          <cell r="BZ109" t="str">
            <v>NA</v>
          </cell>
          <cell r="CA109" t="str">
            <v>NA</v>
          </cell>
          <cell r="CC109" t="str">
            <v>NA</v>
          </cell>
          <cell r="CD109" t="str">
            <v>NA</v>
          </cell>
          <cell r="CE109" t="str">
            <v>NA</v>
          </cell>
          <cell r="CF109" t="str">
            <v>NA</v>
          </cell>
          <cell r="CG109" t="str">
            <v>NA</v>
          </cell>
        </row>
        <row r="110">
          <cell r="A110" t="str">
            <v>y/y change</v>
          </cell>
          <cell r="B110"/>
          <cell r="C110"/>
          <cell r="D110"/>
          <cell r="E110"/>
          <cell r="F110"/>
          <cell r="G110"/>
          <cell r="H110"/>
          <cell r="I110"/>
          <cell r="J110"/>
          <cell r="K110"/>
          <cell r="L110"/>
          <cell r="M110"/>
          <cell r="N110"/>
          <cell r="O110"/>
          <cell r="P110"/>
          <cell r="Q110"/>
          <cell r="R110"/>
          <cell r="S110"/>
          <cell r="T110"/>
          <cell r="U110"/>
          <cell r="V110"/>
          <cell r="W110"/>
          <cell r="X110"/>
          <cell r="Y110" t="str">
            <v>NA</v>
          </cell>
          <cell r="Z110"/>
          <cell r="AA110" t="str">
            <v>NA</v>
          </cell>
          <cell r="AB110" t="str">
            <v>NA</v>
          </cell>
          <cell r="AC110" t="str">
            <v>NA</v>
          </cell>
          <cell r="AD110" t="str">
            <v>NA</v>
          </cell>
          <cell r="AE110">
            <v>0.75702909150008146</v>
          </cell>
          <cell r="AF110"/>
          <cell r="AG110">
            <v>0.5079101670538777</v>
          </cell>
          <cell r="AH110">
            <v>0.36046511627906974</v>
          </cell>
          <cell r="AI110">
            <v>0.25851103628881411</v>
          </cell>
          <cell r="AJ110">
            <v>0.2379738508346354</v>
          </cell>
          <cell r="AK110">
            <v>0.33162982147812414</v>
          </cell>
          <cell r="AL110"/>
          <cell r="AM110" t="str">
            <v>NA</v>
          </cell>
          <cell r="AN110" t="str">
            <v>NA</v>
          </cell>
          <cell r="AO110" t="str">
            <v>NA</v>
          </cell>
          <cell r="AP110" t="str">
            <v>NA</v>
          </cell>
          <cell r="AQ110">
            <v>0.15342537119041388</v>
          </cell>
          <cell r="AR110"/>
          <cell r="AS110">
            <v>0.41278474532889686</v>
          </cell>
          <cell r="AT110">
            <v>0.56569446813349278</v>
          </cell>
          <cell r="AU110">
            <v>0.60725796055175962</v>
          </cell>
          <cell r="AV110">
            <v>0.96342359658544874</v>
          </cell>
          <cell r="AW110">
            <v>0.64534778681120164</v>
          </cell>
          <cell r="AX110"/>
          <cell r="AY110">
            <v>0.74147379863218443</v>
          </cell>
          <cell r="AZ110">
            <v>0.74970042485202804</v>
          </cell>
          <cell r="BA110">
            <v>0.7557248847002207</v>
          </cell>
          <cell r="BB110">
            <v>0.76559845671014348</v>
          </cell>
          <cell r="BC110">
            <v>0.75446542952307771</v>
          </cell>
          <cell r="BD110"/>
          <cell r="BE110">
            <v>0.6947984395318596</v>
          </cell>
          <cell r="BF110">
            <v>0.20246964823077729</v>
          </cell>
          <cell r="BG110">
            <v>0.39153475410584981</v>
          </cell>
          <cell r="BH110">
            <v>0.20949011675492368</v>
          </cell>
          <cell r="BI110">
            <v>0.34661456410946712</v>
          </cell>
          <cell r="BJ110"/>
          <cell r="BK110">
            <v>-4.8208497079075485E-2</v>
          </cell>
          <cell r="BL110">
            <v>0.17459334745230315</v>
          </cell>
          <cell r="BM110">
            <v>6.0729858591967112E-2</v>
          </cell>
          <cell r="BN110">
            <v>0.28530181854836334</v>
          </cell>
          <cell r="BO110">
            <v>0.12329642025102561</v>
          </cell>
          <cell r="BP110"/>
          <cell r="BQ110">
            <v>0.13421788614047214</v>
          </cell>
          <cell r="BR110">
            <v>6.5273544056128507E-2</v>
          </cell>
          <cell r="BS110">
            <v>4.9014730942603446E-2</v>
          </cell>
          <cell r="BT110">
            <v>0.17331208882035498</v>
          </cell>
          <cell r="BU110">
            <v>0.11190547073928858</v>
          </cell>
          <cell r="BV110"/>
          <cell r="BW110" t="str">
            <v>NA</v>
          </cell>
          <cell r="BX110" t="str">
            <v>NA</v>
          </cell>
          <cell r="BY110" t="str">
            <v>NA</v>
          </cell>
          <cell r="BZ110" t="str">
            <v>NA</v>
          </cell>
          <cell r="CA110" t="str">
            <v>NA</v>
          </cell>
          <cell r="CB110"/>
          <cell r="CC110" t="str">
            <v>NA</v>
          </cell>
          <cell r="CD110" t="str">
            <v>NA</v>
          </cell>
          <cell r="CE110" t="str">
            <v>NA</v>
          </cell>
          <cell r="CF110" t="str">
            <v>NA</v>
          </cell>
          <cell r="CG110" t="str">
            <v>NA</v>
          </cell>
        </row>
        <row r="111">
          <cell r="A111" t="str">
            <v>% seasonality</v>
          </cell>
          <cell r="B111"/>
          <cell r="C111"/>
          <cell r="D111"/>
          <cell r="E111"/>
          <cell r="F111"/>
          <cell r="G111"/>
          <cell r="H111"/>
          <cell r="I111"/>
          <cell r="J111"/>
          <cell r="K111"/>
          <cell r="L111"/>
          <cell r="M111"/>
          <cell r="N111"/>
          <cell r="O111"/>
          <cell r="P111"/>
          <cell r="Q111"/>
          <cell r="R111"/>
          <cell r="S111"/>
          <cell r="T111"/>
          <cell r="U111"/>
          <cell r="V111"/>
          <cell r="W111"/>
          <cell r="X111"/>
          <cell r="Y111">
            <v>0</v>
          </cell>
          <cell r="Z111"/>
          <cell r="AA111">
            <v>0.20902321709370086</v>
          </cell>
          <cell r="AB111">
            <v>0.26251040606789383</v>
          </cell>
          <cell r="AC111">
            <v>0.24724817315696976</v>
          </cell>
          <cell r="AD111">
            <v>0.28121820368143557</v>
          </cell>
          <cell r="AE111">
            <v>1</v>
          </cell>
          <cell r="AF111"/>
          <cell r="AG111">
            <v>0.23669358339845448</v>
          </cell>
          <cell r="AH111">
            <v>0.2681948424068768</v>
          </cell>
          <cell r="AI111">
            <v>0.23367196318485717</v>
          </cell>
          <cell r="AJ111">
            <v>0.26143961100981156</v>
          </cell>
          <cell r="AK111">
            <v>1</v>
          </cell>
          <cell r="AL111"/>
          <cell r="AM111">
            <v>0.23529057512797355</v>
          </cell>
          <cell r="AN111">
            <v>0.26481481481481484</v>
          </cell>
          <cell r="AO111">
            <v>0.23357422463113522</v>
          </cell>
          <cell r="AP111">
            <v>0.26632038542607656</v>
          </cell>
          <cell r="AQ111">
            <v>1.0000000000000002</v>
          </cell>
          <cell r="AR111"/>
          <cell r="AS111">
            <v>0.20203323450825375</v>
          </cell>
          <cell r="AT111">
            <v>0.25199480253285023</v>
          </cell>
          <cell r="AU111">
            <v>0.22816697778265804</v>
          </cell>
          <cell r="AV111">
            <v>0.31780498517623812</v>
          </cell>
          <cell r="AW111">
            <v>1</v>
          </cell>
          <cell r="AX111"/>
          <cell r="AY111">
            <v>0.20053719978094767</v>
          </cell>
          <cell r="AZ111">
            <v>0.2513104023782825</v>
          </cell>
          <cell r="BA111">
            <v>0.22833076903017185</v>
          </cell>
          <cell r="BB111">
            <v>0.31982162881059795</v>
          </cell>
          <cell r="BC111">
            <v>1</v>
          </cell>
          <cell r="BD111"/>
          <cell r="BE111">
            <v>0.25238857674289245</v>
          </cell>
          <cell r="BF111">
            <v>0.22440952236722059</v>
          </cell>
          <cell r="BG111">
            <v>0.23594739653459687</v>
          </cell>
          <cell r="BH111">
            <v>0.28725450435529004</v>
          </cell>
          <cell r="BI111">
            <v>1</v>
          </cell>
          <cell r="BJ111"/>
          <cell r="BK111">
            <v>0.21385388437764974</v>
          </cell>
          <cell r="BL111">
            <v>0.23465750208531877</v>
          </cell>
          <cell r="BM111">
            <v>0.22280534687839199</v>
          </cell>
          <cell r="BN111">
            <v>0.32868326665863951</v>
          </cell>
          <cell r="BO111">
            <v>1</v>
          </cell>
          <cell r="BP111"/>
          <cell r="BQ111">
            <v>0.21814525340942387</v>
          </cell>
          <cell r="BR111">
            <v>0.2248162595329096</v>
          </cell>
          <cell r="BS111">
            <v>0.21020320266327044</v>
          </cell>
          <cell r="BT111">
            <v>0.3468352843943962</v>
          </cell>
          <cell r="BU111">
            <v>1</v>
          </cell>
          <cell r="BV111"/>
          <cell r="BW111" t="str">
            <v>NA</v>
          </cell>
          <cell r="BX111" t="str">
            <v>NA</v>
          </cell>
          <cell r="BY111" t="str">
            <v>NA</v>
          </cell>
          <cell r="BZ111" t="str">
            <v>NA</v>
          </cell>
          <cell r="CA111">
            <v>0</v>
          </cell>
          <cell r="CB111"/>
          <cell r="CC111" t="str">
            <v>NA</v>
          </cell>
          <cell r="CD111" t="str">
            <v>NA</v>
          </cell>
          <cell r="CE111" t="str">
            <v>NA</v>
          </cell>
          <cell r="CF111" t="str">
            <v>NA</v>
          </cell>
          <cell r="CG111">
            <v>0</v>
          </cell>
        </row>
        <row r="112">
          <cell r="A112" t="str">
            <v>% of total revenue</v>
          </cell>
          <cell r="C112"/>
          <cell r="D112"/>
          <cell r="E112"/>
          <cell r="F112"/>
          <cell r="G112"/>
          <cell r="H112"/>
          <cell r="I112"/>
          <cell r="J112"/>
          <cell r="K112"/>
          <cell r="L112"/>
          <cell r="M112"/>
          <cell r="N112"/>
          <cell r="O112"/>
          <cell r="P112"/>
          <cell r="Q112"/>
          <cell r="R112"/>
          <cell r="S112"/>
          <cell r="T112"/>
          <cell r="U112"/>
          <cell r="V112"/>
          <cell r="W112"/>
          <cell r="X112"/>
          <cell r="Y112">
            <v>0.64795703454085929</v>
          </cell>
          <cell r="Z112"/>
          <cell r="AA112">
            <v>0.78415893120499702</v>
          </cell>
          <cell r="AB112">
            <v>0.89315499606608961</v>
          </cell>
          <cell r="AC112">
            <v>0.75668789808917192</v>
          </cell>
          <cell r="AD112">
            <v>0.78691600880031054</v>
          </cell>
          <cell r="AE112">
            <v>0.80347819624310202</v>
          </cell>
          <cell r="AF112"/>
          <cell r="AG112">
            <v>0.74100250081548347</v>
          </cell>
          <cell r="AH112">
            <v>0.77328259563388746</v>
          </cell>
          <cell r="AI112">
            <v>0.59905618377704561</v>
          </cell>
          <cell r="AJ112">
            <v>0.60311673744091021</v>
          </cell>
          <cell r="AK112">
            <v>0.67123207833080778</v>
          </cell>
          <cell r="AM112">
            <v>0.54748642494307231</v>
          </cell>
          <cell r="AN112">
            <v>0.58013127082027771</v>
          </cell>
          <cell r="AO112">
            <v>0.45422339335382811</v>
          </cell>
          <cell r="AP112">
            <v>0.45840675857779617</v>
          </cell>
          <cell r="AQ112">
            <v>0.50468440128564585</v>
          </cell>
          <cell r="AR112"/>
          <cell r="AS112">
            <v>0.43869339744481312</v>
          </cell>
          <cell r="AT112">
            <v>0.53471709836511205</v>
          </cell>
          <cell r="AU112">
            <v>0.39839268881113293</v>
          </cell>
          <cell r="AV112">
            <v>0.38957936062815479</v>
          </cell>
          <cell r="AW112">
            <v>0.43098158299483369</v>
          </cell>
          <cell r="AX112"/>
          <cell r="AY112">
            <v>0.50578795053933179</v>
          </cell>
          <cell r="AZ112">
            <v>0.58731396950379677</v>
          </cell>
          <cell r="BA112">
            <v>0.42340686867123806</v>
          </cell>
          <cell r="BB112">
            <v>0.39195270054330461</v>
          </cell>
          <cell r="BC112">
            <v>0.45879495585173846</v>
          </cell>
          <cell r="BD112"/>
          <cell r="BE112">
            <v>0.59877240859681524</v>
          </cell>
          <cell r="BF112">
            <v>0.60209075888728403</v>
          </cell>
          <cell r="BG112">
            <v>0.46963774987087281</v>
          </cell>
          <cell r="BH112">
            <v>0.50033658459757124</v>
          </cell>
          <cell r="BI112">
            <v>0.53454421949094533</v>
          </cell>
          <cell r="BJ112"/>
          <cell r="BK112">
            <v>0.51874378590038561</v>
          </cell>
          <cell r="BL112">
            <v>0.54739467021810739</v>
          </cell>
          <cell r="BM112">
            <v>0.44945135319411289</v>
          </cell>
          <cell r="BN112">
            <v>0.5604328168816628</v>
          </cell>
          <cell r="BO112">
            <v>0.51998225487070282</v>
          </cell>
          <cell r="BP112"/>
          <cell r="BQ112">
            <v>0.48500000000000004</v>
          </cell>
          <cell r="BR112">
            <v>0.48000000000000004</v>
          </cell>
          <cell r="BS112">
            <v>0.40351636469968311</v>
          </cell>
          <cell r="BT112">
            <v>0.54271955471991473</v>
          </cell>
          <cell r="BU112">
            <v>0.48119747786803552</v>
          </cell>
          <cell r="BV112"/>
          <cell r="BW112" t="str">
            <v>NA</v>
          </cell>
          <cell r="BX112" t="str">
            <v>NA</v>
          </cell>
          <cell r="BY112" t="str">
            <v>NA</v>
          </cell>
          <cell r="BZ112" t="str">
            <v>NA</v>
          </cell>
          <cell r="CA112" t="str">
            <v>NA</v>
          </cell>
          <cell r="CB112"/>
          <cell r="CC112" t="str">
            <v>NA</v>
          </cell>
          <cell r="CD112" t="str">
            <v>NA</v>
          </cell>
          <cell r="CE112" t="str">
            <v>NA</v>
          </cell>
          <cell r="CF112" t="str">
            <v>NA</v>
          </cell>
          <cell r="CG112" t="str">
            <v>NA</v>
          </cell>
        </row>
        <row r="113">
          <cell r="A113"/>
          <cell r="C113"/>
          <cell r="D113"/>
          <cell r="E113"/>
          <cell r="F113"/>
          <cell r="G113"/>
          <cell r="I113"/>
          <cell r="J113"/>
          <cell r="K113"/>
          <cell r="L113"/>
          <cell r="M113"/>
          <cell r="O113"/>
          <cell r="P113"/>
          <cell r="Q113"/>
          <cell r="R113"/>
          <cell r="S113"/>
          <cell r="U113"/>
          <cell r="V113"/>
          <cell r="W113"/>
          <cell r="X113"/>
          <cell r="Y113"/>
          <cell r="AA113"/>
          <cell r="AB113"/>
          <cell r="AC113"/>
          <cell r="AD113"/>
          <cell r="AE113"/>
          <cell r="AG113"/>
          <cell r="AH113"/>
          <cell r="AI113"/>
          <cell r="AJ113"/>
          <cell r="AK113"/>
          <cell r="AM113"/>
          <cell r="AN113"/>
          <cell r="AO113"/>
          <cell r="AP113"/>
          <cell r="AQ113"/>
          <cell r="AS113"/>
          <cell r="AT113"/>
          <cell r="AU113"/>
          <cell r="AV113"/>
          <cell r="AW113"/>
          <cell r="AY113"/>
          <cell r="AZ113"/>
          <cell r="BA113"/>
          <cell r="BB113"/>
          <cell r="BC113"/>
          <cell r="BE113"/>
          <cell r="BF113"/>
          <cell r="BG113"/>
          <cell r="BH113"/>
          <cell r="BI113"/>
          <cell r="BK113"/>
          <cell r="BL113"/>
          <cell r="BM113"/>
          <cell r="BN113"/>
          <cell r="BO113"/>
          <cell r="BQ113"/>
          <cell r="BR113"/>
          <cell r="BS113"/>
          <cell r="BT113"/>
          <cell r="BU113"/>
          <cell r="BW113"/>
          <cell r="BX113"/>
          <cell r="BY113"/>
          <cell r="BZ113"/>
          <cell r="CA113"/>
          <cell r="CC113"/>
          <cell r="CD113"/>
          <cell r="CE113"/>
          <cell r="CF113"/>
          <cell r="CG113"/>
        </row>
        <row r="114">
          <cell r="A114" t="str">
            <v>Research and development expense</v>
          </cell>
          <cell r="C114"/>
          <cell r="D114"/>
          <cell r="E114"/>
          <cell r="F114"/>
          <cell r="G114"/>
          <cell r="I114"/>
          <cell r="J114"/>
          <cell r="K114"/>
          <cell r="L114"/>
          <cell r="M114"/>
          <cell r="O114"/>
          <cell r="P114"/>
          <cell r="Q114"/>
          <cell r="R114"/>
          <cell r="S114"/>
          <cell r="U114"/>
          <cell r="V114"/>
          <cell r="W114"/>
          <cell r="X114"/>
          <cell r="Y114">
            <v>7.7869999999999999</v>
          </cell>
          <cell r="AA114">
            <v>2.3809999999999998</v>
          </cell>
          <cell r="AB114">
            <v>2.4390000000000001</v>
          </cell>
          <cell r="AC114">
            <v>2.7509999999999999</v>
          </cell>
          <cell r="AD114">
            <v>3.532</v>
          </cell>
          <cell r="AE114">
            <v>11.103</v>
          </cell>
          <cell r="AG114">
            <v>3.855</v>
          </cell>
          <cell r="AH114">
            <v>4.0679999999999996</v>
          </cell>
          <cell r="AI114">
            <v>4.4960000000000004</v>
          </cell>
          <cell r="AJ114">
            <v>5.0620000000000003</v>
          </cell>
          <cell r="AK114">
            <v>17.481000000000002</v>
          </cell>
          <cell r="AM114">
            <v>6.0220000000000002</v>
          </cell>
          <cell r="AN114">
            <v>7.1470000000000002</v>
          </cell>
          <cell r="AO114">
            <v>7.774</v>
          </cell>
          <cell r="AP114">
            <v>8.3989999999999991</v>
          </cell>
          <cell r="AQ114">
            <v>29.341999999999999</v>
          </cell>
          <cell r="AS114">
            <v>10.768000000000001</v>
          </cell>
          <cell r="AT114">
            <v>10.180999999999999</v>
          </cell>
          <cell r="AU114">
            <v>10.53</v>
          </cell>
          <cell r="AV114">
            <v>11.97</v>
          </cell>
          <cell r="AW114">
            <v>43.448999999999998</v>
          </cell>
          <cell r="AY114">
            <v>14.071999999999999</v>
          </cell>
          <cell r="AZ114">
            <v>16.381</v>
          </cell>
          <cell r="BA114">
            <v>17.754999999999999</v>
          </cell>
          <cell r="BB114">
            <v>20.891999999999999</v>
          </cell>
          <cell r="BC114">
            <v>69.099999999999994</v>
          </cell>
          <cell r="BE114">
            <v>26.181000000000001</v>
          </cell>
          <cell r="BF114">
            <v>23.256</v>
          </cell>
          <cell r="BG114">
            <v>23.297593663865744</v>
          </cell>
          <cell r="BH114">
            <v>25.296292833021095</v>
          </cell>
          <cell r="BI114">
            <v>98.030886496886836</v>
          </cell>
          <cell r="BK114">
            <v>27.705919878490405</v>
          </cell>
          <cell r="BL114">
            <v>28.103620335471469</v>
          </cell>
          <cell r="BM114">
            <v>29.243223888220072</v>
          </cell>
          <cell r="BN114">
            <v>33.116671387759972</v>
          </cell>
          <cell r="BO114">
            <v>118.16943548994192</v>
          </cell>
          <cell r="BQ114" t="e">
            <v>#VALUE!</v>
          </cell>
          <cell r="BR114" t="e">
            <v>#VALUE!</v>
          </cell>
          <cell r="BS114" t="e">
            <v>#VALUE!</v>
          </cell>
          <cell r="BT114" t="e">
            <v>#VALUE!</v>
          </cell>
          <cell r="BU114" t="e">
            <v>#VALUE!</v>
          </cell>
          <cell r="BW114" t="e">
            <v>#VALUE!</v>
          </cell>
          <cell r="BX114" t="e">
            <v>#VALUE!</v>
          </cell>
          <cell r="BY114" t="e">
            <v>#VALUE!</v>
          </cell>
          <cell r="BZ114" t="e">
            <v>#VALUE!</v>
          </cell>
          <cell r="CA114" t="e">
            <v>#VALUE!</v>
          </cell>
          <cell r="CC114" t="e">
            <v>#VALUE!</v>
          </cell>
          <cell r="CD114" t="e">
            <v>#VALUE!</v>
          </cell>
          <cell r="CE114" t="e">
            <v>#VALUE!</v>
          </cell>
          <cell r="CF114" t="e">
            <v>#VALUE!</v>
          </cell>
          <cell r="CG114" t="e">
            <v>#VALUE!</v>
          </cell>
        </row>
        <row r="115">
          <cell r="A115" t="str">
            <v>q/q change</v>
          </cell>
          <cell r="B115"/>
          <cell r="C115"/>
          <cell r="D115"/>
          <cell r="E115"/>
          <cell r="F115"/>
          <cell r="G115"/>
          <cell r="I115"/>
          <cell r="J115"/>
          <cell r="K115"/>
          <cell r="L115"/>
          <cell r="M115"/>
          <cell r="O115"/>
          <cell r="P115"/>
          <cell r="Q115"/>
          <cell r="R115"/>
          <cell r="S115"/>
          <cell r="U115"/>
          <cell r="V115"/>
          <cell r="W115"/>
          <cell r="X115"/>
          <cell r="Y115" t="str">
            <v>NA</v>
          </cell>
          <cell r="AA115" t="str">
            <v>NA</v>
          </cell>
          <cell r="AB115">
            <v>2.4359512809744022E-2</v>
          </cell>
          <cell r="AC115">
            <v>0.12792127921279195</v>
          </cell>
          <cell r="AD115">
            <v>0.28389676481279547</v>
          </cell>
          <cell r="AE115" t="str">
            <v>NA</v>
          </cell>
          <cell r="AG115">
            <v>9.1449603624009113E-2</v>
          </cell>
          <cell r="AH115">
            <v>5.5252918287937547E-2</v>
          </cell>
          <cell r="AI115">
            <v>0.10521140609636204</v>
          </cell>
          <cell r="AJ115">
            <v>0.1258896797153024</v>
          </cell>
          <cell r="AK115" t="str">
            <v>NA</v>
          </cell>
          <cell r="AL115"/>
          <cell r="AM115" t="str">
            <v>NA</v>
          </cell>
          <cell r="AN115">
            <v>0.18681501162404524</v>
          </cell>
          <cell r="AO115">
            <v>8.7729117112074873E-2</v>
          </cell>
          <cell r="AP115">
            <v>8.0396192436326119E-2</v>
          </cell>
          <cell r="AQ115" t="str">
            <v>NA</v>
          </cell>
          <cell r="AS115">
            <v>0.28205738778426026</v>
          </cell>
          <cell r="AT115">
            <v>-5.45133729569095E-2</v>
          </cell>
          <cell r="AU115">
            <v>3.4279540320204305E-2</v>
          </cell>
          <cell r="AV115">
            <v>0.13675213675213693</v>
          </cell>
          <cell r="AW115" t="str">
            <v>NA</v>
          </cell>
          <cell r="AY115">
            <v>0.17560568086883865</v>
          </cell>
          <cell r="AZ115">
            <v>0.16408470722001156</v>
          </cell>
          <cell r="BA115">
            <v>8.3877663146328052E-2</v>
          </cell>
          <cell r="BB115">
            <v>0.17668262461278528</v>
          </cell>
          <cell r="BC115" t="str">
            <v>NA</v>
          </cell>
          <cell r="BE115">
            <v>0.25315910396323948</v>
          </cell>
          <cell r="BF115">
            <v>-0.11172224132004127</v>
          </cell>
          <cell r="BG115">
            <v>1.7885132381210145E-3</v>
          </cell>
          <cell r="BH115">
            <v>8.578994028277287E-2</v>
          </cell>
          <cell r="BI115" t="str">
            <v>NA</v>
          </cell>
          <cell r="BK115">
            <v>9.525613343326933E-2</v>
          </cell>
          <cell r="BL115">
            <v>1.4354349493727492E-2</v>
          </cell>
          <cell r="BM115">
            <v>4.0550062203560167E-2</v>
          </cell>
          <cell r="BN115">
            <v>0.13245624060964856</v>
          </cell>
          <cell r="BO115" t="str">
            <v>NA</v>
          </cell>
          <cell r="BQ115" t="str">
            <v>NA</v>
          </cell>
          <cell r="BR115" t="str">
            <v>NA</v>
          </cell>
          <cell r="BS115" t="str">
            <v>NA</v>
          </cell>
          <cell r="BT115" t="str">
            <v>NA</v>
          </cell>
          <cell r="BU115" t="str">
            <v>NA</v>
          </cell>
          <cell r="BW115" t="str">
            <v>NA</v>
          </cell>
          <cell r="BX115" t="str">
            <v>NA</v>
          </cell>
          <cell r="BY115" t="str">
            <v>NA</v>
          </cell>
          <cell r="BZ115" t="str">
            <v>NA</v>
          </cell>
          <cell r="CA115" t="str">
            <v>NA</v>
          </cell>
          <cell r="CC115" t="str">
            <v>NA</v>
          </cell>
          <cell r="CD115" t="str">
            <v>NA</v>
          </cell>
          <cell r="CE115" t="str">
            <v>NA</v>
          </cell>
          <cell r="CF115" t="str">
            <v>NA</v>
          </cell>
          <cell r="CG115" t="str">
            <v>NA</v>
          </cell>
        </row>
        <row r="116">
          <cell r="A116" t="str">
            <v>y/y change</v>
          </cell>
          <cell r="B116"/>
          <cell r="C116"/>
          <cell r="D116"/>
          <cell r="E116"/>
          <cell r="F116"/>
          <cell r="G116"/>
          <cell r="H116"/>
          <cell r="I116"/>
          <cell r="J116"/>
          <cell r="K116"/>
          <cell r="L116"/>
          <cell r="M116"/>
          <cell r="N116"/>
          <cell r="O116"/>
          <cell r="P116"/>
          <cell r="Q116"/>
          <cell r="R116"/>
          <cell r="S116"/>
          <cell r="T116"/>
          <cell r="U116"/>
          <cell r="V116"/>
          <cell r="W116"/>
          <cell r="X116"/>
          <cell r="Y116" t="str">
            <v>NA</v>
          </cell>
          <cell r="Z116"/>
          <cell r="AA116" t="str">
            <v>NA</v>
          </cell>
          <cell r="AB116" t="str">
            <v>NA</v>
          </cell>
          <cell r="AC116" t="str">
            <v>NA</v>
          </cell>
          <cell r="AD116" t="str">
            <v>NA</v>
          </cell>
          <cell r="AE116">
            <v>0.42583793501990486</v>
          </cell>
          <cell r="AF116"/>
          <cell r="AG116">
            <v>0.61906761864762716</v>
          </cell>
          <cell r="AH116">
            <v>0.6678966789667895</v>
          </cell>
          <cell r="AI116">
            <v>0.6343147946201384</v>
          </cell>
          <cell r="AJ116">
            <v>0.43318233295583242</v>
          </cell>
          <cell r="AK116">
            <v>0.57443934071872493</v>
          </cell>
          <cell r="AL116"/>
          <cell r="AM116" t="str">
            <v>NA</v>
          </cell>
          <cell r="AN116" t="str">
            <v>NA</v>
          </cell>
          <cell r="AO116" t="str">
            <v>NA</v>
          </cell>
          <cell r="AP116" t="str">
            <v>NA</v>
          </cell>
          <cell r="AQ116">
            <v>0.67850809450260252</v>
          </cell>
          <cell r="AR116"/>
          <cell r="AS116">
            <v>0.78811026237130521</v>
          </cell>
          <cell r="AT116">
            <v>0.42451378200643619</v>
          </cell>
          <cell r="AU116">
            <v>0.35451505016722407</v>
          </cell>
          <cell r="AV116">
            <v>0.42516966305512582</v>
          </cell>
          <cell r="AW116">
            <v>0.48077840637993319</v>
          </cell>
          <cell r="AX116"/>
          <cell r="AY116">
            <v>0.30683506686478434</v>
          </cell>
          <cell r="AZ116">
            <v>0.6089775071211081</v>
          </cell>
          <cell r="BA116">
            <v>0.68613485280151942</v>
          </cell>
          <cell r="BB116">
            <v>0.74536340852130323</v>
          </cell>
          <cell r="BC116">
            <v>0.59037031922483818</v>
          </cell>
          <cell r="BD116"/>
          <cell r="BE116">
            <v>0.8605031267765777</v>
          </cell>
          <cell r="BF116">
            <v>0.41969354740247855</v>
          </cell>
          <cell r="BG116">
            <v>0.42112081103914401</v>
          </cell>
          <cell r="BH116">
            <v>0.2431182202108888</v>
          </cell>
          <cell r="BI116">
            <v>0.45644321066057736</v>
          </cell>
          <cell r="BJ116"/>
          <cell r="BK116">
            <v>0.1218550621566501</v>
          </cell>
          <cell r="BL116">
            <v>0.38875328723001634</v>
          </cell>
          <cell r="BM116">
            <v>0.33265024792363707</v>
          </cell>
          <cell r="BN116">
            <v>0.32936347946102162</v>
          </cell>
          <cell r="BO116">
            <v>0.289929180418665</v>
          </cell>
          <cell r="BP116"/>
          <cell r="BQ116">
            <v>-0.14882859322516673</v>
          </cell>
          <cell r="BR116">
            <v>-0.19496784176728943</v>
          </cell>
          <cell r="BS116">
            <v>-0.25060891568654253</v>
          </cell>
          <cell r="BT116">
            <v>-0.22399966359206147</v>
          </cell>
          <cell r="BU116">
            <v>-0.20666195554366473</v>
          </cell>
          <cell r="BV116"/>
          <cell r="BW116" t="str">
            <v>NA</v>
          </cell>
          <cell r="BX116" t="str">
            <v>NA</v>
          </cell>
          <cell r="BY116" t="str">
            <v>NA</v>
          </cell>
          <cell r="BZ116" t="str">
            <v>NA</v>
          </cell>
          <cell r="CA116" t="str">
            <v>NA</v>
          </cell>
          <cell r="CB116"/>
          <cell r="CC116" t="str">
            <v>NA</v>
          </cell>
          <cell r="CD116" t="str">
            <v>NA</v>
          </cell>
          <cell r="CE116" t="str">
            <v>NA</v>
          </cell>
          <cell r="CF116" t="str">
            <v>NA</v>
          </cell>
          <cell r="CG116" t="str">
            <v>NA</v>
          </cell>
        </row>
        <row r="117">
          <cell r="A117" t="str">
            <v>% seasonality</v>
          </cell>
          <cell r="B117"/>
          <cell r="C117"/>
          <cell r="D117"/>
          <cell r="E117"/>
          <cell r="F117"/>
          <cell r="G117"/>
          <cell r="H117"/>
          <cell r="I117"/>
          <cell r="J117"/>
          <cell r="K117"/>
          <cell r="L117"/>
          <cell r="M117"/>
          <cell r="N117"/>
          <cell r="O117"/>
          <cell r="P117"/>
          <cell r="Q117"/>
          <cell r="R117"/>
          <cell r="S117"/>
          <cell r="T117"/>
          <cell r="U117"/>
          <cell r="V117"/>
          <cell r="W117"/>
          <cell r="X117"/>
          <cell r="Y117">
            <v>0</v>
          </cell>
          <cell r="Z117"/>
          <cell r="AA117">
            <v>0.21444654597856433</v>
          </cell>
          <cell r="AB117">
            <v>0.21967035936233451</v>
          </cell>
          <cell r="AC117">
            <v>0.24777087273709808</v>
          </cell>
          <cell r="AD117">
            <v>0.31811222192200306</v>
          </cell>
          <cell r="AE117">
            <v>1</v>
          </cell>
          <cell r="AF117"/>
          <cell r="AG117">
            <v>0.22052514158228931</v>
          </cell>
          <cell r="AH117">
            <v>0.23270979921057144</v>
          </cell>
          <cell r="AI117">
            <v>0.25719352439791776</v>
          </cell>
          <cell r="AJ117">
            <v>0.28957153480922143</v>
          </cell>
          <cell r="AK117">
            <v>1</v>
          </cell>
          <cell r="AL117"/>
          <cell r="AM117">
            <v>0.20523481698589055</v>
          </cell>
          <cell r="AN117">
            <v>0.24357576170676848</v>
          </cell>
          <cell r="AO117">
            <v>0.26494444823120444</v>
          </cell>
          <cell r="AP117">
            <v>0.28624497307613656</v>
          </cell>
          <cell r="AQ117">
            <v>1</v>
          </cell>
          <cell r="AR117"/>
          <cell r="AS117">
            <v>0.24783079012175196</v>
          </cell>
          <cell r="AT117">
            <v>0.23432069782963935</v>
          </cell>
          <cell r="AU117">
            <v>0.24235310363874887</v>
          </cell>
          <cell r="AV117">
            <v>0.27549540840985987</v>
          </cell>
          <cell r="AW117">
            <v>1</v>
          </cell>
          <cell r="AX117"/>
          <cell r="AY117">
            <v>0.20364688856729379</v>
          </cell>
          <cell r="AZ117">
            <v>0.23706222865412449</v>
          </cell>
          <cell r="BA117">
            <v>0.25694645441389291</v>
          </cell>
          <cell r="BB117">
            <v>0.30234442836468889</v>
          </cell>
          <cell r="BC117">
            <v>1</v>
          </cell>
          <cell r="BD117"/>
          <cell r="BE117">
            <v>0.26014448772494592</v>
          </cell>
          <cell r="BF117">
            <v>0.23108056248926101</v>
          </cell>
          <cell r="BG117">
            <v>0.25071485864847926</v>
          </cell>
          <cell r="BH117">
            <v>0.25806009113731387</v>
          </cell>
          <cell r="BI117">
            <v>1</v>
          </cell>
          <cell r="BJ117"/>
          <cell r="BK117">
            <v>0.22624839787844545</v>
          </cell>
          <cell r="BL117">
            <v>0.24878411593709759</v>
          </cell>
          <cell r="BM117">
            <v>0.25901826519467808</v>
          </cell>
          <cell r="BN117">
            <v>0.26594922098977891</v>
          </cell>
          <cell r="BO117">
            <v>1</v>
          </cell>
          <cell r="BP117"/>
          <cell r="BQ117">
            <v>0.24274162628204557</v>
          </cell>
          <cell r="BR117">
            <v>0.25245129133332739</v>
          </cell>
          <cell r="BS117">
            <v>0.24466994866513542</v>
          </cell>
          <cell r="BT117">
            <v>0.26013713371949154</v>
          </cell>
          <cell r="BU117">
            <v>1</v>
          </cell>
          <cell r="BV117"/>
          <cell r="BW117" t="str">
            <v>NA</v>
          </cell>
          <cell r="BX117" t="str">
            <v>NA</v>
          </cell>
          <cell r="BY117" t="str">
            <v>NA</v>
          </cell>
          <cell r="BZ117" t="str">
            <v>NA</v>
          </cell>
          <cell r="CA117">
            <v>0</v>
          </cell>
          <cell r="CB117"/>
          <cell r="CC117" t="str">
            <v>NA</v>
          </cell>
          <cell r="CD117" t="str">
            <v>NA</v>
          </cell>
          <cell r="CE117" t="str">
            <v>NA</v>
          </cell>
          <cell r="CF117" t="str">
            <v>NA</v>
          </cell>
          <cell r="CG117">
            <v>0</v>
          </cell>
        </row>
        <row r="118">
          <cell r="A118" t="str">
            <v>% of total revenue</v>
          </cell>
          <cell r="C118"/>
          <cell r="D118"/>
          <cell r="E118"/>
          <cell r="F118"/>
          <cell r="G118"/>
          <cell r="H118"/>
          <cell r="I118"/>
          <cell r="J118"/>
          <cell r="K118"/>
          <cell r="L118"/>
          <cell r="M118"/>
          <cell r="N118"/>
          <cell r="O118"/>
          <cell r="P118"/>
          <cell r="Q118"/>
          <cell r="R118"/>
          <cell r="S118"/>
          <cell r="T118"/>
          <cell r="U118"/>
          <cell r="V118"/>
          <cell r="W118"/>
          <cell r="X118"/>
          <cell r="Y118">
            <v>0.20500737152485254</v>
          </cell>
          <cell r="Z118"/>
          <cell r="AA118">
            <v>0.20655851479135942</v>
          </cell>
          <cell r="AB118">
            <v>0.19189614476789929</v>
          </cell>
          <cell r="AC118">
            <v>0.19469214437367302</v>
          </cell>
          <cell r="AD118">
            <v>0.2285492429144558</v>
          </cell>
          <cell r="AE118">
            <v>0.20629494063655449</v>
          </cell>
          <cell r="AF118"/>
          <cell r="AG118">
            <v>0.20957921061215615</v>
          </cell>
          <cell r="AH118">
            <v>0.20368515922291205</v>
          </cell>
          <cell r="AI118">
            <v>0.20016027067936962</v>
          </cell>
          <cell r="AJ118">
            <v>0.20278823812194538</v>
          </cell>
          <cell r="AK118">
            <v>0.20376500757664065</v>
          </cell>
          <cell r="AM118">
            <v>0.21096514275705028</v>
          </cell>
          <cell r="AN118">
            <v>0.23572677199116068</v>
          </cell>
          <cell r="AO118">
            <v>0.22760942760942759</v>
          </cell>
          <cell r="AP118">
            <v>0.21765833938011814</v>
          </cell>
          <cell r="AQ118">
            <v>0.22295166670465855</v>
          </cell>
          <cell r="AR118"/>
          <cell r="AS118">
            <v>0.21395219455979655</v>
          </cell>
          <cell r="AT118">
            <v>0.19768164343132302</v>
          </cell>
          <cell r="AU118">
            <v>0.16824042563389732</v>
          </cell>
          <cell r="AV118">
            <v>0.13426808749298935</v>
          </cell>
          <cell r="AW118">
            <v>0.17134913436132032</v>
          </cell>
          <cell r="AX118"/>
          <cell r="AY118">
            <v>0.18510918179426467</v>
          </cell>
          <cell r="AZ118">
            <v>0.19966359104372097</v>
          </cell>
          <cell r="BA118">
            <v>0.17171678095109141</v>
          </cell>
          <cell r="BB118">
            <v>0.13353787152444871</v>
          </cell>
          <cell r="BC118">
            <v>0.16534660572850612</v>
          </cell>
          <cell r="BD118"/>
          <cell r="BE118">
            <v>0.24056564765553931</v>
          </cell>
          <cell r="BF118">
            <v>0.24166346263755675</v>
          </cell>
          <cell r="BG118">
            <v>0.19451575352498132</v>
          </cell>
          <cell r="BH118">
            <v>0.1752036527032903</v>
          </cell>
          <cell r="BI118">
            <v>0.2083581704037363</v>
          </cell>
          <cell r="BJ118"/>
          <cell r="BK118">
            <v>0.2456516394967585</v>
          </cell>
          <cell r="BL118">
            <v>0.25976890281538395</v>
          </cell>
          <cell r="BM118">
            <v>0.23387611125561281</v>
          </cell>
          <cell r="BN118">
            <v>0.20297524589236221</v>
          </cell>
          <cell r="BO118">
            <v>0.23274851203235911</v>
          </cell>
          <cell r="BP118"/>
          <cell r="BQ118">
            <v>0.17235704223922871</v>
          </cell>
          <cell r="BR118">
            <v>0.17213925563318688</v>
          </cell>
          <cell r="BS118">
            <v>0.15</v>
          </cell>
          <cell r="BT118">
            <v>0.13</v>
          </cell>
          <cell r="BU118">
            <v>0.15367815818616981</v>
          </cell>
          <cell r="BV118"/>
          <cell r="BW118" t="str">
            <v>NA</v>
          </cell>
          <cell r="BX118" t="str">
            <v>NA</v>
          </cell>
          <cell r="BY118" t="str">
            <v>NA</v>
          </cell>
          <cell r="BZ118" t="str">
            <v>NA</v>
          </cell>
          <cell r="CA118" t="str">
            <v>NA</v>
          </cell>
          <cell r="CB118"/>
          <cell r="CC118" t="str">
            <v>NA</v>
          </cell>
          <cell r="CD118" t="str">
            <v>NA</v>
          </cell>
          <cell r="CE118" t="str">
            <v>NA</v>
          </cell>
          <cell r="CF118" t="str">
            <v>NA</v>
          </cell>
          <cell r="CG118" t="str">
            <v>NA</v>
          </cell>
        </row>
        <row r="119">
          <cell r="A119"/>
          <cell r="C119"/>
          <cell r="D119"/>
          <cell r="E119"/>
          <cell r="F119"/>
          <cell r="G119"/>
          <cell r="I119"/>
          <cell r="J119"/>
          <cell r="K119"/>
          <cell r="L119"/>
          <cell r="M119"/>
          <cell r="O119"/>
          <cell r="P119"/>
          <cell r="Q119"/>
          <cell r="R119"/>
          <cell r="S119"/>
          <cell r="U119"/>
          <cell r="V119"/>
          <cell r="W119"/>
          <cell r="X119"/>
          <cell r="Y119"/>
          <cell r="AA119"/>
          <cell r="AB119"/>
          <cell r="AC119"/>
          <cell r="AD119"/>
          <cell r="AE119"/>
          <cell r="AG119"/>
          <cell r="AH119"/>
          <cell r="AI119"/>
          <cell r="AJ119"/>
          <cell r="AK119"/>
          <cell r="AM119"/>
          <cell r="AN119"/>
          <cell r="AO119"/>
          <cell r="AP119"/>
          <cell r="AQ119"/>
          <cell r="AS119"/>
          <cell r="AT119"/>
          <cell r="AU119"/>
          <cell r="AV119"/>
          <cell r="AW119"/>
          <cell r="AY119"/>
          <cell r="AZ119"/>
          <cell r="BA119"/>
          <cell r="BB119"/>
          <cell r="BC119"/>
          <cell r="BE119"/>
          <cell r="BF119"/>
          <cell r="BG119"/>
          <cell r="BH119"/>
          <cell r="BI119"/>
          <cell r="BK119"/>
          <cell r="BL119"/>
          <cell r="BM119"/>
          <cell r="BN119"/>
          <cell r="BO119"/>
          <cell r="BQ119"/>
          <cell r="BR119"/>
          <cell r="BS119"/>
          <cell r="BT119"/>
          <cell r="BU119"/>
          <cell r="BW119"/>
          <cell r="BX119"/>
          <cell r="BY119"/>
          <cell r="BZ119"/>
          <cell r="CA119"/>
          <cell r="CC119"/>
          <cell r="CD119"/>
          <cell r="CE119"/>
          <cell r="CF119"/>
          <cell r="CG119"/>
        </row>
        <row r="120">
          <cell r="A120" t="str">
            <v>General and administrative expense</v>
          </cell>
          <cell r="C120"/>
          <cell r="D120"/>
          <cell r="E120"/>
          <cell r="F120"/>
          <cell r="G120"/>
          <cell r="I120"/>
          <cell r="J120"/>
          <cell r="K120"/>
          <cell r="L120"/>
          <cell r="M120"/>
          <cell r="O120"/>
          <cell r="P120"/>
          <cell r="Q120"/>
          <cell r="R120"/>
          <cell r="S120"/>
          <cell r="U120"/>
          <cell r="V120"/>
          <cell r="W120"/>
          <cell r="X120"/>
          <cell r="Y120">
            <v>17.263999999999999</v>
          </cell>
          <cell r="AA120">
            <v>1.9550000000000001</v>
          </cell>
          <cell r="AB120">
            <v>1.9430000000000001</v>
          </cell>
          <cell r="AC120">
            <v>2.3319999999999999</v>
          </cell>
          <cell r="AD120">
            <v>3.8090000000000002</v>
          </cell>
          <cell r="AE120">
            <v>10.039000000000001</v>
          </cell>
          <cell r="AG120">
            <v>3.4159999999999999</v>
          </cell>
          <cell r="AH120">
            <v>3.9089999999999998</v>
          </cell>
          <cell r="AI120">
            <v>4.298</v>
          </cell>
          <cell r="AJ120">
            <v>6.0970000000000004</v>
          </cell>
          <cell r="AK120">
            <v>17.72</v>
          </cell>
          <cell r="AM120">
            <v>7.6829999999999998</v>
          </cell>
          <cell r="AN120">
            <v>8.4269999999999996</v>
          </cell>
          <cell r="AO120">
            <v>8.0050000000000008</v>
          </cell>
          <cell r="AP120">
            <v>8.1259999999999994</v>
          </cell>
          <cell r="AQ120">
            <v>32.241</v>
          </cell>
          <cell r="AS120">
            <v>9.7949999999999999</v>
          </cell>
          <cell r="AT120">
            <v>11.938000000000001</v>
          </cell>
          <cell r="AU120">
            <v>11.92</v>
          </cell>
          <cell r="AV120">
            <v>14.614000000000001</v>
          </cell>
          <cell r="AW120">
            <v>48.266999999999996</v>
          </cell>
          <cell r="AY120">
            <v>19.899999999999999</v>
          </cell>
          <cell r="AZ120">
            <v>16.47</v>
          </cell>
          <cell r="BA120">
            <v>20.282</v>
          </cell>
          <cell r="BB120">
            <v>23.291</v>
          </cell>
          <cell r="BC120">
            <v>79.942999999999998</v>
          </cell>
          <cell r="BE120">
            <v>24.542999999999999</v>
          </cell>
          <cell r="BF120">
            <v>23.195</v>
          </cell>
          <cell r="BG120">
            <v>25.630289482609466</v>
          </cell>
          <cell r="BH120">
            <v>28.393041502744904</v>
          </cell>
          <cell r="BI120">
            <v>101.76133098535438</v>
          </cell>
          <cell r="BK120">
            <v>27.176699660587929</v>
          </cell>
          <cell r="BL120">
            <v>26.024439438582451</v>
          </cell>
          <cell r="BM120">
            <v>28.291515219308728</v>
          </cell>
          <cell r="BN120">
            <v>32.462509031931177</v>
          </cell>
          <cell r="BO120">
            <v>113.95516335041029</v>
          </cell>
          <cell r="BQ120" t="e">
            <v>#VALUE!</v>
          </cell>
          <cell r="BR120" t="e">
            <v>#VALUE!</v>
          </cell>
          <cell r="BS120" t="e">
            <v>#VALUE!</v>
          </cell>
          <cell r="BT120" t="e">
            <v>#VALUE!</v>
          </cell>
          <cell r="BU120" t="e">
            <v>#VALUE!</v>
          </cell>
          <cell r="BW120" t="e">
            <v>#VALUE!</v>
          </cell>
          <cell r="BX120" t="e">
            <v>#VALUE!</v>
          </cell>
          <cell r="BY120" t="e">
            <v>#VALUE!</v>
          </cell>
          <cell r="BZ120" t="e">
            <v>#VALUE!</v>
          </cell>
          <cell r="CA120" t="e">
            <v>#VALUE!</v>
          </cell>
          <cell r="CC120" t="e">
            <v>#VALUE!</v>
          </cell>
          <cell r="CD120" t="e">
            <v>#VALUE!</v>
          </cell>
          <cell r="CE120" t="e">
            <v>#VALUE!</v>
          </cell>
          <cell r="CF120" t="e">
            <v>#VALUE!</v>
          </cell>
          <cell r="CG120" t="e">
            <v>#VALUE!</v>
          </cell>
        </row>
        <row r="121">
          <cell r="A121" t="str">
            <v>q/q change</v>
          </cell>
          <cell r="B121"/>
          <cell r="C121"/>
          <cell r="D121"/>
          <cell r="E121"/>
          <cell r="F121"/>
          <cell r="G121"/>
          <cell r="I121"/>
          <cell r="J121"/>
          <cell r="K121"/>
          <cell r="L121"/>
          <cell r="M121"/>
          <cell r="O121"/>
          <cell r="P121"/>
          <cell r="Q121"/>
          <cell r="R121"/>
          <cell r="S121"/>
          <cell r="U121"/>
          <cell r="V121"/>
          <cell r="W121"/>
          <cell r="X121"/>
          <cell r="Y121" t="str">
            <v>NA</v>
          </cell>
          <cell r="AA121" t="str">
            <v>NA</v>
          </cell>
          <cell r="AB121">
            <v>-6.1381074168798122E-3</v>
          </cell>
          <cell r="AC121">
            <v>0.20020586721564571</v>
          </cell>
          <cell r="AD121">
            <v>0.63336192109777034</v>
          </cell>
          <cell r="AE121" t="str">
            <v>NA</v>
          </cell>
          <cell r="AG121">
            <v>-0.10317668679443426</v>
          </cell>
          <cell r="AH121">
            <v>0.14432084309133497</v>
          </cell>
          <cell r="AI121">
            <v>9.9513942184701998E-2</v>
          </cell>
          <cell r="AJ121">
            <v>0.41856677524429986</v>
          </cell>
          <cell r="AK121" t="str">
            <v>NA</v>
          </cell>
          <cell r="AL121"/>
          <cell r="AM121" t="str">
            <v>NA</v>
          </cell>
          <cell r="AN121">
            <v>9.6837172979304942E-2</v>
          </cell>
          <cell r="AO121">
            <v>-5.0077133024801102E-2</v>
          </cell>
          <cell r="AP121">
            <v>1.5115552779512598E-2</v>
          </cell>
          <cell r="AQ121" t="str">
            <v>NA</v>
          </cell>
          <cell r="AS121">
            <v>0.20539010583312822</v>
          </cell>
          <cell r="AT121">
            <v>0.21878509443593686</v>
          </cell>
          <cell r="AU121">
            <v>-1.5077902496231088E-3</v>
          </cell>
          <cell r="AV121">
            <v>0.22600671140939599</v>
          </cell>
          <cell r="AW121" t="str">
            <v>NA</v>
          </cell>
          <cell r="AY121">
            <v>0.36170795127959465</v>
          </cell>
          <cell r="AZ121">
            <v>-0.17236180904522613</v>
          </cell>
          <cell r="BA121">
            <v>0.23145112325440209</v>
          </cell>
          <cell r="BB121">
            <v>0.14835815008381825</v>
          </cell>
          <cell r="BC121" t="str">
            <v>NA</v>
          </cell>
          <cell r="BE121">
            <v>5.3754669185522186E-2</v>
          </cell>
          <cell r="BF121">
            <v>-5.4924010919610411E-2</v>
          </cell>
          <cell r="BG121">
            <v>0.10499200183701074</v>
          </cell>
          <cell r="BH121">
            <v>0.10779246258650366</v>
          </cell>
          <cell r="BI121" t="str">
            <v>NA</v>
          </cell>
          <cell r="BK121">
            <v>-4.2839434515650088E-2</v>
          </cell>
          <cell r="BL121">
            <v>-4.2398828275550415E-2</v>
          </cell>
          <cell r="BM121">
            <v>8.711333767924434E-2</v>
          </cell>
          <cell r="BN121">
            <v>0.14742914192788725</v>
          </cell>
          <cell r="BO121" t="str">
            <v>NA</v>
          </cell>
          <cell r="BQ121" t="str">
            <v>NA</v>
          </cell>
          <cell r="BR121" t="str">
            <v>NA</v>
          </cell>
          <cell r="BS121" t="str">
            <v>NA</v>
          </cell>
          <cell r="BT121" t="str">
            <v>NA</v>
          </cell>
          <cell r="BU121" t="str">
            <v>NA</v>
          </cell>
          <cell r="BW121" t="str">
            <v>NA</v>
          </cell>
          <cell r="BX121" t="str">
            <v>NA</v>
          </cell>
          <cell r="BY121" t="str">
            <v>NA</v>
          </cell>
          <cell r="BZ121" t="str">
            <v>NA</v>
          </cell>
          <cell r="CA121" t="str">
            <v>NA</v>
          </cell>
          <cell r="CC121" t="str">
            <v>NA</v>
          </cell>
          <cell r="CD121" t="str">
            <v>NA</v>
          </cell>
          <cell r="CE121" t="str">
            <v>NA</v>
          </cell>
          <cell r="CF121" t="str">
            <v>NA</v>
          </cell>
          <cell r="CG121" t="str">
            <v>NA</v>
          </cell>
        </row>
        <row r="122">
          <cell r="A122" t="str">
            <v>y/y change</v>
          </cell>
          <cell r="B122"/>
          <cell r="C122"/>
          <cell r="D122"/>
          <cell r="E122"/>
          <cell r="F122"/>
          <cell r="G122"/>
          <cell r="H122"/>
          <cell r="I122"/>
          <cell r="J122"/>
          <cell r="K122"/>
          <cell r="L122"/>
          <cell r="M122"/>
          <cell r="N122"/>
          <cell r="O122"/>
          <cell r="P122"/>
          <cell r="Q122"/>
          <cell r="R122"/>
          <cell r="S122"/>
          <cell r="T122"/>
          <cell r="U122"/>
          <cell r="V122"/>
          <cell r="W122"/>
          <cell r="X122"/>
          <cell r="Y122" t="str">
            <v>NA</v>
          </cell>
          <cell r="Z122"/>
          <cell r="AA122" t="str">
            <v>NA</v>
          </cell>
          <cell r="AB122" t="str">
            <v>NA</v>
          </cell>
          <cell r="AC122" t="str">
            <v>NA</v>
          </cell>
          <cell r="AD122" t="str">
            <v>NA</v>
          </cell>
          <cell r="AE122">
            <v>-0.41850092678405926</v>
          </cell>
          <cell r="AF122"/>
          <cell r="AG122">
            <v>0.74731457800511492</v>
          </cell>
          <cell r="AH122">
            <v>1.0118373648996397</v>
          </cell>
          <cell r="AI122">
            <v>0.84305317324185269</v>
          </cell>
          <cell r="AJ122">
            <v>0.60068259385665534</v>
          </cell>
          <cell r="AK122">
            <v>0.76511604741508088</v>
          </cell>
          <cell r="AL122"/>
          <cell r="AM122" t="str">
            <v>NA</v>
          </cell>
          <cell r="AN122" t="str">
            <v>NA</v>
          </cell>
          <cell r="AO122" t="str">
            <v>NA</v>
          </cell>
          <cell r="AP122" t="str">
            <v>NA</v>
          </cell>
          <cell r="AQ122">
            <v>0.81946952595936806</v>
          </cell>
          <cell r="AR122"/>
          <cell r="AS122">
            <v>0.27489262007028503</v>
          </cell>
          <cell r="AT122">
            <v>0.41663700011866633</v>
          </cell>
          <cell r="AU122">
            <v>0.4890693316677075</v>
          </cell>
          <cell r="AV122">
            <v>0.79842480925424586</v>
          </cell>
          <cell r="AW122">
            <v>0.49706894947427172</v>
          </cell>
          <cell r="AX122"/>
          <cell r="AY122">
            <v>1.0316488004083717</v>
          </cell>
          <cell r="AZ122">
            <v>0.37962807840509272</v>
          </cell>
          <cell r="BA122">
            <v>0.70151006711409392</v>
          </cell>
          <cell r="BB122">
            <v>0.59374572327904751</v>
          </cell>
          <cell r="BC122">
            <v>0.65626618600700271</v>
          </cell>
          <cell r="BD122"/>
          <cell r="BE122">
            <v>0.23331658291457291</v>
          </cell>
          <cell r="BF122">
            <v>0.40831815421979378</v>
          </cell>
          <cell r="BG122">
            <v>0.15955034020313574</v>
          </cell>
          <cell r="BH122">
            <v>7.6298904893872255E-3</v>
          </cell>
          <cell r="BI122">
            <v>0.18490309069447397</v>
          </cell>
          <cell r="BJ122"/>
          <cell r="BK122">
            <v>-2.526814424799273E-2</v>
          </cell>
          <cell r="BL122">
            <v>-0.61454014290090808</v>
          </cell>
          <cell r="BM122">
            <v>0.22746167150554442</v>
          </cell>
          <cell r="BN122">
            <v>0.23135793305491403</v>
          </cell>
          <cell r="BO122">
            <v>-4.3233697533556548E-2</v>
          </cell>
          <cell r="BP122"/>
          <cell r="BQ122">
            <v>-8.0376895861044684E-2</v>
          </cell>
          <cell r="BR122">
            <v>1.3650914064268886</v>
          </cell>
          <cell r="BS122">
            <v>-0.21438355480731486</v>
          </cell>
          <cell r="BT122">
            <v>-0.14421926450188038</v>
          </cell>
          <cell r="BU122">
            <v>-8.2007503974756979E-4</v>
          </cell>
          <cell r="BV122"/>
          <cell r="BW122" t="str">
            <v>NA</v>
          </cell>
          <cell r="BX122" t="str">
            <v>NA</v>
          </cell>
          <cell r="BY122" t="str">
            <v>NA</v>
          </cell>
          <cell r="BZ122" t="str">
            <v>NA</v>
          </cell>
          <cell r="CA122" t="str">
            <v>NA</v>
          </cell>
          <cell r="CB122"/>
          <cell r="CC122" t="str">
            <v>NA</v>
          </cell>
          <cell r="CD122" t="str">
            <v>NA</v>
          </cell>
          <cell r="CE122" t="str">
            <v>NA</v>
          </cell>
          <cell r="CF122" t="str">
            <v>NA</v>
          </cell>
          <cell r="CG122" t="str">
            <v>NA</v>
          </cell>
        </row>
        <row r="123">
          <cell r="A123" t="str">
            <v>% seasonality</v>
          </cell>
          <cell r="B123"/>
          <cell r="C123"/>
          <cell r="D123"/>
          <cell r="E123"/>
          <cell r="F123"/>
          <cell r="G123"/>
          <cell r="H123"/>
          <cell r="I123"/>
          <cell r="J123"/>
          <cell r="K123"/>
          <cell r="L123"/>
          <cell r="M123"/>
          <cell r="N123"/>
          <cell r="O123"/>
          <cell r="P123"/>
          <cell r="Q123"/>
          <cell r="R123"/>
          <cell r="S123"/>
          <cell r="T123"/>
          <cell r="U123"/>
          <cell r="V123"/>
          <cell r="W123"/>
          <cell r="X123"/>
          <cell r="Y123">
            <v>0</v>
          </cell>
          <cell r="Z123"/>
          <cell r="AA123">
            <v>0.19474051200318754</v>
          </cell>
          <cell r="AB123">
            <v>0.19354517382209382</v>
          </cell>
          <cell r="AC123">
            <v>0.232294053192549</v>
          </cell>
          <cell r="AD123">
            <v>0.37942026098216952</v>
          </cell>
          <cell r="AE123">
            <v>0.99999999999999989</v>
          </cell>
          <cell r="AF123"/>
          <cell r="AG123">
            <v>0.1927765237020316</v>
          </cell>
          <cell r="AH123">
            <v>0.22059819413092552</v>
          </cell>
          <cell r="AI123">
            <v>0.2425507900677201</v>
          </cell>
          <cell r="AJ123">
            <v>0.34407449209932284</v>
          </cell>
          <cell r="AK123">
            <v>1</v>
          </cell>
          <cell r="AL123"/>
          <cell r="AM123">
            <v>0.2382990602028473</v>
          </cell>
          <cell r="AN123">
            <v>0.26137526751651624</v>
          </cell>
          <cell r="AO123">
            <v>0.24828634347569867</v>
          </cell>
          <cell r="AP123">
            <v>0.25203932880493779</v>
          </cell>
          <cell r="AQ123">
            <v>1</v>
          </cell>
          <cell r="AR123"/>
          <cell r="AS123">
            <v>0.20293368139722792</v>
          </cell>
          <cell r="AT123">
            <v>0.24733254604595276</v>
          </cell>
          <cell r="AU123">
            <v>0.2469596204446102</v>
          </cell>
          <cell r="AV123">
            <v>0.3027741521122092</v>
          </cell>
          <cell r="AW123">
            <v>1</v>
          </cell>
          <cell r="AX123"/>
          <cell r="AY123">
            <v>0.24892736074453048</v>
          </cell>
          <cell r="AZ123">
            <v>0.20602179052574959</v>
          </cell>
          <cell r="BA123">
            <v>0.25370576535781747</v>
          </cell>
          <cell r="BB123">
            <v>0.29134508337190251</v>
          </cell>
          <cell r="BC123">
            <v>1</v>
          </cell>
          <cell r="BD123"/>
          <cell r="BE123">
            <v>0.25909818647485389</v>
          </cell>
          <cell r="BF123">
            <v>0.24486747485165775</v>
          </cell>
          <cell r="BG123">
            <v>0.24827735604920401</v>
          </cell>
          <cell r="BH123">
            <v>0.24775698262428425</v>
          </cell>
          <cell r="BI123">
            <v>0.99999999999999989</v>
          </cell>
          <cell r="BJ123"/>
          <cell r="BK123">
            <v>0.26396336856091529</v>
          </cell>
          <cell r="BL123">
            <v>9.8651657799001438E-2</v>
          </cell>
          <cell r="BM123">
            <v>0.31852181422727488</v>
          </cell>
          <cell r="BN123">
            <v>0.31886315941280852</v>
          </cell>
          <cell r="BO123">
            <v>1</v>
          </cell>
          <cell r="BP123"/>
          <cell r="BQ123">
            <v>0.24294604636359216</v>
          </cell>
          <cell r="BR123">
            <v>0.233511685194702</v>
          </cell>
          <cell r="BS123">
            <v>0.25044135611462665</v>
          </cell>
          <cell r="BT123">
            <v>0.27310091232707917</v>
          </cell>
          <cell r="BU123">
            <v>1</v>
          </cell>
          <cell r="BV123"/>
          <cell r="BW123" t="str">
            <v>NA</v>
          </cell>
          <cell r="BX123" t="str">
            <v>NA</v>
          </cell>
          <cell r="BY123" t="str">
            <v>NA</v>
          </cell>
          <cell r="BZ123" t="str">
            <v>NA</v>
          </cell>
          <cell r="CA123">
            <v>0</v>
          </cell>
          <cell r="CB123"/>
          <cell r="CC123" t="str">
            <v>NA</v>
          </cell>
          <cell r="CD123" t="str">
            <v>NA</v>
          </cell>
          <cell r="CE123" t="str">
            <v>NA</v>
          </cell>
          <cell r="CF123" t="str">
            <v>NA</v>
          </cell>
          <cell r="CG123">
            <v>0</v>
          </cell>
        </row>
        <row r="124">
          <cell r="A124" t="str">
            <v>% of total revenue</v>
          </cell>
          <cell r="C124"/>
          <cell r="D124"/>
          <cell r="E124"/>
          <cell r="F124"/>
          <cell r="G124"/>
          <cell r="H124"/>
          <cell r="I124"/>
          <cell r="J124"/>
          <cell r="K124"/>
          <cell r="L124"/>
          <cell r="M124"/>
          <cell r="N124"/>
          <cell r="O124"/>
          <cell r="P124"/>
          <cell r="Q124"/>
          <cell r="R124"/>
          <cell r="S124"/>
          <cell r="T124"/>
          <cell r="U124"/>
          <cell r="V124"/>
          <cell r="W124"/>
          <cell r="X124"/>
          <cell r="Y124">
            <v>0.45450716090985677</v>
          </cell>
          <cell r="Z124"/>
          <cell r="AA124">
            <v>0.16960180445909606</v>
          </cell>
          <cell r="AB124">
            <v>0.15287175452399684</v>
          </cell>
          <cell r="AC124">
            <v>0.16503892427459305</v>
          </cell>
          <cell r="AD124">
            <v>0.2464734049437039</v>
          </cell>
          <cell r="AE124">
            <v>0.18652570557960649</v>
          </cell>
          <cell r="AF124"/>
          <cell r="AG124">
            <v>0.1857127324127433</v>
          </cell>
          <cell r="AH124">
            <v>0.19572401361906666</v>
          </cell>
          <cell r="AI124">
            <v>0.1913453833140415</v>
          </cell>
          <cell r="AJ124">
            <v>0.24425126191811555</v>
          </cell>
          <cell r="AK124">
            <v>0.20655088005595054</v>
          </cell>
          <cell r="AM124">
            <v>0.26915396741986336</v>
          </cell>
          <cell r="AN124">
            <v>0.27794452323625451</v>
          </cell>
          <cell r="AO124">
            <v>0.23437271263358223</v>
          </cell>
          <cell r="AP124">
            <v>0.21058360111951901</v>
          </cell>
          <cell r="AQ124">
            <v>0.24497937039823109</v>
          </cell>
          <cell r="AR124"/>
          <cell r="AS124">
            <v>0.19461940431957717</v>
          </cell>
          <cell r="AT124">
            <v>0.23179682342433303</v>
          </cell>
          <cell r="AU124">
            <v>0.19044880090750771</v>
          </cell>
          <cell r="AV124">
            <v>0.16392596747055524</v>
          </cell>
          <cell r="AW124">
            <v>0.19034980478763258</v>
          </cell>
          <cell r="AX124"/>
          <cell r="AY124">
            <v>0.26177321757432254</v>
          </cell>
          <cell r="AZ124">
            <v>0.20074838804041781</v>
          </cell>
          <cell r="BA124">
            <v>0.19615656160236755</v>
          </cell>
          <cell r="BB124">
            <v>0.14887184403962928</v>
          </cell>
          <cell r="BC124">
            <v>0.19129238352755379</v>
          </cell>
          <cell r="BD124"/>
          <cell r="BE124">
            <v>0.22551478898475616</v>
          </cell>
          <cell r="BF124">
            <v>0.24102958444608397</v>
          </cell>
          <cell r="BG124">
            <v>0.18130237362874568</v>
          </cell>
          <cell r="BH124">
            <v>0.15832149586896652</v>
          </cell>
          <cell r="BI124">
            <v>0.19611111398989955</v>
          </cell>
          <cell r="BJ124"/>
          <cell r="BK124">
            <v>0.20008267794798418</v>
          </cell>
          <cell r="BL124">
            <v>7.1911868664862225E-2</v>
          </cell>
          <cell r="BM124">
            <v>0.20078271822490276</v>
          </cell>
          <cell r="BN124">
            <v>0.16989491230613135</v>
          </cell>
          <cell r="BO124">
            <v>0.16248698797991112</v>
          </cell>
          <cell r="BP124"/>
          <cell r="BQ124">
            <v>0.15167419717052127</v>
          </cell>
          <cell r="BR124">
            <v>0.14000000000000001</v>
          </cell>
          <cell r="BS124">
            <v>0.13500000000000001</v>
          </cell>
          <cell r="BT124">
            <v>0.11999999999999998</v>
          </cell>
          <cell r="BU124">
            <v>0.13512298803971404</v>
          </cell>
          <cell r="BV124"/>
          <cell r="BW124" t="str">
            <v>NA</v>
          </cell>
          <cell r="BX124" t="str">
            <v>NA</v>
          </cell>
          <cell r="BY124" t="str">
            <v>NA</v>
          </cell>
          <cell r="BZ124" t="str">
            <v>NA</v>
          </cell>
          <cell r="CA124" t="str">
            <v>NA</v>
          </cell>
          <cell r="CB124"/>
          <cell r="CC124" t="str">
            <v>NA</v>
          </cell>
          <cell r="CD124" t="str">
            <v>NA</v>
          </cell>
          <cell r="CE124" t="str">
            <v>NA</v>
          </cell>
          <cell r="CF124" t="str">
            <v>NA</v>
          </cell>
          <cell r="CG124" t="str">
            <v>NA</v>
          </cell>
        </row>
        <row r="125">
          <cell r="A125"/>
          <cell r="C125"/>
          <cell r="D125"/>
          <cell r="E125"/>
          <cell r="F125"/>
          <cell r="G125"/>
          <cell r="I125"/>
          <cell r="J125"/>
          <cell r="K125"/>
          <cell r="L125"/>
          <cell r="M125"/>
          <cell r="O125"/>
          <cell r="P125"/>
          <cell r="Q125"/>
          <cell r="R125"/>
          <cell r="S125"/>
          <cell r="U125"/>
          <cell r="V125"/>
          <cell r="W125"/>
          <cell r="X125"/>
          <cell r="Y125"/>
          <cell r="AA125"/>
          <cell r="AB125"/>
          <cell r="AC125"/>
          <cell r="AD125"/>
          <cell r="AE125"/>
          <cell r="AG125"/>
          <cell r="AH125"/>
          <cell r="AI125"/>
          <cell r="AJ125"/>
          <cell r="AK125"/>
          <cell r="AM125"/>
          <cell r="AN125"/>
          <cell r="AO125"/>
          <cell r="AP125"/>
          <cell r="AQ125"/>
          <cell r="AS125"/>
          <cell r="AT125"/>
          <cell r="AU125"/>
          <cell r="AV125"/>
          <cell r="AW125"/>
          <cell r="AY125"/>
          <cell r="AZ125"/>
          <cell r="BA125"/>
          <cell r="BB125"/>
          <cell r="BC125"/>
          <cell r="BE125"/>
          <cell r="BF125"/>
          <cell r="BG125"/>
          <cell r="BH125"/>
          <cell r="BI125"/>
          <cell r="BK125"/>
          <cell r="BL125"/>
          <cell r="BM125"/>
          <cell r="BN125"/>
          <cell r="BO125"/>
          <cell r="BQ125"/>
          <cell r="BR125"/>
          <cell r="BS125"/>
          <cell r="BT125"/>
          <cell r="BU125"/>
          <cell r="BW125"/>
          <cell r="BX125"/>
          <cell r="BY125"/>
          <cell r="BZ125"/>
          <cell r="CA125"/>
          <cell r="CC125"/>
          <cell r="CD125"/>
          <cell r="CE125"/>
          <cell r="CF125"/>
          <cell r="CG125"/>
        </row>
        <row r="126">
          <cell r="A126" t="str">
            <v>Other operating expenses</v>
          </cell>
          <cell r="C126"/>
          <cell r="D126"/>
          <cell r="E126"/>
          <cell r="F126"/>
          <cell r="G126"/>
          <cell r="I126"/>
          <cell r="J126"/>
          <cell r="K126"/>
          <cell r="L126"/>
          <cell r="M126"/>
          <cell r="O126"/>
          <cell r="P126"/>
          <cell r="Q126"/>
          <cell r="R126"/>
          <cell r="S126"/>
          <cell r="U126"/>
          <cell r="V126"/>
          <cell r="W126"/>
          <cell r="X126"/>
          <cell r="Y126">
            <v>0</v>
          </cell>
          <cell r="AA126">
            <v>0</v>
          </cell>
          <cell r="AB126">
            <v>0</v>
          </cell>
          <cell r="AC126">
            <v>0</v>
          </cell>
          <cell r="AD126">
            <v>0</v>
          </cell>
          <cell r="AE126">
            <v>0</v>
          </cell>
          <cell r="AG126">
            <v>0</v>
          </cell>
          <cell r="AH126">
            <v>0</v>
          </cell>
          <cell r="AI126">
            <v>0</v>
          </cell>
          <cell r="AJ126">
            <v>0</v>
          </cell>
          <cell r="AK126">
            <v>0</v>
          </cell>
          <cell r="AM126">
            <v>0</v>
          </cell>
          <cell r="AN126">
            <v>0</v>
          </cell>
          <cell r="AO126">
            <v>0</v>
          </cell>
          <cell r="AP126">
            <v>0</v>
          </cell>
          <cell r="AQ126">
            <v>0</v>
          </cell>
          <cell r="AS126">
            <v>0</v>
          </cell>
          <cell r="AT126">
            <v>0</v>
          </cell>
          <cell r="AU126">
            <v>0</v>
          </cell>
          <cell r="AV126">
            <v>0</v>
          </cell>
          <cell r="AW126">
            <v>0</v>
          </cell>
          <cell r="AY126">
            <v>0</v>
          </cell>
          <cell r="AZ126">
            <v>0</v>
          </cell>
          <cell r="BA126">
            <v>0</v>
          </cell>
          <cell r="BB126">
            <v>0</v>
          </cell>
          <cell r="BC126">
            <v>0</v>
          </cell>
          <cell r="BE126">
            <v>0</v>
          </cell>
          <cell r="BF126">
            <v>0</v>
          </cell>
          <cell r="BG126">
            <v>0</v>
          </cell>
          <cell r="BH126">
            <v>0</v>
          </cell>
          <cell r="BI126">
            <v>0</v>
          </cell>
          <cell r="BK126">
            <v>0</v>
          </cell>
          <cell r="BL126">
            <v>0</v>
          </cell>
          <cell r="BM126">
            <v>0</v>
          </cell>
          <cell r="BN126">
            <v>0</v>
          </cell>
          <cell r="BO126">
            <v>0</v>
          </cell>
          <cell r="BQ126" t="e">
            <v>#VALUE!</v>
          </cell>
          <cell r="BR126" t="e">
            <v>#VALUE!</v>
          </cell>
          <cell r="BS126" t="e">
            <v>#VALUE!</v>
          </cell>
          <cell r="BT126" t="e">
            <v>#VALUE!</v>
          </cell>
          <cell r="BU126" t="e">
            <v>#VALUE!</v>
          </cell>
          <cell r="BW126" t="e">
            <v>#VALUE!</v>
          </cell>
          <cell r="BX126" t="e">
            <v>#VALUE!</v>
          </cell>
          <cell r="BY126" t="e">
            <v>#VALUE!</v>
          </cell>
          <cell r="BZ126" t="e">
            <v>#VALUE!</v>
          </cell>
          <cell r="CA126" t="e">
            <v>#VALUE!</v>
          </cell>
          <cell r="CC126" t="e">
            <v>#VALUE!</v>
          </cell>
          <cell r="CD126" t="e">
            <v>#VALUE!</v>
          </cell>
          <cell r="CE126" t="e">
            <v>#VALUE!</v>
          </cell>
          <cell r="CF126" t="e">
            <v>#VALUE!</v>
          </cell>
          <cell r="CG126" t="e">
            <v>#VALUE!</v>
          </cell>
        </row>
        <row r="127">
          <cell r="A127" t="str">
            <v>q/q change</v>
          </cell>
          <cell r="B127"/>
          <cell r="C127"/>
          <cell r="D127"/>
          <cell r="E127"/>
          <cell r="F127"/>
          <cell r="G127"/>
          <cell r="I127"/>
          <cell r="J127"/>
          <cell r="K127"/>
          <cell r="L127"/>
          <cell r="M127"/>
          <cell r="O127"/>
          <cell r="P127"/>
          <cell r="Q127"/>
          <cell r="R127"/>
          <cell r="S127"/>
          <cell r="U127"/>
          <cell r="V127"/>
          <cell r="W127"/>
          <cell r="X127"/>
          <cell r="Y127" t="str">
            <v>NA</v>
          </cell>
          <cell r="AA127" t="str">
            <v>NA</v>
          </cell>
          <cell r="AB127" t="str">
            <v>NA</v>
          </cell>
          <cell r="AC127" t="str">
            <v>NA</v>
          </cell>
          <cell r="AD127" t="str">
            <v>NA</v>
          </cell>
          <cell r="AE127" t="str">
            <v>NA</v>
          </cell>
          <cell r="AG127" t="str">
            <v>NA</v>
          </cell>
          <cell r="AH127" t="str">
            <v>NA</v>
          </cell>
          <cell r="AI127" t="str">
            <v>NA</v>
          </cell>
          <cell r="AJ127" t="str">
            <v>NA</v>
          </cell>
          <cell r="AK127" t="str">
            <v>NA</v>
          </cell>
          <cell r="AL127"/>
          <cell r="AM127" t="str">
            <v>NA</v>
          </cell>
          <cell r="AN127" t="str">
            <v>NA</v>
          </cell>
          <cell r="AO127" t="str">
            <v>NA</v>
          </cell>
          <cell r="AP127" t="str">
            <v>NA</v>
          </cell>
          <cell r="AQ127" t="str">
            <v>NA</v>
          </cell>
          <cell r="AS127" t="str">
            <v>NA</v>
          </cell>
          <cell r="AT127" t="str">
            <v>NA</v>
          </cell>
          <cell r="AU127" t="str">
            <v>NA</v>
          </cell>
          <cell r="AV127" t="str">
            <v>NA</v>
          </cell>
          <cell r="AW127" t="str">
            <v>NA</v>
          </cell>
          <cell r="AY127" t="str">
            <v>NA</v>
          </cell>
          <cell r="AZ127" t="str">
            <v>NA</v>
          </cell>
          <cell r="BA127" t="str">
            <v>NA</v>
          </cell>
          <cell r="BB127" t="str">
            <v>NA</v>
          </cell>
          <cell r="BC127" t="str">
            <v>NA</v>
          </cell>
          <cell r="BE127" t="str">
            <v>NA</v>
          </cell>
          <cell r="BF127" t="str">
            <v>NA</v>
          </cell>
          <cell r="BG127" t="str">
            <v>NA</v>
          </cell>
          <cell r="BH127" t="str">
            <v>NA</v>
          </cell>
          <cell r="BI127" t="str">
            <v>NA</v>
          </cell>
          <cell r="BK127" t="str">
            <v>NA</v>
          </cell>
          <cell r="BL127" t="str">
            <v>NA</v>
          </cell>
          <cell r="BM127" t="str">
            <v>NA</v>
          </cell>
          <cell r="BN127" t="str">
            <v>NA</v>
          </cell>
          <cell r="BO127" t="str">
            <v>NA</v>
          </cell>
          <cell r="BQ127" t="str">
            <v>NA</v>
          </cell>
          <cell r="BR127" t="str">
            <v>NA</v>
          </cell>
          <cell r="BS127" t="str">
            <v>NA</v>
          </cell>
          <cell r="BT127" t="str">
            <v>NA</v>
          </cell>
          <cell r="BU127" t="str">
            <v>NA</v>
          </cell>
          <cell r="BW127" t="str">
            <v>NA</v>
          </cell>
          <cell r="BX127" t="str">
            <v>NA</v>
          </cell>
          <cell r="BY127" t="str">
            <v>NA</v>
          </cell>
          <cell r="BZ127" t="str">
            <v>NA</v>
          </cell>
          <cell r="CA127" t="str">
            <v>NA</v>
          </cell>
          <cell r="CC127" t="str">
            <v>NA</v>
          </cell>
          <cell r="CD127" t="str">
            <v>NA</v>
          </cell>
          <cell r="CE127" t="str">
            <v>NA</v>
          </cell>
          <cell r="CF127" t="str">
            <v>NA</v>
          </cell>
          <cell r="CG127" t="str">
            <v>NA</v>
          </cell>
        </row>
        <row r="128">
          <cell r="A128" t="str">
            <v>y/y change</v>
          </cell>
          <cell r="B128"/>
          <cell r="C128"/>
          <cell r="D128"/>
          <cell r="E128"/>
          <cell r="F128"/>
          <cell r="G128"/>
          <cell r="H128"/>
          <cell r="I128"/>
          <cell r="J128"/>
          <cell r="K128"/>
          <cell r="L128"/>
          <cell r="M128"/>
          <cell r="N128"/>
          <cell r="O128"/>
          <cell r="P128"/>
          <cell r="Q128"/>
          <cell r="R128"/>
          <cell r="S128"/>
          <cell r="T128"/>
          <cell r="U128"/>
          <cell r="V128"/>
          <cell r="W128"/>
          <cell r="X128"/>
          <cell r="Y128" t="str">
            <v>NA</v>
          </cell>
          <cell r="Z128"/>
          <cell r="AA128" t="str">
            <v>NA</v>
          </cell>
          <cell r="AB128" t="str">
            <v>NA</v>
          </cell>
          <cell r="AC128" t="str">
            <v>NA</v>
          </cell>
          <cell r="AD128" t="str">
            <v>NA</v>
          </cell>
          <cell r="AE128" t="str">
            <v>NA</v>
          </cell>
          <cell r="AF128"/>
          <cell r="AG128" t="str">
            <v>NA</v>
          </cell>
          <cell r="AH128" t="str">
            <v>NA</v>
          </cell>
          <cell r="AI128" t="str">
            <v>NA</v>
          </cell>
          <cell r="AJ128" t="str">
            <v>NA</v>
          </cell>
          <cell r="AK128" t="str">
            <v>NA</v>
          </cell>
          <cell r="AL128"/>
          <cell r="AM128" t="str">
            <v>NA</v>
          </cell>
          <cell r="AN128" t="str">
            <v>NA</v>
          </cell>
          <cell r="AO128" t="str">
            <v>NA</v>
          </cell>
          <cell r="AP128" t="str">
            <v>NA</v>
          </cell>
          <cell r="AQ128" t="str">
            <v>NA</v>
          </cell>
          <cell r="AR128"/>
          <cell r="AS128" t="str">
            <v>NA</v>
          </cell>
          <cell r="AT128" t="str">
            <v>NA</v>
          </cell>
          <cell r="AU128" t="str">
            <v>NA</v>
          </cell>
          <cell r="AV128" t="str">
            <v>NA</v>
          </cell>
          <cell r="AW128" t="str">
            <v>NA</v>
          </cell>
          <cell r="AX128"/>
          <cell r="AY128" t="str">
            <v>NA</v>
          </cell>
          <cell r="AZ128" t="str">
            <v>NA</v>
          </cell>
          <cell r="BA128" t="str">
            <v>NA</v>
          </cell>
          <cell r="BB128" t="str">
            <v>NA</v>
          </cell>
          <cell r="BC128" t="str">
            <v>NA</v>
          </cell>
          <cell r="BD128"/>
          <cell r="BE128" t="str">
            <v>NA</v>
          </cell>
          <cell r="BF128" t="str">
            <v>NA</v>
          </cell>
          <cell r="BG128" t="str">
            <v>NA</v>
          </cell>
          <cell r="BH128" t="str">
            <v>NA</v>
          </cell>
          <cell r="BI128" t="str">
            <v>NA</v>
          </cell>
          <cell r="BJ128"/>
          <cell r="BK128" t="str">
            <v>NA</v>
          </cell>
          <cell r="BL128" t="str">
            <v>NA</v>
          </cell>
          <cell r="BM128" t="str">
            <v>NA</v>
          </cell>
          <cell r="BN128" t="str">
            <v>NA</v>
          </cell>
          <cell r="BO128" t="str">
            <v>NA</v>
          </cell>
          <cell r="BP128"/>
          <cell r="BQ128" t="str">
            <v>NA</v>
          </cell>
          <cell r="BR128" t="str">
            <v>NA</v>
          </cell>
          <cell r="BS128" t="str">
            <v>NA</v>
          </cell>
          <cell r="BT128" t="str">
            <v>NA</v>
          </cell>
          <cell r="BU128" t="str">
            <v>NA</v>
          </cell>
          <cell r="BV128"/>
          <cell r="BW128" t="str">
            <v>NA</v>
          </cell>
          <cell r="BX128" t="str">
            <v>NA</v>
          </cell>
          <cell r="BY128" t="str">
            <v>NA</v>
          </cell>
          <cell r="BZ128" t="str">
            <v>NA</v>
          </cell>
          <cell r="CA128" t="str">
            <v>NA</v>
          </cell>
          <cell r="CB128"/>
          <cell r="CC128" t="str">
            <v>NA</v>
          </cell>
          <cell r="CD128" t="str">
            <v>NA</v>
          </cell>
          <cell r="CE128" t="str">
            <v>NA</v>
          </cell>
          <cell r="CF128" t="str">
            <v>NA</v>
          </cell>
          <cell r="CG128" t="str">
            <v>NA</v>
          </cell>
        </row>
        <row r="129">
          <cell r="A129" t="str">
            <v>% seasonality</v>
          </cell>
          <cell r="B129"/>
          <cell r="C129"/>
          <cell r="D129"/>
          <cell r="E129"/>
          <cell r="F129"/>
          <cell r="G129"/>
          <cell r="H129"/>
          <cell r="I129"/>
          <cell r="J129"/>
          <cell r="K129"/>
          <cell r="L129"/>
          <cell r="M129"/>
          <cell r="N129"/>
          <cell r="O129"/>
          <cell r="P129"/>
          <cell r="Q129"/>
          <cell r="R129"/>
          <cell r="S129"/>
          <cell r="T129"/>
          <cell r="U129"/>
          <cell r="V129"/>
          <cell r="W129"/>
          <cell r="X129"/>
          <cell r="Y129">
            <v>0</v>
          </cell>
          <cell r="Z129"/>
          <cell r="AA129" t="str">
            <v>NA</v>
          </cell>
          <cell r="AB129" t="str">
            <v>NA</v>
          </cell>
          <cell r="AC129" t="str">
            <v>NA</v>
          </cell>
          <cell r="AD129" t="str">
            <v>NA</v>
          </cell>
          <cell r="AE129">
            <v>0</v>
          </cell>
          <cell r="AF129"/>
          <cell r="AG129" t="str">
            <v>NA</v>
          </cell>
          <cell r="AH129" t="str">
            <v>NA</v>
          </cell>
          <cell r="AI129" t="str">
            <v>NA</v>
          </cell>
          <cell r="AJ129" t="str">
            <v>NA</v>
          </cell>
          <cell r="AK129">
            <v>0</v>
          </cell>
          <cell r="AL129"/>
          <cell r="AM129" t="str">
            <v>NA</v>
          </cell>
          <cell r="AN129" t="str">
            <v>NA</v>
          </cell>
          <cell r="AO129" t="str">
            <v>NA</v>
          </cell>
          <cell r="AP129" t="str">
            <v>NA</v>
          </cell>
          <cell r="AQ129">
            <v>0</v>
          </cell>
          <cell r="AR129"/>
          <cell r="AS129" t="str">
            <v>NA</v>
          </cell>
          <cell r="AT129" t="str">
            <v>NA</v>
          </cell>
          <cell r="AU129" t="str">
            <v>NA</v>
          </cell>
          <cell r="AV129" t="str">
            <v>NA</v>
          </cell>
          <cell r="AW129">
            <v>0</v>
          </cell>
          <cell r="AX129"/>
          <cell r="AY129" t="str">
            <v>NA</v>
          </cell>
          <cell r="AZ129" t="str">
            <v>NA</v>
          </cell>
          <cell r="BA129" t="str">
            <v>NA</v>
          </cell>
          <cell r="BB129" t="str">
            <v>NA</v>
          </cell>
          <cell r="BC129">
            <v>0</v>
          </cell>
          <cell r="BD129"/>
          <cell r="BE129" t="str">
            <v>NA</v>
          </cell>
          <cell r="BF129" t="str">
            <v>NA</v>
          </cell>
          <cell r="BG129" t="str">
            <v>NA</v>
          </cell>
          <cell r="BH129" t="str">
            <v>NA</v>
          </cell>
          <cell r="BI129">
            <v>0</v>
          </cell>
          <cell r="BJ129"/>
          <cell r="BK129" t="str">
            <v>NA</v>
          </cell>
          <cell r="BL129" t="str">
            <v>NA</v>
          </cell>
          <cell r="BM129" t="str">
            <v>NA</v>
          </cell>
          <cell r="BN129" t="str">
            <v>NA</v>
          </cell>
          <cell r="BO129">
            <v>0</v>
          </cell>
          <cell r="BP129"/>
          <cell r="BQ129" t="str">
            <v>NA</v>
          </cell>
          <cell r="BR129" t="str">
            <v>NA</v>
          </cell>
          <cell r="BS129" t="str">
            <v>NA</v>
          </cell>
          <cell r="BT129" t="str">
            <v>NA</v>
          </cell>
          <cell r="BU129">
            <v>0</v>
          </cell>
          <cell r="BV129"/>
          <cell r="BW129" t="str">
            <v>NA</v>
          </cell>
          <cell r="BX129" t="str">
            <v>NA</v>
          </cell>
          <cell r="BY129" t="str">
            <v>NA</v>
          </cell>
          <cell r="BZ129" t="str">
            <v>NA</v>
          </cell>
          <cell r="CA129">
            <v>0</v>
          </cell>
          <cell r="CB129"/>
          <cell r="CC129" t="str">
            <v>NA</v>
          </cell>
          <cell r="CD129" t="str">
            <v>NA</v>
          </cell>
          <cell r="CE129" t="str">
            <v>NA</v>
          </cell>
          <cell r="CF129" t="str">
            <v>NA</v>
          </cell>
          <cell r="CG129">
            <v>0</v>
          </cell>
        </row>
        <row r="130">
          <cell r="A130" t="str">
            <v>% of total revenue</v>
          </cell>
          <cell r="C130"/>
          <cell r="D130"/>
          <cell r="E130"/>
          <cell r="F130"/>
          <cell r="G130"/>
          <cell r="H130"/>
          <cell r="I130"/>
          <cell r="J130"/>
          <cell r="K130"/>
          <cell r="L130"/>
          <cell r="M130"/>
          <cell r="N130"/>
          <cell r="O130"/>
          <cell r="P130"/>
          <cell r="Q130"/>
          <cell r="R130"/>
          <cell r="S130"/>
          <cell r="T130"/>
          <cell r="U130"/>
          <cell r="V130"/>
          <cell r="W130"/>
          <cell r="X130"/>
          <cell r="Y130">
            <v>0</v>
          </cell>
          <cell r="Z130"/>
          <cell r="AA130">
            <v>0</v>
          </cell>
          <cell r="AB130">
            <v>0</v>
          </cell>
          <cell r="AC130">
            <v>0</v>
          </cell>
          <cell r="AD130">
            <v>0</v>
          </cell>
          <cell r="AE130">
            <v>0</v>
          </cell>
          <cell r="AF130"/>
          <cell r="AG130">
            <v>0</v>
          </cell>
          <cell r="AH130">
            <v>0</v>
          </cell>
          <cell r="AI130">
            <v>0</v>
          </cell>
          <cell r="AJ130">
            <v>0</v>
          </cell>
          <cell r="AK130">
            <v>0</v>
          </cell>
          <cell r="AM130">
            <v>0</v>
          </cell>
          <cell r="AN130">
            <v>0</v>
          </cell>
          <cell r="AO130">
            <v>0</v>
          </cell>
          <cell r="AP130">
            <v>0</v>
          </cell>
          <cell r="AQ130">
            <v>0</v>
          </cell>
          <cell r="AR130"/>
          <cell r="AS130">
            <v>0</v>
          </cell>
          <cell r="AT130">
            <v>0</v>
          </cell>
          <cell r="AU130">
            <v>0</v>
          </cell>
          <cell r="AV130">
            <v>0</v>
          </cell>
          <cell r="AW130">
            <v>0</v>
          </cell>
          <cell r="AX130"/>
          <cell r="AY130">
            <v>0</v>
          </cell>
          <cell r="AZ130">
            <v>0</v>
          </cell>
          <cell r="BA130">
            <v>0</v>
          </cell>
          <cell r="BB130">
            <v>0</v>
          </cell>
          <cell r="BC130">
            <v>0</v>
          </cell>
          <cell r="BD130"/>
          <cell r="BE130">
            <v>0</v>
          </cell>
          <cell r="BF130">
            <v>0</v>
          </cell>
          <cell r="BG130">
            <v>0</v>
          </cell>
          <cell r="BH130">
            <v>0</v>
          </cell>
          <cell r="BI130">
            <v>0</v>
          </cell>
          <cell r="BJ130"/>
          <cell r="BK130">
            <v>0</v>
          </cell>
          <cell r="BL130">
            <v>0</v>
          </cell>
          <cell r="BM130">
            <v>0</v>
          </cell>
          <cell r="BN130">
            <v>0</v>
          </cell>
          <cell r="BO130">
            <v>0</v>
          </cell>
          <cell r="BP130"/>
          <cell r="BQ130">
            <v>0</v>
          </cell>
          <cell r="BR130">
            <v>0</v>
          </cell>
          <cell r="BS130">
            <v>0</v>
          </cell>
          <cell r="BT130">
            <v>0</v>
          </cell>
          <cell r="BU130">
            <v>0</v>
          </cell>
          <cell r="BV130"/>
          <cell r="BW130" t="str">
            <v>NA</v>
          </cell>
          <cell r="BX130" t="str">
            <v>NA</v>
          </cell>
          <cell r="BY130" t="str">
            <v>NA</v>
          </cell>
          <cell r="BZ130" t="str">
            <v>NA</v>
          </cell>
          <cell r="CA130" t="str">
            <v>NA</v>
          </cell>
          <cell r="CB130"/>
          <cell r="CC130" t="str">
            <v>NA</v>
          </cell>
          <cell r="CD130" t="str">
            <v>NA</v>
          </cell>
          <cell r="CE130" t="str">
            <v>NA</v>
          </cell>
          <cell r="CF130" t="str">
            <v>NA</v>
          </cell>
          <cell r="CG130" t="str">
            <v>NA</v>
          </cell>
        </row>
        <row r="131">
          <cell r="A131"/>
          <cell r="C131"/>
          <cell r="D131"/>
          <cell r="E131"/>
          <cell r="F131"/>
          <cell r="G131"/>
          <cell r="I131"/>
          <cell r="J131"/>
          <cell r="K131"/>
          <cell r="L131"/>
          <cell r="M131"/>
          <cell r="O131"/>
          <cell r="P131"/>
          <cell r="Q131"/>
          <cell r="R131"/>
          <cell r="S131"/>
          <cell r="U131"/>
          <cell r="V131"/>
          <cell r="W131"/>
          <cell r="X131"/>
          <cell r="Y131"/>
          <cell r="AA131"/>
          <cell r="AB131"/>
          <cell r="AC131"/>
          <cell r="AD131"/>
          <cell r="AE131"/>
          <cell r="AG131"/>
          <cell r="AH131"/>
          <cell r="AI131"/>
          <cell r="AJ131"/>
          <cell r="AK131"/>
          <cell r="AM131"/>
          <cell r="AN131"/>
          <cell r="AO131"/>
          <cell r="AP131"/>
          <cell r="AQ131"/>
          <cell r="AS131"/>
          <cell r="AT131"/>
          <cell r="AU131"/>
          <cell r="AV131"/>
          <cell r="AW131"/>
          <cell r="AY131"/>
          <cell r="AZ131"/>
          <cell r="BA131"/>
          <cell r="BB131"/>
          <cell r="BC131"/>
          <cell r="BE131"/>
          <cell r="BF131"/>
          <cell r="BG131"/>
          <cell r="BH131"/>
          <cell r="BI131"/>
          <cell r="BK131"/>
          <cell r="BL131"/>
          <cell r="BM131"/>
          <cell r="BN131"/>
          <cell r="BO131"/>
          <cell r="BQ131"/>
          <cell r="BR131"/>
          <cell r="BS131"/>
          <cell r="BT131"/>
          <cell r="BU131"/>
          <cell r="BW131"/>
          <cell r="BX131"/>
          <cell r="BY131"/>
          <cell r="BZ131"/>
          <cell r="CA131"/>
          <cell r="CC131"/>
          <cell r="CD131"/>
          <cell r="CE131"/>
          <cell r="CF131"/>
          <cell r="CG131"/>
        </row>
        <row r="132">
          <cell r="A132" t="str">
            <v>Total operating expenses</v>
          </cell>
          <cell r="C132"/>
          <cell r="D132"/>
          <cell r="E132"/>
          <cell r="F132"/>
          <cell r="G132"/>
          <cell r="I132"/>
          <cell r="J132"/>
          <cell r="K132"/>
          <cell r="L132"/>
          <cell r="M132"/>
          <cell r="O132"/>
          <cell r="P132"/>
          <cell r="Q132"/>
          <cell r="R132"/>
          <cell r="S132"/>
          <cell r="U132"/>
          <cell r="V132"/>
          <cell r="W132"/>
          <cell r="X132"/>
          <cell r="Y132">
            <v>0</v>
          </cell>
          <cell r="AA132">
            <v>13.375</v>
          </cell>
          <cell r="AB132">
            <v>15.734</v>
          </cell>
          <cell r="AC132">
            <v>15.774999999999999</v>
          </cell>
          <cell r="AD132">
            <v>19.501999999999999</v>
          </cell>
          <cell r="AE132">
            <v>64.385999999999996</v>
          </cell>
          <cell r="AG132">
            <v>20.901</v>
          </cell>
          <cell r="AH132">
            <v>23.420999999999999</v>
          </cell>
          <cell r="AI132">
            <v>22.25</v>
          </cell>
          <cell r="AJ132">
            <v>26.214000000000002</v>
          </cell>
          <cell r="AK132">
            <v>92.786000000000001</v>
          </cell>
          <cell r="AM132">
            <v>29.332999999999998</v>
          </cell>
          <cell r="AN132">
            <v>33.162999999999997</v>
          </cell>
          <cell r="AO132">
            <v>31.292999999999999</v>
          </cell>
          <cell r="AP132">
            <v>34.213999999999999</v>
          </cell>
          <cell r="AQ132">
            <v>128.00299999999999</v>
          </cell>
          <cell r="AS132">
            <v>42.642000000000003</v>
          </cell>
          <cell r="AT132">
            <v>49.658000000000001</v>
          </cell>
          <cell r="AU132">
            <v>47.384999999999998</v>
          </cell>
          <cell r="AV132">
            <v>61.314999999999998</v>
          </cell>
          <cell r="AW132">
            <v>201</v>
          </cell>
          <cell r="AY132">
            <v>72.421999999999997</v>
          </cell>
          <cell r="AZ132">
            <v>81.036000000000001</v>
          </cell>
          <cell r="BA132">
            <v>81.816000000000003</v>
          </cell>
          <cell r="BB132">
            <v>105.50399999999999</v>
          </cell>
          <cell r="BC132">
            <v>340.77800000000002</v>
          </cell>
          <cell r="BE132">
            <v>115.88900000000001</v>
          </cell>
          <cell r="BF132">
            <v>104.392</v>
          </cell>
          <cell r="BG132">
            <v>100.58561552833054</v>
          </cell>
          <cell r="BH132">
            <v>125.06097082480611</v>
          </cell>
          <cell r="BI132">
            <v>445.92758635313669</v>
          </cell>
          <cell r="BK132">
            <v>116.90005402365151</v>
          </cell>
          <cell r="BL132">
            <v>113.90540385575591</v>
          </cell>
          <cell r="BM132">
            <v>114.13585291175761</v>
          </cell>
          <cell r="BN132">
            <v>154.93384485979587</v>
          </cell>
          <cell r="BO132">
            <v>499.87515565096089</v>
          </cell>
          <cell r="BQ132" t="e">
            <v>#VALUE!</v>
          </cell>
          <cell r="BR132" t="e">
            <v>#VALUE!</v>
          </cell>
          <cell r="BS132" t="e">
            <v>#VALUE!</v>
          </cell>
          <cell r="BT132" t="e">
            <v>#VALUE!</v>
          </cell>
          <cell r="BU132" t="e">
            <v>#VALUE!</v>
          </cell>
          <cell r="BW132" t="e">
            <v>#VALUE!</v>
          </cell>
          <cell r="BX132" t="e">
            <v>#VALUE!</v>
          </cell>
          <cell r="BY132" t="e">
            <v>#VALUE!</v>
          </cell>
          <cell r="BZ132" t="e">
            <v>#VALUE!</v>
          </cell>
          <cell r="CA132" t="e">
            <v>#VALUE!</v>
          </cell>
          <cell r="CC132" t="e">
            <v>#VALUE!</v>
          </cell>
          <cell r="CD132" t="e">
            <v>#VALUE!</v>
          </cell>
          <cell r="CE132" t="e">
            <v>#VALUE!</v>
          </cell>
          <cell r="CF132" t="e">
            <v>#VALUE!</v>
          </cell>
          <cell r="CG132" t="e">
            <v>#VALUE!</v>
          </cell>
        </row>
        <row r="133">
          <cell r="A133" t="str">
            <v>q/q change</v>
          </cell>
          <cell r="B133"/>
          <cell r="C133"/>
          <cell r="D133"/>
          <cell r="E133"/>
          <cell r="F133"/>
          <cell r="G133"/>
          <cell r="I133"/>
          <cell r="J133"/>
          <cell r="K133"/>
          <cell r="L133"/>
          <cell r="M133"/>
          <cell r="O133"/>
          <cell r="P133"/>
          <cell r="Q133"/>
          <cell r="R133"/>
          <cell r="S133"/>
          <cell r="U133"/>
          <cell r="V133"/>
          <cell r="W133"/>
          <cell r="X133"/>
          <cell r="Y133" t="str">
            <v>NA</v>
          </cell>
          <cell r="AA133" t="str">
            <v>NA</v>
          </cell>
          <cell r="AB133">
            <v>0.17637383177570087</v>
          </cell>
          <cell r="AC133">
            <v>2.605821787212248E-3</v>
          </cell>
          <cell r="AD133">
            <v>0.23625990491283688</v>
          </cell>
          <cell r="AE133" t="str">
            <v>NA</v>
          </cell>
          <cell r="AG133">
            <v>7.1736232181314863E-2</v>
          </cell>
          <cell r="AH133">
            <v>0.12056839385675322</v>
          </cell>
          <cell r="AI133">
            <v>-4.9997865163741939E-2</v>
          </cell>
          <cell r="AJ133">
            <v>0.17815730337078661</v>
          </cell>
          <cell r="AK133" t="str">
            <v>NA</v>
          </cell>
          <cell r="AL133"/>
          <cell r="AM133" t="str">
            <v>NA</v>
          </cell>
          <cell r="AN133">
            <v>0.13056966556438132</v>
          </cell>
          <cell r="AO133">
            <v>-5.6388143412839487E-2</v>
          </cell>
          <cell r="AP133">
            <v>9.3343559262454745E-2</v>
          </cell>
          <cell r="AQ133" t="str">
            <v>NA</v>
          </cell>
          <cell r="AS133">
            <v>0.24633191091366125</v>
          </cell>
          <cell r="AT133">
            <v>0.164532620421181</v>
          </cell>
          <cell r="AU133">
            <v>-4.5773087921382349E-2</v>
          </cell>
          <cell r="AV133">
            <v>0.29397488656747917</v>
          </cell>
          <cell r="AW133" t="str">
            <v>NA</v>
          </cell>
          <cell r="AY133">
            <v>0.18114653836744687</v>
          </cell>
          <cell r="AZ133">
            <v>0.11894175802932816</v>
          </cell>
          <cell r="BA133">
            <v>9.6253516955426832E-3</v>
          </cell>
          <cell r="BB133">
            <v>0.28952772073921951</v>
          </cell>
          <cell r="BC133" t="str">
            <v>NA</v>
          </cell>
          <cell r="BE133">
            <v>9.8432286927510049E-2</v>
          </cell>
          <cell r="BF133">
            <v>-9.9206999801534357E-2</v>
          </cell>
          <cell r="BG133">
            <v>-3.646241543096651E-2</v>
          </cell>
          <cell r="BH133">
            <v>0.24332858299785354</v>
          </cell>
          <cell r="BI133" t="str">
            <v>NA</v>
          </cell>
          <cell r="BK133">
            <v>-6.5255504953555588E-2</v>
          </cell>
          <cell r="BL133">
            <v>-2.5617183780682562E-2</v>
          </cell>
          <cell r="BM133">
            <v>2.0231617482655562E-3</v>
          </cell>
          <cell r="BN133">
            <v>0.35745115060015897</v>
          </cell>
          <cell r="BO133" t="str">
            <v>NA</v>
          </cell>
          <cell r="BQ133" t="str">
            <v>NA</v>
          </cell>
          <cell r="BR133" t="str">
            <v>NA</v>
          </cell>
          <cell r="BS133" t="str">
            <v>NA</v>
          </cell>
          <cell r="BT133" t="str">
            <v>NA</v>
          </cell>
          <cell r="BU133" t="str">
            <v>NA</v>
          </cell>
          <cell r="BW133" t="str">
            <v>NA</v>
          </cell>
          <cell r="BX133" t="str">
            <v>NA</v>
          </cell>
          <cell r="BY133" t="str">
            <v>NA</v>
          </cell>
          <cell r="BZ133" t="str">
            <v>NA</v>
          </cell>
          <cell r="CA133" t="str">
            <v>NA</v>
          </cell>
          <cell r="CC133" t="str">
            <v>NA</v>
          </cell>
          <cell r="CD133" t="str">
            <v>NA</v>
          </cell>
          <cell r="CE133" t="str">
            <v>NA</v>
          </cell>
          <cell r="CF133" t="str">
            <v>NA</v>
          </cell>
          <cell r="CG133" t="str">
            <v>NA</v>
          </cell>
        </row>
        <row r="134">
          <cell r="A134" t="str">
            <v>y/y change</v>
          </cell>
          <cell r="B134"/>
          <cell r="C134"/>
          <cell r="D134"/>
          <cell r="E134"/>
          <cell r="F134"/>
          <cell r="G134"/>
          <cell r="H134"/>
          <cell r="I134"/>
          <cell r="J134"/>
          <cell r="K134"/>
          <cell r="L134"/>
          <cell r="M134"/>
          <cell r="N134"/>
          <cell r="O134"/>
          <cell r="P134"/>
          <cell r="Q134"/>
          <cell r="R134"/>
          <cell r="S134"/>
          <cell r="T134"/>
          <cell r="U134"/>
          <cell r="V134"/>
          <cell r="W134"/>
          <cell r="X134"/>
          <cell r="Y134" t="str">
            <v>NA</v>
          </cell>
          <cell r="Z134"/>
          <cell r="AA134" t="str">
            <v>NA</v>
          </cell>
          <cell r="AB134" t="str">
            <v>NA</v>
          </cell>
          <cell r="AC134" t="str">
            <v>NA</v>
          </cell>
          <cell r="AD134" t="str">
            <v>NA</v>
          </cell>
          <cell r="AE134" t="str">
            <v>NA</v>
          </cell>
          <cell r="AF134"/>
          <cell r="AG134">
            <v>0.56269158878504677</v>
          </cell>
          <cell r="AH134">
            <v>0.48855980678784783</v>
          </cell>
          <cell r="AI134">
            <v>0.41045958795562609</v>
          </cell>
          <cell r="AJ134">
            <v>0.3441698287355146</v>
          </cell>
          <cell r="AK134">
            <v>0.44108967788028464</v>
          </cell>
          <cell r="AL134"/>
          <cell r="AM134" t="str">
            <v>NA</v>
          </cell>
          <cell r="AN134" t="str">
            <v>NA</v>
          </cell>
          <cell r="AO134" t="str">
            <v>NA</v>
          </cell>
          <cell r="AP134" t="str">
            <v>NA</v>
          </cell>
          <cell r="AQ134">
            <v>0.37955079430086425</v>
          </cell>
          <cell r="AR134"/>
          <cell r="AS134">
            <v>0.45372106501210263</v>
          </cell>
          <cell r="AT134">
            <v>0.497391671441064</v>
          </cell>
          <cell r="AU134">
            <v>0.51423641069887838</v>
          </cell>
          <cell r="AV134">
            <v>0.79210264803881447</v>
          </cell>
          <cell r="AW134">
            <v>0.57027569666335953</v>
          </cell>
          <cell r="AX134"/>
          <cell r="AY134">
            <v>0.69837249659959655</v>
          </cell>
          <cell r="AZ134">
            <v>0.63188207338193236</v>
          </cell>
          <cell r="BA134">
            <v>0.72662234884457111</v>
          </cell>
          <cell r="BB134">
            <v>0.72068824920492536</v>
          </cell>
          <cell r="BC134">
            <v>0.69541293532338311</v>
          </cell>
          <cell r="BD134"/>
          <cell r="BE134">
            <v>0.60019054983292386</v>
          </cell>
          <cell r="BF134">
            <v>0.28821758230909711</v>
          </cell>
          <cell r="BG134">
            <v>0.340446856360614</v>
          </cell>
          <cell r="BH134">
            <v>0.17158664207577812</v>
          </cell>
          <cell r="BI134">
            <v>0.33094882030401873</v>
          </cell>
          <cell r="BJ134"/>
          <cell r="BK134">
            <v>-4.9303678011992647E-3</v>
          </cell>
          <cell r="BL134">
            <v>4.6964336136567919E-2</v>
          </cell>
          <cell r="BM134">
            <v>0.1590456609054367</v>
          </cell>
          <cell r="BN134">
            <v>0.28431758737958668</v>
          </cell>
          <cell r="BO134">
            <v>0.12549115985564741</v>
          </cell>
          <cell r="BP134"/>
          <cell r="BQ134">
            <v>1.7608157027485971E-2</v>
          </cell>
          <cell r="BR134">
            <v>9.4701862625197197E-2</v>
          </cell>
          <cell r="BS134">
            <v>-9.0063677509288453E-2</v>
          </cell>
          <cell r="BT134">
            <v>2.9102313792685797E-2</v>
          </cell>
          <cell r="BU134">
            <v>1.0877569610790783E-2</v>
          </cell>
          <cell r="BV134"/>
          <cell r="BW134" t="str">
            <v>NA</v>
          </cell>
          <cell r="BX134" t="str">
            <v>NA</v>
          </cell>
          <cell r="BY134" t="str">
            <v>NA</v>
          </cell>
          <cell r="BZ134" t="str">
            <v>NA</v>
          </cell>
          <cell r="CA134" t="str">
            <v>NA</v>
          </cell>
          <cell r="CB134"/>
          <cell r="CC134" t="str">
            <v>NA</v>
          </cell>
          <cell r="CD134" t="str">
            <v>NA</v>
          </cell>
          <cell r="CE134" t="str">
            <v>NA</v>
          </cell>
          <cell r="CF134" t="str">
            <v>NA</v>
          </cell>
          <cell r="CG134" t="str">
            <v>NA</v>
          </cell>
        </row>
        <row r="135">
          <cell r="A135" t="str">
            <v>% seasonality</v>
          </cell>
          <cell r="B135"/>
          <cell r="C135"/>
          <cell r="D135"/>
          <cell r="E135"/>
          <cell r="F135"/>
          <cell r="G135"/>
          <cell r="H135"/>
          <cell r="I135"/>
          <cell r="J135"/>
          <cell r="K135"/>
          <cell r="L135"/>
          <cell r="M135"/>
          <cell r="N135"/>
          <cell r="O135"/>
          <cell r="P135"/>
          <cell r="Q135"/>
          <cell r="R135"/>
          <cell r="S135"/>
          <cell r="T135"/>
          <cell r="U135"/>
          <cell r="V135"/>
          <cell r="W135"/>
          <cell r="X135"/>
          <cell r="Y135">
            <v>0</v>
          </cell>
          <cell r="Z135"/>
          <cell r="AA135">
            <v>0.20773149442425373</v>
          </cell>
          <cell r="AB135">
            <v>0.24436989407635201</v>
          </cell>
          <cell r="AC135">
            <v>0.24500667847047494</v>
          </cell>
          <cell r="AD135">
            <v>0.30289193302891931</v>
          </cell>
          <cell r="AE135">
            <v>1</v>
          </cell>
          <cell r="AF135"/>
          <cell r="AG135">
            <v>0.22526027633479187</v>
          </cell>
          <cell r="AH135">
            <v>0.25241954605220612</v>
          </cell>
          <cell r="AI135">
            <v>0.23979910762399501</v>
          </cell>
          <cell r="AJ135">
            <v>0.282521069989007</v>
          </cell>
          <cell r="AK135">
            <v>1</v>
          </cell>
          <cell r="AL135"/>
          <cell r="AM135">
            <v>0.22915869159316579</v>
          </cell>
          <cell r="AN135">
            <v>0.25907986531565669</v>
          </cell>
          <cell r="AO135">
            <v>0.24447083271485825</v>
          </cell>
          <cell r="AP135">
            <v>0.26729061037631935</v>
          </cell>
          <cell r="AQ135">
            <v>1</v>
          </cell>
          <cell r="AR135"/>
          <cell r="AS135">
            <v>0.2121492537313433</v>
          </cell>
          <cell r="AT135">
            <v>0.2470547263681592</v>
          </cell>
          <cell r="AU135">
            <v>0.23574626865671641</v>
          </cell>
          <cell r="AV135">
            <v>0.30504975124378109</v>
          </cell>
          <cell r="AW135">
            <v>1</v>
          </cell>
          <cell r="AX135"/>
          <cell r="AY135">
            <v>0.21251958753205896</v>
          </cell>
          <cell r="AZ135">
            <v>0.23779704088878975</v>
          </cell>
          <cell r="BA135">
            <v>0.24008592103950371</v>
          </cell>
          <cell r="BB135">
            <v>0.30959745053964749</v>
          </cell>
          <cell r="BC135">
            <v>1</v>
          </cell>
          <cell r="BD135"/>
          <cell r="BE135">
            <v>0.25551082839196748</v>
          </cell>
          <cell r="BF135">
            <v>0.23016236569039566</v>
          </cell>
          <cell r="BG135">
            <v>0.24179924367064234</v>
          </cell>
          <cell r="BH135">
            <v>0.27252756224699454</v>
          </cell>
          <cell r="BI135">
            <v>1</v>
          </cell>
          <cell r="BJ135"/>
          <cell r="BK135">
            <v>0.22590232167031463</v>
          </cell>
          <cell r="BL135">
            <v>0.21410367046292347</v>
          </cell>
          <cell r="BM135">
            <v>0.24900805460135228</v>
          </cell>
          <cell r="BN135">
            <v>0.31098595326540973</v>
          </cell>
          <cell r="BO135">
            <v>1.0000000000000002</v>
          </cell>
          <cell r="BP135"/>
          <cell r="BQ135">
            <v>0.22740641610206846</v>
          </cell>
          <cell r="BR135">
            <v>0.2318576392400267</v>
          </cell>
          <cell r="BS135">
            <v>0.22414333870496247</v>
          </cell>
          <cell r="BT135">
            <v>0.31659260595294236</v>
          </cell>
          <cell r="BU135">
            <v>1</v>
          </cell>
          <cell r="BV135"/>
          <cell r="BW135" t="str">
            <v>NA</v>
          </cell>
          <cell r="BX135" t="str">
            <v>NA</v>
          </cell>
          <cell r="BY135" t="str">
            <v>NA</v>
          </cell>
          <cell r="BZ135" t="str">
            <v>NA</v>
          </cell>
          <cell r="CA135">
            <v>0</v>
          </cell>
          <cell r="CB135"/>
          <cell r="CC135" t="str">
            <v>NA</v>
          </cell>
          <cell r="CD135" t="str">
            <v>NA</v>
          </cell>
          <cell r="CE135" t="str">
            <v>NA</v>
          </cell>
          <cell r="CF135" t="str">
            <v>NA</v>
          </cell>
          <cell r="CG135">
            <v>0</v>
          </cell>
        </row>
        <row r="136">
          <cell r="A136" t="str">
            <v>% of total revenue</v>
          </cell>
          <cell r="C136"/>
          <cell r="D136"/>
          <cell r="E136"/>
          <cell r="F136"/>
          <cell r="G136"/>
          <cell r="H136"/>
          <cell r="I136"/>
          <cell r="J136"/>
          <cell r="K136"/>
          <cell r="L136"/>
          <cell r="M136"/>
          <cell r="N136"/>
          <cell r="O136"/>
          <cell r="P136"/>
          <cell r="Q136"/>
          <cell r="R136"/>
          <cell r="S136"/>
          <cell r="T136"/>
          <cell r="U136"/>
          <cell r="V136"/>
          <cell r="W136"/>
          <cell r="X136"/>
          <cell r="Y136">
            <v>0</v>
          </cell>
          <cell r="Z136"/>
          <cell r="AA136">
            <v>1.1603192504554525</v>
          </cell>
          <cell r="AB136">
            <v>1.2379228953579857</v>
          </cell>
          <cell r="AC136">
            <v>1.116418966737438</v>
          </cell>
          <cell r="AD136">
            <v>1.2619386566584703</v>
          </cell>
          <cell r="AE136">
            <v>1.1962988424592629</v>
          </cell>
          <cell r="AF136"/>
          <cell r="AG136">
            <v>1.1362944438403828</v>
          </cell>
          <cell r="AH136">
            <v>1.1726917684758662</v>
          </cell>
          <cell r="AI136">
            <v>0.99056183777045681</v>
          </cell>
          <cell r="AJ136">
            <v>1.0501562374809712</v>
          </cell>
          <cell r="AK136">
            <v>1.0815479659633989</v>
          </cell>
          <cell r="AM136">
            <v>1.027605535119986</v>
          </cell>
          <cell r="AN136">
            <v>1.0938025660476929</v>
          </cell>
          <cell r="AO136">
            <v>0.91620553359683787</v>
          </cell>
          <cell r="AP136">
            <v>0.88664869907743338</v>
          </cell>
          <cell r="AQ136">
            <v>0.97261543838853548</v>
          </cell>
          <cell r="AR136"/>
          <cell r="AS136">
            <v>0.84726499632418695</v>
          </cell>
          <cell r="AT136">
            <v>0.9641955652207681</v>
          </cell>
          <cell r="AU136">
            <v>0.75708191535253799</v>
          </cell>
          <cell r="AV136">
            <v>0.68777341559169936</v>
          </cell>
          <cell r="AW136">
            <v>0.7926805221437867</v>
          </cell>
          <cell r="AX136"/>
          <cell r="AY136">
            <v>0.95267034990791899</v>
          </cell>
          <cell r="AZ136">
            <v>0.9877259485879355</v>
          </cell>
          <cell r="BA136">
            <v>0.79128021122469705</v>
          </cell>
          <cell r="BB136">
            <v>0.67436241610738257</v>
          </cell>
          <cell r="BC136">
            <v>0.81543394510779843</v>
          </cell>
          <cell r="BD136"/>
          <cell r="BE136">
            <v>1.0648528452371109</v>
          </cell>
          <cell r="BF136">
            <v>1.0847838059709247</v>
          </cell>
          <cell r="BG136">
            <v>0.84545587702459979</v>
          </cell>
          <cell r="BH136">
            <v>0.83386173316982803</v>
          </cell>
          <cell r="BI136">
            <v>0.93901350388458116</v>
          </cell>
          <cell r="BJ136"/>
          <cell r="BK136">
            <v>0.9644781033451284</v>
          </cell>
          <cell r="BL136">
            <v>0.8790754416983535</v>
          </cell>
          <cell r="BM136">
            <v>0.88411018267462838</v>
          </cell>
          <cell r="BN136">
            <v>0.93330297508015625</v>
          </cell>
          <cell r="BO136">
            <v>0.91521775488297297</v>
          </cell>
          <cell r="BP136"/>
          <cell r="BQ136">
            <v>0.80903123940974997</v>
          </cell>
          <cell r="BR136">
            <v>0.79213925563318688</v>
          </cell>
          <cell r="BS136">
            <v>0.68851636469968314</v>
          </cell>
          <cell r="BT136">
            <v>0.79271955471991473</v>
          </cell>
          <cell r="BU136">
            <v>0.76999862409391939</v>
          </cell>
          <cell r="BV136"/>
          <cell r="BW136" t="str">
            <v>NA</v>
          </cell>
          <cell r="BX136" t="str">
            <v>NA</v>
          </cell>
          <cell r="BY136" t="str">
            <v>NA</v>
          </cell>
          <cell r="BZ136" t="str">
            <v>NA</v>
          </cell>
          <cell r="CA136" t="str">
            <v>NA</v>
          </cell>
          <cell r="CB136"/>
          <cell r="CC136" t="str">
            <v>NA</v>
          </cell>
          <cell r="CD136" t="str">
            <v>NA</v>
          </cell>
          <cell r="CE136" t="str">
            <v>NA</v>
          </cell>
          <cell r="CF136" t="str">
            <v>NA</v>
          </cell>
          <cell r="CG136" t="str">
            <v>NA</v>
          </cell>
        </row>
        <row r="137">
          <cell r="A137" t="str">
            <v>Operating income (loss)</v>
          </cell>
          <cell r="B137"/>
          <cell r="C137"/>
          <cell r="D137"/>
          <cell r="E137"/>
          <cell r="F137"/>
          <cell r="G137"/>
          <cell r="I137"/>
          <cell r="J137"/>
          <cell r="K137"/>
          <cell r="L137"/>
          <cell r="M137"/>
          <cell r="O137"/>
          <cell r="P137"/>
          <cell r="Q137"/>
          <cell r="R137"/>
          <cell r="S137"/>
          <cell r="U137"/>
          <cell r="V137"/>
          <cell r="W137"/>
          <cell r="X137"/>
          <cell r="Y137">
            <v>29.451000000000001</v>
          </cell>
          <cell r="AA137">
            <v>-4.1700000000000017</v>
          </cell>
          <cell r="AB137">
            <v>-5.4709999999999983</v>
          </cell>
          <cell r="AC137">
            <v>-4.2749999999999986</v>
          </cell>
          <cell r="AD137">
            <v>-7.1699999999999982</v>
          </cell>
          <cell r="AE137">
            <v>-21.085999999999991</v>
          </cell>
          <cell r="AG137">
            <v>-6.4060000000000024</v>
          </cell>
          <cell r="AH137">
            <v>-7.2149999999999963</v>
          </cell>
          <cell r="AI137">
            <v>-3.8500000000000014</v>
          </cell>
          <cell r="AJ137">
            <v>-5.5510000000000019</v>
          </cell>
          <cell r="AK137">
            <v>-23.021999999999991</v>
          </cell>
          <cell r="AL137"/>
          <cell r="AM137">
            <v>-5.6139999999999972</v>
          </cell>
          <cell r="AN137">
            <v>-8.1379999999999981</v>
          </cell>
          <cell r="AO137">
            <v>-2.5629999999999988</v>
          </cell>
          <cell r="AP137">
            <v>-1.8840000000000003</v>
          </cell>
          <cell r="AQ137">
            <v>-18.198999999999984</v>
          </cell>
          <cell r="AS137">
            <v>2.6829999999999998</v>
          </cell>
          <cell r="AT137">
            <v>-3.4249999999999972</v>
          </cell>
          <cell r="AU137">
            <v>9.3939999999999984</v>
          </cell>
          <cell r="AV137">
            <v>21.118000000000009</v>
          </cell>
          <cell r="AW137">
            <v>29.770000000000039</v>
          </cell>
          <cell r="AY137">
            <v>-4.402000000000001</v>
          </cell>
          <cell r="AZ137">
            <v>-8.2879999999999967</v>
          </cell>
          <cell r="BA137">
            <v>11.936000000000007</v>
          </cell>
          <cell r="BB137">
            <v>38.734999999999985</v>
          </cell>
          <cell r="BC137">
            <v>37.980999999999938</v>
          </cell>
          <cell r="BE137">
            <v>-20.105000000000004</v>
          </cell>
          <cell r="BF137">
            <v>-17.793999999999997</v>
          </cell>
          <cell r="BG137">
            <v>-1.72406162599016</v>
          </cell>
          <cell r="BH137">
            <v>3.8331807621193263</v>
          </cell>
          <cell r="BI137">
            <v>-35.789880863870849</v>
          </cell>
          <cell r="BK137">
            <v>-16.607938786865191</v>
          </cell>
          <cell r="BL137">
            <v>-17.660434337452884</v>
          </cell>
          <cell r="BM137">
            <v>-5.3399626135851008</v>
          </cell>
          <cell r="BN137">
            <v>9.396362900409656</v>
          </cell>
          <cell r="BO137">
            <v>-30.211972837493477</v>
          </cell>
          <cell r="BQ137" t="e">
            <v>#VALUE!</v>
          </cell>
          <cell r="BR137" t="e">
            <v>#VALUE!</v>
          </cell>
          <cell r="BS137" t="e">
            <v>#VALUE!</v>
          </cell>
          <cell r="BT137" t="e">
            <v>#VALUE!</v>
          </cell>
          <cell r="BU137" t="e">
            <v>#VALUE!</v>
          </cell>
          <cell r="BW137" t="e">
            <v>#VALUE!</v>
          </cell>
          <cell r="BX137" t="e">
            <v>#VALUE!</v>
          </cell>
          <cell r="BY137" t="e">
            <v>#VALUE!</v>
          </cell>
          <cell r="BZ137" t="e">
            <v>#VALUE!</v>
          </cell>
          <cell r="CA137" t="e">
            <v>#VALUE!</v>
          </cell>
          <cell r="CC137" t="e">
            <v>#VALUE!</v>
          </cell>
          <cell r="CD137" t="e">
            <v>#VALUE!</v>
          </cell>
          <cell r="CE137" t="e">
            <v>#VALUE!</v>
          </cell>
          <cell r="CF137" t="e">
            <v>#VALUE!</v>
          </cell>
          <cell r="CG137" t="e">
            <v>#VALUE!</v>
          </cell>
        </row>
        <row r="138">
          <cell r="A138" t="str">
            <v>% operating margin</v>
          </cell>
          <cell r="C138"/>
          <cell r="D138"/>
          <cell r="E138"/>
          <cell r="F138"/>
          <cell r="G138"/>
          <cell r="I138"/>
          <cell r="J138"/>
          <cell r="K138"/>
          <cell r="L138"/>
          <cell r="M138"/>
          <cell r="O138"/>
          <cell r="P138"/>
          <cell r="Q138"/>
          <cell r="R138"/>
          <cell r="S138"/>
          <cell r="U138"/>
          <cell r="V138"/>
          <cell r="W138"/>
          <cell r="X138"/>
          <cell r="Y138">
            <v>0.7753527801179444</v>
          </cell>
          <cell r="AA138">
            <v>-0.36175934761863471</v>
          </cell>
          <cell r="AB138">
            <v>-0.43044846577498019</v>
          </cell>
          <cell r="AC138">
            <v>-0.30254777070063682</v>
          </cell>
          <cell r="AD138">
            <v>-0.46395755144299194</v>
          </cell>
          <cell r="AE138">
            <v>-0.39178016016053197</v>
          </cell>
          <cell r="AG138">
            <v>-0.34826573882787881</v>
          </cell>
          <cell r="AH138">
            <v>-0.36125575806128557</v>
          </cell>
          <cell r="AI138">
            <v>-0.17140058765915775</v>
          </cell>
          <cell r="AJ138">
            <v>-0.22237801458216497</v>
          </cell>
          <cell r="AK138">
            <v>-0.26835295488984717</v>
          </cell>
          <cell r="AM138">
            <v>-0.19667192152741275</v>
          </cell>
          <cell r="AN138">
            <v>-0.26841254658794811</v>
          </cell>
          <cell r="AO138">
            <v>-7.5040257648953265E-2</v>
          </cell>
          <cell r="AP138">
            <v>-4.8823468435783154E-2</v>
          </cell>
          <cell r="AQ138">
            <v>-0.13828291808186483</v>
          </cell>
          <cell r="AS138">
            <v>5.3309225297542166E-2</v>
          </cell>
          <cell r="AT138">
            <v>-6.6502271756436582E-2</v>
          </cell>
          <cell r="AU138">
            <v>0.15009027145345027</v>
          </cell>
          <cell r="AV138">
            <v>0.23688166012338763</v>
          </cell>
          <cell r="AW138">
            <v>0.11740347832945552</v>
          </cell>
          <cell r="AY138">
            <v>-5.7905814259405435E-2</v>
          </cell>
          <cell r="AZ138">
            <v>-0.10102019672610699</v>
          </cell>
          <cell r="BA138">
            <v>0.11543855237579433</v>
          </cell>
          <cell r="BB138">
            <v>0.24758708852668576</v>
          </cell>
          <cell r="BC138">
            <v>9.0883204517718988E-2</v>
          </cell>
          <cell r="BE138">
            <v>-0.18473596677417284</v>
          </cell>
          <cell r="BF138">
            <v>-0.18490538588633831</v>
          </cell>
          <cell r="BG138">
            <v>-1.5260100856368725E-2</v>
          </cell>
          <cell r="BH138">
            <v>2.6561877759888029E-2</v>
          </cell>
          <cell r="BI138">
            <v>-7.740800348991056E-2</v>
          </cell>
          <cell r="BK138">
            <v>-0.14166745878117723</v>
          </cell>
          <cell r="BL138">
            <v>-0.15585026810141087</v>
          </cell>
          <cell r="BM138">
            <v>-4.2087180260843668E-2</v>
          </cell>
          <cell r="BN138">
            <v>5.0638007352314655E-2</v>
          </cell>
          <cell r="BO138">
            <v>-5.5640362983471775E-2</v>
          </cell>
          <cell r="BQ138" t="str">
            <v>NA</v>
          </cell>
          <cell r="BR138" t="str">
            <v>NA</v>
          </cell>
          <cell r="BS138" t="str">
            <v>NA</v>
          </cell>
          <cell r="BT138" t="str">
            <v>NA</v>
          </cell>
          <cell r="BU138" t="str">
            <v>NA</v>
          </cell>
          <cell r="BW138" t="str">
            <v>NA</v>
          </cell>
          <cell r="BX138" t="str">
            <v>NA</v>
          </cell>
          <cell r="BY138" t="str">
            <v>NA</v>
          </cell>
          <cell r="BZ138" t="str">
            <v>NA</v>
          </cell>
          <cell r="CA138" t="str">
            <v>NA</v>
          </cell>
          <cell r="CC138" t="str">
            <v>NA</v>
          </cell>
          <cell r="CD138" t="str">
            <v>NA</v>
          </cell>
          <cell r="CE138" t="str">
            <v>NA</v>
          </cell>
          <cell r="CF138" t="str">
            <v>NA</v>
          </cell>
          <cell r="CG138" t="str">
            <v>NA</v>
          </cell>
        </row>
        <row r="139">
          <cell r="A139"/>
          <cell r="C139"/>
          <cell r="D139"/>
          <cell r="E139"/>
          <cell r="F139"/>
          <cell r="G139"/>
          <cell r="I139"/>
          <cell r="J139"/>
          <cell r="K139"/>
          <cell r="L139"/>
          <cell r="M139"/>
          <cell r="O139"/>
          <cell r="P139"/>
          <cell r="Q139"/>
          <cell r="R139"/>
          <cell r="S139"/>
          <cell r="U139"/>
          <cell r="V139"/>
          <cell r="W139"/>
          <cell r="X139"/>
          <cell r="Y139"/>
          <cell r="AA139"/>
          <cell r="AB139"/>
          <cell r="AC139"/>
          <cell r="AD139"/>
          <cell r="AE139"/>
          <cell r="AG139"/>
          <cell r="AH139"/>
          <cell r="AI139"/>
          <cell r="AJ139"/>
          <cell r="AK139"/>
          <cell r="AM139"/>
          <cell r="AN139"/>
          <cell r="AO139"/>
          <cell r="AP139"/>
          <cell r="AQ139"/>
          <cell r="AS139"/>
          <cell r="AT139"/>
          <cell r="AU139"/>
          <cell r="AV139"/>
          <cell r="AW139"/>
          <cell r="AY139"/>
          <cell r="AZ139"/>
          <cell r="BA139"/>
          <cell r="BB139"/>
          <cell r="BC139"/>
          <cell r="BE139"/>
          <cell r="BF139"/>
          <cell r="BG139"/>
          <cell r="BH139"/>
          <cell r="BI139"/>
          <cell r="BK139"/>
          <cell r="BL139"/>
          <cell r="BM139"/>
          <cell r="BN139"/>
          <cell r="BO139"/>
          <cell r="BQ139"/>
          <cell r="BR139"/>
          <cell r="BS139"/>
          <cell r="BT139"/>
          <cell r="BU139"/>
          <cell r="BW139"/>
          <cell r="BX139"/>
          <cell r="BY139"/>
          <cell r="BZ139"/>
          <cell r="CA139"/>
          <cell r="CC139"/>
          <cell r="CD139"/>
          <cell r="CE139"/>
          <cell r="CF139"/>
          <cell r="CG139"/>
        </row>
        <row r="140">
          <cell r="A140" t="str">
            <v>Interest (expense), net</v>
          </cell>
          <cell r="C140"/>
          <cell r="D140"/>
          <cell r="E140"/>
          <cell r="F140"/>
          <cell r="G140"/>
          <cell r="I140"/>
          <cell r="J140"/>
          <cell r="K140"/>
          <cell r="L140"/>
          <cell r="M140"/>
          <cell r="O140"/>
          <cell r="P140"/>
          <cell r="Q140"/>
          <cell r="R140"/>
          <cell r="S140"/>
          <cell r="U140"/>
          <cell r="V140"/>
          <cell r="W140"/>
          <cell r="X140"/>
          <cell r="Y140">
            <v>0</v>
          </cell>
          <cell r="AA140">
            <v>0</v>
          </cell>
          <cell r="AB140">
            <v>0</v>
          </cell>
          <cell r="AC140">
            <v>0</v>
          </cell>
          <cell r="AD140">
            <v>0</v>
          </cell>
          <cell r="AE140">
            <v>0</v>
          </cell>
          <cell r="AG140">
            <v>0</v>
          </cell>
          <cell r="AH140">
            <v>0</v>
          </cell>
          <cell r="AI140">
            <v>0</v>
          </cell>
          <cell r="AJ140">
            <v>0</v>
          </cell>
          <cell r="AK140">
            <v>0</v>
          </cell>
          <cell r="AM140">
            <v>0</v>
          </cell>
          <cell r="AN140">
            <v>0</v>
          </cell>
          <cell r="AO140">
            <v>0</v>
          </cell>
          <cell r="AP140">
            <v>0</v>
          </cell>
          <cell r="AQ140">
            <v>0</v>
          </cell>
          <cell r="AS140">
            <v>0</v>
          </cell>
          <cell r="AT140">
            <v>0</v>
          </cell>
          <cell r="AU140">
            <v>0</v>
          </cell>
          <cell r="AV140">
            <v>0</v>
          </cell>
          <cell r="AW140">
            <v>0</v>
          </cell>
          <cell r="AY140">
            <v>0</v>
          </cell>
          <cell r="AZ140">
            <v>0</v>
          </cell>
          <cell r="BA140">
            <v>-6.4770000000000003</v>
          </cell>
          <cell r="BB140">
            <v>-9.2829999999999995</v>
          </cell>
          <cell r="BC140">
            <v>-15.76</v>
          </cell>
          <cell r="BE140">
            <v>-9.3030000000000008</v>
          </cell>
          <cell r="BF140">
            <v>-9.4960000000000004</v>
          </cell>
          <cell r="BG140">
            <v>-9</v>
          </cell>
          <cell r="BH140">
            <v>-9</v>
          </cell>
          <cell r="BI140">
            <v>-36.798999999999999</v>
          </cell>
          <cell r="BK140">
            <v>-9</v>
          </cell>
          <cell r="BL140">
            <v>-9</v>
          </cell>
          <cell r="BM140">
            <v>-9</v>
          </cell>
          <cell r="BN140">
            <v>-9</v>
          </cell>
          <cell r="BO140">
            <v>-36</v>
          </cell>
          <cell r="BQ140">
            <v>0</v>
          </cell>
          <cell r="BR140">
            <v>0</v>
          </cell>
          <cell r="BS140">
            <v>0</v>
          </cell>
          <cell r="BT140">
            <v>0</v>
          </cell>
          <cell r="BU140">
            <v>0</v>
          </cell>
          <cell r="BW140">
            <v>0</v>
          </cell>
          <cell r="BX140">
            <v>0</v>
          </cell>
          <cell r="BY140">
            <v>0</v>
          </cell>
          <cell r="BZ140">
            <v>0</v>
          </cell>
          <cell r="CA140">
            <v>0</v>
          </cell>
          <cell r="CC140">
            <v>0</v>
          </cell>
          <cell r="CD140">
            <v>0</v>
          </cell>
          <cell r="CE140">
            <v>0</v>
          </cell>
          <cell r="CF140">
            <v>0</v>
          </cell>
          <cell r="CG140">
            <v>0</v>
          </cell>
        </row>
        <row r="141">
          <cell r="A141" t="str">
            <v>% of total revenue</v>
          </cell>
          <cell r="C141"/>
          <cell r="D141"/>
          <cell r="E141"/>
          <cell r="F141"/>
          <cell r="G141"/>
          <cell r="I141"/>
          <cell r="J141"/>
          <cell r="K141"/>
          <cell r="L141"/>
          <cell r="M141"/>
          <cell r="O141"/>
          <cell r="P141"/>
          <cell r="Q141"/>
          <cell r="R141"/>
          <cell r="S141"/>
          <cell r="U141"/>
          <cell r="V141"/>
          <cell r="W141"/>
          <cell r="X141"/>
          <cell r="Y141">
            <v>0</v>
          </cell>
          <cell r="AA141">
            <v>0</v>
          </cell>
          <cell r="AB141">
            <v>0</v>
          </cell>
          <cell r="AC141">
            <v>0</v>
          </cell>
          <cell r="AD141">
            <v>0</v>
          </cell>
          <cell r="AE141">
            <v>0</v>
          </cell>
          <cell r="AG141">
            <v>0</v>
          </cell>
          <cell r="AH141">
            <v>0</v>
          </cell>
          <cell r="AI141">
            <v>0</v>
          </cell>
          <cell r="AJ141">
            <v>0</v>
          </cell>
          <cell r="AK141">
            <v>0</v>
          </cell>
          <cell r="AM141">
            <v>0</v>
          </cell>
          <cell r="AN141">
            <v>0</v>
          </cell>
          <cell r="AO141">
            <v>0</v>
          </cell>
          <cell r="AP141">
            <v>0</v>
          </cell>
          <cell r="AQ141">
            <v>0</v>
          </cell>
          <cell r="AS141">
            <v>0</v>
          </cell>
          <cell r="AT141">
            <v>0</v>
          </cell>
          <cell r="AU141">
            <v>0</v>
          </cell>
          <cell r="AV141">
            <v>0</v>
          </cell>
          <cell r="AW141">
            <v>0</v>
          </cell>
          <cell r="AY141">
            <v>0</v>
          </cell>
          <cell r="AZ141">
            <v>0</v>
          </cell>
          <cell r="BA141">
            <v>-6.2642049575906453E-2</v>
          </cell>
          <cell r="BB141">
            <v>-5.9335250878875041E-2</v>
          </cell>
          <cell r="BC141">
            <v>-3.7711468976573903E-2</v>
          </cell>
          <cell r="BE141">
            <v>-8.5481158860986312E-2</v>
          </cell>
          <cell r="BF141">
            <v>-9.8677168954516642E-2</v>
          </cell>
          <cell r="BG141">
            <v>-7.9661252032357674E-2</v>
          </cell>
          <cell r="BH141">
            <v>-6.2365151730235685E-2</v>
          </cell>
          <cell r="BI141">
            <v>-7.9590572856607589E-2</v>
          </cell>
          <cell r="BK141">
            <v>-7.6770943426102148E-2</v>
          </cell>
          <cell r="BL141">
            <v>-7.9423438071285768E-2</v>
          </cell>
          <cell r="BM141">
            <v>-7.0933946500664299E-2</v>
          </cell>
          <cell r="BN141">
            <v>-4.8501965175372565E-2</v>
          </cell>
          <cell r="BO141">
            <v>-6.6299975780435214E-2</v>
          </cell>
          <cell r="BQ141" t="str">
            <v>NA</v>
          </cell>
          <cell r="BR141" t="str">
            <v>NA</v>
          </cell>
          <cell r="BS141" t="str">
            <v>NA</v>
          </cell>
          <cell r="BT141" t="str">
            <v>NA</v>
          </cell>
          <cell r="BU141" t="str">
            <v>NA</v>
          </cell>
          <cell r="BW141" t="str">
            <v>NA</v>
          </cell>
          <cell r="BX141" t="str">
            <v>NA</v>
          </cell>
          <cell r="BY141" t="str">
            <v>NA</v>
          </cell>
          <cell r="BZ141" t="str">
            <v>NA</v>
          </cell>
          <cell r="CA141" t="str">
            <v>NA</v>
          </cell>
          <cell r="CC141" t="str">
            <v>NA</v>
          </cell>
          <cell r="CD141" t="str">
            <v>NA</v>
          </cell>
          <cell r="CE141" t="str">
            <v>NA</v>
          </cell>
          <cell r="CF141" t="str">
            <v>NA</v>
          </cell>
          <cell r="CG141" t="str">
            <v>NA</v>
          </cell>
        </row>
        <row r="142">
          <cell r="A142" t="str">
            <v>Other income (expense), net</v>
          </cell>
          <cell r="C142"/>
          <cell r="D142"/>
          <cell r="E142"/>
          <cell r="F142"/>
          <cell r="G142"/>
          <cell r="I142"/>
          <cell r="J142"/>
          <cell r="K142"/>
          <cell r="L142"/>
          <cell r="M142"/>
          <cell r="O142"/>
          <cell r="P142"/>
          <cell r="Q142"/>
          <cell r="R142"/>
          <cell r="S142"/>
          <cell r="U142"/>
          <cell r="V142"/>
          <cell r="W142"/>
          <cell r="X142"/>
          <cell r="Y142">
            <v>-8.1000000000000003E-2</v>
          </cell>
          <cell r="AA142">
            <v>-4.3999999999999997E-2</v>
          </cell>
          <cell r="AB142">
            <v>8.9999999999999993E-3</v>
          </cell>
          <cell r="AC142">
            <v>-0.107</v>
          </cell>
          <cell r="AD142">
            <v>-4.3999999999999997E-2</v>
          </cell>
          <cell r="AE142">
            <v>-0.186</v>
          </cell>
          <cell r="AG142">
            <v>-0.09</v>
          </cell>
          <cell r="AH142">
            <v>-0.188</v>
          </cell>
          <cell r="AI142">
            <v>-0.28399999999999997</v>
          </cell>
          <cell r="AJ142">
            <v>-0.46600000000000003</v>
          </cell>
          <cell r="AK142">
            <v>-1.028</v>
          </cell>
          <cell r="AM142">
            <v>9.7000000000000003E-2</v>
          </cell>
          <cell r="AN142">
            <v>0.33700000000000002</v>
          </cell>
          <cell r="AO142">
            <v>-0.71099999999999997</v>
          </cell>
          <cell r="AP142">
            <v>7.1999999999999995E-2</v>
          </cell>
          <cell r="AQ142">
            <v>-0.2049999999999999</v>
          </cell>
          <cell r="AS142">
            <v>0.76800000000000002</v>
          </cell>
          <cell r="AT142">
            <v>-2.2319999999999998</v>
          </cell>
          <cell r="AU142">
            <v>-1.2160000000000002</v>
          </cell>
          <cell r="AV142">
            <v>-1.6559999999999999</v>
          </cell>
          <cell r="AW142">
            <v>-4.3359999999999994</v>
          </cell>
          <cell r="AY142">
            <v>-0.15700000000000003</v>
          </cell>
          <cell r="AZ142">
            <v>-2.2509999999999999</v>
          </cell>
          <cell r="BA142">
            <v>-20.362000000000002</v>
          </cell>
          <cell r="BB142">
            <v>6.6130000000000004</v>
          </cell>
          <cell r="BC142">
            <v>-16.157000000000004</v>
          </cell>
          <cell r="BE142">
            <v>-2.4620000000000002</v>
          </cell>
          <cell r="BF142">
            <v>4.53</v>
          </cell>
          <cell r="BG142">
            <v>9.0382712000000023</v>
          </cell>
          <cell r="BH142">
            <v>6.4999999999999991</v>
          </cell>
          <cell r="BI142">
            <v>17.606271200000002</v>
          </cell>
          <cell r="BK142">
            <v>6.5</v>
          </cell>
          <cell r="BL142">
            <v>6.5</v>
          </cell>
          <cell r="BM142">
            <v>6.5</v>
          </cell>
          <cell r="BN142">
            <v>6.5</v>
          </cell>
          <cell r="BO142">
            <v>26</v>
          </cell>
          <cell r="BQ142" t="e">
            <v>#VALUE!</v>
          </cell>
          <cell r="BR142" t="e">
            <v>#VALUE!</v>
          </cell>
          <cell r="BS142" t="e">
            <v>#VALUE!</v>
          </cell>
          <cell r="BT142" t="e">
            <v>#VALUE!</v>
          </cell>
          <cell r="BU142" t="e">
            <v>#VALUE!</v>
          </cell>
          <cell r="BW142" t="e">
            <v>#VALUE!</v>
          </cell>
          <cell r="BX142" t="e">
            <v>#VALUE!</v>
          </cell>
          <cell r="BY142" t="e">
            <v>#VALUE!</v>
          </cell>
          <cell r="BZ142" t="e">
            <v>#VALUE!</v>
          </cell>
          <cell r="CA142" t="e">
            <v>#VALUE!</v>
          </cell>
          <cell r="CC142" t="e">
            <v>#VALUE!</v>
          </cell>
          <cell r="CD142" t="e">
            <v>#VALUE!</v>
          </cell>
          <cell r="CE142" t="e">
            <v>#VALUE!</v>
          </cell>
          <cell r="CF142" t="e">
            <v>#VALUE!</v>
          </cell>
          <cell r="CG142" t="e">
            <v>#VALUE!</v>
          </cell>
        </row>
        <row r="143">
          <cell r="A143" t="str">
            <v>% of total revenue</v>
          </cell>
          <cell r="C143"/>
          <cell r="D143"/>
          <cell r="E143"/>
          <cell r="F143"/>
          <cell r="G143"/>
          <cell r="I143"/>
          <cell r="J143"/>
          <cell r="K143"/>
          <cell r="L143"/>
          <cell r="M143"/>
          <cell r="O143"/>
          <cell r="P143"/>
          <cell r="Q143"/>
          <cell r="R143"/>
          <cell r="S143"/>
          <cell r="U143"/>
          <cell r="V143"/>
          <cell r="W143"/>
          <cell r="X143"/>
          <cell r="Y143">
            <v>-2.1324768323504632E-3</v>
          </cell>
          <cell r="AA143">
            <v>-3.8171250108441053E-3</v>
          </cell>
          <cell r="AB143">
            <v>7.081038552321006E-4</v>
          </cell>
          <cell r="AC143">
            <v>-7.5725406935598016E-3</v>
          </cell>
          <cell r="AD143">
            <v>-2.8471593115051118E-3</v>
          </cell>
          <cell r="AE143">
            <v>-3.4559001133386592E-3</v>
          </cell>
          <cell r="AG143">
            <v>-4.8928998586495595E-3</v>
          </cell>
          <cell r="AH143">
            <v>-9.4131784498297615E-3</v>
          </cell>
          <cell r="AI143">
            <v>-1.2643575816935267E-2</v>
          </cell>
          <cell r="AJ143">
            <v>-1.8668375931415754E-2</v>
          </cell>
          <cell r="AK143">
            <v>-1.1982748572094649E-2</v>
          </cell>
          <cell r="AM143">
            <v>3.3981432825363461E-3</v>
          </cell>
          <cell r="AN143">
            <v>1.1115142319997362E-2</v>
          </cell>
          <cell r="AO143">
            <v>-2.0816864295125161E-2</v>
          </cell>
          <cell r="AP143">
            <v>1.865865035762413E-3</v>
          </cell>
          <cell r="AQ143">
            <v>-1.5576679052026101E-3</v>
          </cell>
          <cell r="AS143">
            <v>1.5259591885394106E-2</v>
          </cell>
          <cell r="AT143">
            <v>-4.3338122791347904E-2</v>
          </cell>
          <cell r="AU143">
            <v>-1.9428334052309516E-2</v>
          </cell>
          <cell r="AV143">
            <v>-1.8575434660684238E-2</v>
          </cell>
          <cell r="AW143">
            <v>-1.7099814646843077E-2</v>
          </cell>
          <cell r="AY143">
            <v>-2.0652459878979222E-3</v>
          </cell>
          <cell r="AZ143">
            <v>-2.7436831905220428E-2</v>
          </cell>
          <cell r="BA143">
            <v>-0.19693027844134744</v>
          </cell>
          <cell r="BB143">
            <v>4.2269095557686168E-2</v>
          </cell>
          <cell r="BC143">
            <v>-3.8661434280108167E-2</v>
          </cell>
          <cell r="BE143">
            <v>-2.2622230798210071E-2</v>
          </cell>
          <cell r="BF143">
            <v>4.707324930117527E-2</v>
          </cell>
          <cell r="BG143">
            <v>0.08</v>
          </cell>
          <cell r="BH143">
            <v>4.5041498471836881E-2</v>
          </cell>
          <cell r="BI143">
            <v>3.8079654628571213E-2</v>
          </cell>
          <cell r="BK143">
            <v>5.5445681363296001E-2</v>
          </cell>
          <cell r="BL143">
            <v>5.7361371940373052E-2</v>
          </cell>
          <cell r="BM143">
            <v>5.123007247270199E-2</v>
          </cell>
          <cell r="BN143">
            <v>3.5029197071102407E-2</v>
          </cell>
          <cell r="BO143">
            <v>4.7883315841425425E-2</v>
          </cell>
          <cell r="BQ143" t="str">
            <v>NA</v>
          </cell>
          <cell r="BR143" t="str">
            <v>NA</v>
          </cell>
          <cell r="BS143" t="str">
            <v>NA</v>
          </cell>
          <cell r="BT143" t="str">
            <v>NA</v>
          </cell>
          <cell r="BU143" t="str">
            <v>NA</v>
          </cell>
          <cell r="BW143" t="str">
            <v>NA</v>
          </cell>
          <cell r="BX143" t="str">
            <v>NA</v>
          </cell>
          <cell r="BY143" t="str">
            <v>NA</v>
          </cell>
          <cell r="BZ143" t="str">
            <v>NA</v>
          </cell>
          <cell r="CA143" t="str">
            <v>NA</v>
          </cell>
          <cell r="CC143" t="str">
            <v>NA</v>
          </cell>
          <cell r="CD143" t="str">
            <v>NA</v>
          </cell>
          <cell r="CE143" t="str">
            <v>NA</v>
          </cell>
          <cell r="CF143" t="str">
            <v>NA</v>
          </cell>
          <cell r="CG143" t="str">
            <v>NA</v>
          </cell>
        </row>
        <row r="144">
          <cell r="A144" t="str">
            <v>Income (loss) before tax expense (benefit)</v>
          </cell>
          <cell r="C144"/>
          <cell r="D144"/>
          <cell r="E144"/>
          <cell r="F144"/>
          <cell r="G144"/>
          <cell r="H144"/>
          <cell r="I144"/>
          <cell r="J144"/>
          <cell r="K144"/>
          <cell r="L144"/>
          <cell r="M144"/>
          <cell r="N144"/>
          <cell r="O144"/>
          <cell r="P144"/>
          <cell r="Q144"/>
          <cell r="R144"/>
          <cell r="S144"/>
          <cell r="T144"/>
          <cell r="U144"/>
          <cell r="V144"/>
          <cell r="W144"/>
          <cell r="X144"/>
          <cell r="Y144">
            <v>29.37</v>
          </cell>
          <cell r="Z144"/>
          <cell r="AA144">
            <v>-4.2140000000000013</v>
          </cell>
          <cell r="AB144">
            <v>-5.461999999999998</v>
          </cell>
          <cell r="AC144">
            <v>-4.3819999999999988</v>
          </cell>
          <cell r="AD144">
            <v>-7.2139999999999977</v>
          </cell>
          <cell r="AE144">
            <v>-21.271999999999991</v>
          </cell>
          <cell r="AF144"/>
          <cell r="AG144">
            <v>-6.4960000000000022</v>
          </cell>
          <cell r="AH144">
            <v>-7.402999999999996</v>
          </cell>
          <cell r="AI144">
            <v>-4.1340000000000012</v>
          </cell>
          <cell r="AJ144">
            <v>-6.0170000000000021</v>
          </cell>
          <cell r="AK144">
            <v>-24.04999999999999</v>
          </cell>
          <cell r="AM144">
            <v>-5.5169999999999968</v>
          </cell>
          <cell r="AN144">
            <v>-7.8009999999999984</v>
          </cell>
          <cell r="AO144">
            <v>-3.2739999999999987</v>
          </cell>
          <cell r="AP144">
            <v>-1.8120000000000003</v>
          </cell>
          <cell r="AQ144">
            <v>-18.403999999999982</v>
          </cell>
          <cell r="AR144"/>
          <cell r="AS144">
            <v>3.4509999999999996</v>
          </cell>
          <cell r="AT144">
            <v>-5.6569999999999965</v>
          </cell>
          <cell r="AU144">
            <v>8.1779999999999973</v>
          </cell>
          <cell r="AV144">
            <v>19.46200000000001</v>
          </cell>
          <cell r="AW144">
            <v>25.43400000000004</v>
          </cell>
          <cell r="AX144"/>
          <cell r="AY144">
            <v>-4.5590000000000011</v>
          </cell>
          <cell r="AZ144">
            <v>-10.538999999999996</v>
          </cell>
          <cell r="BA144">
            <v>-14.902999999999995</v>
          </cell>
          <cell r="BB144">
            <v>36.064999999999984</v>
          </cell>
          <cell r="BC144">
            <v>6.0639999999999361</v>
          </cell>
          <cell r="BD144"/>
          <cell r="BE144">
            <v>-31.870000000000005</v>
          </cell>
          <cell r="BF144">
            <v>-22.759999999999998</v>
          </cell>
          <cell r="BG144">
            <v>5.1659999999999808</v>
          </cell>
          <cell r="BH144">
            <v>12.195726648955173</v>
          </cell>
          <cell r="BI144">
            <v>-37.268273351044876</v>
          </cell>
          <cell r="BJ144"/>
          <cell r="BK144">
            <v>-12.24985679681447</v>
          </cell>
          <cell r="BL144">
            <v>-2.7074320006513801</v>
          </cell>
          <cell r="BM144">
            <v>-2.56629871064969</v>
          </cell>
          <cell r="BN144">
            <v>-9.0057769159488714</v>
          </cell>
          <cell r="BO144">
            <v>-26.529364424064454</v>
          </cell>
          <cell r="BP144"/>
          <cell r="BQ144">
            <v>16.289387280260769</v>
          </cell>
          <cell r="BR144">
            <v>19.396141474576098</v>
          </cell>
          <cell r="BS144">
            <v>39.527840116891213</v>
          </cell>
          <cell r="BT144">
            <v>28.310788105181501</v>
          </cell>
          <cell r="BU144">
            <v>103.52415697690958</v>
          </cell>
          <cell r="BV144"/>
          <cell r="BW144" t="e">
            <v>#VALUE!</v>
          </cell>
          <cell r="BX144" t="e">
            <v>#VALUE!</v>
          </cell>
          <cell r="BY144" t="e">
            <v>#VALUE!</v>
          </cell>
          <cell r="BZ144" t="e">
            <v>#VALUE!</v>
          </cell>
          <cell r="CA144" t="e">
            <v>#VALUE!</v>
          </cell>
          <cell r="CB144"/>
          <cell r="CC144" t="e">
            <v>#VALUE!</v>
          </cell>
          <cell r="CD144" t="e">
            <v>#VALUE!</v>
          </cell>
          <cell r="CE144" t="e">
            <v>#VALUE!</v>
          </cell>
          <cell r="CF144" t="e">
            <v>#VALUE!</v>
          </cell>
          <cell r="CG144" t="e">
            <v>#VALUE!</v>
          </cell>
        </row>
        <row r="145">
          <cell r="A145" t="str">
            <v>Income tax expense (benefit)</v>
          </cell>
          <cell r="C145"/>
          <cell r="D145"/>
          <cell r="E145"/>
          <cell r="F145"/>
          <cell r="G145"/>
          <cell r="I145"/>
          <cell r="J145"/>
          <cell r="K145"/>
          <cell r="L145"/>
          <cell r="M145"/>
          <cell r="O145"/>
          <cell r="P145"/>
          <cell r="Q145"/>
          <cell r="R145"/>
          <cell r="S145"/>
          <cell r="U145"/>
          <cell r="V145"/>
          <cell r="W145"/>
          <cell r="X145"/>
          <cell r="Y145">
            <v>3.5999999999999997E-2</v>
          </cell>
          <cell r="AA145">
            <v>1E-3</v>
          </cell>
          <cell r="AB145">
            <v>1E-3</v>
          </cell>
          <cell r="AC145">
            <v>7.0000000000000007E-2</v>
          </cell>
          <cell r="AD145">
            <v>0.106</v>
          </cell>
          <cell r="AE145">
            <v>0.17799999999999999</v>
          </cell>
          <cell r="AG145">
            <v>3.6999999999999998E-2</v>
          </cell>
          <cell r="AH145">
            <v>5.2999999999999999E-2</v>
          </cell>
          <cell r="AI145">
            <v>5.8000000000000003E-2</v>
          </cell>
          <cell r="AJ145">
            <v>0.06</v>
          </cell>
          <cell r="AK145">
            <v>0.20799999999999999</v>
          </cell>
          <cell r="AM145">
            <v>0.15</v>
          </cell>
          <cell r="AN145">
            <v>-0.80700000000000005</v>
          </cell>
          <cell r="AO145">
            <v>2.5000000000000001E-2</v>
          </cell>
          <cell r="AP145">
            <v>-0.27300000000000002</v>
          </cell>
          <cell r="AQ145">
            <v>-0.90500000000000003</v>
          </cell>
          <cell r="AS145">
            <v>-1.446</v>
          </cell>
          <cell r="AT145">
            <v>-1.4179999999999999</v>
          </cell>
          <cell r="AU145">
            <v>-2.6429999999999998</v>
          </cell>
          <cell r="AV145">
            <v>2.9209999999999998</v>
          </cell>
          <cell r="AW145">
            <v>-2.5859999999999999</v>
          </cell>
          <cell r="AY145">
            <v>-10.473000000000001</v>
          </cell>
          <cell r="AZ145">
            <v>-7.32</v>
          </cell>
          <cell r="BA145">
            <v>-8.6630000000000003</v>
          </cell>
          <cell r="BB145">
            <v>5.3769999999999998</v>
          </cell>
          <cell r="BC145">
            <v>-21.079000000000001</v>
          </cell>
          <cell r="BE145">
            <v>-16.396999999999998</v>
          </cell>
          <cell r="BF145">
            <v>12.532999999999999</v>
          </cell>
          <cell r="BG145">
            <v>2.0366916100000036</v>
          </cell>
          <cell r="BH145">
            <v>3.0762386871000018</v>
          </cell>
          <cell r="BI145">
            <v>1.2489302971000065</v>
          </cell>
          <cell r="BK145">
            <v>-0.42537776899460766</v>
          </cell>
          <cell r="BL145">
            <v>-1.348832996403047</v>
          </cell>
          <cell r="BM145">
            <v>1.3050430380527047</v>
          </cell>
          <cell r="BN145">
            <v>5.3889710152121557</v>
          </cell>
          <cell r="BO145">
            <v>4.9198032878672056</v>
          </cell>
          <cell r="BQ145" t="e">
            <v>#VALUE!</v>
          </cell>
          <cell r="BR145" t="e">
            <v>#VALUE!</v>
          </cell>
          <cell r="BS145" t="e">
            <v>#VALUE!</v>
          </cell>
          <cell r="BT145" t="e">
            <v>#VALUE!</v>
          </cell>
          <cell r="BU145" t="e">
            <v>#VALUE!</v>
          </cell>
          <cell r="BW145" t="e">
            <v>#VALUE!</v>
          </cell>
          <cell r="BX145" t="e">
            <v>#VALUE!</v>
          </cell>
          <cell r="BY145" t="e">
            <v>#VALUE!</v>
          </cell>
          <cell r="BZ145" t="e">
            <v>#VALUE!</v>
          </cell>
          <cell r="CA145" t="e">
            <v>#VALUE!</v>
          </cell>
          <cell r="CC145" t="e">
            <v>#VALUE!</v>
          </cell>
          <cell r="CD145" t="e">
            <v>#VALUE!</v>
          </cell>
          <cell r="CE145" t="e">
            <v>#VALUE!</v>
          </cell>
          <cell r="CF145" t="e">
            <v>#VALUE!</v>
          </cell>
          <cell r="CG145" t="e">
            <v>#VALUE!</v>
          </cell>
        </row>
        <row r="146">
          <cell r="A146" t="str">
            <v>% tax rate</v>
          </cell>
          <cell r="C146"/>
          <cell r="D146"/>
          <cell r="E146"/>
          <cell r="F146"/>
          <cell r="G146"/>
          <cell r="I146"/>
          <cell r="J146"/>
          <cell r="K146"/>
          <cell r="L146"/>
          <cell r="M146"/>
          <cell r="O146"/>
          <cell r="P146"/>
          <cell r="Q146"/>
          <cell r="R146"/>
          <cell r="S146"/>
          <cell r="U146"/>
          <cell r="V146"/>
          <cell r="W146"/>
          <cell r="X146"/>
          <cell r="Y146">
            <v>1.2257405515832482E-3</v>
          </cell>
          <cell r="AA146">
            <v>-2.373042240151874E-4</v>
          </cell>
          <cell r="AB146">
            <v>-1.8308311973636038E-4</v>
          </cell>
          <cell r="AC146">
            <v>-1.5974440894568696E-2</v>
          </cell>
          <cell r="AD146">
            <v>-1.469365123371223E-2</v>
          </cell>
          <cell r="AE146">
            <v>-8.3678074464084273E-3</v>
          </cell>
          <cell r="AG146">
            <v>-5.6958128078817708E-3</v>
          </cell>
          <cell r="AH146">
            <v>-7.1592597595569402E-3</v>
          </cell>
          <cell r="AI146">
            <v>-1.4029995162070629E-2</v>
          </cell>
          <cell r="AJ146">
            <v>-9.9717467176333677E-3</v>
          </cell>
          <cell r="AK146">
            <v>-8.6486486486486523E-3</v>
          </cell>
          <cell r="AM146">
            <v>-2.7188689505165866E-2</v>
          </cell>
          <cell r="AN146">
            <v>0.10344827586206899</v>
          </cell>
          <cell r="AO146">
            <v>-7.6359193646915119E-3</v>
          </cell>
          <cell r="AP146">
            <v>0.15066225165562913</v>
          </cell>
          <cell r="AQ146">
            <v>4.9174092588567753E-2</v>
          </cell>
          <cell r="AS146">
            <v>-0.41900898290350624</v>
          </cell>
          <cell r="AT146">
            <v>0.25066289552766496</v>
          </cell>
          <cell r="AU146">
            <v>-0.32318415260454886</v>
          </cell>
          <cell r="AV146">
            <v>0.15008734970712148</v>
          </cell>
          <cell r="AW146">
            <v>-0.10167492333097412</v>
          </cell>
          <cell r="AY146">
            <v>2.2972143013818815</v>
          </cell>
          <cell r="AZ146">
            <v>0.6945630515229152</v>
          </cell>
          <cell r="BA146">
            <v>0.58129235724350825</v>
          </cell>
          <cell r="BB146">
            <v>0.14909191737141278</v>
          </cell>
          <cell r="BC146">
            <v>-3.476088390501356</v>
          </cell>
          <cell r="BE146">
            <v>0.51449639159083771</v>
          </cell>
          <cell r="BF146">
            <v>-0.55065905096660805</v>
          </cell>
          <cell r="BG146">
            <v>-1.2081523175122686</v>
          </cell>
          <cell r="BH146">
            <v>2.3074430523658163</v>
          </cell>
          <cell r="BI146">
            <v>-2.2715005794289905E-2</v>
          </cell>
          <cell r="BK146">
            <v>2.226183439979474E-2</v>
          </cell>
          <cell r="BL146">
            <v>6.6904957196148473E-2</v>
          </cell>
          <cell r="BM146">
            <v>-0.16646036497563443</v>
          </cell>
          <cell r="BN146">
            <v>0.78142219210825481</v>
          </cell>
          <cell r="BO146">
            <v>-0.12234672762138149</v>
          </cell>
          <cell r="BQ146" t="str">
            <v>NA</v>
          </cell>
          <cell r="BR146" t="str">
            <v>NA</v>
          </cell>
          <cell r="BS146" t="str">
            <v>NA</v>
          </cell>
          <cell r="BT146" t="str">
            <v>NA</v>
          </cell>
          <cell r="BU146" t="str">
            <v>NA</v>
          </cell>
          <cell r="BW146" t="str">
            <v>NA</v>
          </cell>
          <cell r="BX146" t="str">
            <v>NA</v>
          </cell>
          <cell r="BY146" t="str">
            <v>NA</v>
          </cell>
          <cell r="BZ146" t="str">
            <v>NA</v>
          </cell>
          <cell r="CA146" t="str">
            <v>NA</v>
          </cell>
          <cell r="CC146" t="str">
            <v>NA</v>
          </cell>
          <cell r="CD146" t="str">
            <v>NA</v>
          </cell>
          <cell r="CE146" t="str">
            <v>NA</v>
          </cell>
          <cell r="CF146" t="str">
            <v>NA</v>
          </cell>
          <cell r="CG146" t="str">
            <v>NA</v>
          </cell>
        </row>
        <row r="147">
          <cell r="A147" t="str">
            <v>Net income (loss)</v>
          </cell>
          <cell r="B147"/>
          <cell r="C147"/>
          <cell r="D147"/>
          <cell r="E147"/>
          <cell r="F147"/>
          <cell r="G147"/>
          <cell r="I147"/>
          <cell r="J147"/>
          <cell r="K147"/>
          <cell r="L147"/>
          <cell r="M147"/>
          <cell r="O147"/>
          <cell r="P147"/>
          <cell r="Q147"/>
          <cell r="R147"/>
          <cell r="S147"/>
          <cell r="U147"/>
          <cell r="V147"/>
          <cell r="W147"/>
          <cell r="X147"/>
          <cell r="Y147">
            <v>29.334</v>
          </cell>
          <cell r="AA147">
            <v>-4.2150000000000016</v>
          </cell>
          <cell r="AB147">
            <v>-5.4629999999999983</v>
          </cell>
          <cell r="AC147">
            <v>-4.4519999999999991</v>
          </cell>
          <cell r="AD147">
            <v>-7.3199999999999976</v>
          </cell>
          <cell r="AE147">
            <v>-21.449999999999992</v>
          </cell>
          <cell r="AG147">
            <v>-6.5330000000000021</v>
          </cell>
          <cell r="AH147">
            <v>-7.455999999999996</v>
          </cell>
          <cell r="AI147">
            <v>-4.1920000000000011</v>
          </cell>
          <cell r="AJ147">
            <v>-6.0770000000000017</v>
          </cell>
          <cell r="AK147">
            <v>-24.257999999999988</v>
          </cell>
          <cell r="AL147"/>
          <cell r="AM147">
            <v>-5.6669999999999972</v>
          </cell>
          <cell r="AN147">
            <v>-6.993999999999998</v>
          </cell>
          <cell r="AO147">
            <v>-3.2989999999999986</v>
          </cell>
          <cell r="AP147">
            <v>-1.5390000000000001</v>
          </cell>
          <cell r="AQ147">
            <v>-17.498999999999981</v>
          </cell>
          <cell r="AS147">
            <v>4.8969999999999994</v>
          </cell>
          <cell r="AT147">
            <v>-4.2389999999999963</v>
          </cell>
          <cell r="AU147">
            <v>10.820999999999998</v>
          </cell>
          <cell r="AV147">
            <v>16.541000000000011</v>
          </cell>
          <cell r="AW147">
            <v>28.020000000000039</v>
          </cell>
          <cell r="AY147">
            <v>5.9139999999999997</v>
          </cell>
          <cell r="AZ147">
            <v>-3.2189999999999959</v>
          </cell>
          <cell r="BA147">
            <v>-6.2399999999999949</v>
          </cell>
          <cell r="BB147">
            <v>30.687999999999985</v>
          </cell>
          <cell r="BC147">
            <v>27.142999999999937</v>
          </cell>
          <cell r="BE147">
            <v>-15.473000000000006</v>
          </cell>
          <cell r="BF147">
            <v>-35.292999999999999</v>
          </cell>
          <cell r="BG147">
            <v>-3.7224820359901614</v>
          </cell>
          <cell r="BH147">
            <v>-1.7430579249806764</v>
          </cell>
          <cell r="BI147">
            <v>-56.231539960970863</v>
          </cell>
          <cell r="BK147">
            <v>-18.682561017870583</v>
          </cell>
          <cell r="BL147">
            <v>-18.811601341049837</v>
          </cell>
          <cell r="BM147">
            <v>-9.1450056516378062</v>
          </cell>
          <cell r="BN147">
            <v>1.5073918851975003</v>
          </cell>
          <cell r="BO147">
            <v>-45.13177612536068</v>
          </cell>
          <cell r="BQ147" t="e">
            <v>#VALUE!</v>
          </cell>
          <cell r="BR147" t="e">
            <v>#VALUE!</v>
          </cell>
          <cell r="BS147" t="e">
            <v>#VALUE!</v>
          </cell>
          <cell r="BT147" t="e">
            <v>#VALUE!</v>
          </cell>
          <cell r="BU147" t="e">
            <v>#VALUE!</v>
          </cell>
          <cell r="BW147" t="e">
            <v>#VALUE!</v>
          </cell>
          <cell r="BX147" t="e">
            <v>#VALUE!</v>
          </cell>
          <cell r="BY147" t="e">
            <v>#VALUE!</v>
          </cell>
          <cell r="BZ147" t="e">
            <v>#VALUE!</v>
          </cell>
          <cell r="CA147" t="e">
            <v>#VALUE!</v>
          </cell>
          <cell r="CC147" t="e">
            <v>#VALUE!</v>
          </cell>
          <cell r="CD147" t="e">
            <v>#VALUE!</v>
          </cell>
          <cell r="CE147" t="e">
            <v>#VALUE!</v>
          </cell>
          <cell r="CF147" t="e">
            <v>#VALUE!</v>
          </cell>
          <cell r="CG147" t="e">
            <v>#VALUE!</v>
          </cell>
        </row>
        <row r="148">
          <cell r="A148" t="str">
            <v>% net margin</v>
          </cell>
          <cell r="C148"/>
          <cell r="D148"/>
          <cell r="E148"/>
          <cell r="F148"/>
          <cell r="G148"/>
          <cell r="I148"/>
          <cell r="J148"/>
          <cell r="K148"/>
          <cell r="L148"/>
          <cell r="M148"/>
          <cell r="O148"/>
          <cell r="P148"/>
          <cell r="Q148"/>
          <cell r="R148"/>
          <cell r="S148"/>
          <cell r="U148"/>
          <cell r="V148"/>
          <cell r="W148"/>
          <cell r="X148"/>
          <cell r="Y148">
            <v>0.77227253580454924</v>
          </cell>
          <cell r="AA148">
            <v>-0.36566322547063435</v>
          </cell>
          <cell r="AB148">
            <v>-0.42981904012588495</v>
          </cell>
          <cell r="AC148">
            <v>-0.31507430997876851</v>
          </cell>
          <cell r="AD148">
            <v>-0.47366377636857754</v>
          </cell>
          <cell r="AE148">
            <v>-0.39854331952211941</v>
          </cell>
          <cell r="AG148">
            <v>-0.35517016418397318</v>
          </cell>
          <cell r="AH148">
            <v>-0.37332265171239715</v>
          </cell>
          <cell r="AI148">
            <v>-0.18662630219926993</v>
          </cell>
          <cell r="AJ148">
            <v>-0.2434500440669819</v>
          </cell>
          <cell r="AK148">
            <v>-0.28276022846485588</v>
          </cell>
          <cell r="AM148">
            <v>-0.19852863899106662</v>
          </cell>
          <cell r="AN148">
            <v>-0.23068043141264546</v>
          </cell>
          <cell r="AO148">
            <v>-9.6589079197774805E-2</v>
          </cell>
          <cell r="AP148">
            <v>-3.9882865139421582E-2</v>
          </cell>
          <cell r="AQ148">
            <v>-0.13296405206409978</v>
          </cell>
          <cell r="AS148">
            <v>9.7299767529654857E-2</v>
          </cell>
          <cell r="AT148">
            <v>-8.2307483204535667E-2</v>
          </cell>
          <cell r="AU148">
            <v>0.17288980491779704</v>
          </cell>
          <cell r="AV148">
            <v>0.18554122265844095</v>
          </cell>
          <cell r="AW148">
            <v>0.11050203099735788</v>
          </cell>
          <cell r="AY148">
            <v>7.7795317021836355E-2</v>
          </cell>
          <cell r="AZ148">
            <v>-3.9235522835586165E-2</v>
          </cell>
          <cell r="BA148">
            <v>-6.0349913440428588E-2</v>
          </cell>
          <cell r="BB148">
            <v>0.19615212527964199</v>
          </cell>
          <cell r="BC148">
            <v>6.4949391017204511E-2</v>
          </cell>
          <cell r="BE148">
            <v>-0.1421745642326176</v>
          </cell>
          <cell r="BF148">
            <v>-0.36674529527293132</v>
          </cell>
          <cell r="BG148">
            <v>-3.2948619961659577E-2</v>
          </cell>
          <cell r="BH148">
            <v>-1.2078452440667738E-2</v>
          </cell>
          <cell r="BI148">
            <v>-0.12162016571382084</v>
          </cell>
          <cell r="BK148">
            <v>-0.15936420388418265</v>
          </cell>
          <cell r="BL148">
            <v>-0.1660091171258431</v>
          </cell>
          <cell r="BM148">
            <v>-7.207681573794987E-2</v>
          </cell>
          <cell r="BN148">
            <v>8.1234965246098183E-3</v>
          </cell>
          <cell r="BO148">
            <v>-8.3117657334428802E-2</v>
          </cell>
          <cell r="BQ148" t="str">
            <v>NA</v>
          </cell>
          <cell r="BR148" t="str">
            <v>NA</v>
          </cell>
          <cell r="BS148" t="str">
            <v>NA</v>
          </cell>
          <cell r="BT148" t="str">
            <v>NA</v>
          </cell>
          <cell r="BU148" t="str">
            <v>NA</v>
          </cell>
          <cell r="BW148" t="str">
            <v>NA</v>
          </cell>
          <cell r="BX148" t="str">
            <v>NA</v>
          </cell>
          <cell r="BY148" t="str">
            <v>NA</v>
          </cell>
          <cell r="BZ148" t="str">
            <v>NA</v>
          </cell>
          <cell r="CA148" t="str">
            <v>NA</v>
          </cell>
          <cell r="CC148" t="str">
            <v>NA</v>
          </cell>
          <cell r="CD148" t="str">
            <v>NA</v>
          </cell>
          <cell r="CE148" t="str">
            <v>NA</v>
          </cell>
          <cell r="CF148" t="str">
            <v>NA</v>
          </cell>
          <cell r="CG148" t="str">
            <v>NA</v>
          </cell>
        </row>
        <row r="149">
          <cell r="C149"/>
          <cell r="D149"/>
          <cell r="E149"/>
          <cell r="F149"/>
          <cell r="G149"/>
          <cell r="I149"/>
          <cell r="J149"/>
          <cell r="K149"/>
          <cell r="L149"/>
          <cell r="M149"/>
          <cell r="O149"/>
          <cell r="P149"/>
          <cell r="Q149"/>
          <cell r="R149"/>
          <cell r="S149"/>
          <cell r="U149"/>
          <cell r="V149"/>
          <cell r="W149"/>
          <cell r="X149"/>
          <cell r="Y149"/>
          <cell r="AA149"/>
          <cell r="AB149"/>
          <cell r="AC149"/>
          <cell r="AD149"/>
          <cell r="AE149"/>
          <cell r="AG149"/>
          <cell r="AH149"/>
          <cell r="AI149"/>
          <cell r="AJ149"/>
          <cell r="AK149"/>
          <cell r="AM149"/>
          <cell r="AN149"/>
          <cell r="AO149"/>
          <cell r="AP149"/>
          <cell r="AQ149"/>
          <cell r="AS149"/>
          <cell r="AT149"/>
          <cell r="AU149"/>
          <cell r="AV149"/>
          <cell r="AW149"/>
          <cell r="AY149"/>
          <cell r="AZ149"/>
          <cell r="BA149"/>
          <cell r="BB149"/>
          <cell r="BC149"/>
          <cell r="BE149"/>
          <cell r="BF149"/>
          <cell r="BG149"/>
          <cell r="BH149"/>
          <cell r="BI149"/>
          <cell r="BK149"/>
          <cell r="BL149"/>
          <cell r="BM149"/>
          <cell r="BN149"/>
          <cell r="BO149"/>
          <cell r="BQ149"/>
          <cell r="BR149"/>
          <cell r="BS149"/>
          <cell r="BT149"/>
          <cell r="BU149"/>
          <cell r="BW149"/>
          <cell r="BX149"/>
          <cell r="BY149"/>
          <cell r="BZ149"/>
          <cell r="CA149"/>
          <cell r="CC149"/>
          <cell r="CD149"/>
          <cell r="CE149"/>
          <cell r="CF149"/>
          <cell r="CG149"/>
        </row>
        <row r="150">
          <cell r="A150" t="str">
            <v>Basic shares</v>
          </cell>
          <cell r="B150"/>
          <cell r="C150"/>
          <cell r="D150"/>
          <cell r="E150"/>
          <cell r="F150"/>
          <cell r="G150"/>
          <cell r="H150"/>
          <cell r="I150"/>
          <cell r="J150"/>
          <cell r="K150"/>
          <cell r="L150"/>
          <cell r="M150"/>
          <cell r="N150"/>
          <cell r="O150"/>
          <cell r="P150"/>
          <cell r="Q150"/>
          <cell r="R150"/>
          <cell r="S150"/>
          <cell r="T150"/>
          <cell r="U150"/>
          <cell r="V150"/>
          <cell r="W150"/>
          <cell r="X150"/>
          <cell r="Y150">
            <v>16.111999999999998</v>
          </cell>
          <cell r="Z150"/>
          <cell r="AA150" t="str">
            <v>ND</v>
          </cell>
          <cell r="AB150" t="str">
            <v>ND</v>
          </cell>
          <cell r="AC150" t="str">
            <v>ND</v>
          </cell>
          <cell r="AD150" t="str">
            <v>ND</v>
          </cell>
          <cell r="AE150">
            <v>31.696999999999999</v>
          </cell>
          <cell r="AF150"/>
          <cell r="AG150" t="str">
            <v>ND</v>
          </cell>
          <cell r="AH150" t="str">
            <v>ND</v>
          </cell>
          <cell r="AI150" t="str">
            <v>ND</v>
          </cell>
          <cell r="AJ150" t="str">
            <v>ND</v>
          </cell>
          <cell r="AK150">
            <v>47.087000000000003</v>
          </cell>
          <cell r="AL150"/>
          <cell r="AM150">
            <v>48.47</v>
          </cell>
          <cell r="AN150">
            <v>58.262</v>
          </cell>
          <cell r="AO150">
            <v>62.347999999999999</v>
          </cell>
          <cell r="AP150">
            <v>62.744</v>
          </cell>
          <cell r="AQ150">
            <v>57.955999999999996</v>
          </cell>
          <cell r="AR150"/>
          <cell r="AS150">
            <v>63.475999999999999</v>
          </cell>
          <cell r="AT150">
            <v>60.685000000000002</v>
          </cell>
          <cell r="AU150">
            <v>65.548000000000002</v>
          </cell>
          <cell r="AV150">
            <v>66.078999999999994</v>
          </cell>
          <cell r="AW150">
            <v>63.947000000000003</v>
          </cell>
          <cell r="AX150"/>
          <cell r="AY150">
            <v>67.477999999999994</v>
          </cell>
          <cell r="AZ150">
            <v>68.504000000000005</v>
          </cell>
          <cell r="BA150">
            <v>63.966000000000001</v>
          </cell>
          <cell r="BB150">
            <v>65.152000000000001</v>
          </cell>
          <cell r="BC150">
            <v>66.275000000000006</v>
          </cell>
          <cell r="BD150"/>
          <cell r="BE150">
            <v>65.569000000000003</v>
          </cell>
          <cell r="BF150">
            <v>66.039000000000001</v>
          </cell>
          <cell r="BG150">
            <v>66.265000000000001</v>
          </cell>
          <cell r="BH150">
            <v>68.252949999999998</v>
          </cell>
          <cell r="BI150">
            <v>66.531487499999997</v>
          </cell>
          <cell r="BJ150"/>
          <cell r="BK150">
            <v>69.276744249999993</v>
          </cell>
          <cell r="BL150">
            <v>70.315895413749985</v>
          </cell>
          <cell r="BM150">
            <v>71.370633844956231</v>
          </cell>
          <cell r="BN150">
            <v>72.441193352630563</v>
          </cell>
          <cell r="BO150">
            <v>70.8511167153342</v>
          </cell>
          <cell r="BP150"/>
          <cell r="BQ150">
            <v>72.441193352630563</v>
          </cell>
          <cell r="BR150">
            <v>72.441193352630563</v>
          </cell>
          <cell r="BS150">
            <v>72.441193352630563</v>
          </cell>
          <cell r="BT150">
            <v>72.441193352630563</v>
          </cell>
          <cell r="BU150">
            <v>72.441193352630563</v>
          </cell>
          <cell r="BV150"/>
          <cell r="BW150">
            <v>72.565613499170595</v>
          </cell>
          <cell r="BX150">
            <v>72.565613499170595</v>
          </cell>
          <cell r="BY150">
            <v>72.565613499170595</v>
          </cell>
          <cell r="BZ150">
            <v>72.565613499170595</v>
          </cell>
          <cell r="CA150">
            <v>72.565613499170595</v>
          </cell>
          <cell r="CB150"/>
          <cell r="CC150">
            <v>72.565613499170595</v>
          </cell>
          <cell r="CD150">
            <v>72.565613499170595</v>
          </cell>
          <cell r="CE150">
            <v>72.565613499170595</v>
          </cell>
          <cell r="CF150">
            <v>72.565613499170595</v>
          </cell>
          <cell r="CG150">
            <v>72.565613499170595</v>
          </cell>
        </row>
        <row r="151">
          <cell r="A151" t="str">
            <v>Diluted shares</v>
          </cell>
          <cell r="B151"/>
          <cell r="C151"/>
          <cell r="D151"/>
          <cell r="E151"/>
          <cell r="F151"/>
          <cell r="G151"/>
          <cell r="H151"/>
          <cell r="I151"/>
          <cell r="J151"/>
          <cell r="K151"/>
          <cell r="L151"/>
          <cell r="M151"/>
          <cell r="N151"/>
          <cell r="O151"/>
          <cell r="P151"/>
          <cell r="Q151"/>
          <cell r="R151"/>
          <cell r="S151"/>
          <cell r="T151"/>
          <cell r="U151"/>
          <cell r="V151"/>
          <cell r="W151"/>
          <cell r="X151"/>
          <cell r="Y151">
            <v>16.111999999999998</v>
          </cell>
          <cell r="Z151"/>
          <cell r="AA151" t="str">
            <v>ND</v>
          </cell>
          <cell r="AB151" t="str">
            <v>ND</v>
          </cell>
          <cell r="AC151" t="str">
            <v>ND</v>
          </cell>
          <cell r="AD151" t="str">
            <v>ND</v>
          </cell>
          <cell r="AE151">
            <v>31.696999999999999</v>
          </cell>
          <cell r="AF151"/>
          <cell r="AG151" t="str">
            <v>ND</v>
          </cell>
          <cell r="AH151" t="str">
            <v>ND</v>
          </cell>
          <cell r="AI151" t="str">
            <v>ND</v>
          </cell>
          <cell r="AJ151" t="str">
            <v>ND</v>
          </cell>
          <cell r="AK151">
            <v>47.087000000000003</v>
          </cell>
          <cell r="AL151"/>
          <cell r="AM151">
            <v>48.47</v>
          </cell>
          <cell r="AN151">
            <v>58.262</v>
          </cell>
          <cell r="AO151">
            <v>62.347999999999999</v>
          </cell>
          <cell r="AP151">
            <v>62.744</v>
          </cell>
          <cell r="AQ151">
            <v>57.955999999999996</v>
          </cell>
          <cell r="AR151"/>
          <cell r="AS151">
            <v>63.475999999999999</v>
          </cell>
          <cell r="AT151">
            <v>60.685000000000002</v>
          </cell>
          <cell r="AU151">
            <v>65.548000000000002</v>
          </cell>
          <cell r="AV151">
            <v>66.078999999999994</v>
          </cell>
          <cell r="AW151">
            <v>63.947000000000003</v>
          </cell>
          <cell r="AX151"/>
          <cell r="AY151">
            <v>67.477999999999994</v>
          </cell>
          <cell r="AZ151">
            <v>68.504000000000005</v>
          </cell>
          <cell r="BA151">
            <v>63.966000000000001</v>
          </cell>
          <cell r="BB151">
            <v>69.132000000000005</v>
          </cell>
          <cell r="BC151">
            <v>67.27000000000001</v>
          </cell>
          <cell r="BD151"/>
          <cell r="BE151">
            <v>65.569000000000003</v>
          </cell>
          <cell r="BF151">
            <v>66.039000000000001</v>
          </cell>
          <cell r="BG151">
            <v>69.774000000000001</v>
          </cell>
          <cell r="BH151">
            <v>71.867220000000003</v>
          </cell>
          <cell r="BI151">
            <v>68.312305000000009</v>
          </cell>
          <cell r="BJ151"/>
          <cell r="BK151">
            <v>72.945228299999997</v>
          </cell>
          <cell r="BL151">
            <v>74.039406724499983</v>
          </cell>
          <cell r="BM151">
            <v>75.149997825367478</v>
          </cell>
          <cell r="BN151">
            <v>76.277247792747985</v>
          </cell>
          <cell r="BO151">
            <v>74.602970160653868</v>
          </cell>
          <cell r="BP151"/>
          <cell r="BQ151">
            <v>76.277247792747985</v>
          </cell>
          <cell r="BR151">
            <v>76.277247792747985</v>
          </cell>
          <cell r="BS151">
            <v>76.277247792747985</v>
          </cell>
          <cell r="BT151">
            <v>76.277247792747985</v>
          </cell>
          <cell r="BU151">
            <v>76.277247792747985</v>
          </cell>
          <cell r="BV151"/>
          <cell r="BW151">
            <v>72.565613499170595</v>
          </cell>
          <cell r="BX151">
            <v>72.565613499170595</v>
          </cell>
          <cell r="BY151">
            <v>72.565613499170595</v>
          </cell>
          <cell r="BZ151">
            <v>72.565613499170595</v>
          </cell>
          <cell r="CA151">
            <v>72.565613499170595</v>
          </cell>
          <cell r="CB151"/>
          <cell r="CC151">
            <v>72.565613499170595</v>
          </cell>
          <cell r="CD151">
            <v>72.565613499170595</v>
          </cell>
          <cell r="CE151">
            <v>72.565613499170595</v>
          </cell>
          <cell r="CF151">
            <v>72.565613499170595</v>
          </cell>
          <cell r="CG151">
            <v>72.565613499170595</v>
          </cell>
        </row>
        <row r="152">
          <cell r="A152" t="str">
            <v>q/q change, basic</v>
          </cell>
          <cell r="B152"/>
          <cell r="C152"/>
          <cell r="D152"/>
          <cell r="E152"/>
          <cell r="F152"/>
          <cell r="G152"/>
          <cell r="H152"/>
          <cell r="I152"/>
          <cell r="J152"/>
          <cell r="K152"/>
          <cell r="L152"/>
          <cell r="M152"/>
          <cell r="N152"/>
          <cell r="O152"/>
          <cell r="P152"/>
          <cell r="Q152"/>
          <cell r="R152"/>
          <cell r="S152"/>
          <cell r="T152"/>
          <cell r="U152"/>
          <cell r="V152"/>
          <cell r="W152"/>
          <cell r="X152"/>
          <cell r="Y152" t="str">
            <v>NA</v>
          </cell>
          <cell r="Z152"/>
          <cell r="AA152" t="str">
            <v>NA</v>
          </cell>
          <cell r="AB152" t="str">
            <v>NA</v>
          </cell>
          <cell r="AC152" t="str">
            <v>NA</v>
          </cell>
          <cell r="AD152" t="str">
            <v>NA</v>
          </cell>
          <cell r="AE152" t="str">
            <v>NA</v>
          </cell>
          <cell r="AF152"/>
          <cell r="AG152" t="str">
            <v>NA</v>
          </cell>
          <cell r="AH152" t="str">
            <v>NA</v>
          </cell>
          <cell r="AI152" t="str">
            <v>NA</v>
          </cell>
          <cell r="AJ152" t="str">
            <v>NA</v>
          </cell>
          <cell r="AK152" t="str">
            <v>NA</v>
          </cell>
          <cell r="AL152"/>
          <cell r="AM152" t="str">
            <v>NA</v>
          </cell>
          <cell r="AN152">
            <v>0.20202186919744181</v>
          </cell>
          <cell r="AO152">
            <v>7.0131475060931647E-2</v>
          </cell>
          <cell r="AP152">
            <v>6.3514467184191403E-3</v>
          </cell>
          <cell r="AQ152" t="str">
            <v>NA</v>
          </cell>
          <cell r="AR152"/>
          <cell r="AS152">
            <v>1.166645416294787E-2</v>
          </cell>
          <cell r="AT152">
            <v>-4.3969374251685678E-2</v>
          </cell>
          <cell r="AU152">
            <v>8.0135124000988656E-2</v>
          </cell>
          <cell r="AV152">
            <v>8.1009336669308762E-3</v>
          </cell>
          <cell r="AW152" t="str">
            <v>NA</v>
          </cell>
          <cell r="AX152"/>
          <cell r="AY152">
            <v>2.1171627899937873E-2</v>
          </cell>
          <cell r="AZ152">
            <v>1.5204955689261945E-2</v>
          </cell>
          <cell r="BA152">
            <v>-6.6244306901786842E-2</v>
          </cell>
          <cell r="BB152">
            <v>1.854109995935338E-2</v>
          </cell>
          <cell r="BC152" t="str">
            <v>NA</v>
          </cell>
          <cell r="BD152"/>
          <cell r="BE152">
            <v>6.4004174852652085E-3</v>
          </cell>
          <cell r="BF152">
            <v>7.1680214735621028E-3</v>
          </cell>
          <cell r="BG152">
            <v>3.4222202032132554E-3</v>
          </cell>
          <cell r="BH152">
            <v>0.03</v>
          </cell>
          <cell r="BI152" t="str">
            <v>NA</v>
          </cell>
          <cell r="BJ152"/>
          <cell r="BK152">
            <v>1.4999999999999999E-2</v>
          </cell>
          <cell r="BL152">
            <v>1.4999999999999999E-2</v>
          </cell>
          <cell r="BM152">
            <v>1.4999999999999999E-2</v>
          </cell>
          <cell r="BN152">
            <v>1.4999999999999999E-2</v>
          </cell>
          <cell r="BO152" t="str">
            <v>NA</v>
          </cell>
          <cell r="BP152"/>
          <cell r="BQ152">
            <v>0</v>
          </cell>
          <cell r="BR152">
            <v>0</v>
          </cell>
          <cell r="BS152">
            <v>0</v>
          </cell>
          <cell r="BT152">
            <v>0</v>
          </cell>
          <cell r="BU152" t="str">
            <v>NA</v>
          </cell>
          <cell r="BV152"/>
          <cell r="BW152">
            <v>0</v>
          </cell>
          <cell r="BX152">
            <v>0</v>
          </cell>
          <cell r="BY152">
            <v>0</v>
          </cell>
          <cell r="BZ152">
            <v>0</v>
          </cell>
          <cell r="CA152" t="str">
            <v>NA</v>
          </cell>
          <cell r="CB152"/>
          <cell r="CC152">
            <v>0</v>
          </cell>
          <cell r="CD152">
            <v>0</v>
          </cell>
          <cell r="CE152">
            <v>0</v>
          </cell>
          <cell r="CF152">
            <v>0</v>
          </cell>
          <cell r="CG152" t="str">
            <v>NA</v>
          </cell>
          <cell r="CH152"/>
        </row>
        <row r="153">
          <cell r="A153" t="str">
            <v>q/q change, diluted</v>
          </cell>
          <cell r="B153"/>
          <cell r="C153"/>
          <cell r="D153"/>
          <cell r="E153"/>
          <cell r="F153"/>
          <cell r="G153"/>
          <cell r="H153"/>
          <cell r="I153"/>
          <cell r="J153"/>
          <cell r="K153"/>
          <cell r="L153"/>
          <cell r="M153"/>
          <cell r="N153"/>
          <cell r="O153"/>
          <cell r="P153"/>
          <cell r="Q153"/>
          <cell r="R153"/>
          <cell r="S153"/>
          <cell r="T153"/>
          <cell r="U153"/>
          <cell r="V153"/>
          <cell r="W153"/>
          <cell r="X153"/>
          <cell r="Y153" t="str">
            <v>NA</v>
          </cell>
          <cell r="Z153"/>
          <cell r="AA153" t="str">
            <v>NA</v>
          </cell>
          <cell r="AB153" t="str">
            <v>NA</v>
          </cell>
          <cell r="AC153" t="str">
            <v>NA</v>
          </cell>
          <cell r="AD153" t="str">
            <v>NA</v>
          </cell>
          <cell r="AE153" t="str">
            <v>NA</v>
          </cell>
          <cell r="AF153"/>
          <cell r="AG153" t="str">
            <v>NA</v>
          </cell>
          <cell r="AH153" t="str">
            <v>NA</v>
          </cell>
          <cell r="AI153" t="str">
            <v>NA</v>
          </cell>
          <cell r="AJ153" t="str">
            <v>NA</v>
          </cell>
          <cell r="AK153" t="str">
            <v>NA</v>
          </cell>
          <cell r="AL153"/>
          <cell r="AM153" t="str">
            <v>NA</v>
          </cell>
          <cell r="AN153">
            <v>0.20202186919744181</v>
          </cell>
          <cell r="AO153">
            <v>7.0131475060931647E-2</v>
          </cell>
          <cell r="AP153">
            <v>6.3514467184191403E-3</v>
          </cell>
          <cell r="AQ153" t="str">
            <v>NA</v>
          </cell>
          <cell r="AR153"/>
          <cell r="AS153">
            <v>1.166645416294787E-2</v>
          </cell>
          <cell r="AT153">
            <v>-4.3969374251685678E-2</v>
          </cell>
          <cell r="AU153">
            <v>8.0135124000988656E-2</v>
          </cell>
          <cell r="AV153">
            <v>8.1009336669308762E-3</v>
          </cell>
          <cell r="AW153" t="str">
            <v>NA</v>
          </cell>
          <cell r="AX153"/>
          <cell r="AY153">
            <v>2.1171627899937873E-2</v>
          </cell>
          <cell r="AZ153">
            <v>1.5204955689261945E-2</v>
          </cell>
          <cell r="BA153">
            <v>-6.6244306901786842E-2</v>
          </cell>
          <cell r="BB153">
            <v>8.076165462902174E-2</v>
          </cell>
          <cell r="BC153" t="str">
            <v>NA</v>
          </cell>
          <cell r="BD153"/>
          <cell r="BE153">
            <v>-5.1539084649655731E-2</v>
          </cell>
          <cell r="BF153">
            <v>7.1680214735621028E-3</v>
          </cell>
          <cell r="BG153">
            <v>5.6557488756643792E-2</v>
          </cell>
          <cell r="BH153">
            <v>0.03</v>
          </cell>
          <cell r="BI153" t="str">
            <v>NA</v>
          </cell>
          <cell r="BJ153"/>
          <cell r="BK153">
            <v>1.4999999999999999E-2</v>
          </cell>
          <cell r="BL153">
            <v>1.4999999999999999E-2</v>
          </cell>
          <cell r="BM153">
            <v>1.4999999999999999E-2</v>
          </cell>
          <cell r="BN153">
            <v>1.4999999999999999E-2</v>
          </cell>
          <cell r="BO153" t="str">
            <v>NA</v>
          </cell>
          <cell r="BP153"/>
          <cell r="BQ153">
            <v>0</v>
          </cell>
          <cell r="BR153">
            <v>0</v>
          </cell>
          <cell r="BS153">
            <v>0</v>
          </cell>
          <cell r="BT153">
            <v>0</v>
          </cell>
          <cell r="BU153" t="str">
            <v>NA</v>
          </cell>
          <cell r="BV153"/>
          <cell r="BW153">
            <v>0</v>
          </cell>
          <cell r="BX153">
            <v>0</v>
          </cell>
          <cell r="BY153">
            <v>0</v>
          </cell>
          <cell r="BZ153">
            <v>0</v>
          </cell>
          <cell r="CA153" t="str">
            <v>NA</v>
          </cell>
          <cell r="CB153"/>
          <cell r="CC153">
            <v>0</v>
          </cell>
          <cell r="CD153">
            <v>0</v>
          </cell>
          <cell r="CE153">
            <v>0</v>
          </cell>
          <cell r="CF153">
            <v>0</v>
          </cell>
          <cell r="CG153" t="str">
            <v>NA</v>
          </cell>
          <cell r="CH153"/>
        </row>
        <row r="154">
          <cell r="A154" t="str">
            <v>y/y change, basic</v>
          </cell>
          <cell r="B154"/>
          <cell r="C154"/>
          <cell r="D154"/>
          <cell r="E154"/>
          <cell r="F154"/>
          <cell r="G154"/>
          <cell r="H154"/>
          <cell r="I154"/>
          <cell r="J154"/>
          <cell r="K154"/>
          <cell r="L154"/>
          <cell r="M154"/>
          <cell r="N154"/>
          <cell r="O154"/>
          <cell r="P154"/>
          <cell r="Q154"/>
          <cell r="R154"/>
          <cell r="S154"/>
          <cell r="T154"/>
          <cell r="U154"/>
          <cell r="V154"/>
          <cell r="W154"/>
          <cell r="X154"/>
          <cell r="Y154" t="str">
            <v>NA</v>
          </cell>
          <cell r="Z154"/>
          <cell r="AA154" t="str">
            <v>NA</v>
          </cell>
          <cell r="AB154" t="str">
            <v>NA</v>
          </cell>
          <cell r="AC154" t="str">
            <v>NA</v>
          </cell>
          <cell r="AD154" t="str">
            <v>NA</v>
          </cell>
          <cell r="AE154">
            <v>0.96729145978152942</v>
          </cell>
          <cell r="AF154"/>
          <cell r="AG154" t="str">
            <v>NA</v>
          </cell>
          <cell r="AH154" t="str">
            <v>NA</v>
          </cell>
          <cell r="AI154" t="str">
            <v>NA</v>
          </cell>
          <cell r="AJ154" t="str">
            <v>NA</v>
          </cell>
          <cell r="AK154">
            <v>0.48553490866643556</v>
          </cell>
          <cell r="AL154"/>
          <cell r="AM154" t="str">
            <v>NA</v>
          </cell>
          <cell r="AN154" t="str">
            <v>NA</v>
          </cell>
          <cell r="AO154" t="str">
            <v>NA</v>
          </cell>
          <cell r="AP154" t="str">
            <v>NA</v>
          </cell>
          <cell r="AQ154">
            <v>0.23082804171002591</v>
          </cell>
          <cell r="AR154"/>
          <cell r="AS154">
            <v>0.30959356302867747</v>
          </cell>
          <cell r="AT154">
            <v>4.1587999038824597E-2</v>
          </cell>
          <cell r="AU154">
            <v>5.1324821967023926E-2</v>
          </cell>
          <cell r="AV154">
            <v>5.3152492668621543E-2</v>
          </cell>
          <cell r="AW154">
            <v>0.10337152322451537</v>
          </cell>
          <cell r="AX154"/>
          <cell r="AY154">
            <v>6.3047451005104227E-2</v>
          </cell>
          <cell r="AZ154">
            <v>0.12884567850374884</v>
          </cell>
          <cell r="BA154">
            <v>-2.4134985049124369E-2</v>
          </cell>
          <cell r="BB154">
            <v>-1.4028662661359825E-2</v>
          </cell>
          <cell r="BC154">
            <v>3.6405148013198385E-2</v>
          </cell>
          <cell r="BD154"/>
          <cell r="BE154">
            <v>-2.8290702154776248E-2</v>
          </cell>
          <cell r="BF154">
            <v>-3.5983300245241212E-2</v>
          </cell>
          <cell r="BG154">
            <v>3.5940968639589732E-2</v>
          </cell>
          <cell r="BH154">
            <v>4.7595622544204241E-2</v>
          </cell>
          <cell r="BI154">
            <v>3.8700490380987329E-3</v>
          </cell>
          <cell r="BJ154"/>
          <cell r="BK154">
            <v>5.6547213622290871E-2</v>
          </cell>
          <cell r="BL154">
            <v>6.476317651312069E-2</v>
          </cell>
          <cell r="BM154">
            <v>7.7048726249999699E-2</v>
          </cell>
          <cell r="BN154">
            <v>6.1363550624999652E-2</v>
          </cell>
          <cell r="BO154">
            <v>6.4926088047170261E-2</v>
          </cell>
          <cell r="BP154"/>
          <cell r="BQ154">
            <v>4.5678374999999605E-2</v>
          </cell>
          <cell r="BR154">
            <v>3.0224999999999724E-2</v>
          </cell>
          <cell r="BS154">
            <v>1.4999999999999902E-2</v>
          </cell>
          <cell r="BT154">
            <v>0</v>
          </cell>
          <cell r="BU154">
            <v>2.2442506357168268E-2</v>
          </cell>
          <cell r="BV154"/>
          <cell r="BW154">
            <v>0</v>
          </cell>
          <cell r="BX154">
            <v>0</v>
          </cell>
          <cell r="BY154">
            <v>0</v>
          </cell>
          <cell r="BZ154">
            <v>0</v>
          </cell>
          <cell r="CA154">
            <v>0</v>
          </cell>
          <cell r="CB154"/>
          <cell r="CC154">
            <v>0</v>
          </cell>
          <cell r="CD154">
            <v>0</v>
          </cell>
          <cell r="CE154">
            <v>0</v>
          </cell>
          <cell r="CF154">
            <v>0</v>
          </cell>
          <cell r="CG154">
            <v>0</v>
          </cell>
          <cell r="CH154"/>
        </row>
        <row r="155">
          <cell r="A155" t="str">
            <v>y/y change, diluted</v>
          </cell>
          <cell r="B155"/>
          <cell r="C155"/>
          <cell r="D155"/>
          <cell r="E155"/>
          <cell r="F155"/>
          <cell r="G155"/>
          <cell r="H155"/>
          <cell r="I155"/>
          <cell r="J155"/>
          <cell r="K155"/>
          <cell r="L155"/>
          <cell r="M155"/>
          <cell r="N155"/>
          <cell r="O155"/>
          <cell r="P155"/>
          <cell r="Q155"/>
          <cell r="R155"/>
          <cell r="S155"/>
          <cell r="T155"/>
          <cell r="U155"/>
          <cell r="V155"/>
          <cell r="W155"/>
          <cell r="X155"/>
          <cell r="Y155" t="str">
            <v>NA</v>
          </cell>
          <cell r="Z155"/>
          <cell r="AA155" t="str">
            <v>NA</v>
          </cell>
          <cell r="AB155" t="str">
            <v>NA</v>
          </cell>
          <cell r="AC155" t="str">
            <v>NA</v>
          </cell>
          <cell r="AD155" t="str">
            <v>NA</v>
          </cell>
          <cell r="AE155">
            <v>0.96729145978152942</v>
          </cell>
          <cell r="AF155"/>
          <cell r="AG155" t="str">
            <v>NA</v>
          </cell>
          <cell r="AH155" t="str">
            <v>NA</v>
          </cell>
          <cell r="AI155" t="str">
            <v>NA</v>
          </cell>
          <cell r="AJ155" t="str">
            <v>NA</v>
          </cell>
          <cell r="AK155">
            <v>0.48553490866643556</v>
          </cell>
          <cell r="AL155"/>
          <cell r="AM155" t="str">
            <v>NA</v>
          </cell>
          <cell r="AN155" t="str">
            <v>NA</v>
          </cell>
          <cell r="AO155" t="str">
            <v>NA</v>
          </cell>
          <cell r="AP155" t="str">
            <v>NA</v>
          </cell>
          <cell r="AQ155">
            <v>0.23082804171002591</v>
          </cell>
          <cell r="AR155"/>
          <cell r="AS155">
            <v>0.30959356302867747</v>
          </cell>
          <cell r="AT155">
            <v>4.1587999038824597E-2</v>
          </cell>
          <cell r="AU155">
            <v>5.1324821967023926E-2</v>
          </cell>
          <cell r="AV155">
            <v>5.3152492668621543E-2</v>
          </cell>
          <cell r="AW155">
            <v>0.10337152322451537</v>
          </cell>
          <cell r="AX155"/>
          <cell r="AY155">
            <v>6.3047451005104227E-2</v>
          </cell>
          <cell r="AZ155">
            <v>0.12884567850374884</v>
          </cell>
          <cell r="BA155">
            <v>-2.4134985049124369E-2</v>
          </cell>
          <cell r="BB155">
            <v>4.6202273036819674E-2</v>
          </cell>
          <cell r="BC155">
            <v>5.1964908439801727E-2</v>
          </cell>
          <cell r="BD155"/>
          <cell r="BE155">
            <v>-2.8290702154776248E-2</v>
          </cell>
          <cell r="BF155">
            <v>-3.5983300245241212E-2</v>
          </cell>
          <cell r="BG155">
            <v>9.0798236563174095E-2</v>
          </cell>
          <cell r="BH155">
            <v>3.9565179656309679E-2</v>
          </cell>
          <cell r="BI155">
            <v>1.5494351122342875E-2</v>
          </cell>
          <cell r="BJ155"/>
          <cell r="BK155">
            <v>0.11249566563467472</v>
          </cell>
          <cell r="BL155">
            <v>0.12114669701994241</v>
          </cell>
          <cell r="BM155">
            <v>7.7048726249999699E-2</v>
          </cell>
          <cell r="BN155">
            <v>6.1363550624999652E-2</v>
          </cell>
          <cell r="BO155">
            <v>9.2086852590523183E-2</v>
          </cell>
          <cell r="BP155"/>
          <cell r="BQ155">
            <v>4.5678374999999605E-2</v>
          </cell>
          <cell r="BR155">
            <v>3.0224999999999946E-2</v>
          </cell>
          <cell r="BS155">
            <v>1.4999999999999902E-2</v>
          </cell>
          <cell r="BT155">
            <v>0</v>
          </cell>
          <cell r="BU155">
            <v>2.244250635716849E-2</v>
          </cell>
          <cell r="BV155"/>
          <cell r="BW155">
            <v>0</v>
          </cell>
          <cell r="BX155">
            <v>0</v>
          </cell>
          <cell r="BY155">
            <v>0</v>
          </cell>
          <cell r="BZ155">
            <v>0</v>
          </cell>
          <cell r="CA155">
            <v>0</v>
          </cell>
          <cell r="CB155"/>
          <cell r="CC155">
            <v>0</v>
          </cell>
          <cell r="CD155">
            <v>0</v>
          </cell>
          <cell r="CE155">
            <v>0</v>
          </cell>
          <cell r="CF155">
            <v>0</v>
          </cell>
          <cell r="CG155">
            <v>0</v>
          </cell>
          <cell r="CH155"/>
        </row>
        <row r="156">
          <cell r="A156" t="str">
            <v>Basic EPS</v>
          </cell>
          <cell r="B156"/>
          <cell r="C156"/>
          <cell r="D156"/>
          <cell r="E156"/>
          <cell r="F156"/>
          <cell r="G156"/>
          <cell r="H156"/>
          <cell r="I156"/>
          <cell r="J156"/>
          <cell r="K156"/>
          <cell r="L156"/>
          <cell r="M156"/>
          <cell r="N156"/>
          <cell r="O156"/>
          <cell r="P156"/>
          <cell r="Q156"/>
          <cell r="R156"/>
          <cell r="S156"/>
          <cell r="T156"/>
          <cell r="U156"/>
          <cell r="V156"/>
          <cell r="W156"/>
          <cell r="X156"/>
          <cell r="Y156">
            <v>1.8206305858987093</v>
          </cell>
          <cell r="Z156"/>
          <cell r="AA156" t="str">
            <v>NA</v>
          </cell>
          <cell r="AB156" t="str">
            <v>NA</v>
          </cell>
          <cell r="AC156" t="str">
            <v>NA</v>
          </cell>
          <cell r="AD156" t="str">
            <v>NA</v>
          </cell>
          <cell r="AE156">
            <v>-0.67672019434015818</v>
          </cell>
          <cell r="AF156"/>
          <cell r="AG156" t="str">
            <v>NA</v>
          </cell>
          <cell r="AH156" t="str">
            <v>NA</v>
          </cell>
          <cell r="AI156" t="str">
            <v>NA</v>
          </cell>
          <cell r="AJ156" t="str">
            <v>NA</v>
          </cell>
          <cell r="AK156">
            <v>-0.5151740395438229</v>
          </cell>
          <cell r="AL156"/>
          <cell r="AM156">
            <v>-0.11691768103981839</v>
          </cell>
          <cell r="AN156">
            <v>-0.12004393944595101</v>
          </cell>
          <cell r="AO156">
            <v>-5.2912683646628579E-2</v>
          </cell>
          <cell r="AP156">
            <v>-2.4528241744230527E-2</v>
          </cell>
          <cell r="AQ156">
            <v>-0.30193595141141527</v>
          </cell>
          <cell r="AR156"/>
          <cell r="AS156">
            <v>7.7147268258869486E-2</v>
          </cell>
          <cell r="AT156">
            <v>-6.985251709648177E-2</v>
          </cell>
          <cell r="AU156">
            <v>0.16508512845548298</v>
          </cell>
          <cell r="AV156">
            <v>0.25032158476974548</v>
          </cell>
          <cell r="AW156">
            <v>0.43817536397329099</v>
          </cell>
          <cell r="AX156"/>
          <cell r="AY156">
            <v>8.7643380064613655E-2</v>
          </cell>
          <cell r="AZ156">
            <v>-4.6989956790844264E-2</v>
          </cell>
          <cell r="BA156">
            <v>-9.755182440671599E-2</v>
          </cell>
          <cell r="BB156">
            <v>0.47102161100196438</v>
          </cell>
          <cell r="BC156">
            <v>0.40955111278762635</v>
          </cell>
          <cell r="BD156"/>
          <cell r="BE156">
            <v>-0.23598041757537869</v>
          </cell>
          <cell r="BF156">
            <v>-0.53442662669028906</v>
          </cell>
          <cell r="BG156">
            <v>6.5751150682863968E-2</v>
          </cell>
          <cell r="BH156">
            <v>0.1006637674848512</v>
          </cell>
          <cell r="BI156">
            <v>-0.59428102988145093</v>
          </cell>
          <cell r="BJ156"/>
          <cell r="BK156">
            <v>-0.19141390684924506</v>
          </cell>
          <cell r="BL156">
            <v>-0.10038186351113837</v>
          </cell>
          <cell r="BM156">
            <v>-0.10124438669755124</v>
          </cell>
          <cell r="BN156">
            <v>-0.15014426424023389</v>
          </cell>
          <cell r="BO156">
            <v>-0.54228472882944512</v>
          </cell>
          <cell r="BP156"/>
          <cell r="BQ156">
            <v>0.22486359661369729</v>
          </cell>
          <cell r="BR156">
            <v>0.26775016502225751</v>
          </cell>
          <cell r="BS156">
            <v>0.54565418220648121</v>
          </cell>
          <cell r="BT156">
            <v>0.39081062576329645</v>
          </cell>
          <cell r="BU156">
            <v>1.4290785696057324</v>
          </cell>
          <cell r="BV156"/>
          <cell r="BW156" t="str">
            <v>NA</v>
          </cell>
          <cell r="BX156" t="str">
            <v>NA</v>
          </cell>
          <cell r="BY156" t="str">
            <v>NA</v>
          </cell>
          <cell r="BZ156" t="str">
            <v>NA</v>
          </cell>
          <cell r="CA156" t="str">
            <v>NA</v>
          </cell>
          <cell r="CB156"/>
          <cell r="CC156" t="str">
            <v>NA</v>
          </cell>
          <cell r="CD156" t="str">
            <v>NA</v>
          </cell>
          <cell r="CE156" t="str">
            <v>NA</v>
          </cell>
          <cell r="CF156" t="str">
            <v>NA</v>
          </cell>
          <cell r="CG156" t="str">
            <v>NA</v>
          </cell>
        </row>
        <row r="157">
          <cell r="A157" t="str">
            <v>Diluted EPS</v>
          </cell>
          <cell r="B157"/>
          <cell r="C157"/>
          <cell r="D157"/>
          <cell r="E157"/>
          <cell r="F157"/>
          <cell r="G157"/>
          <cell r="H157"/>
          <cell r="I157"/>
          <cell r="J157"/>
          <cell r="K157"/>
          <cell r="L157"/>
          <cell r="M157"/>
          <cell r="N157"/>
          <cell r="O157"/>
          <cell r="P157"/>
          <cell r="Q157"/>
          <cell r="R157"/>
          <cell r="S157"/>
          <cell r="T157"/>
          <cell r="U157"/>
          <cell r="V157"/>
          <cell r="W157"/>
          <cell r="X157"/>
          <cell r="Y157">
            <v>1.8206305858987093</v>
          </cell>
          <cell r="Z157"/>
          <cell r="AA157" t="str">
            <v>NA</v>
          </cell>
          <cell r="AB157" t="str">
            <v>NA</v>
          </cell>
          <cell r="AC157" t="str">
            <v>NA</v>
          </cell>
          <cell r="AD157" t="str">
            <v>NA</v>
          </cell>
          <cell r="AE157">
            <v>-0.67672019434015818</v>
          </cell>
          <cell r="AF157"/>
          <cell r="AG157" t="str">
            <v>NA</v>
          </cell>
          <cell r="AH157" t="str">
            <v>NA</v>
          </cell>
          <cell r="AI157" t="str">
            <v>NA</v>
          </cell>
          <cell r="AJ157" t="str">
            <v>NA</v>
          </cell>
          <cell r="AK157">
            <v>-0.5151740395438229</v>
          </cell>
          <cell r="AL157"/>
          <cell r="AM157">
            <v>-0.11691768103981839</v>
          </cell>
          <cell r="AN157">
            <v>-0.12004393944595101</v>
          </cell>
          <cell r="AO157">
            <v>-5.2912683646628579E-2</v>
          </cell>
          <cell r="AP157">
            <v>-2.4528241744230527E-2</v>
          </cell>
          <cell r="AQ157">
            <v>-0.30193595141141527</v>
          </cell>
          <cell r="AR157"/>
          <cell r="AS157">
            <v>7.7147268258869486E-2</v>
          </cell>
          <cell r="AT157">
            <v>-6.985251709648177E-2</v>
          </cell>
          <cell r="AU157">
            <v>0.16508512845548298</v>
          </cell>
          <cell r="AV157">
            <v>0.25032158476974548</v>
          </cell>
          <cell r="AW157">
            <v>0.43817536397329099</v>
          </cell>
          <cell r="AX157"/>
          <cell r="AY157">
            <v>8.7643380064613655E-2</v>
          </cell>
          <cell r="AZ157">
            <v>-4.6989956790844264E-2</v>
          </cell>
          <cell r="BA157">
            <v>-9.755182440671599E-2</v>
          </cell>
          <cell r="BB157">
            <v>0.44390441474281062</v>
          </cell>
          <cell r="BC157">
            <v>0.40349338486695308</v>
          </cell>
          <cell r="BD157"/>
          <cell r="BE157">
            <v>-0.23598041757537869</v>
          </cell>
          <cell r="BF157">
            <v>-0.53442662669028906</v>
          </cell>
          <cell r="BG157">
            <v>6.2444463553759003E-2</v>
          </cell>
          <cell r="BH157">
            <v>9.5601292062711951E-2</v>
          </cell>
          <cell r="BI157">
            <v>-0.57878885672273639</v>
          </cell>
          <cell r="BJ157"/>
          <cell r="BK157">
            <v>-0.18178752167519741</v>
          </cell>
          <cell r="BL157">
            <v>-9.5333565304634729E-2</v>
          </cell>
          <cell r="BM157">
            <v>-9.615271138981904E-2</v>
          </cell>
          <cell r="BN157">
            <v>-0.14259336815832685</v>
          </cell>
          <cell r="BO157">
            <v>-0.51501272043860435</v>
          </cell>
          <cell r="BP157"/>
          <cell r="BQ157">
            <v>0.21355499512148723</v>
          </cell>
          <cell r="BR157">
            <v>0.25428475772063941</v>
          </cell>
          <cell r="BS157">
            <v>0.51821272084031977</v>
          </cell>
          <cell r="BT157">
            <v>0.37115639229805997</v>
          </cell>
          <cell r="BU157">
            <v>1.3572088659805064</v>
          </cell>
          <cell r="BV157"/>
          <cell r="BW157" t="str">
            <v>NA</v>
          </cell>
          <cell r="BX157" t="str">
            <v>NA</v>
          </cell>
          <cell r="BY157" t="str">
            <v>NA</v>
          </cell>
          <cell r="BZ157" t="str">
            <v>NA</v>
          </cell>
          <cell r="CA157" t="str">
            <v>NA</v>
          </cell>
          <cell r="CB157"/>
          <cell r="CC157" t="str">
            <v>NA</v>
          </cell>
          <cell r="CD157" t="str">
            <v>NA</v>
          </cell>
          <cell r="CE157" t="str">
            <v>NA</v>
          </cell>
          <cell r="CF157" t="str">
            <v>NA</v>
          </cell>
          <cell r="CG157" t="str">
            <v>NA</v>
          </cell>
        </row>
        <row r="158">
          <cell r="A158"/>
          <cell r="B158"/>
          <cell r="C158"/>
          <cell r="D158"/>
          <cell r="E158"/>
          <cell r="F158"/>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cell r="BI158"/>
          <cell r="BJ158"/>
          <cell r="BK158"/>
          <cell r="BL158"/>
          <cell r="BM158"/>
          <cell r="BN158"/>
          <cell r="BO158"/>
          <cell r="BP158"/>
          <cell r="BQ158"/>
          <cell r="BR158"/>
          <cell r="BS158"/>
          <cell r="BT158"/>
          <cell r="BU158"/>
          <cell r="BV158"/>
          <cell r="BW158"/>
          <cell r="BX158"/>
          <cell r="BY158"/>
          <cell r="BZ158"/>
          <cell r="CA158"/>
          <cell r="CB158"/>
          <cell r="CC158"/>
          <cell r="CD158"/>
          <cell r="CE158"/>
          <cell r="CF158"/>
          <cell r="CG158"/>
        </row>
        <row r="159">
          <cell r="C159"/>
          <cell r="D159"/>
          <cell r="E159"/>
          <cell r="F159"/>
          <cell r="I159"/>
          <cell r="J159"/>
          <cell r="K159"/>
          <cell r="L159"/>
          <cell r="O159"/>
          <cell r="P159"/>
          <cell r="Q159"/>
          <cell r="R159"/>
          <cell r="U159"/>
          <cell r="V159"/>
          <cell r="W159"/>
          <cell r="X159"/>
          <cell r="AA159"/>
          <cell r="AB159"/>
          <cell r="AC159"/>
          <cell r="AD159"/>
          <cell r="AG159"/>
          <cell r="AH159"/>
          <cell r="AI159"/>
          <cell r="AJ159"/>
          <cell r="AM159"/>
          <cell r="AN159"/>
          <cell r="AO159"/>
          <cell r="AP159"/>
          <cell r="AS159"/>
          <cell r="AT159"/>
          <cell r="AU159"/>
          <cell r="AV159"/>
          <cell r="AY159"/>
          <cell r="AZ159"/>
          <cell r="BA159"/>
          <cell r="BB159"/>
          <cell r="BE159"/>
          <cell r="BF159"/>
          <cell r="BG159"/>
          <cell r="BH159"/>
          <cell r="BK159"/>
          <cell r="BL159"/>
          <cell r="BM159"/>
          <cell r="BN159"/>
          <cell r="BQ159"/>
          <cell r="BR159"/>
          <cell r="BS159"/>
          <cell r="BT159"/>
          <cell r="BW159"/>
          <cell r="BX159"/>
          <cell r="BY159"/>
          <cell r="BZ159"/>
          <cell r="CC159"/>
          <cell r="CD159"/>
          <cell r="CE159"/>
          <cell r="CF159"/>
        </row>
        <row r="161">
          <cell r="A161" t="str">
            <v>NON-GAAP ADJUSTMENTS</v>
          </cell>
          <cell r="C161"/>
          <cell r="D161"/>
          <cell r="E161"/>
          <cell r="F161"/>
          <cell r="G161"/>
          <cell r="I161"/>
          <cell r="J161"/>
          <cell r="K161"/>
          <cell r="L161"/>
          <cell r="M161"/>
          <cell r="O161"/>
          <cell r="P161"/>
          <cell r="Q161"/>
          <cell r="R161"/>
          <cell r="S161"/>
          <cell r="U161"/>
          <cell r="V161"/>
          <cell r="W161"/>
          <cell r="X161"/>
          <cell r="Y161"/>
          <cell r="AA161"/>
          <cell r="AB161"/>
          <cell r="AC161"/>
          <cell r="AD161"/>
          <cell r="AE161"/>
          <cell r="AG161"/>
          <cell r="AH161"/>
          <cell r="AI161"/>
          <cell r="AJ161"/>
          <cell r="AK161"/>
          <cell r="AM161"/>
          <cell r="AN161"/>
          <cell r="AO161"/>
          <cell r="AP161"/>
          <cell r="AQ161"/>
          <cell r="AS161"/>
          <cell r="AT161"/>
          <cell r="AU161"/>
          <cell r="AV161"/>
          <cell r="AW161"/>
          <cell r="AY161"/>
          <cell r="AZ161"/>
          <cell r="BA161"/>
          <cell r="BB161"/>
          <cell r="BC161"/>
          <cell r="BE161"/>
          <cell r="BF161"/>
          <cell r="BG161"/>
          <cell r="BH161"/>
          <cell r="BI161"/>
          <cell r="BK161"/>
          <cell r="BL161"/>
          <cell r="BM161"/>
          <cell r="BN161"/>
          <cell r="BO161"/>
          <cell r="BQ161"/>
          <cell r="BR161"/>
          <cell r="BS161"/>
          <cell r="BT161"/>
          <cell r="BU161"/>
          <cell r="BW161"/>
          <cell r="BX161"/>
          <cell r="BY161"/>
          <cell r="BZ161"/>
          <cell r="CA161"/>
          <cell r="CC161"/>
          <cell r="CD161"/>
          <cell r="CE161"/>
          <cell r="CF161"/>
          <cell r="CG161"/>
        </row>
        <row r="162">
          <cell r="A162"/>
          <cell r="C162"/>
          <cell r="D162"/>
          <cell r="E162"/>
          <cell r="F162"/>
          <cell r="G162"/>
          <cell r="I162"/>
          <cell r="J162"/>
          <cell r="K162"/>
          <cell r="L162"/>
          <cell r="M162"/>
          <cell r="O162"/>
          <cell r="P162"/>
          <cell r="Q162"/>
          <cell r="R162"/>
          <cell r="S162"/>
          <cell r="U162"/>
          <cell r="V162"/>
          <cell r="W162"/>
          <cell r="X162"/>
          <cell r="Y162"/>
          <cell r="AA162"/>
          <cell r="AB162"/>
          <cell r="AC162"/>
          <cell r="AD162"/>
          <cell r="AE162"/>
          <cell r="AG162"/>
          <cell r="AH162"/>
          <cell r="AI162"/>
          <cell r="AJ162"/>
          <cell r="AK162"/>
          <cell r="AM162"/>
          <cell r="AN162"/>
          <cell r="AO162"/>
          <cell r="AP162"/>
          <cell r="AQ162"/>
          <cell r="AS162"/>
          <cell r="AT162"/>
          <cell r="AU162"/>
          <cell r="AV162"/>
          <cell r="AW162"/>
          <cell r="AY162"/>
          <cell r="AZ162"/>
          <cell r="BA162"/>
          <cell r="BB162"/>
          <cell r="BC162"/>
          <cell r="BE162"/>
          <cell r="BF162"/>
          <cell r="BG162"/>
          <cell r="BH162"/>
          <cell r="BI162"/>
          <cell r="BK162"/>
          <cell r="BL162"/>
          <cell r="BM162"/>
          <cell r="BN162"/>
          <cell r="BO162"/>
          <cell r="BQ162"/>
          <cell r="BR162"/>
          <cell r="BS162"/>
          <cell r="BT162"/>
          <cell r="BU162"/>
          <cell r="BW162"/>
          <cell r="BX162"/>
          <cell r="BY162"/>
          <cell r="BZ162"/>
          <cell r="CA162"/>
          <cell r="CC162"/>
          <cell r="CD162"/>
          <cell r="CE162"/>
          <cell r="CF162"/>
          <cell r="CG162"/>
        </row>
        <row r="163">
          <cell r="A163" t="str">
            <v>STOCK BASED COMPENSATION</v>
          </cell>
          <cell r="C163"/>
          <cell r="D163"/>
          <cell r="E163"/>
          <cell r="F163"/>
          <cell r="G163"/>
          <cell r="I163"/>
          <cell r="J163"/>
          <cell r="K163"/>
          <cell r="L163"/>
          <cell r="M163"/>
          <cell r="O163"/>
          <cell r="P163"/>
          <cell r="Q163"/>
          <cell r="R163"/>
          <cell r="S163"/>
          <cell r="U163"/>
          <cell r="V163"/>
          <cell r="W163"/>
          <cell r="X163"/>
          <cell r="Y163"/>
          <cell r="AA163"/>
          <cell r="AB163"/>
          <cell r="AC163"/>
          <cell r="AD163"/>
          <cell r="AE163"/>
          <cell r="AG163"/>
          <cell r="AH163"/>
          <cell r="AI163"/>
          <cell r="AJ163"/>
          <cell r="AK163"/>
          <cell r="AM163"/>
          <cell r="AN163"/>
          <cell r="AO163"/>
          <cell r="AP163"/>
          <cell r="AQ163"/>
          <cell r="AS163"/>
          <cell r="AT163"/>
          <cell r="AU163"/>
          <cell r="AV163"/>
          <cell r="AW163"/>
          <cell r="AY163"/>
          <cell r="AZ163"/>
          <cell r="BA163"/>
          <cell r="BB163"/>
          <cell r="BC163"/>
          <cell r="BE163"/>
          <cell r="BF163"/>
          <cell r="BG163"/>
          <cell r="BH163"/>
          <cell r="BI163"/>
          <cell r="BK163"/>
          <cell r="BL163"/>
          <cell r="BM163"/>
          <cell r="BN163"/>
          <cell r="BO163"/>
          <cell r="BQ163"/>
          <cell r="BR163"/>
          <cell r="BS163"/>
          <cell r="BT163"/>
          <cell r="BU163"/>
          <cell r="BW163"/>
          <cell r="BX163"/>
          <cell r="BY163"/>
          <cell r="BZ163"/>
          <cell r="CA163"/>
          <cell r="CC163"/>
          <cell r="CD163"/>
          <cell r="CE163"/>
          <cell r="CF163"/>
          <cell r="CG163"/>
        </row>
        <row r="164">
          <cell r="A164"/>
          <cell r="C164"/>
          <cell r="D164"/>
          <cell r="E164"/>
          <cell r="F164"/>
          <cell r="G164"/>
          <cell r="I164"/>
          <cell r="J164"/>
          <cell r="K164"/>
          <cell r="L164"/>
          <cell r="M164"/>
          <cell r="O164"/>
          <cell r="P164"/>
          <cell r="Q164"/>
          <cell r="R164"/>
          <cell r="S164"/>
          <cell r="U164"/>
          <cell r="V164"/>
          <cell r="W164"/>
          <cell r="X164"/>
          <cell r="Y164"/>
          <cell r="AA164"/>
          <cell r="AB164"/>
          <cell r="AC164"/>
          <cell r="AD164"/>
          <cell r="AE164"/>
          <cell r="AG164"/>
          <cell r="AH164"/>
          <cell r="AI164"/>
          <cell r="AJ164"/>
          <cell r="AK164"/>
          <cell r="AM164"/>
          <cell r="AN164"/>
          <cell r="AO164"/>
          <cell r="AP164"/>
          <cell r="AQ164"/>
          <cell r="AS164"/>
          <cell r="AT164"/>
          <cell r="AU164"/>
          <cell r="AV164"/>
          <cell r="AW164"/>
          <cell r="AY164"/>
          <cell r="AZ164"/>
          <cell r="BA164"/>
          <cell r="BB164"/>
          <cell r="BC164"/>
          <cell r="BE164"/>
          <cell r="BF164"/>
          <cell r="BG164"/>
          <cell r="BH164"/>
          <cell r="BI164"/>
          <cell r="BK164"/>
          <cell r="BL164"/>
          <cell r="BM164"/>
          <cell r="BN164"/>
          <cell r="BO164"/>
          <cell r="BQ164"/>
          <cell r="BR164"/>
          <cell r="BS164"/>
          <cell r="BT164"/>
          <cell r="BU164"/>
          <cell r="BW164"/>
          <cell r="BX164"/>
          <cell r="BY164"/>
          <cell r="BZ164"/>
          <cell r="CA164"/>
          <cell r="CC164"/>
          <cell r="CD164"/>
          <cell r="CE164"/>
          <cell r="CF164"/>
          <cell r="CG164"/>
        </row>
        <row r="165">
          <cell r="A165" t="str">
            <v>Cost of license revenue</v>
          </cell>
          <cell r="B165"/>
          <cell r="C165"/>
          <cell r="D165"/>
          <cell r="E165"/>
          <cell r="F165"/>
          <cell r="G165"/>
          <cell r="H165"/>
          <cell r="I165"/>
          <cell r="J165"/>
          <cell r="K165"/>
          <cell r="L165"/>
          <cell r="M165"/>
          <cell r="N165"/>
          <cell r="O165"/>
          <cell r="P165"/>
          <cell r="Q165"/>
          <cell r="R165"/>
          <cell r="S165"/>
          <cell r="T165"/>
          <cell r="U165"/>
          <cell r="V165"/>
          <cell r="W165"/>
          <cell r="X165"/>
          <cell r="Y165">
            <v>0</v>
          </cell>
          <cell r="Z165"/>
          <cell r="AA165">
            <v>0</v>
          </cell>
          <cell r="AB165">
            <v>0</v>
          </cell>
          <cell r="AC165">
            <v>0</v>
          </cell>
          <cell r="AD165">
            <v>0</v>
          </cell>
          <cell r="AE165">
            <v>0</v>
          </cell>
          <cell r="AF165"/>
          <cell r="AG165">
            <v>0</v>
          </cell>
          <cell r="AH165">
            <v>0</v>
          </cell>
          <cell r="AI165">
            <v>0</v>
          </cell>
          <cell r="AJ165">
            <v>0</v>
          </cell>
          <cell r="AK165">
            <v>0</v>
          </cell>
          <cell r="AL165"/>
          <cell r="AM165">
            <v>0</v>
          </cell>
          <cell r="AN165">
            <v>0</v>
          </cell>
          <cell r="AO165">
            <v>0</v>
          </cell>
          <cell r="AP165">
            <v>0</v>
          </cell>
          <cell r="AQ165">
            <v>0</v>
          </cell>
          <cell r="AR165"/>
          <cell r="AS165">
            <v>0</v>
          </cell>
          <cell r="AT165">
            <v>0</v>
          </cell>
          <cell r="AU165">
            <v>0</v>
          </cell>
          <cell r="AV165">
            <v>0</v>
          </cell>
          <cell r="AW165">
            <v>0</v>
          </cell>
          <cell r="AX165"/>
          <cell r="AY165">
            <v>0</v>
          </cell>
          <cell r="AZ165">
            <v>0</v>
          </cell>
          <cell r="BA165">
            <v>0</v>
          </cell>
          <cell r="BB165">
            <v>0</v>
          </cell>
          <cell r="BC165">
            <v>0</v>
          </cell>
          <cell r="BD165"/>
          <cell r="BE165">
            <v>0</v>
          </cell>
          <cell r="BF165">
            <v>0</v>
          </cell>
          <cell r="BG165">
            <v>0</v>
          </cell>
          <cell r="BH165">
            <v>0</v>
          </cell>
          <cell r="BI165">
            <v>0</v>
          </cell>
          <cell r="BJ165"/>
          <cell r="BK165">
            <v>0</v>
          </cell>
          <cell r="BL165">
            <v>0</v>
          </cell>
          <cell r="BM165">
            <v>0</v>
          </cell>
          <cell r="BN165">
            <v>0</v>
          </cell>
          <cell r="BO165">
            <v>0</v>
          </cell>
          <cell r="BP165"/>
          <cell r="BQ165">
            <v>0</v>
          </cell>
          <cell r="BR165">
            <v>0</v>
          </cell>
          <cell r="BS165">
            <v>0</v>
          </cell>
          <cell r="BT165">
            <v>0</v>
          </cell>
          <cell r="BU165">
            <v>0</v>
          </cell>
          <cell r="BV165"/>
          <cell r="BW165" t="e">
            <v>#VALUE!</v>
          </cell>
          <cell r="BX165" t="e">
            <v>#VALUE!</v>
          </cell>
          <cell r="BY165" t="e">
            <v>#VALUE!</v>
          </cell>
          <cell r="BZ165" t="e">
            <v>#VALUE!</v>
          </cell>
          <cell r="CA165" t="e">
            <v>#VALUE!</v>
          </cell>
          <cell r="CB165"/>
          <cell r="CC165" t="e">
            <v>#VALUE!</v>
          </cell>
          <cell r="CD165" t="e">
            <v>#VALUE!</v>
          </cell>
          <cell r="CE165" t="e">
            <v>#VALUE!</v>
          </cell>
          <cell r="CF165" t="e">
            <v>#VALUE!</v>
          </cell>
          <cell r="CG165" t="e">
            <v>#VALUE!</v>
          </cell>
          <cell r="CH165"/>
        </row>
        <row r="166">
          <cell r="A166" t="str">
            <v>% total</v>
          </cell>
          <cell r="C166"/>
          <cell r="D166"/>
          <cell r="E166"/>
          <cell r="F166"/>
          <cell r="G166"/>
          <cell r="I166"/>
          <cell r="J166"/>
          <cell r="K166"/>
          <cell r="L166"/>
          <cell r="M166"/>
          <cell r="O166"/>
          <cell r="P166"/>
          <cell r="Q166"/>
          <cell r="R166"/>
          <cell r="S166"/>
          <cell r="U166"/>
          <cell r="V166"/>
          <cell r="W166"/>
          <cell r="X166"/>
          <cell r="Y166">
            <v>0</v>
          </cell>
          <cell r="AA166">
            <v>0</v>
          </cell>
          <cell r="AB166">
            <v>0</v>
          </cell>
          <cell r="AC166">
            <v>0</v>
          </cell>
          <cell r="AD166">
            <v>0</v>
          </cell>
          <cell r="AE166">
            <v>0</v>
          </cell>
          <cell r="AG166">
            <v>0</v>
          </cell>
          <cell r="AH166">
            <v>0</v>
          </cell>
          <cell r="AI166">
            <v>0</v>
          </cell>
          <cell r="AJ166">
            <v>0</v>
          </cell>
          <cell r="AK166">
            <v>0</v>
          </cell>
          <cell r="AM166">
            <v>0</v>
          </cell>
          <cell r="AN166">
            <v>0</v>
          </cell>
          <cell r="AO166">
            <v>0</v>
          </cell>
          <cell r="AP166">
            <v>0</v>
          </cell>
          <cell r="AQ166">
            <v>0</v>
          </cell>
          <cell r="AS166">
            <v>0</v>
          </cell>
          <cell r="AT166">
            <v>0</v>
          </cell>
          <cell r="AU166">
            <v>0</v>
          </cell>
          <cell r="AV166">
            <v>0</v>
          </cell>
          <cell r="AW166">
            <v>0</v>
          </cell>
          <cell r="AY166">
            <v>0</v>
          </cell>
          <cell r="AZ166">
            <v>0</v>
          </cell>
          <cell r="BA166">
            <v>0</v>
          </cell>
          <cell r="BB166">
            <v>0</v>
          </cell>
          <cell r="BC166">
            <v>0</v>
          </cell>
          <cell r="BE166">
            <v>0</v>
          </cell>
          <cell r="BF166">
            <v>0</v>
          </cell>
          <cell r="BG166">
            <v>0</v>
          </cell>
          <cell r="BH166">
            <v>0</v>
          </cell>
          <cell r="BI166">
            <v>0</v>
          </cell>
          <cell r="BK166">
            <v>0</v>
          </cell>
          <cell r="BL166">
            <v>0</v>
          </cell>
          <cell r="BM166">
            <v>0</v>
          </cell>
          <cell r="BN166">
            <v>0</v>
          </cell>
          <cell r="BO166">
            <v>0</v>
          </cell>
          <cell r="BQ166">
            <v>0</v>
          </cell>
          <cell r="BR166">
            <v>0</v>
          </cell>
          <cell r="BS166">
            <v>0</v>
          </cell>
          <cell r="BT166">
            <v>0</v>
          </cell>
          <cell r="BU166" t="str">
            <v>NA</v>
          </cell>
          <cell r="BW166">
            <v>0</v>
          </cell>
          <cell r="BX166">
            <v>0</v>
          </cell>
          <cell r="BY166">
            <v>0</v>
          </cell>
          <cell r="BZ166">
            <v>0</v>
          </cell>
          <cell r="CA166" t="str">
            <v>NA</v>
          </cell>
          <cell r="CC166">
            <v>0</v>
          </cell>
          <cell r="CD166">
            <v>0</v>
          </cell>
          <cell r="CE166">
            <v>0</v>
          </cell>
          <cell r="CF166">
            <v>0</v>
          </cell>
          <cell r="CG166" t="str">
            <v>NA</v>
          </cell>
        </row>
        <row r="167">
          <cell r="A167"/>
          <cell r="C167"/>
          <cell r="D167"/>
          <cell r="E167"/>
          <cell r="F167"/>
          <cell r="G167"/>
          <cell r="I167"/>
          <cell r="J167"/>
          <cell r="K167"/>
          <cell r="L167"/>
          <cell r="M167"/>
          <cell r="O167"/>
          <cell r="P167"/>
          <cell r="Q167"/>
          <cell r="R167"/>
          <cell r="S167"/>
          <cell r="U167"/>
          <cell r="V167"/>
          <cell r="W167"/>
          <cell r="X167"/>
          <cell r="Y167"/>
          <cell r="AA167"/>
          <cell r="AB167"/>
          <cell r="AC167"/>
          <cell r="AD167"/>
          <cell r="AE167"/>
          <cell r="AG167"/>
          <cell r="AH167"/>
          <cell r="AI167"/>
          <cell r="AJ167"/>
          <cell r="AK167"/>
          <cell r="AM167"/>
          <cell r="AN167"/>
          <cell r="AO167"/>
          <cell r="AP167"/>
          <cell r="AQ167"/>
          <cell r="AS167"/>
          <cell r="AT167"/>
          <cell r="AU167"/>
          <cell r="AV167"/>
          <cell r="AW167"/>
          <cell r="AY167"/>
          <cell r="AZ167"/>
          <cell r="BA167"/>
          <cell r="BB167"/>
          <cell r="BC167"/>
          <cell r="BE167"/>
          <cell r="BF167"/>
          <cell r="BG167"/>
          <cell r="BH167"/>
          <cell r="BI167"/>
          <cell r="BK167"/>
          <cell r="BL167"/>
          <cell r="BM167"/>
          <cell r="BN167"/>
          <cell r="BO167"/>
          <cell r="BQ167"/>
          <cell r="BR167"/>
          <cell r="BS167"/>
          <cell r="BT167"/>
          <cell r="BU167"/>
          <cell r="BW167"/>
          <cell r="BX167"/>
          <cell r="BY167"/>
          <cell r="BZ167"/>
          <cell r="CA167"/>
          <cell r="CC167"/>
          <cell r="CD167"/>
          <cell r="CE167"/>
          <cell r="CF167"/>
          <cell r="CG167"/>
        </row>
        <row r="168">
          <cell r="A168" t="str">
            <v>Cost of maintenance and services revenue</v>
          </cell>
          <cell r="B168"/>
          <cell r="C168"/>
          <cell r="D168"/>
          <cell r="E168"/>
          <cell r="F168"/>
          <cell r="G168"/>
          <cell r="H168"/>
          <cell r="I168"/>
          <cell r="J168"/>
          <cell r="K168"/>
          <cell r="L168"/>
          <cell r="M168"/>
          <cell r="N168"/>
          <cell r="O168"/>
          <cell r="P168"/>
          <cell r="Q168"/>
          <cell r="R168"/>
          <cell r="S168"/>
          <cell r="T168"/>
          <cell r="U168"/>
          <cell r="V168"/>
          <cell r="W168"/>
          <cell r="X168"/>
          <cell r="Y168">
            <v>0</v>
          </cell>
          <cell r="Z168"/>
          <cell r="AA168">
            <v>0</v>
          </cell>
          <cell r="AB168">
            <v>0</v>
          </cell>
          <cell r="AC168">
            <v>0</v>
          </cell>
          <cell r="AD168">
            <v>0</v>
          </cell>
          <cell r="AE168">
            <v>0</v>
          </cell>
          <cell r="AF168"/>
          <cell r="AG168">
            <v>0</v>
          </cell>
          <cell r="AH168">
            <v>0</v>
          </cell>
          <cell r="AI168">
            <v>0</v>
          </cell>
          <cell r="AJ168">
            <v>0</v>
          </cell>
          <cell r="AK168">
            <v>0</v>
          </cell>
          <cell r="AL168"/>
          <cell r="AM168">
            <v>0</v>
          </cell>
          <cell r="AN168">
            <v>0</v>
          </cell>
          <cell r="AO168">
            <v>0</v>
          </cell>
          <cell r="AP168">
            <v>0</v>
          </cell>
          <cell r="AQ168">
            <v>0</v>
          </cell>
          <cell r="AR168"/>
          <cell r="AS168">
            <v>0</v>
          </cell>
          <cell r="AT168">
            <v>0</v>
          </cell>
          <cell r="AU168">
            <v>0</v>
          </cell>
          <cell r="AV168">
            <v>0</v>
          </cell>
          <cell r="AW168">
            <v>0</v>
          </cell>
          <cell r="AX168"/>
          <cell r="AY168">
            <v>0</v>
          </cell>
          <cell r="AZ168">
            <v>0</v>
          </cell>
          <cell r="BA168">
            <v>0</v>
          </cell>
          <cell r="BB168">
            <v>0</v>
          </cell>
          <cell r="BC168">
            <v>0</v>
          </cell>
          <cell r="BD168"/>
          <cell r="BE168">
            <v>0</v>
          </cell>
          <cell r="BF168">
            <v>0</v>
          </cell>
          <cell r="BG168">
            <v>0</v>
          </cell>
          <cell r="BH168">
            <v>0</v>
          </cell>
          <cell r="BI168">
            <v>0</v>
          </cell>
          <cell r="BJ168"/>
          <cell r="BK168">
            <v>0</v>
          </cell>
          <cell r="BL168">
            <v>0</v>
          </cell>
          <cell r="BM168">
            <v>0</v>
          </cell>
          <cell r="BN168">
            <v>0</v>
          </cell>
          <cell r="BO168">
            <v>0</v>
          </cell>
          <cell r="BP168"/>
          <cell r="BQ168">
            <v>0</v>
          </cell>
          <cell r="BR168">
            <v>0</v>
          </cell>
          <cell r="BS168">
            <v>0</v>
          </cell>
          <cell r="BT168">
            <v>0</v>
          </cell>
          <cell r="BU168">
            <v>0</v>
          </cell>
          <cell r="BV168"/>
          <cell r="BW168" t="e">
            <v>#VALUE!</v>
          </cell>
          <cell r="BX168" t="e">
            <v>#VALUE!</v>
          </cell>
          <cell r="BY168" t="e">
            <v>#VALUE!</v>
          </cell>
          <cell r="BZ168" t="e">
            <v>#VALUE!</v>
          </cell>
          <cell r="CA168" t="e">
            <v>#VALUE!</v>
          </cell>
          <cell r="CB168"/>
          <cell r="CC168" t="e">
            <v>#VALUE!</v>
          </cell>
          <cell r="CD168" t="e">
            <v>#VALUE!</v>
          </cell>
          <cell r="CE168" t="e">
            <v>#VALUE!</v>
          </cell>
          <cell r="CF168" t="e">
            <v>#VALUE!</v>
          </cell>
          <cell r="CG168" t="e">
            <v>#VALUE!</v>
          </cell>
          <cell r="CH168"/>
        </row>
        <row r="169">
          <cell r="A169" t="str">
            <v>% total</v>
          </cell>
          <cell r="C169"/>
          <cell r="D169"/>
          <cell r="E169"/>
          <cell r="F169"/>
          <cell r="G169"/>
          <cell r="I169"/>
          <cell r="J169"/>
          <cell r="K169"/>
          <cell r="L169"/>
          <cell r="M169"/>
          <cell r="O169"/>
          <cell r="P169"/>
          <cell r="Q169"/>
          <cell r="R169"/>
          <cell r="S169"/>
          <cell r="U169"/>
          <cell r="V169"/>
          <cell r="W169"/>
          <cell r="X169"/>
          <cell r="Y169">
            <v>0</v>
          </cell>
          <cell r="AA169">
            <v>0</v>
          </cell>
          <cell r="AB169">
            <v>0</v>
          </cell>
          <cell r="AC169">
            <v>0</v>
          </cell>
          <cell r="AD169">
            <v>0</v>
          </cell>
          <cell r="AE169">
            <v>0</v>
          </cell>
          <cell r="AG169">
            <v>0</v>
          </cell>
          <cell r="AH169">
            <v>0</v>
          </cell>
          <cell r="AI169">
            <v>0</v>
          </cell>
          <cell r="AJ169">
            <v>0</v>
          </cell>
          <cell r="AK169">
            <v>0</v>
          </cell>
          <cell r="AM169">
            <v>0</v>
          </cell>
          <cell r="AN169">
            <v>0</v>
          </cell>
          <cell r="AO169">
            <v>0</v>
          </cell>
          <cell r="AP169">
            <v>0</v>
          </cell>
          <cell r="AQ169">
            <v>0</v>
          </cell>
          <cell r="AS169">
            <v>0</v>
          </cell>
          <cell r="AT169">
            <v>0</v>
          </cell>
          <cell r="AU169">
            <v>0</v>
          </cell>
          <cell r="AV169">
            <v>0</v>
          </cell>
          <cell r="AW169">
            <v>0</v>
          </cell>
          <cell r="AY169">
            <v>0</v>
          </cell>
          <cell r="AZ169">
            <v>0</v>
          </cell>
          <cell r="BA169">
            <v>0</v>
          </cell>
          <cell r="BB169">
            <v>0</v>
          </cell>
          <cell r="BC169">
            <v>0</v>
          </cell>
          <cell r="BE169">
            <v>0</v>
          </cell>
          <cell r="BF169">
            <v>0</v>
          </cell>
          <cell r="BG169">
            <v>0</v>
          </cell>
          <cell r="BH169">
            <v>0</v>
          </cell>
          <cell r="BI169">
            <v>0</v>
          </cell>
          <cell r="BK169">
            <v>0</v>
          </cell>
          <cell r="BL169">
            <v>0</v>
          </cell>
          <cell r="BM169">
            <v>0</v>
          </cell>
          <cell r="BN169">
            <v>0</v>
          </cell>
          <cell r="BO169">
            <v>0</v>
          </cell>
          <cell r="BQ169">
            <v>0</v>
          </cell>
          <cell r="BR169">
            <v>0</v>
          </cell>
          <cell r="BS169">
            <v>0</v>
          </cell>
          <cell r="BT169">
            <v>0</v>
          </cell>
          <cell r="BU169" t="str">
            <v>NA</v>
          </cell>
          <cell r="BW169">
            <v>0</v>
          </cell>
          <cell r="BX169">
            <v>0</v>
          </cell>
          <cell r="BY169">
            <v>0</v>
          </cell>
          <cell r="BZ169">
            <v>0</v>
          </cell>
          <cell r="CA169" t="str">
            <v>NA</v>
          </cell>
          <cell r="CC169">
            <v>0</v>
          </cell>
          <cell r="CD169">
            <v>0</v>
          </cell>
          <cell r="CE169">
            <v>0</v>
          </cell>
          <cell r="CF169">
            <v>0</v>
          </cell>
          <cell r="CG169" t="str">
            <v>NA</v>
          </cell>
        </row>
        <row r="170">
          <cell r="A170"/>
          <cell r="C170"/>
          <cell r="D170"/>
          <cell r="E170"/>
          <cell r="F170"/>
          <cell r="G170"/>
          <cell r="I170"/>
          <cell r="J170"/>
          <cell r="K170"/>
          <cell r="L170"/>
          <cell r="M170"/>
          <cell r="O170"/>
          <cell r="P170"/>
          <cell r="Q170"/>
          <cell r="R170"/>
          <cell r="S170"/>
          <cell r="U170"/>
          <cell r="V170"/>
          <cell r="W170"/>
          <cell r="X170"/>
          <cell r="Y170"/>
          <cell r="AA170"/>
          <cell r="AB170"/>
          <cell r="AC170"/>
          <cell r="AD170"/>
          <cell r="AE170"/>
          <cell r="AG170"/>
          <cell r="AH170"/>
          <cell r="AI170"/>
          <cell r="AJ170"/>
          <cell r="AK170"/>
          <cell r="AM170"/>
          <cell r="AN170"/>
          <cell r="AO170"/>
          <cell r="AP170"/>
          <cell r="AQ170"/>
          <cell r="AS170"/>
          <cell r="AT170"/>
          <cell r="AU170"/>
          <cell r="AV170"/>
          <cell r="AW170"/>
          <cell r="AY170"/>
          <cell r="AZ170"/>
          <cell r="BA170"/>
          <cell r="BB170"/>
          <cell r="BC170"/>
          <cell r="BE170"/>
          <cell r="BF170"/>
          <cell r="BG170"/>
          <cell r="BH170"/>
          <cell r="BI170"/>
          <cell r="BK170"/>
          <cell r="BL170"/>
          <cell r="BM170"/>
          <cell r="BN170"/>
          <cell r="BO170"/>
          <cell r="BQ170"/>
          <cell r="BR170"/>
          <cell r="BS170"/>
          <cell r="BT170"/>
          <cell r="BU170"/>
          <cell r="BW170"/>
          <cell r="BX170"/>
          <cell r="BY170"/>
          <cell r="BZ170"/>
          <cell r="CA170"/>
          <cell r="CC170"/>
          <cell r="CD170"/>
          <cell r="CE170"/>
          <cell r="CF170"/>
          <cell r="CG170"/>
        </row>
        <row r="171">
          <cell r="A171" t="str">
            <v>Total cost of revenue</v>
          </cell>
          <cell r="B171"/>
          <cell r="C171"/>
          <cell r="D171"/>
          <cell r="E171"/>
          <cell r="F171"/>
          <cell r="G171"/>
          <cell r="H171"/>
          <cell r="I171"/>
          <cell r="J171"/>
          <cell r="K171"/>
          <cell r="L171"/>
          <cell r="M171"/>
          <cell r="N171"/>
          <cell r="O171"/>
          <cell r="P171"/>
          <cell r="Q171"/>
          <cell r="R171"/>
          <cell r="S171"/>
          <cell r="T171"/>
          <cell r="U171"/>
          <cell r="V171"/>
          <cell r="W171"/>
          <cell r="X171"/>
          <cell r="Y171">
            <v>3.4000000000000002E-2</v>
          </cell>
          <cell r="Z171"/>
          <cell r="AA171">
            <v>6.0000000000000001E-3</v>
          </cell>
          <cell r="AB171">
            <v>7.0000000000000001E-3</v>
          </cell>
          <cell r="AC171">
            <v>7.0000000000000001E-3</v>
          </cell>
          <cell r="AD171">
            <v>1.4E-2</v>
          </cell>
          <cell r="AE171">
            <v>3.4000000000000002E-2</v>
          </cell>
          <cell r="AF171"/>
          <cell r="AG171">
            <v>2.5579952540914407E-2</v>
          </cell>
          <cell r="AH171">
            <v>2.2207253461530258E-2</v>
          </cell>
          <cell r="AI171">
            <v>2.3859323558555693E-2</v>
          </cell>
          <cell r="AJ171">
            <v>3.4000000000000002E-2</v>
          </cell>
          <cell r="AK171">
            <v>0.10564652956100036</v>
          </cell>
          <cell r="AL171"/>
          <cell r="AM171">
            <v>0.121</v>
          </cell>
          <cell r="AN171">
            <v>0.124</v>
          </cell>
          <cell r="AO171">
            <v>0.123</v>
          </cell>
          <cell r="AP171">
            <v>0.11700000000000001</v>
          </cell>
          <cell r="AQ171">
            <v>0.48499999999999999</v>
          </cell>
          <cell r="AR171"/>
          <cell r="AS171">
            <v>0.13900000000000001</v>
          </cell>
          <cell r="AT171">
            <v>0.20599999999999999</v>
          </cell>
          <cell r="AU171">
            <v>0.22600000000000001</v>
          </cell>
          <cell r="AV171">
            <v>0.22600000000000001</v>
          </cell>
          <cell r="AW171">
            <v>0.79699999999999993</v>
          </cell>
          <cell r="AX171"/>
          <cell r="AY171">
            <v>0.307</v>
          </cell>
          <cell r="AZ171">
            <v>0.41</v>
          </cell>
          <cell r="BA171">
            <v>0.43099999999999999</v>
          </cell>
          <cell r="BB171">
            <v>0.48599999999999999</v>
          </cell>
          <cell r="BC171">
            <v>1.6339999999999999</v>
          </cell>
          <cell r="BD171"/>
          <cell r="BE171">
            <v>0.436</v>
          </cell>
          <cell r="BF171">
            <v>0.59699999999999998</v>
          </cell>
          <cell r="BG171">
            <v>0.71399999999999997</v>
          </cell>
          <cell r="BH171">
            <v>0.46023814900710242</v>
          </cell>
          <cell r="BI171">
            <v>2.2072381490071025</v>
          </cell>
          <cell r="BJ171"/>
          <cell r="BK171">
            <v>0.53849192390938716</v>
          </cell>
          <cell r="BL171">
            <v>0.77569847545624215</v>
          </cell>
          <cell r="BM171">
            <v>0.81617628945910625</v>
          </cell>
          <cell r="BN171">
            <v>0.55745207174782763</v>
          </cell>
          <cell r="BO171">
            <v>2.6878187605725632</v>
          </cell>
          <cell r="BP171"/>
          <cell r="BQ171">
            <v>0</v>
          </cell>
          <cell r="BR171">
            <v>0</v>
          </cell>
          <cell r="BS171">
            <v>0</v>
          </cell>
          <cell r="BT171">
            <v>0</v>
          </cell>
          <cell r="BU171">
            <v>0</v>
          </cell>
          <cell r="BV171"/>
          <cell r="BW171" t="e">
            <v>#VALUE!</v>
          </cell>
          <cell r="BX171" t="e">
            <v>#VALUE!</v>
          </cell>
          <cell r="BY171" t="e">
            <v>#VALUE!</v>
          </cell>
          <cell r="BZ171" t="e">
            <v>#VALUE!</v>
          </cell>
          <cell r="CA171" t="e">
            <v>#VALUE!</v>
          </cell>
          <cell r="CB171"/>
          <cell r="CC171" t="e">
            <v>#VALUE!</v>
          </cell>
          <cell r="CD171" t="e">
            <v>#VALUE!</v>
          </cell>
          <cell r="CE171" t="e">
            <v>#VALUE!</v>
          </cell>
          <cell r="CF171" t="e">
            <v>#VALUE!</v>
          </cell>
          <cell r="CG171" t="e">
            <v>#VALUE!</v>
          </cell>
          <cell r="CH171"/>
        </row>
        <row r="172">
          <cell r="A172" t="str">
            <v>% total</v>
          </cell>
          <cell r="C172"/>
          <cell r="D172"/>
          <cell r="E172"/>
          <cell r="F172"/>
          <cell r="G172"/>
          <cell r="I172"/>
          <cell r="J172"/>
          <cell r="K172"/>
          <cell r="L172"/>
          <cell r="M172"/>
          <cell r="O172"/>
          <cell r="P172"/>
          <cell r="Q172"/>
          <cell r="R172"/>
          <cell r="S172"/>
          <cell r="U172"/>
          <cell r="V172"/>
          <cell r="W172"/>
          <cell r="X172"/>
          <cell r="Y172">
            <v>3.184415097873935E-3</v>
          </cell>
          <cell r="AA172">
            <v>2.6086956521739126E-2</v>
          </cell>
          <cell r="AB172">
            <v>2.3489932885906041E-2</v>
          </cell>
          <cell r="AC172">
            <v>2.2508038585209004E-2</v>
          </cell>
          <cell r="AD172">
            <v>2.177293934681182E-2</v>
          </cell>
          <cell r="AE172">
            <v>2.2941970310391364E-2</v>
          </cell>
          <cell r="AG172">
            <v>4.0179586992733274E-2</v>
          </cell>
          <cell r="AH172">
            <v>2.8070699507207246E-2</v>
          </cell>
          <cell r="AI172">
            <v>2.6336472552716428E-2</v>
          </cell>
          <cell r="AJ172">
            <v>3.5789473684210531E-2</v>
          </cell>
          <cell r="AK172">
            <v>3.2173001319561356E-2</v>
          </cell>
          <cell r="AM172">
            <v>6.2306900102986604E-2</v>
          </cell>
          <cell r="AN172">
            <v>5.4195804195804193E-2</v>
          </cell>
          <cell r="AO172">
            <v>5.3971039929793768E-2</v>
          </cell>
          <cell r="AP172">
            <v>4.8108552631578955E-2</v>
          </cell>
          <cell r="AQ172">
            <v>5.4244491667598704E-2</v>
          </cell>
          <cell r="AS172">
            <v>3.6685141198205339E-2</v>
          </cell>
          <cell r="AT172">
            <v>5.2901900359527472E-2</v>
          </cell>
          <cell r="AU172">
            <v>5.1574623459607491E-2</v>
          </cell>
          <cell r="AV172">
            <v>4.9323439546049765E-2</v>
          </cell>
          <cell r="AW172">
            <v>4.787649426323061E-2</v>
          </cell>
          <cell r="AY172">
            <v>5.7544517338331769E-2</v>
          </cell>
          <cell r="AZ172">
            <v>5.1096709870388828E-2</v>
          </cell>
          <cell r="BA172">
            <v>4.8777727478497054E-2</v>
          </cell>
          <cell r="BB172">
            <v>4.4464775846294602E-2</v>
          </cell>
          <cell r="BC172">
            <v>4.932830188679245E-2</v>
          </cell>
          <cell r="BE172">
            <v>3.1908665105386418E-2</v>
          </cell>
          <cell r="BF172">
            <v>3.5277433079241263E-2</v>
          </cell>
          <cell r="BG172">
            <v>3.5277433079241263E-2</v>
          </cell>
          <cell r="BH172">
            <v>3.5277433079241263E-2</v>
          </cell>
          <cell r="BI172">
            <v>3.4429843933613022E-2</v>
          </cell>
          <cell r="BK172">
            <v>3.5277433079241263E-2</v>
          </cell>
          <cell r="BL172">
            <v>3.5277433079241263E-2</v>
          </cell>
          <cell r="BM172">
            <v>3.5277433079241263E-2</v>
          </cell>
          <cell r="BN172">
            <v>3.5277433079241263E-2</v>
          </cell>
          <cell r="BO172">
            <v>3.527743307924127E-2</v>
          </cell>
          <cell r="BQ172">
            <v>3.5277433079241263E-2</v>
          </cell>
          <cell r="BR172">
            <v>3.5277433079241263E-2</v>
          </cell>
          <cell r="BS172">
            <v>3.5277433079241263E-2</v>
          </cell>
          <cell r="BT172">
            <v>3.5277433079241263E-2</v>
          </cell>
          <cell r="BU172" t="str">
            <v>NA</v>
          </cell>
          <cell r="BW172">
            <v>3.5277433079241263E-2</v>
          </cell>
          <cell r="BX172">
            <v>3.5277433079241263E-2</v>
          </cell>
          <cell r="BY172">
            <v>3.5277433079241263E-2</v>
          </cell>
          <cell r="BZ172">
            <v>3.5277433079241263E-2</v>
          </cell>
          <cell r="CA172" t="str">
            <v>NA</v>
          </cell>
          <cell r="CC172">
            <v>3.5277433079241263E-2</v>
          </cell>
          <cell r="CD172">
            <v>3.5277433079241263E-2</v>
          </cell>
          <cell r="CE172">
            <v>3.5277433079241263E-2</v>
          </cell>
          <cell r="CF172">
            <v>3.5277433079241263E-2</v>
          </cell>
          <cell r="CG172" t="str">
            <v>NA</v>
          </cell>
        </row>
        <row r="173">
          <cell r="A173"/>
          <cell r="C173"/>
          <cell r="D173"/>
          <cell r="E173"/>
          <cell r="F173"/>
          <cell r="G173"/>
          <cell r="I173"/>
          <cell r="J173"/>
          <cell r="K173"/>
          <cell r="L173"/>
          <cell r="M173"/>
          <cell r="O173"/>
          <cell r="P173"/>
          <cell r="Q173"/>
          <cell r="R173"/>
          <cell r="S173"/>
          <cell r="U173"/>
          <cell r="V173"/>
          <cell r="W173"/>
          <cell r="X173"/>
          <cell r="Y173"/>
          <cell r="AA173"/>
          <cell r="AB173"/>
          <cell r="AC173"/>
          <cell r="AD173"/>
          <cell r="AE173"/>
          <cell r="AG173"/>
          <cell r="AH173"/>
          <cell r="AI173"/>
          <cell r="AJ173"/>
          <cell r="AK173"/>
          <cell r="AM173"/>
          <cell r="AN173"/>
          <cell r="AO173"/>
          <cell r="AP173"/>
          <cell r="AQ173"/>
          <cell r="AS173"/>
          <cell r="AT173"/>
          <cell r="AU173"/>
          <cell r="AV173"/>
          <cell r="AW173"/>
          <cell r="AY173"/>
          <cell r="AZ173"/>
          <cell r="BA173"/>
          <cell r="BB173"/>
          <cell r="BC173"/>
          <cell r="BE173"/>
          <cell r="BF173"/>
          <cell r="BG173"/>
          <cell r="BH173"/>
          <cell r="BI173"/>
          <cell r="BK173"/>
          <cell r="BL173"/>
          <cell r="BM173"/>
          <cell r="BN173"/>
          <cell r="BO173"/>
          <cell r="BQ173"/>
          <cell r="BR173"/>
          <cell r="BS173"/>
          <cell r="BT173"/>
          <cell r="BU173"/>
          <cell r="BW173"/>
          <cell r="BX173"/>
          <cell r="BY173"/>
          <cell r="BZ173"/>
          <cell r="CA173"/>
          <cell r="CC173"/>
          <cell r="CD173"/>
          <cell r="CE173"/>
          <cell r="CF173"/>
          <cell r="CG173"/>
        </row>
        <row r="174">
          <cell r="A174" t="str">
            <v>Sales and marketing</v>
          </cell>
          <cell r="B174"/>
          <cell r="C174"/>
          <cell r="D174"/>
          <cell r="E174"/>
          <cell r="F174"/>
          <cell r="G174"/>
          <cell r="H174"/>
          <cell r="I174"/>
          <cell r="J174"/>
          <cell r="K174"/>
          <cell r="L174"/>
          <cell r="M174"/>
          <cell r="N174"/>
          <cell r="O174"/>
          <cell r="P174"/>
          <cell r="Q174"/>
          <cell r="R174"/>
          <cell r="S174"/>
          <cell r="T174"/>
          <cell r="U174"/>
          <cell r="V174"/>
          <cell r="W174"/>
          <cell r="X174"/>
          <cell r="Y174">
            <v>0.183</v>
          </cell>
          <cell r="Z174"/>
          <cell r="AA174">
            <v>0.11700000000000001</v>
          </cell>
          <cell r="AB174">
            <v>0.185</v>
          </cell>
          <cell r="AC174">
            <v>0.185</v>
          </cell>
          <cell r="AD174">
            <v>0.313</v>
          </cell>
          <cell r="AE174">
            <v>0.8</v>
          </cell>
          <cell r="AF174"/>
          <cell r="AG174">
            <v>0.31017123213975095</v>
          </cell>
          <cell r="AH174">
            <v>0.32352726765613199</v>
          </cell>
          <cell r="AI174">
            <v>0.308</v>
          </cell>
          <cell r="AJ174">
            <v>0.33900000000000002</v>
          </cell>
          <cell r="AK174">
            <v>1.280698499795883</v>
          </cell>
          <cell r="AL174"/>
          <cell r="AM174">
            <v>0.65900000000000003</v>
          </cell>
          <cell r="AN174">
            <v>0.52400000000000002</v>
          </cell>
          <cell r="AO174">
            <v>0.45900000000000002</v>
          </cell>
          <cell r="AP174">
            <v>0.66</v>
          </cell>
          <cell r="AQ174">
            <v>2.302</v>
          </cell>
          <cell r="AR174"/>
          <cell r="AS174">
            <v>1.157</v>
          </cell>
          <cell r="AT174">
            <v>1.613</v>
          </cell>
          <cell r="AU174">
            <v>1.641</v>
          </cell>
          <cell r="AV174">
            <v>1.742</v>
          </cell>
          <cell r="AW174">
            <v>6.1529999999999996</v>
          </cell>
          <cell r="AX174"/>
          <cell r="AY174">
            <v>2.1989999999999998</v>
          </cell>
          <cell r="AZ174">
            <v>3.1520000000000001</v>
          </cell>
          <cell r="BA174">
            <v>3.4710000000000001</v>
          </cell>
          <cell r="BB174">
            <v>3.8370000000000002</v>
          </cell>
          <cell r="BC174">
            <v>12.658999999999999</v>
          </cell>
          <cell r="BD174"/>
          <cell r="BE174">
            <v>5.149</v>
          </cell>
          <cell r="BF174">
            <v>7.61</v>
          </cell>
          <cell r="BG174">
            <v>7.6740000000000004</v>
          </cell>
          <cell r="BH174">
            <v>4.9465932149586891</v>
          </cell>
          <cell r="BI174">
            <v>25.379593214958689</v>
          </cell>
          <cell r="BJ174"/>
          <cell r="BK174">
            <v>5.7876568964714803</v>
          </cell>
          <cell r="BL174">
            <v>8.3371289925086867</v>
          </cell>
          <cell r="BM174">
            <v>8.7721804556151</v>
          </cell>
          <cell r="BN174">
            <v>5.9914386534913575</v>
          </cell>
          <cell r="BO174">
            <v>28.888404998086624</v>
          </cell>
          <cell r="BP174"/>
          <cell r="BQ174">
            <v>0</v>
          </cell>
          <cell r="BR174">
            <v>0</v>
          </cell>
          <cell r="BS174">
            <v>0</v>
          </cell>
          <cell r="BT174">
            <v>0</v>
          </cell>
          <cell r="BU174">
            <v>0</v>
          </cell>
          <cell r="BV174"/>
          <cell r="BW174" t="e">
            <v>#VALUE!</v>
          </cell>
          <cell r="BX174" t="e">
            <v>#VALUE!</v>
          </cell>
          <cell r="BY174" t="e">
            <v>#VALUE!</v>
          </cell>
          <cell r="BZ174" t="e">
            <v>#VALUE!</v>
          </cell>
          <cell r="CA174" t="e">
            <v>#VALUE!</v>
          </cell>
          <cell r="CB174"/>
          <cell r="CC174" t="e">
            <v>#VALUE!</v>
          </cell>
          <cell r="CD174" t="e">
            <v>#VALUE!</v>
          </cell>
          <cell r="CE174" t="e">
            <v>#VALUE!</v>
          </cell>
          <cell r="CF174" t="e">
            <v>#VALUE!</v>
          </cell>
          <cell r="CG174" t="e">
            <v>#VALUE!</v>
          </cell>
          <cell r="CH174"/>
        </row>
        <row r="175">
          <cell r="A175" t="str">
            <v>% total</v>
          </cell>
          <cell r="C175"/>
          <cell r="D175"/>
          <cell r="E175"/>
          <cell r="F175"/>
          <cell r="G175"/>
          <cell r="I175"/>
          <cell r="J175"/>
          <cell r="K175"/>
          <cell r="L175"/>
          <cell r="M175"/>
          <cell r="O175"/>
          <cell r="P175"/>
          <cell r="Q175"/>
          <cell r="R175"/>
          <cell r="S175"/>
          <cell r="U175"/>
          <cell r="V175"/>
          <cell r="W175"/>
          <cell r="X175"/>
          <cell r="Y175">
            <v>1.713964596796853E-2</v>
          </cell>
          <cell r="AA175">
            <v>0.50869565217391299</v>
          </cell>
          <cell r="AB175">
            <v>0.62080536912751683</v>
          </cell>
          <cell r="AC175">
            <v>0.59485530546623788</v>
          </cell>
          <cell r="AD175">
            <v>0.48678071539657852</v>
          </cell>
          <cell r="AE175">
            <v>0.53981106612685559</v>
          </cell>
          <cell r="AG175">
            <v>0.48719996585094877</v>
          </cell>
          <cell r="AH175">
            <v>0.4089491178409459</v>
          </cell>
          <cell r="AI175">
            <v>0.33997751555399469</v>
          </cell>
          <cell r="AJ175">
            <v>0.35684210526315796</v>
          </cell>
          <cell r="AK175">
            <v>0.39001673500407824</v>
          </cell>
          <cell r="AM175">
            <v>0.33934088568486093</v>
          </cell>
          <cell r="AN175">
            <v>0.22902097902097901</v>
          </cell>
          <cell r="AO175">
            <v>0.20140412461605969</v>
          </cell>
          <cell r="AP175">
            <v>0.27138157894736842</v>
          </cell>
          <cell r="AQ175">
            <v>0.25746560787383965</v>
          </cell>
          <cell r="AS175">
            <v>0.30535761414621276</v>
          </cell>
          <cell r="AT175">
            <v>0.41422701592193117</v>
          </cell>
          <cell r="AU175">
            <v>0.37448653582838892</v>
          </cell>
          <cell r="AV175">
            <v>0.38018332605848976</v>
          </cell>
          <cell r="AW175">
            <v>0.36961614705352319</v>
          </cell>
          <cell r="AY175">
            <v>0.41218369259606369</v>
          </cell>
          <cell r="AZ175">
            <v>0.39282153539381853</v>
          </cell>
          <cell r="BA175">
            <v>0.39282480760525124</v>
          </cell>
          <cell r="BB175">
            <v>0.35105215004574569</v>
          </cell>
          <cell r="BC175">
            <v>0.38215849056603768</v>
          </cell>
          <cell r="BE175">
            <v>0.37682962529274006</v>
          </cell>
          <cell r="BF175">
            <v>0.44968386219937362</v>
          </cell>
          <cell r="BG175">
            <v>0.44968386219937362</v>
          </cell>
          <cell r="BH175">
            <v>0.44968386219937362</v>
          </cell>
          <cell r="BI175">
            <v>0.43135358214021285</v>
          </cell>
          <cell r="BK175">
            <v>0.44968386219937362</v>
          </cell>
          <cell r="BL175">
            <v>0.44968386219937362</v>
          </cell>
          <cell r="BM175">
            <v>0.44968386219937362</v>
          </cell>
          <cell r="BN175">
            <v>0.44968386219937362</v>
          </cell>
          <cell r="BO175">
            <v>0.44968386219937362</v>
          </cell>
          <cell r="BQ175">
            <v>0.44968386219937362</v>
          </cell>
          <cell r="BR175">
            <v>0.44968386219937362</v>
          </cell>
          <cell r="BS175">
            <v>0.44968386219937362</v>
          </cell>
          <cell r="BT175">
            <v>0.44968386219937362</v>
          </cell>
          <cell r="BU175" t="str">
            <v>NA</v>
          </cell>
          <cell r="BW175">
            <v>0.44968386219937362</v>
          </cell>
          <cell r="BX175">
            <v>0.44968386219937362</v>
          </cell>
          <cell r="BY175">
            <v>0.44968386219937362</v>
          </cell>
          <cell r="BZ175">
            <v>0.44968386219937362</v>
          </cell>
          <cell r="CA175" t="str">
            <v>NA</v>
          </cell>
          <cell r="CC175">
            <v>0.44968386219937362</v>
          </cell>
          <cell r="CD175">
            <v>0.44968386219937362</v>
          </cell>
          <cell r="CE175">
            <v>0.44968386219937362</v>
          </cell>
          <cell r="CF175">
            <v>0.44968386219937362</v>
          </cell>
          <cell r="CG175" t="str">
            <v>NA</v>
          </cell>
        </row>
        <row r="176">
          <cell r="A176"/>
          <cell r="C176"/>
          <cell r="D176"/>
          <cell r="E176"/>
          <cell r="F176"/>
          <cell r="G176"/>
          <cell r="I176"/>
          <cell r="J176"/>
          <cell r="K176"/>
          <cell r="L176"/>
          <cell r="M176"/>
          <cell r="O176"/>
          <cell r="P176"/>
          <cell r="Q176"/>
          <cell r="R176"/>
          <cell r="S176"/>
          <cell r="U176"/>
          <cell r="V176"/>
          <cell r="W176"/>
          <cell r="X176"/>
          <cell r="Y176"/>
          <cell r="AA176"/>
          <cell r="AB176"/>
          <cell r="AC176"/>
          <cell r="AD176"/>
          <cell r="AE176"/>
          <cell r="AG176"/>
          <cell r="AH176"/>
          <cell r="AI176"/>
          <cell r="AJ176"/>
          <cell r="AK176"/>
          <cell r="AM176"/>
          <cell r="AN176"/>
          <cell r="AO176"/>
          <cell r="AP176"/>
          <cell r="AQ176"/>
          <cell r="AS176"/>
          <cell r="AT176"/>
          <cell r="AU176"/>
          <cell r="AV176"/>
          <cell r="AW176"/>
          <cell r="AY176"/>
          <cell r="AZ176"/>
          <cell r="BA176"/>
          <cell r="BB176"/>
          <cell r="BC176"/>
          <cell r="BE176"/>
          <cell r="BF176"/>
          <cell r="BG176"/>
          <cell r="BH176"/>
          <cell r="BI176"/>
          <cell r="BK176"/>
          <cell r="BL176"/>
          <cell r="BM176"/>
          <cell r="BN176"/>
          <cell r="BO176"/>
          <cell r="BQ176"/>
          <cell r="BR176"/>
          <cell r="BS176"/>
          <cell r="BT176"/>
          <cell r="BU176"/>
          <cell r="BW176"/>
          <cell r="BX176"/>
          <cell r="BY176"/>
          <cell r="BZ176"/>
          <cell r="CA176"/>
          <cell r="CC176"/>
          <cell r="CD176"/>
          <cell r="CE176"/>
          <cell r="CF176"/>
          <cell r="CG176"/>
        </row>
        <row r="177">
          <cell r="A177" t="str">
            <v>Research and development</v>
          </cell>
          <cell r="B177"/>
          <cell r="C177"/>
          <cell r="D177"/>
          <cell r="E177"/>
          <cell r="F177"/>
          <cell r="G177"/>
          <cell r="H177"/>
          <cell r="I177"/>
          <cell r="J177"/>
          <cell r="K177"/>
          <cell r="L177"/>
          <cell r="M177"/>
          <cell r="N177"/>
          <cell r="O177"/>
          <cell r="P177"/>
          <cell r="Q177"/>
          <cell r="R177"/>
          <cell r="S177"/>
          <cell r="T177"/>
          <cell r="U177"/>
          <cell r="V177"/>
          <cell r="W177"/>
          <cell r="X177"/>
          <cell r="Y177">
            <v>1.081</v>
          </cell>
          <cell r="Z177"/>
          <cell r="AA177">
            <v>3.5000000000000003E-2</v>
          </cell>
          <cell r="AB177">
            <v>2.8000000000000001E-2</v>
          </cell>
          <cell r="AC177">
            <v>3.4000000000000002E-2</v>
          </cell>
          <cell r="AD177">
            <v>0.14199999999999999</v>
          </cell>
          <cell r="AE177">
            <v>0.23899999999999999</v>
          </cell>
          <cell r="AF177"/>
          <cell r="AG177">
            <v>7.279989000000002E-2</v>
          </cell>
          <cell r="AH177">
            <v>7.1042859999999999E-2</v>
          </cell>
          <cell r="AI177">
            <v>9.9082940000000008E-2</v>
          </cell>
          <cell r="AJ177">
            <v>9.5000000000000001E-2</v>
          </cell>
          <cell r="AK177">
            <v>0.33792569000000006</v>
          </cell>
          <cell r="AL177"/>
          <cell r="AM177">
            <v>0.23599999999999999</v>
          </cell>
          <cell r="AN177">
            <v>0.46300000000000002</v>
          </cell>
          <cell r="AO177">
            <v>0.45800000000000002</v>
          </cell>
          <cell r="AP177">
            <v>0.47799999999999998</v>
          </cell>
          <cell r="AQ177">
            <v>1.635</v>
          </cell>
          <cell r="AR177"/>
          <cell r="AS177">
            <v>1.2330000000000001</v>
          </cell>
          <cell r="AT177">
            <v>0.72099999999999997</v>
          </cell>
          <cell r="AU177">
            <v>0.82799999999999996</v>
          </cell>
          <cell r="AV177">
            <v>0.91700000000000004</v>
          </cell>
          <cell r="AW177">
            <v>3.6989999999999998</v>
          </cell>
          <cell r="AX177"/>
          <cell r="AY177">
            <v>0.83899999999999997</v>
          </cell>
          <cell r="AZ177">
            <v>1.516</v>
          </cell>
          <cell r="BA177">
            <v>1.659</v>
          </cell>
          <cell r="BB177">
            <v>2.94</v>
          </cell>
          <cell r="BC177">
            <v>6.9540000000000006</v>
          </cell>
          <cell r="BD177"/>
          <cell r="BE177">
            <v>3.6269999999999998</v>
          </cell>
          <cell r="BF177">
            <v>2.992</v>
          </cell>
          <cell r="BG177">
            <v>5.7960000000000003</v>
          </cell>
          <cell r="BH177">
            <v>3.7360508566458899</v>
          </cell>
          <cell r="BI177">
            <v>16.151050856645888</v>
          </cell>
          <cell r="BJ177"/>
          <cell r="BK177">
            <v>4.3712873823232599</v>
          </cell>
          <cell r="BL177">
            <v>6.2968464478212596</v>
          </cell>
          <cell r="BM177">
            <v>6.6254310556092149</v>
          </cell>
          <cell r="BN177">
            <v>4.5251991706588361</v>
          </cell>
          <cell r="BO177">
            <v>21.818764056412572</v>
          </cell>
          <cell r="BP177"/>
          <cell r="BQ177">
            <v>0</v>
          </cell>
          <cell r="BR177">
            <v>0</v>
          </cell>
          <cell r="BS177">
            <v>0</v>
          </cell>
          <cell r="BT177">
            <v>0</v>
          </cell>
          <cell r="BU177">
            <v>0</v>
          </cell>
          <cell r="BV177"/>
          <cell r="BW177" t="e">
            <v>#VALUE!</v>
          </cell>
          <cell r="BX177" t="e">
            <v>#VALUE!</v>
          </cell>
          <cell r="BY177" t="e">
            <v>#VALUE!</v>
          </cell>
          <cell r="BZ177" t="e">
            <v>#VALUE!</v>
          </cell>
          <cell r="CA177" t="e">
            <v>#VALUE!</v>
          </cell>
          <cell r="CB177"/>
          <cell r="CC177" t="e">
            <v>#VALUE!</v>
          </cell>
          <cell r="CD177" t="e">
            <v>#VALUE!</v>
          </cell>
          <cell r="CE177" t="e">
            <v>#VALUE!</v>
          </cell>
          <cell r="CF177" t="e">
            <v>#VALUE!</v>
          </cell>
          <cell r="CG177" t="e">
            <v>#VALUE!</v>
          </cell>
          <cell r="CH177"/>
        </row>
        <row r="178">
          <cell r="A178" t="str">
            <v>% total</v>
          </cell>
          <cell r="C178"/>
          <cell r="D178"/>
          <cell r="E178"/>
          <cell r="F178"/>
          <cell r="G178"/>
          <cell r="I178"/>
          <cell r="J178"/>
          <cell r="K178"/>
          <cell r="L178"/>
          <cell r="M178"/>
          <cell r="O178"/>
          <cell r="P178"/>
          <cell r="Q178"/>
          <cell r="R178"/>
          <cell r="S178"/>
          <cell r="U178"/>
          <cell r="V178"/>
          <cell r="W178"/>
          <cell r="X178"/>
          <cell r="Y178">
            <v>0.10124566825887421</v>
          </cell>
          <cell r="AA178">
            <v>0.15217391304347824</v>
          </cell>
          <cell r="AB178">
            <v>9.3959731543624164E-2</v>
          </cell>
          <cell r="AC178">
            <v>0.10932475884244373</v>
          </cell>
          <cell r="AD178">
            <v>0.22083981337480557</v>
          </cell>
          <cell r="AE178">
            <v>0.16126855600539811</v>
          </cell>
          <cell r="AG178">
            <v>0.11435007585091678</v>
          </cell>
          <cell r="AH178">
            <v>8.9800513991844869E-2</v>
          </cell>
          <cell r="AI178">
            <v>0.10937003823047248</v>
          </cell>
          <cell r="AJ178">
            <v>0.1</v>
          </cell>
          <cell r="AK178">
            <v>0.1029099934987087</v>
          </cell>
          <cell r="AM178">
            <v>0.12152420185375899</v>
          </cell>
          <cell r="AN178">
            <v>0.20236013986013984</v>
          </cell>
          <cell r="AO178">
            <v>0.20096533567354105</v>
          </cell>
          <cell r="AP178">
            <v>0.19654605263157895</v>
          </cell>
          <cell r="AQ178">
            <v>0.18286545129180184</v>
          </cell>
          <cell r="AS178">
            <v>0.32541567695961998</v>
          </cell>
          <cell r="AT178">
            <v>0.18515665125834616</v>
          </cell>
          <cell r="AU178">
            <v>0.18895481515289822</v>
          </cell>
          <cell r="AV178">
            <v>0.20013094718463553</v>
          </cell>
          <cell r="AW178">
            <v>0.22220219859434134</v>
          </cell>
          <cell r="AY178">
            <v>0.15726335520149953</v>
          </cell>
          <cell r="AZ178">
            <v>0.18893320039880357</v>
          </cell>
          <cell r="BA178">
            <v>0.18775464010864645</v>
          </cell>
          <cell r="BB178">
            <v>0.26898444647758463</v>
          </cell>
          <cell r="BC178">
            <v>0.20993207547169812</v>
          </cell>
          <cell r="BE178">
            <v>0.26544203747072598</v>
          </cell>
          <cell r="BF178">
            <v>0.17680080364001652</v>
          </cell>
          <cell r="BG178">
            <v>0.17680080364001652</v>
          </cell>
          <cell r="BH178">
            <v>0.17680080364001652</v>
          </cell>
          <cell r="BI178">
            <v>0.19910312550756618</v>
          </cell>
          <cell r="BK178">
            <v>0.17680080364001652</v>
          </cell>
          <cell r="BL178">
            <v>0.17680080364001652</v>
          </cell>
          <cell r="BM178">
            <v>0.17680080364001652</v>
          </cell>
          <cell r="BN178">
            <v>0.17680080364001652</v>
          </cell>
          <cell r="BO178">
            <v>0.17680080364001655</v>
          </cell>
          <cell r="BQ178">
            <v>0.17680080364001652</v>
          </cell>
          <cell r="BR178">
            <v>0.17680080364001652</v>
          </cell>
          <cell r="BS178">
            <v>0.17680080364001652</v>
          </cell>
          <cell r="BT178">
            <v>0.17680080364001652</v>
          </cell>
          <cell r="BU178" t="str">
            <v>NA</v>
          </cell>
          <cell r="BW178">
            <v>0.17680080364001652</v>
          </cell>
          <cell r="BX178">
            <v>0.17680080364001652</v>
          </cell>
          <cell r="BY178">
            <v>0.17680080364001652</v>
          </cell>
          <cell r="BZ178">
            <v>0.17680080364001652</v>
          </cell>
          <cell r="CA178" t="str">
            <v>NA</v>
          </cell>
          <cell r="CC178">
            <v>0.17680080364001652</v>
          </cell>
          <cell r="CD178">
            <v>0.17680080364001652</v>
          </cell>
          <cell r="CE178">
            <v>0.17680080364001652</v>
          </cell>
          <cell r="CF178">
            <v>0.17680080364001652</v>
          </cell>
          <cell r="CG178" t="str">
            <v>NA</v>
          </cell>
        </row>
        <row r="179">
          <cell r="A179"/>
          <cell r="C179"/>
          <cell r="D179"/>
          <cell r="E179"/>
          <cell r="F179"/>
          <cell r="G179"/>
          <cell r="I179"/>
          <cell r="J179"/>
          <cell r="K179"/>
          <cell r="L179"/>
          <cell r="M179"/>
          <cell r="O179"/>
          <cell r="P179"/>
          <cell r="Q179"/>
          <cell r="R179"/>
          <cell r="S179"/>
          <cell r="U179"/>
          <cell r="V179"/>
          <cell r="W179"/>
          <cell r="X179"/>
          <cell r="Y179"/>
          <cell r="AA179"/>
          <cell r="AB179"/>
          <cell r="AC179"/>
          <cell r="AD179"/>
          <cell r="AE179"/>
          <cell r="AG179"/>
          <cell r="AH179"/>
          <cell r="AI179"/>
          <cell r="AJ179"/>
          <cell r="AK179"/>
          <cell r="AM179"/>
          <cell r="AN179"/>
          <cell r="AO179"/>
          <cell r="AP179"/>
          <cell r="AQ179"/>
          <cell r="AS179"/>
          <cell r="AT179"/>
          <cell r="AU179"/>
          <cell r="AV179"/>
          <cell r="AW179"/>
          <cell r="AY179"/>
          <cell r="AZ179"/>
          <cell r="BA179"/>
          <cell r="BB179"/>
          <cell r="BC179"/>
          <cell r="BE179"/>
          <cell r="BF179"/>
          <cell r="BG179"/>
          <cell r="BH179"/>
          <cell r="BI179"/>
          <cell r="BK179"/>
          <cell r="BL179"/>
          <cell r="BM179"/>
          <cell r="BN179"/>
          <cell r="BO179"/>
          <cell r="BQ179"/>
          <cell r="BR179"/>
          <cell r="BS179"/>
          <cell r="BT179"/>
          <cell r="BU179"/>
          <cell r="BW179"/>
          <cell r="BX179"/>
          <cell r="BY179"/>
          <cell r="BZ179"/>
          <cell r="CA179"/>
          <cell r="CC179"/>
          <cell r="CD179"/>
          <cell r="CE179"/>
          <cell r="CF179"/>
          <cell r="CG179"/>
        </row>
        <row r="180">
          <cell r="A180" t="str">
            <v>General and administrative</v>
          </cell>
          <cell r="B180"/>
          <cell r="C180"/>
          <cell r="D180"/>
          <cell r="E180"/>
          <cell r="F180"/>
          <cell r="G180"/>
          <cell r="H180"/>
          <cell r="I180"/>
          <cell r="J180"/>
          <cell r="K180"/>
          <cell r="L180"/>
          <cell r="M180"/>
          <cell r="N180"/>
          <cell r="O180"/>
          <cell r="P180"/>
          <cell r="Q180"/>
          <cell r="R180"/>
          <cell r="S180"/>
          <cell r="T180"/>
          <cell r="U180"/>
          <cell r="V180"/>
          <cell r="W180"/>
          <cell r="X180"/>
          <cell r="Y180">
            <v>9.3789999999999996</v>
          </cell>
          <cell r="Z180"/>
          <cell r="AA180">
            <v>7.1999999999999995E-2</v>
          </cell>
          <cell r="AB180">
            <v>7.8E-2</v>
          </cell>
          <cell r="AC180">
            <v>8.5000000000000006E-2</v>
          </cell>
          <cell r="AD180">
            <v>0.17399999999999999</v>
          </cell>
          <cell r="AE180">
            <v>0.40899999999999997</v>
          </cell>
          <cell r="AF180"/>
          <cell r="AG180">
            <v>0.22808942999999998</v>
          </cell>
          <cell r="AH180">
            <v>0.3743412533085469</v>
          </cell>
          <cell r="AI180">
            <v>0.47499999999999998</v>
          </cell>
          <cell r="AJ180">
            <v>0.48199999999999998</v>
          </cell>
          <cell r="AK180">
            <v>1.5594306833085467</v>
          </cell>
          <cell r="AL180"/>
          <cell r="AM180">
            <v>0.92600000000000005</v>
          </cell>
          <cell r="AN180">
            <v>1.177</v>
          </cell>
          <cell r="AO180">
            <v>1.2390000000000001</v>
          </cell>
          <cell r="AP180">
            <v>1.177</v>
          </cell>
          <cell r="AQ180">
            <v>4.5190000000000001</v>
          </cell>
          <cell r="AR180"/>
          <cell r="AS180">
            <v>1.26</v>
          </cell>
          <cell r="AT180">
            <v>1.3540000000000001</v>
          </cell>
          <cell r="AU180">
            <v>1.6870000000000001</v>
          </cell>
          <cell r="AV180">
            <v>1.6970000000000001</v>
          </cell>
          <cell r="AW180">
            <v>5.9980000000000002</v>
          </cell>
          <cell r="AX180"/>
          <cell r="AY180">
            <v>1.99</v>
          </cell>
          <cell r="AZ180">
            <v>2.9460000000000002</v>
          </cell>
          <cell r="BA180">
            <v>3.2749999999999999</v>
          </cell>
          <cell r="BB180">
            <v>3.6669999999999998</v>
          </cell>
          <cell r="BC180">
            <v>11.878</v>
          </cell>
          <cell r="BD180"/>
          <cell r="BE180">
            <v>4.452</v>
          </cell>
          <cell r="BF180">
            <v>5.7240000000000002</v>
          </cell>
          <cell r="BG180">
            <v>6.5129999999999999</v>
          </cell>
          <cell r="BH180">
            <v>4.1982227793883178</v>
          </cell>
          <cell r="BI180">
            <v>20.887222779388317</v>
          </cell>
          <cell r="BJ180"/>
          <cell r="BK180">
            <v>4.9120418773415127</v>
          </cell>
          <cell r="BL180">
            <v>7.0758041605693371</v>
          </cell>
          <cell r="BM180">
            <v>7.4450366572089086</v>
          </cell>
          <cell r="BN180">
            <v>5.0849934780022448</v>
          </cell>
          <cell r="BO180">
            <v>24.517876173122005</v>
          </cell>
          <cell r="BP180"/>
          <cell r="BQ180">
            <v>0</v>
          </cell>
          <cell r="BR180">
            <v>0</v>
          </cell>
          <cell r="BS180">
            <v>0</v>
          </cell>
          <cell r="BT180">
            <v>0</v>
          </cell>
          <cell r="BU180">
            <v>0</v>
          </cell>
          <cell r="BV180"/>
          <cell r="BW180" t="e">
            <v>#VALUE!</v>
          </cell>
          <cell r="BX180" t="e">
            <v>#VALUE!</v>
          </cell>
          <cell r="BY180" t="e">
            <v>#VALUE!</v>
          </cell>
          <cell r="BZ180" t="e">
            <v>#VALUE!</v>
          </cell>
          <cell r="CA180" t="e">
            <v>#VALUE!</v>
          </cell>
          <cell r="CB180"/>
          <cell r="CC180" t="e">
            <v>#VALUE!</v>
          </cell>
          <cell r="CD180" t="e">
            <v>#VALUE!</v>
          </cell>
          <cell r="CE180" t="e">
            <v>#VALUE!</v>
          </cell>
          <cell r="CF180" t="e">
            <v>#VALUE!</v>
          </cell>
          <cell r="CG180" t="e">
            <v>#VALUE!</v>
          </cell>
          <cell r="CH180"/>
        </row>
        <row r="181">
          <cell r="A181" t="str">
            <v>% total</v>
          </cell>
          <cell r="C181"/>
          <cell r="D181"/>
          <cell r="E181"/>
          <cell r="F181"/>
          <cell r="G181"/>
          <cell r="I181"/>
          <cell r="J181"/>
          <cell r="K181"/>
          <cell r="L181"/>
          <cell r="M181"/>
          <cell r="O181"/>
          <cell r="P181"/>
          <cell r="Q181"/>
          <cell r="R181"/>
          <cell r="S181"/>
          <cell r="U181"/>
          <cell r="V181"/>
          <cell r="W181"/>
          <cell r="X181"/>
          <cell r="Y181">
            <v>0.87843027067528334</v>
          </cell>
          <cell r="AA181">
            <v>0.31304347826086948</v>
          </cell>
          <cell r="AB181">
            <v>0.26174496644295303</v>
          </cell>
          <cell r="AC181">
            <v>0.27331189710610937</v>
          </cell>
          <cell r="AD181">
            <v>0.270606531881804</v>
          </cell>
          <cell r="AE181">
            <v>0.27597840755735492</v>
          </cell>
          <cell r="AG181">
            <v>0.35827037130540118</v>
          </cell>
          <cell r="AH181">
            <v>0.473179668660002</v>
          </cell>
          <cell r="AI181">
            <v>0.52431597366281646</v>
          </cell>
          <cell r="AJ181">
            <v>0.50736842105263158</v>
          </cell>
          <cell r="AK181">
            <v>0.47490027017765174</v>
          </cell>
          <cell r="AM181">
            <v>0.47682801235839339</v>
          </cell>
          <cell r="AN181">
            <v>0.51442307692307687</v>
          </cell>
          <cell r="AO181">
            <v>0.54365949978060557</v>
          </cell>
          <cell r="AP181">
            <v>0.48396381578947373</v>
          </cell>
          <cell r="AQ181">
            <v>0.50542444916675999</v>
          </cell>
          <cell r="AS181">
            <v>0.33254156769596205</v>
          </cell>
          <cell r="AT181">
            <v>0.34771443246019518</v>
          </cell>
          <cell r="AU181">
            <v>0.38498402555910549</v>
          </cell>
          <cell r="AV181">
            <v>0.37036228721082498</v>
          </cell>
          <cell r="AW181">
            <v>0.36030516008890495</v>
          </cell>
          <cell r="AY181">
            <v>0.37300843486410495</v>
          </cell>
          <cell r="AZ181">
            <v>0.36714855433698901</v>
          </cell>
          <cell r="BA181">
            <v>0.37064282480760524</v>
          </cell>
          <cell r="BB181">
            <v>0.33549862763037508</v>
          </cell>
          <cell r="BC181">
            <v>0.35858113207547171</v>
          </cell>
          <cell r="BE181">
            <v>0.32581967213114754</v>
          </cell>
          <cell r="BF181">
            <v>0.33823790108136853</v>
          </cell>
          <cell r="BG181">
            <v>0.33823790108136864</v>
          </cell>
          <cell r="BH181">
            <v>0.33823790108136864</v>
          </cell>
          <cell r="BI181">
            <v>0.33511344841860791</v>
          </cell>
          <cell r="BK181">
            <v>0.33823790108136864</v>
          </cell>
          <cell r="BL181">
            <v>0.33823790108136864</v>
          </cell>
          <cell r="BM181">
            <v>0.33823790108136864</v>
          </cell>
          <cell r="BN181">
            <v>0.33823790108136864</v>
          </cell>
          <cell r="BO181">
            <v>0.33823790108136864</v>
          </cell>
          <cell r="BQ181">
            <v>0.33823790108136864</v>
          </cell>
          <cell r="BR181">
            <v>0.33823790108136864</v>
          </cell>
          <cell r="BS181">
            <v>0.33823790108136864</v>
          </cell>
          <cell r="BT181">
            <v>0.33823790108136864</v>
          </cell>
          <cell r="BU181" t="str">
            <v>NA</v>
          </cell>
          <cell r="BW181">
            <v>0.33823790108136864</v>
          </cell>
          <cell r="BX181">
            <v>0.33823790108136864</v>
          </cell>
          <cell r="BY181">
            <v>0.33823790108136864</v>
          </cell>
          <cell r="BZ181">
            <v>0.33823790108136864</v>
          </cell>
          <cell r="CA181" t="str">
            <v>NA</v>
          </cell>
          <cell r="CC181">
            <v>0.33823790108136864</v>
          </cell>
          <cell r="CD181">
            <v>0.33823790108136864</v>
          </cell>
          <cell r="CE181">
            <v>0.33823790108136864</v>
          </cell>
          <cell r="CF181">
            <v>0.33823790108136864</v>
          </cell>
          <cell r="CG181" t="str">
            <v>NA</v>
          </cell>
        </row>
        <row r="182">
          <cell r="A182"/>
          <cell r="C182"/>
          <cell r="D182"/>
          <cell r="E182"/>
          <cell r="F182"/>
          <cell r="G182"/>
          <cell r="I182"/>
          <cell r="J182"/>
          <cell r="K182"/>
          <cell r="L182"/>
          <cell r="M182"/>
          <cell r="O182"/>
          <cell r="P182"/>
          <cell r="Q182"/>
          <cell r="R182"/>
          <cell r="S182"/>
          <cell r="U182"/>
          <cell r="V182"/>
          <cell r="W182"/>
          <cell r="X182"/>
          <cell r="Y182"/>
          <cell r="AA182"/>
          <cell r="AB182"/>
          <cell r="AC182"/>
          <cell r="AD182"/>
          <cell r="AE182"/>
          <cell r="AG182"/>
          <cell r="AH182"/>
          <cell r="AI182"/>
          <cell r="AJ182"/>
          <cell r="AK182"/>
          <cell r="AM182"/>
          <cell r="AN182"/>
          <cell r="AO182"/>
          <cell r="AP182"/>
          <cell r="AQ182"/>
          <cell r="AS182"/>
          <cell r="AT182"/>
          <cell r="AU182"/>
          <cell r="AV182"/>
          <cell r="AW182"/>
          <cell r="AY182"/>
          <cell r="AZ182"/>
          <cell r="BA182"/>
          <cell r="BB182"/>
          <cell r="BC182"/>
          <cell r="BE182"/>
          <cell r="BF182"/>
          <cell r="BG182"/>
          <cell r="BH182"/>
          <cell r="BI182"/>
          <cell r="BK182"/>
          <cell r="BL182"/>
          <cell r="BM182"/>
          <cell r="BN182"/>
          <cell r="BO182"/>
          <cell r="BQ182"/>
          <cell r="BR182"/>
          <cell r="BS182"/>
          <cell r="BT182"/>
          <cell r="BU182"/>
          <cell r="BW182"/>
          <cell r="BX182"/>
          <cell r="BY182"/>
          <cell r="BZ182"/>
          <cell r="CA182"/>
          <cell r="CC182"/>
          <cell r="CD182"/>
          <cell r="CE182"/>
          <cell r="CF182"/>
          <cell r="CG182"/>
        </row>
        <row r="183">
          <cell r="A183" t="str">
            <v>Other operating expenses</v>
          </cell>
          <cell r="B183"/>
          <cell r="C183"/>
          <cell r="D183"/>
          <cell r="E183"/>
          <cell r="F183"/>
          <cell r="G183"/>
          <cell r="H183"/>
          <cell r="I183"/>
          <cell r="J183"/>
          <cell r="K183"/>
          <cell r="L183"/>
          <cell r="M183"/>
          <cell r="N183"/>
          <cell r="O183"/>
          <cell r="P183"/>
          <cell r="Q183"/>
          <cell r="R183"/>
          <cell r="S183"/>
          <cell r="T183"/>
          <cell r="U183"/>
          <cell r="V183"/>
          <cell r="W183"/>
          <cell r="X183"/>
          <cell r="Y183">
            <v>0</v>
          </cell>
          <cell r="Z183"/>
          <cell r="AA183">
            <v>0</v>
          </cell>
          <cell r="AB183">
            <v>0</v>
          </cell>
          <cell r="AC183">
            <v>0</v>
          </cell>
          <cell r="AD183">
            <v>0</v>
          </cell>
          <cell r="AE183">
            <v>0</v>
          </cell>
          <cell r="AF183"/>
          <cell r="AG183">
            <v>0</v>
          </cell>
          <cell r="AH183">
            <v>0</v>
          </cell>
          <cell r="AI183">
            <v>0</v>
          </cell>
          <cell r="AJ183">
            <v>0</v>
          </cell>
          <cell r="AK183">
            <v>0</v>
          </cell>
          <cell r="AL183"/>
          <cell r="AM183">
            <v>0</v>
          </cell>
          <cell r="AN183">
            <v>0</v>
          </cell>
          <cell r="AO183">
            <v>0</v>
          </cell>
          <cell r="AP183">
            <v>0</v>
          </cell>
          <cell r="AQ183">
            <v>0</v>
          </cell>
          <cell r="AR183"/>
          <cell r="AS183">
            <v>0</v>
          </cell>
          <cell r="AT183">
            <v>0</v>
          </cell>
          <cell r="AU183">
            <v>0</v>
          </cell>
          <cell r="AV183">
            <v>0</v>
          </cell>
          <cell r="AW183">
            <v>0</v>
          </cell>
          <cell r="AX183"/>
          <cell r="AY183">
            <v>0</v>
          </cell>
          <cell r="AZ183">
            <v>0</v>
          </cell>
          <cell r="BA183">
            <v>0</v>
          </cell>
          <cell r="BB183">
            <v>0</v>
          </cell>
          <cell r="BC183">
            <v>0</v>
          </cell>
          <cell r="BD183"/>
          <cell r="BE183">
            <v>0</v>
          </cell>
          <cell r="BF183">
            <v>0</v>
          </cell>
          <cell r="BG183">
            <v>0</v>
          </cell>
          <cell r="BH183">
            <v>0</v>
          </cell>
          <cell r="BI183">
            <v>0</v>
          </cell>
          <cell r="BJ183"/>
          <cell r="BK183">
            <v>0</v>
          </cell>
          <cell r="BL183">
            <v>0</v>
          </cell>
          <cell r="BM183">
            <v>0</v>
          </cell>
          <cell r="BN183">
            <v>0</v>
          </cell>
          <cell r="BO183">
            <v>0</v>
          </cell>
          <cell r="BP183"/>
          <cell r="BQ183">
            <v>0</v>
          </cell>
          <cell r="BR183">
            <v>0</v>
          </cell>
          <cell r="BS183">
            <v>0</v>
          </cell>
          <cell r="BT183">
            <v>0</v>
          </cell>
          <cell r="BU183">
            <v>0</v>
          </cell>
          <cell r="BV183"/>
          <cell r="BW183" t="e">
            <v>#VALUE!</v>
          </cell>
          <cell r="BX183" t="e">
            <v>#VALUE!</v>
          </cell>
          <cell r="BY183" t="e">
            <v>#VALUE!</v>
          </cell>
          <cell r="BZ183" t="e">
            <v>#VALUE!</v>
          </cell>
          <cell r="CA183" t="e">
            <v>#VALUE!</v>
          </cell>
          <cell r="CB183"/>
          <cell r="CC183" t="e">
            <v>#VALUE!</v>
          </cell>
          <cell r="CD183" t="e">
            <v>#VALUE!</v>
          </cell>
          <cell r="CE183" t="e">
            <v>#VALUE!</v>
          </cell>
          <cell r="CF183" t="e">
            <v>#VALUE!</v>
          </cell>
          <cell r="CG183" t="e">
            <v>#VALUE!</v>
          </cell>
          <cell r="CH183"/>
        </row>
        <row r="184">
          <cell r="A184" t="str">
            <v>% total</v>
          </cell>
          <cell r="C184"/>
          <cell r="D184"/>
          <cell r="E184"/>
          <cell r="F184"/>
          <cell r="G184"/>
          <cell r="I184"/>
          <cell r="J184"/>
          <cell r="K184"/>
          <cell r="L184"/>
          <cell r="M184"/>
          <cell r="O184"/>
          <cell r="P184"/>
          <cell r="Q184"/>
          <cell r="R184"/>
          <cell r="S184"/>
          <cell r="U184"/>
          <cell r="V184"/>
          <cell r="W184"/>
          <cell r="X184"/>
          <cell r="Y184">
            <v>0</v>
          </cell>
          <cell r="AA184">
            <v>0</v>
          </cell>
          <cell r="AB184">
            <v>0</v>
          </cell>
          <cell r="AC184">
            <v>0</v>
          </cell>
          <cell r="AD184">
            <v>0</v>
          </cell>
          <cell r="AE184">
            <v>0</v>
          </cell>
          <cell r="AG184">
            <v>0</v>
          </cell>
          <cell r="AH184">
            <v>0</v>
          </cell>
          <cell r="AI184">
            <v>0</v>
          </cell>
          <cell r="AJ184">
            <v>0</v>
          </cell>
          <cell r="AK184">
            <v>0</v>
          </cell>
          <cell r="AM184">
            <v>0</v>
          </cell>
          <cell r="AN184">
            <v>0</v>
          </cell>
          <cell r="AO184">
            <v>0</v>
          </cell>
          <cell r="AP184">
            <v>0</v>
          </cell>
          <cell r="AQ184">
            <v>0</v>
          </cell>
          <cell r="AS184">
            <v>0</v>
          </cell>
          <cell r="AT184">
            <v>0</v>
          </cell>
          <cell r="AU184">
            <v>0</v>
          </cell>
          <cell r="AV184">
            <v>0</v>
          </cell>
          <cell r="AW184">
            <v>0</v>
          </cell>
          <cell r="AY184">
            <v>0</v>
          </cell>
          <cell r="AZ184">
            <v>0</v>
          </cell>
          <cell r="BA184">
            <v>0</v>
          </cell>
          <cell r="BB184">
            <v>0</v>
          </cell>
          <cell r="BC184">
            <v>0</v>
          </cell>
          <cell r="BE184">
            <v>0</v>
          </cell>
          <cell r="BF184">
            <v>0</v>
          </cell>
          <cell r="BG184">
            <v>0</v>
          </cell>
          <cell r="BH184">
            <v>0</v>
          </cell>
          <cell r="BI184">
            <v>0</v>
          </cell>
          <cell r="BK184">
            <v>0</v>
          </cell>
          <cell r="BL184">
            <v>0</v>
          </cell>
          <cell r="BM184">
            <v>0</v>
          </cell>
          <cell r="BN184">
            <v>0</v>
          </cell>
          <cell r="BO184">
            <v>0</v>
          </cell>
          <cell r="BQ184">
            <v>0</v>
          </cell>
          <cell r="BR184">
            <v>0</v>
          </cell>
          <cell r="BS184">
            <v>0</v>
          </cell>
          <cell r="BT184">
            <v>0</v>
          </cell>
          <cell r="BU184" t="str">
            <v>NA</v>
          </cell>
          <cell r="BW184">
            <v>0</v>
          </cell>
          <cell r="BX184">
            <v>0</v>
          </cell>
          <cell r="BY184">
            <v>0</v>
          </cell>
          <cell r="BZ184">
            <v>0</v>
          </cell>
          <cell r="CA184" t="str">
            <v>NA</v>
          </cell>
          <cell r="CC184">
            <v>0</v>
          </cell>
          <cell r="CD184">
            <v>0</v>
          </cell>
          <cell r="CE184">
            <v>0</v>
          </cell>
          <cell r="CF184">
            <v>0</v>
          </cell>
          <cell r="CG184" t="str">
            <v>NA</v>
          </cell>
        </row>
        <row r="185">
          <cell r="A185"/>
          <cell r="C185"/>
          <cell r="D185"/>
          <cell r="E185"/>
          <cell r="F185"/>
          <cell r="G185"/>
          <cell r="I185"/>
          <cell r="J185"/>
          <cell r="K185"/>
          <cell r="L185"/>
          <cell r="M185"/>
          <cell r="O185"/>
          <cell r="P185"/>
          <cell r="Q185"/>
          <cell r="R185"/>
          <cell r="S185"/>
          <cell r="U185"/>
          <cell r="V185"/>
          <cell r="W185"/>
          <cell r="X185"/>
          <cell r="Y185"/>
          <cell r="AA185"/>
          <cell r="AB185"/>
          <cell r="AC185"/>
          <cell r="AD185"/>
          <cell r="AE185"/>
          <cell r="AG185"/>
          <cell r="AH185"/>
          <cell r="AI185"/>
          <cell r="AJ185"/>
          <cell r="AK185"/>
          <cell r="AM185"/>
          <cell r="AN185"/>
          <cell r="AO185"/>
          <cell r="AP185"/>
          <cell r="AQ185"/>
          <cell r="AS185"/>
          <cell r="AT185"/>
          <cell r="AU185"/>
          <cell r="AV185"/>
          <cell r="AW185"/>
          <cell r="AY185"/>
          <cell r="AZ185"/>
          <cell r="BA185"/>
          <cell r="BB185"/>
          <cell r="BC185"/>
          <cell r="BE185"/>
          <cell r="BF185"/>
          <cell r="BG185"/>
          <cell r="BH185"/>
          <cell r="BI185"/>
          <cell r="BK185"/>
          <cell r="BL185"/>
          <cell r="BM185"/>
          <cell r="BN185"/>
          <cell r="BO185"/>
          <cell r="BQ185"/>
          <cell r="BR185"/>
          <cell r="BS185"/>
          <cell r="BT185"/>
          <cell r="BU185"/>
          <cell r="BW185"/>
          <cell r="BX185"/>
          <cell r="BY185"/>
          <cell r="BZ185"/>
          <cell r="CA185"/>
          <cell r="CC185"/>
          <cell r="CD185"/>
          <cell r="CE185"/>
          <cell r="CF185"/>
          <cell r="CG185"/>
        </row>
        <row r="186">
          <cell r="A186" t="str">
            <v>Total operating expenses</v>
          </cell>
          <cell r="B186"/>
          <cell r="C186"/>
          <cell r="D186"/>
          <cell r="E186"/>
          <cell r="F186"/>
          <cell r="G186"/>
          <cell r="H186"/>
          <cell r="I186"/>
          <cell r="J186"/>
          <cell r="K186"/>
          <cell r="L186"/>
          <cell r="M186"/>
          <cell r="N186"/>
          <cell r="O186"/>
          <cell r="P186"/>
          <cell r="Q186"/>
          <cell r="R186"/>
          <cell r="S186"/>
          <cell r="T186"/>
          <cell r="U186"/>
          <cell r="V186"/>
          <cell r="W186"/>
          <cell r="X186"/>
          <cell r="Y186">
            <v>0</v>
          </cell>
          <cell r="Z186"/>
          <cell r="AA186">
            <v>0</v>
          </cell>
          <cell r="AB186">
            <v>0</v>
          </cell>
          <cell r="AC186">
            <v>0</v>
          </cell>
          <cell r="AD186">
            <v>0</v>
          </cell>
          <cell r="AE186">
            <v>0</v>
          </cell>
          <cell r="AF186"/>
          <cell r="AG186">
            <v>0</v>
          </cell>
          <cell r="AH186">
            <v>0</v>
          </cell>
          <cell r="AI186">
            <v>0</v>
          </cell>
          <cell r="AJ186">
            <v>0</v>
          </cell>
          <cell r="AK186">
            <v>0</v>
          </cell>
          <cell r="AL186"/>
          <cell r="AM186">
            <v>0</v>
          </cell>
          <cell r="AN186">
            <v>0</v>
          </cell>
          <cell r="AO186">
            <v>0</v>
          </cell>
          <cell r="AP186">
            <v>0</v>
          </cell>
          <cell r="AQ186">
            <v>0</v>
          </cell>
          <cell r="AR186"/>
          <cell r="AS186">
            <v>0</v>
          </cell>
          <cell r="AT186">
            <v>0</v>
          </cell>
          <cell r="AU186">
            <v>0</v>
          </cell>
          <cell r="AV186">
            <v>0</v>
          </cell>
          <cell r="AW186">
            <v>0</v>
          </cell>
          <cell r="AX186"/>
          <cell r="AY186">
            <v>0</v>
          </cell>
          <cell r="AZ186">
            <v>0</v>
          </cell>
          <cell r="BA186">
            <v>0</v>
          </cell>
          <cell r="BB186">
            <v>0</v>
          </cell>
          <cell r="BC186">
            <v>0</v>
          </cell>
          <cell r="BD186"/>
          <cell r="BE186">
            <v>0</v>
          </cell>
          <cell r="BF186">
            <v>0</v>
          </cell>
          <cell r="BG186">
            <v>0</v>
          </cell>
          <cell r="BH186">
            <v>0</v>
          </cell>
          <cell r="BI186">
            <v>0</v>
          </cell>
          <cell r="BJ186"/>
          <cell r="BK186">
            <v>0</v>
          </cell>
          <cell r="BL186">
            <v>0</v>
          </cell>
          <cell r="BM186">
            <v>0</v>
          </cell>
          <cell r="BN186">
            <v>0</v>
          </cell>
          <cell r="BO186">
            <v>0</v>
          </cell>
          <cell r="BP186"/>
          <cell r="BQ186">
            <v>0</v>
          </cell>
          <cell r="BR186">
            <v>0</v>
          </cell>
          <cell r="BS186">
            <v>0</v>
          </cell>
          <cell r="BT186">
            <v>0</v>
          </cell>
          <cell r="BU186">
            <v>0</v>
          </cell>
          <cell r="BV186"/>
          <cell r="BW186" t="e">
            <v>#VALUE!</v>
          </cell>
          <cell r="BX186" t="e">
            <v>#VALUE!</v>
          </cell>
          <cell r="BY186" t="e">
            <v>#VALUE!</v>
          </cell>
          <cell r="BZ186" t="e">
            <v>#VALUE!</v>
          </cell>
          <cell r="CA186" t="e">
            <v>#VALUE!</v>
          </cell>
          <cell r="CB186"/>
          <cell r="CC186" t="e">
            <v>#VALUE!</v>
          </cell>
          <cell r="CD186" t="e">
            <v>#VALUE!</v>
          </cell>
          <cell r="CE186" t="e">
            <v>#VALUE!</v>
          </cell>
          <cell r="CF186" t="e">
            <v>#VALUE!</v>
          </cell>
          <cell r="CG186" t="e">
            <v>#VALUE!</v>
          </cell>
          <cell r="CH186"/>
        </row>
        <row r="187">
          <cell r="A187" t="str">
            <v>% total</v>
          </cell>
          <cell r="C187"/>
          <cell r="D187"/>
          <cell r="E187"/>
          <cell r="F187"/>
          <cell r="G187"/>
          <cell r="I187"/>
          <cell r="J187"/>
          <cell r="K187"/>
          <cell r="L187"/>
          <cell r="M187"/>
          <cell r="O187"/>
          <cell r="P187"/>
          <cell r="Q187"/>
          <cell r="R187"/>
          <cell r="S187"/>
          <cell r="U187"/>
          <cell r="V187"/>
          <cell r="W187"/>
          <cell r="X187"/>
          <cell r="Y187">
            <v>0</v>
          </cell>
          <cell r="AA187">
            <v>0</v>
          </cell>
          <cell r="AB187">
            <v>0</v>
          </cell>
          <cell r="AC187">
            <v>0</v>
          </cell>
          <cell r="AD187">
            <v>0</v>
          </cell>
          <cell r="AE187">
            <v>0</v>
          </cell>
          <cell r="AG187">
            <v>0</v>
          </cell>
          <cell r="AH187">
            <v>0</v>
          </cell>
          <cell r="AI187">
            <v>0</v>
          </cell>
          <cell r="AJ187">
            <v>0</v>
          </cell>
          <cell r="AK187">
            <v>0</v>
          </cell>
          <cell r="AM187">
            <v>0</v>
          </cell>
          <cell r="AN187">
            <v>0</v>
          </cell>
          <cell r="AO187">
            <v>0</v>
          </cell>
          <cell r="AP187">
            <v>0</v>
          </cell>
          <cell r="AQ187">
            <v>0</v>
          </cell>
          <cell r="AS187">
            <v>0</v>
          </cell>
          <cell r="AT187">
            <v>0</v>
          </cell>
          <cell r="AU187">
            <v>0</v>
          </cell>
          <cell r="AV187">
            <v>0</v>
          </cell>
          <cell r="AW187">
            <v>0</v>
          </cell>
          <cell r="AY187">
            <v>0</v>
          </cell>
          <cell r="AZ187">
            <v>0</v>
          </cell>
          <cell r="BA187">
            <v>0</v>
          </cell>
          <cell r="BB187">
            <v>0</v>
          </cell>
          <cell r="BC187">
            <v>0</v>
          </cell>
          <cell r="BE187">
            <v>0</v>
          </cell>
          <cell r="BF187">
            <v>0</v>
          </cell>
          <cell r="BG187">
            <v>0</v>
          </cell>
          <cell r="BH187">
            <v>0</v>
          </cell>
          <cell r="BI187">
            <v>0</v>
          </cell>
          <cell r="BK187">
            <v>0</v>
          </cell>
          <cell r="BL187">
            <v>0</v>
          </cell>
          <cell r="BM187">
            <v>0</v>
          </cell>
          <cell r="BN187">
            <v>0</v>
          </cell>
          <cell r="BO187">
            <v>0</v>
          </cell>
          <cell r="BQ187">
            <v>0</v>
          </cell>
          <cell r="BR187">
            <v>0</v>
          </cell>
          <cell r="BS187">
            <v>0</v>
          </cell>
          <cell r="BT187">
            <v>0</v>
          </cell>
          <cell r="BU187" t="str">
            <v>NA</v>
          </cell>
          <cell r="BW187">
            <v>0</v>
          </cell>
          <cell r="BX187">
            <v>0</v>
          </cell>
          <cell r="BY187">
            <v>0</v>
          </cell>
          <cell r="BZ187">
            <v>0</v>
          </cell>
          <cell r="CA187" t="str">
            <v>NA</v>
          </cell>
          <cell r="CC187">
            <v>0</v>
          </cell>
          <cell r="CD187">
            <v>0</v>
          </cell>
          <cell r="CE187">
            <v>0</v>
          </cell>
          <cell r="CF187">
            <v>0</v>
          </cell>
          <cell r="CG187" t="str">
            <v>NA</v>
          </cell>
        </row>
        <row r="188">
          <cell r="A188"/>
          <cell r="C188"/>
          <cell r="D188"/>
          <cell r="E188"/>
          <cell r="F188"/>
          <cell r="G188"/>
          <cell r="I188"/>
          <cell r="J188"/>
          <cell r="K188"/>
          <cell r="L188"/>
          <cell r="M188"/>
          <cell r="O188"/>
          <cell r="P188"/>
          <cell r="Q188"/>
          <cell r="R188"/>
          <cell r="S188"/>
          <cell r="U188"/>
          <cell r="V188"/>
          <cell r="W188"/>
          <cell r="X188"/>
          <cell r="Y188"/>
          <cell r="AA188"/>
          <cell r="AB188"/>
          <cell r="AC188"/>
          <cell r="AD188"/>
          <cell r="AE188"/>
          <cell r="AG188"/>
          <cell r="AH188"/>
          <cell r="AI188"/>
          <cell r="AJ188"/>
          <cell r="AK188"/>
          <cell r="AM188"/>
          <cell r="AN188"/>
          <cell r="AO188"/>
          <cell r="AP188"/>
          <cell r="AQ188"/>
          <cell r="AS188"/>
          <cell r="AT188"/>
          <cell r="AU188"/>
          <cell r="AV188"/>
          <cell r="AW188"/>
          <cell r="AY188"/>
          <cell r="AZ188"/>
          <cell r="BA188"/>
          <cell r="BB188"/>
          <cell r="BC188"/>
          <cell r="BE188"/>
          <cell r="BF188"/>
          <cell r="BG188"/>
          <cell r="BH188"/>
          <cell r="BI188"/>
          <cell r="BK188"/>
          <cell r="BL188"/>
          <cell r="BM188"/>
          <cell r="BN188"/>
          <cell r="BO188"/>
          <cell r="BQ188"/>
          <cell r="BR188"/>
          <cell r="BS188"/>
          <cell r="BT188"/>
          <cell r="BU188"/>
          <cell r="BW188"/>
          <cell r="BX188"/>
          <cell r="BY188"/>
          <cell r="BZ188"/>
          <cell r="CA188"/>
          <cell r="CC188"/>
          <cell r="CD188"/>
          <cell r="CE188"/>
          <cell r="CF188"/>
          <cell r="CG188"/>
        </row>
        <row r="189">
          <cell r="A189" t="str">
            <v>Other income (expense), net</v>
          </cell>
          <cell r="B189"/>
          <cell r="C189"/>
          <cell r="D189"/>
          <cell r="E189"/>
          <cell r="F189"/>
          <cell r="G189"/>
          <cell r="H189"/>
          <cell r="I189"/>
          <cell r="J189"/>
          <cell r="K189"/>
          <cell r="L189"/>
          <cell r="M189"/>
          <cell r="N189"/>
          <cell r="O189"/>
          <cell r="P189"/>
          <cell r="Q189"/>
          <cell r="R189"/>
          <cell r="S189"/>
          <cell r="T189"/>
          <cell r="U189"/>
          <cell r="V189"/>
          <cell r="W189"/>
          <cell r="X189"/>
          <cell r="Y189">
            <v>0</v>
          </cell>
          <cell r="Z189"/>
          <cell r="AA189">
            <v>0</v>
          </cell>
          <cell r="AB189">
            <v>0</v>
          </cell>
          <cell r="AC189">
            <v>0</v>
          </cell>
          <cell r="AD189">
            <v>0</v>
          </cell>
          <cell r="AE189">
            <v>0</v>
          </cell>
          <cell r="AF189"/>
          <cell r="AG189">
            <v>0</v>
          </cell>
          <cell r="AH189">
            <v>0</v>
          </cell>
          <cell r="AI189">
            <v>0</v>
          </cell>
          <cell r="AJ189">
            <v>0</v>
          </cell>
          <cell r="AK189">
            <v>0</v>
          </cell>
          <cell r="AL189"/>
          <cell r="AM189">
            <v>0</v>
          </cell>
          <cell r="AN189">
            <v>0</v>
          </cell>
          <cell r="AO189">
            <v>0</v>
          </cell>
          <cell r="AP189">
            <v>0</v>
          </cell>
          <cell r="AQ189">
            <v>0</v>
          </cell>
          <cell r="AR189"/>
          <cell r="AS189">
            <v>0</v>
          </cell>
          <cell r="AT189">
            <v>0</v>
          </cell>
          <cell r="AU189">
            <v>0</v>
          </cell>
          <cell r="AV189">
            <v>0</v>
          </cell>
          <cell r="AW189">
            <v>0</v>
          </cell>
          <cell r="AX189"/>
          <cell r="AY189">
            <v>0</v>
          </cell>
          <cell r="AZ189">
            <v>0</v>
          </cell>
          <cell r="BA189">
            <v>0</v>
          </cell>
          <cell r="BB189">
            <v>0</v>
          </cell>
          <cell r="BC189">
            <v>0</v>
          </cell>
          <cell r="BD189"/>
          <cell r="BE189">
            <v>0</v>
          </cell>
          <cell r="BF189">
            <v>0</v>
          </cell>
          <cell r="BG189">
            <v>0</v>
          </cell>
          <cell r="BH189">
            <v>0</v>
          </cell>
          <cell r="BI189">
            <v>0</v>
          </cell>
          <cell r="BJ189"/>
          <cell r="BK189">
            <v>0</v>
          </cell>
          <cell r="BL189">
            <v>0</v>
          </cell>
          <cell r="BM189">
            <v>0</v>
          </cell>
          <cell r="BN189">
            <v>0</v>
          </cell>
          <cell r="BO189">
            <v>0</v>
          </cell>
          <cell r="BP189"/>
          <cell r="BQ189">
            <v>0</v>
          </cell>
          <cell r="BR189">
            <v>0</v>
          </cell>
          <cell r="BS189">
            <v>0</v>
          </cell>
          <cell r="BT189">
            <v>0</v>
          </cell>
          <cell r="BU189">
            <v>0</v>
          </cell>
          <cell r="BV189"/>
          <cell r="BW189" t="e">
            <v>#VALUE!</v>
          </cell>
          <cell r="BX189" t="e">
            <v>#VALUE!</v>
          </cell>
          <cell r="BY189" t="e">
            <v>#VALUE!</v>
          </cell>
          <cell r="BZ189" t="e">
            <v>#VALUE!</v>
          </cell>
          <cell r="CA189" t="e">
            <v>#VALUE!</v>
          </cell>
          <cell r="CB189"/>
          <cell r="CC189" t="e">
            <v>#VALUE!</v>
          </cell>
          <cell r="CD189" t="e">
            <v>#VALUE!</v>
          </cell>
          <cell r="CE189" t="e">
            <v>#VALUE!</v>
          </cell>
          <cell r="CF189" t="e">
            <v>#VALUE!</v>
          </cell>
          <cell r="CG189" t="e">
            <v>#VALUE!</v>
          </cell>
          <cell r="CH189"/>
        </row>
        <row r="190">
          <cell r="A190" t="str">
            <v>% total</v>
          </cell>
          <cell r="C190"/>
          <cell r="D190"/>
          <cell r="E190"/>
          <cell r="F190"/>
          <cell r="G190"/>
          <cell r="I190"/>
          <cell r="J190"/>
          <cell r="K190"/>
          <cell r="L190"/>
          <cell r="M190"/>
          <cell r="O190"/>
          <cell r="P190"/>
          <cell r="Q190"/>
          <cell r="R190"/>
          <cell r="S190"/>
          <cell r="U190"/>
          <cell r="V190"/>
          <cell r="W190"/>
          <cell r="X190"/>
          <cell r="Y190">
            <v>0</v>
          </cell>
          <cell r="AA190">
            <v>0</v>
          </cell>
          <cell r="AB190">
            <v>0</v>
          </cell>
          <cell r="AC190">
            <v>0</v>
          </cell>
          <cell r="AD190">
            <v>0</v>
          </cell>
          <cell r="AE190">
            <v>0</v>
          </cell>
          <cell r="AG190">
            <v>0</v>
          </cell>
          <cell r="AH190">
            <v>0</v>
          </cell>
          <cell r="AI190">
            <v>0</v>
          </cell>
          <cell r="AJ190">
            <v>0</v>
          </cell>
          <cell r="AK190">
            <v>0</v>
          </cell>
          <cell r="AM190">
            <v>0</v>
          </cell>
          <cell r="AN190">
            <v>0</v>
          </cell>
          <cell r="AO190">
            <v>0</v>
          </cell>
          <cell r="AP190">
            <v>0</v>
          </cell>
          <cell r="AQ190">
            <v>0</v>
          </cell>
          <cell r="AS190">
            <v>0</v>
          </cell>
          <cell r="AT190">
            <v>0</v>
          </cell>
          <cell r="AU190">
            <v>0</v>
          </cell>
          <cell r="AV190">
            <v>0</v>
          </cell>
          <cell r="AW190">
            <v>0</v>
          </cell>
          <cell r="AY190">
            <v>0</v>
          </cell>
          <cell r="AZ190">
            <v>0</v>
          </cell>
          <cell r="BA190">
            <v>0</v>
          </cell>
          <cell r="BB190">
            <v>0</v>
          </cell>
          <cell r="BC190">
            <v>0</v>
          </cell>
          <cell r="BE190">
            <v>0</v>
          </cell>
          <cell r="BF190">
            <v>0</v>
          </cell>
          <cell r="BG190">
            <v>0</v>
          </cell>
          <cell r="BH190">
            <v>0</v>
          </cell>
          <cell r="BI190">
            <v>0</v>
          </cell>
          <cell r="BK190">
            <v>0</v>
          </cell>
          <cell r="BL190">
            <v>0</v>
          </cell>
          <cell r="BM190">
            <v>0</v>
          </cell>
          <cell r="BN190">
            <v>0</v>
          </cell>
          <cell r="BO190">
            <v>0</v>
          </cell>
          <cell r="BQ190">
            <v>0</v>
          </cell>
          <cell r="BR190">
            <v>0</v>
          </cell>
          <cell r="BS190">
            <v>0</v>
          </cell>
          <cell r="BT190">
            <v>0</v>
          </cell>
          <cell r="BU190" t="str">
            <v>NA</v>
          </cell>
          <cell r="BW190">
            <v>0</v>
          </cell>
          <cell r="BX190">
            <v>0</v>
          </cell>
          <cell r="BY190">
            <v>0</v>
          </cell>
          <cell r="BZ190">
            <v>0</v>
          </cell>
          <cell r="CA190" t="str">
            <v>NA</v>
          </cell>
          <cell r="CC190">
            <v>0</v>
          </cell>
          <cell r="CD190">
            <v>0</v>
          </cell>
          <cell r="CE190">
            <v>0</v>
          </cell>
          <cell r="CF190">
            <v>0</v>
          </cell>
          <cell r="CG190" t="str">
            <v>NA</v>
          </cell>
        </row>
        <row r="191">
          <cell r="A191"/>
          <cell r="C191"/>
          <cell r="D191"/>
          <cell r="E191"/>
          <cell r="F191"/>
          <cell r="G191"/>
          <cell r="I191"/>
          <cell r="J191"/>
          <cell r="K191"/>
          <cell r="L191"/>
          <cell r="M191"/>
          <cell r="O191"/>
          <cell r="P191"/>
          <cell r="Q191"/>
          <cell r="R191"/>
          <cell r="S191"/>
          <cell r="U191"/>
          <cell r="V191"/>
          <cell r="W191"/>
          <cell r="X191"/>
          <cell r="Y191"/>
          <cell r="AA191"/>
          <cell r="AB191"/>
          <cell r="AC191"/>
          <cell r="AD191"/>
          <cell r="AE191"/>
          <cell r="AG191"/>
          <cell r="AH191"/>
          <cell r="AI191"/>
          <cell r="AJ191"/>
          <cell r="AK191"/>
          <cell r="AM191"/>
          <cell r="AN191"/>
          <cell r="AO191"/>
          <cell r="AP191"/>
          <cell r="AQ191"/>
          <cell r="AS191"/>
          <cell r="AT191"/>
          <cell r="AU191"/>
          <cell r="AV191"/>
          <cell r="AW191"/>
          <cell r="AY191"/>
          <cell r="AZ191"/>
          <cell r="BA191"/>
          <cell r="BB191"/>
          <cell r="BC191"/>
          <cell r="BE191"/>
          <cell r="BF191"/>
          <cell r="BG191"/>
          <cell r="BH191"/>
          <cell r="BI191"/>
          <cell r="BK191"/>
          <cell r="BL191"/>
          <cell r="BM191"/>
          <cell r="BN191"/>
          <cell r="BO191"/>
          <cell r="BQ191"/>
          <cell r="BR191"/>
          <cell r="BS191"/>
          <cell r="BT191"/>
          <cell r="BU191"/>
          <cell r="BW191"/>
          <cell r="BX191"/>
          <cell r="BY191"/>
          <cell r="BZ191"/>
          <cell r="CA191"/>
          <cell r="CC191"/>
          <cell r="CD191"/>
          <cell r="CE191"/>
          <cell r="CF191"/>
          <cell r="CG191"/>
        </row>
        <row r="192">
          <cell r="A192" t="str">
            <v>Total</v>
          </cell>
          <cell r="B192"/>
          <cell r="C192"/>
          <cell r="D192"/>
          <cell r="E192"/>
          <cell r="F192"/>
          <cell r="G192"/>
          <cell r="I192"/>
          <cell r="J192"/>
          <cell r="K192"/>
          <cell r="L192"/>
          <cell r="M192"/>
          <cell r="O192"/>
          <cell r="P192"/>
          <cell r="Q192"/>
          <cell r="R192"/>
          <cell r="S192"/>
          <cell r="U192"/>
          <cell r="V192"/>
          <cell r="W192"/>
          <cell r="X192"/>
          <cell r="Y192">
            <v>10.677</v>
          </cell>
          <cell r="AA192">
            <v>0.23000000000000004</v>
          </cell>
          <cell r="AB192">
            <v>0.29799999999999999</v>
          </cell>
          <cell r="AC192">
            <v>0.311</v>
          </cell>
          <cell r="AD192">
            <v>0.64300000000000002</v>
          </cell>
          <cell r="AE192">
            <v>1.482</v>
          </cell>
          <cell r="AG192">
            <v>0.63664050468066535</v>
          </cell>
          <cell r="AH192">
            <v>0.79111863442620911</v>
          </cell>
          <cell r="AI192">
            <v>0.90594226355855567</v>
          </cell>
          <cell r="AJ192">
            <v>0.95</v>
          </cell>
          <cell r="AK192">
            <v>3.2837014026654301</v>
          </cell>
          <cell r="AL192"/>
          <cell r="AM192">
            <v>1.9420000000000002</v>
          </cell>
          <cell r="AN192">
            <v>2.2880000000000003</v>
          </cell>
          <cell r="AO192">
            <v>2.2789999999999999</v>
          </cell>
          <cell r="AP192">
            <v>2.4319999999999999</v>
          </cell>
          <cell r="AQ192">
            <v>8.9409999999999989</v>
          </cell>
          <cell r="AS192">
            <v>3.7889999999999997</v>
          </cell>
          <cell r="AT192">
            <v>3.8940000000000001</v>
          </cell>
          <cell r="AU192">
            <v>4.3819999999999997</v>
          </cell>
          <cell r="AV192">
            <v>4.5819999999999999</v>
          </cell>
          <cell r="AW192">
            <v>16.646999999999998</v>
          </cell>
          <cell r="AY192">
            <v>5.335</v>
          </cell>
          <cell r="AZ192">
            <v>8.0240000000000009</v>
          </cell>
          <cell r="BA192">
            <v>8.8360000000000003</v>
          </cell>
          <cell r="BB192">
            <v>10.93</v>
          </cell>
          <cell r="BC192">
            <v>33.125</v>
          </cell>
          <cell r="BE192">
            <v>13.664</v>
          </cell>
          <cell r="BF192">
            <v>16.923000000000002</v>
          </cell>
          <cell r="BG192">
            <v>10.732947050000002</v>
          </cell>
          <cell r="BH192">
            <v>12.988022598000001</v>
          </cell>
          <cell r="BI192">
            <v>54.307969648000004</v>
          </cell>
          <cell r="BK192">
            <v>15.304907120218292</v>
          </cell>
          <cell r="BL192">
            <v>11.898250981679038</v>
          </cell>
          <cell r="BM192">
            <v>12.68786024744262</v>
          </cell>
          <cell r="BN192">
            <v>17.628151702895043</v>
          </cell>
          <cell r="BO192">
            <v>57.51917005223499</v>
          </cell>
          <cell r="BQ192" t="e">
            <v>#VALUE!</v>
          </cell>
          <cell r="BR192" t="e">
            <v>#VALUE!</v>
          </cell>
          <cell r="BS192" t="e">
            <v>#VALUE!</v>
          </cell>
          <cell r="BT192" t="e">
            <v>#VALUE!</v>
          </cell>
          <cell r="BU192" t="e">
            <v>#VALUE!</v>
          </cell>
          <cell r="BW192" t="e">
            <v>#VALUE!</v>
          </cell>
          <cell r="BX192" t="e">
            <v>#VALUE!</v>
          </cell>
          <cell r="BY192" t="e">
            <v>#VALUE!</v>
          </cell>
          <cell r="BZ192" t="e">
            <v>#VALUE!</v>
          </cell>
          <cell r="CA192" t="e">
            <v>#VALUE!</v>
          </cell>
          <cell r="CC192" t="e">
            <v>#VALUE!</v>
          </cell>
          <cell r="CD192" t="e">
            <v>#VALUE!</v>
          </cell>
          <cell r="CE192" t="e">
            <v>#VALUE!</v>
          </cell>
          <cell r="CF192" t="e">
            <v>#VALUE!</v>
          </cell>
          <cell r="CG192" t="e">
            <v>#VALUE!</v>
          </cell>
        </row>
        <row r="193">
          <cell r="A193" t="str">
            <v>q/q change</v>
          </cell>
          <cell r="B193"/>
          <cell r="C193"/>
          <cell r="D193"/>
          <cell r="E193"/>
          <cell r="F193"/>
          <cell r="G193"/>
          <cell r="I193"/>
          <cell r="J193"/>
          <cell r="K193"/>
          <cell r="L193"/>
          <cell r="M193"/>
          <cell r="O193"/>
          <cell r="P193"/>
          <cell r="Q193"/>
          <cell r="R193"/>
          <cell r="S193"/>
          <cell r="U193"/>
          <cell r="V193"/>
          <cell r="W193"/>
          <cell r="X193"/>
          <cell r="Y193" t="str">
            <v>NA</v>
          </cell>
          <cell r="AA193" t="str">
            <v>NA</v>
          </cell>
          <cell r="AB193">
            <v>0.2956521739130431</v>
          </cell>
          <cell r="AC193">
            <v>4.3624161073825496E-2</v>
          </cell>
          <cell r="AD193">
            <v>1.067524115755627</v>
          </cell>
          <cell r="AE193" t="str">
            <v>NA</v>
          </cell>
          <cell r="AG193">
            <v>-9.8903504188719848E-3</v>
          </cell>
          <cell r="AH193">
            <v>0.2426457767135457</v>
          </cell>
          <cell r="AI193">
            <v>0.14514084757417844</v>
          </cell>
          <cell r="AJ193">
            <v>4.8631947325632918E-2</v>
          </cell>
          <cell r="AK193" t="str">
            <v>NA</v>
          </cell>
          <cell r="AL193"/>
          <cell r="AM193" t="str">
            <v>NA</v>
          </cell>
          <cell r="AN193">
            <v>0.17816683831101954</v>
          </cell>
          <cell r="AO193">
            <v>-3.933566433566571E-3</v>
          </cell>
          <cell r="AP193">
            <v>6.7134708205353277E-2</v>
          </cell>
          <cell r="AQ193" t="str">
            <v>NA</v>
          </cell>
          <cell r="AS193">
            <v>0.5579769736842104</v>
          </cell>
          <cell r="AT193">
            <v>2.7711797307996999E-2</v>
          </cell>
          <cell r="AU193">
            <v>0.1253210066769388</v>
          </cell>
          <cell r="AV193">
            <v>4.5641259698767644E-2</v>
          </cell>
          <cell r="AW193" t="str">
            <v>NA</v>
          </cell>
          <cell r="AY193">
            <v>0.1643387167175907</v>
          </cell>
          <cell r="AZ193">
            <v>0.50402999062792886</v>
          </cell>
          <cell r="BA193">
            <v>0.10119641076769681</v>
          </cell>
          <cell r="BB193">
            <v>0.23698506111362594</v>
          </cell>
          <cell r="BC193" t="str">
            <v>NA</v>
          </cell>
          <cell r="BE193">
            <v>0.25013723696248857</v>
          </cell>
          <cell r="BF193">
            <v>0.23850995316159262</v>
          </cell>
          <cell r="BG193">
            <v>-0.36577751876144893</v>
          </cell>
          <cell r="BH193">
            <v>0.21010776793126906</v>
          </cell>
          <cell r="BI193" t="str">
            <v>NA</v>
          </cell>
          <cell r="BK193">
            <v>0.17838624045626972</v>
          </cell>
          <cell r="BL193">
            <v>-0.22258587469890279</v>
          </cell>
          <cell r="BM193">
            <v>6.6363473671838369E-2</v>
          </cell>
          <cell r="BN193">
            <v>0.38937152199861225</v>
          </cell>
          <cell r="BO193" t="str">
            <v>NA</v>
          </cell>
          <cell r="BQ193" t="str">
            <v>NA</v>
          </cell>
          <cell r="BR193" t="str">
            <v>NA</v>
          </cell>
          <cell r="BS193" t="str">
            <v>NA</v>
          </cell>
          <cell r="BT193" t="str">
            <v>NA</v>
          </cell>
          <cell r="BU193" t="str">
            <v>NA</v>
          </cell>
          <cell r="BW193" t="str">
            <v>NA</v>
          </cell>
          <cell r="BX193" t="str">
            <v>NA</v>
          </cell>
          <cell r="BY193" t="str">
            <v>NA</v>
          </cell>
          <cell r="BZ193" t="str">
            <v>NA</v>
          </cell>
          <cell r="CA193" t="str">
            <v>NA</v>
          </cell>
          <cell r="CC193" t="str">
            <v>NA</v>
          </cell>
          <cell r="CD193" t="str">
            <v>NA</v>
          </cell>
          <cell r="CE193" t="str">
            <v>NA</v>
          </cell>
          <cell r="CF193" t="str">
            <v>NA</v>
          </cell>
          <cell r="CG193" t="str">
            <v>NA</v>
          </cell>
        </row>
        <row r="194">
          <cell r="A194" t="str">
            <v>y/y change</v>
          </cell>
          <cell r="B194"/>
          <cell r="C194"/>
          <cell r="D194"/>
          <cell r="E194"/>
          <cell r="F194"/>
          <cell r="G194"/>
          <cell r="H194"/>
          <cell r="I194"/>
          <cell r="J194"/>
          <cell r="K194"/>
          <cell r="L194"/>
          <cell r="M194"/>
          <cell r="N194"/>
          <cell r="O194"/>
          <cell r="P194"/>
          <cell r="Q194"/>
          <cell r="R194"/>
          <cell r="S194"/>
          <cell r="T194"/>
          <cell r="U194"/>
          <cell r="V194"/>
          <cell r="W194"/>
          <cell r="X194"/>
          <cell r="Y194" t="str">
            <v>NA</v>
          </cell>
          <cell r="Z194"/>
          <cell r="AA194" t="str">
            <v>NA</v>
          </cell>
          <cell r="AB194" t="str">
            <v>NA</v>
          </cell>
          <cell r="AC194" t="str">
            <v>NA</v>
          </cell>
          <cell r="AD194" t="str">
            <v>NA</v>
          </cell>
          <cell r="AE194">
            <v>-0.86119696543973023</v>
          </cell>
          <cell r="AF194"/>
          <cell r="AG194">
            <v>1.768002194263762</v>
          </cell>
          <cell r="AH194">
            <v>1.6547605182087555</v>
          </cell>
          <cell r="AI194">
            <v>1.9129976320210793</v>
          </cell>
          <cell r="AJ194">
            <v>0.47744945567651631</v>
          </cell>
          <cell r="AK194">
            <v>1.2157229437688462</v>
          </cell>
          <cell r="AL194"/>
          <cell r="AM194" t="str">
            <v>NA</v>
          </cell>
          <cell r="AN194" t="str">
            <v>NA</v>
          </cell>
          <cell r="AO194" t="str">
            <v>NA</v>
          </cell>
          <cell r="AP194" t="str">
            <v>NA</v>
          </cell>
          <cell r="AQ194" t="str">
            <v>NA</v>
          </cell>
          <cell r="AR194"/>
          <cell r="AS194">
            <v>0.95108135942327454</v>
          </cell>
          <cell r="AT194">
            <v>0.70192307692307687</v>
          </cell>
          <cell r="AU194">
            <v>0.92277314611671768</v>
          </cell>
          <cell r="AV194">
            <v>0.88404605263157898</v>
          </cell>
          <cell r="AW194">
            <v>0.86187227379487763</v>
          </cell>
          <cell r="AX194"/>
          <cell r="AY194">
            <v>0.40802322512536304</v>
          </cell>
          <cell r="AZ194">
            <v>1.0606060606060606</v>
          </cell>
          <cell r="BA194">
            <v>1.0164308534915567</v>
          </cell>
          <cell r="BB194">
            <v>1.385421213443911</v>
          </cell>
          <cell r="BC194">
            <v>0.98984802066438426</v>
          </cell>
          <cell r="BD194"/>
          <cell r="BE194">
            <v>1.5611996251171507</v>
          </cell>
          <cell r="BF194">
            <v>1.109047856430708</v>
          </cell>
          <cell r="BG194">
            <v>1.3423494794024449</v>
          </cell>
          <cell r="BH194">
            <v>0.22059515096065874</v>
          </cell>
          <cell r="BI194">
            <v>0.95094656603773564</v>
          </cell>
          <cell r="BJ194"/>
          <cell r="BK194">
            <v>0.14237983606891391</v>
          </cell>
          <cell r="BL194">
            <v>0.32869338039091911</v>
          </cell>
          <cell r="BM194">
            <v>0.14310404686149325</v>
          </cell>
          <cell r="BN194">
            <v>0.21122526011902809</v>
          </cell>
          <cell r="BO194">
            <v>0.20561295781560074</v>
          </cell>
          <cell r="BP194"/>
          <cell r="BQ194">
            <v>-1</v>
          </cell>
          <cell r="BR194">
            <v>-1</v>
          </cell>
          <cell r="BS194">
            <v>-1</v>
          </cell>
          <cell r="BT194">
            <v>-1</v>
          </cell>
          <cell r="BU194">
            <v>-1</v>
          </cell>
          <cell r="BV194"/>
          <cell r="BW194" t="str">
            <v>NA</v>
          </cell>
          <cell r="BX194" t="str">
            <v>NA</v>
          </cell>
          <cell r="BY194" t="str">
            <v>NA</v>
          </cell>
          <cell r="BZ194" t="str">
            <v>NA</v>
          </cell>
          <cell r="CA194" t="str">
            <v>NA</v>
          </cell>
          <cell r="CB194"/>
          <cell r="CC194" t="str">
            <v>NA</v>
          </cell>
          <cell r="CD194" t="str">
            <v>NA</v>
          </cell>
          <cell r="CE194" t="str">
            <v>NA</v>
          </cell>
          <cell r="CF194" t="str">
            <v>NA</v>
          </cell>
          <cell r="CG194" t="str">
            <v>NA</v>
          </cell>
        </row>
        <row r="195">
          <cell r="A195" t="str">
            <v>% seasonality</v>
          </cell>
          <cell r="B195"/>
          <cell r="C195"/>
          <cell r="D195"/>
          <cell r="E195"/>
          <cell r="F195"/>
          <cell r="G195"/>
          <cell r="H195"/>
          <cell r="I195"/>
          <cell r="J195"/>
          <cell r="K195"/>
          <cell r="L195"/>
          <cell r="M195"/>
          <cell r="N195"/>
          <cell r="O195"/>
          <cell r="P195"/>
          <cell r="Q195"/>
          <cell r="R195"/>
          <cell r="S195"/>
          <cell r="T195"/>
          <cell r="U195"/>
          <cell r="V195"/>
          <cell r="W195"/>
          <cell r="X195"/>
          <cell r="Y195">
            <v>0</v>
          </cell>
          <cell r="Z195"/>
          <cell r="AA195">
            <v>0.15519568151147101</v>
          </cell>
          <cell r="AB195">
            <v>0.20107962213225369</v>
          </cell>
          <cell r="AC195">
            <v>0.20985155195681512</v>
          </cell>
          <cell r="AD195">
            <v>0.43387314439946023</v>
          </cell>
          <cell r="AE195">
            <v>1</v>
          </cell>
          <cell r="AF195"/>
          <cell r="AG195">
            <v>0.19387892704369972</v>
          </cell>
          <cell r="AH195">
            <v>0.24092282988460709</v>
          </cell>
          <cell r="AI195">
            <v>0.27589057361402858</v>
          </cell>
          <cell r="AJ195">
            <v>0.28930766945766462</v>
          </cell>
          <cell r="AK195">
            <v>1</v>
          </cell>
          <cell r="AL195"/>
          <cell r="AM195">
            <v>0.21720165529582824</v>
          </cell>
          <cell r="AN195">
            <v>0.25589978749580589</v>
          </cell>
          <cell r="AO195">
            <v>0.25489318868135558</v>
          </cell>
          <cell r="AP195">
            <v>0.2720053685270104</v>
          </cell>
          <cell r="AQ195">
            <v>1</v>
          </cell>
          <cell r="AR195"/>
          <cell r="AS195">
            <v>0.22760857812218419</v>
          </cell>
          <cell r="AT195">
            <v>0.23391602090466754</v>
          </cell>
          <cell r="AU195">
            <v>0.26323061212230431</v>
          </cell>
          <cell r="AV195">
            <v>0.27524478885084402</v>
          </cell>
          <cell r="AW195">
            <v>1</v>
          </cell>
          <cell r="AX195"/>
          <cell r="AY195">
            <v>0.16105660377358491</v>
          </cell>
          <cell r="AZ195">
            <v>0.24223396226415098</v>
          </cell>
          <cell r="BA195">
            <v>0.26674716981132074</v>
          </cell>
          <cell r="BB195">
            <v>0.32996226415094337</v>
          </cell>
          <cell r="BC195">
            <v>1</v>
          </cell>
          <cell r="BD195"/>
          <cell r="BE195">
            <v>0.2114348595642514</v>
          </cell>
          <cell r="BF195">
            <v>0.26186417801564893</v>
          </cell>
          <cell r="BG195">
            <v>0.32026253574365576</v>
          </cell>
          <cell r="BH195">
            <v>0.2064384266764441</v>
          </cell>
          <cell r="BI195">
            <v>1.0000000000000002</v>
          </cell>
          <cell r="BJ195"/>
          <cell r="BK195">
            <v>0.2003453252907115</v>
          </cell>
          <cell r="BL195">
            <v>0.28859776069536835</v>
          </cell>
          <cell r="BM195">
            <v>0.30365748666969017</v>
          </cell>
          <cell r="BN195">
            <v>0.20739942734423</v>
          </cell>
          <cell r="BO195">
            <v>1</v>
          </cell>
          <cell r="BP195"/>
          <cell r="BQ195" t="str">
            <v>NA</v>
          </cell>
          <cell r="BR195" t="str">
            <v>NA</v>
          </cell>
          <cell r="BS195" t="str">
            <v>NA</v>
          </cell>
          <cell r="BT195" t="str">
            <v>NA</v>
          </cell>
          <cell r="BU195">
            <v>0</v>
          </cell>
          <cell r="BV195"/>
          <cell r="BW195" t="str">
            <v>NA</v>
          </cell>
          <cell r="BX195" t="str">
            <v>NA</v>
          </cell>
          <cell r="BY195" t="str">
            <v>NA</v>
          </cell>
          <cell r="BZ195" t="str">
            <v>NA</v>
          </cell>
          <cell r="CA195">
            <v>0</v>
          </cell>
          <cell r="CB195"/>
          <cell r="CC195" t="str">
            <v>NA</v>
          </cell>
          <cell r="CD195" t="str">
            <v>NA</v>
          </cell>
          <cell r="CE195" t="str">
            <v>NA</v>
          </cell>
          <cell r="CF195" t="str">
            <v>NA</v>
          </cell>
          <cell r="CG195">
            <v>0</v>
          </cell>
        </row>
        <row r="196">
          <cell r="A196" t="str">
            <v>% balance check</v>
          </cell>
          <cell r="C196"/>
          <cell r="D196"/>
          <cell r="E196"/>
          <cell r="F196"/>
          <cell r="G196"/>
          <cell r="I196"/>
          <cell r="J196"/>
          <cell r="K196"/>
          <cell r="L196"/>
          <cell r="M196"/>
          <cell r="O196"/>
          <cell r="P196"/>
          <cell r="Q196"/>
          <cell r="R196"/>
          <cell r="S196"/>
          <cell r="U196"/>
          <cell r="V196"/>
          <cell r="W196"/>
          <cell r="X196"/>
          <cell r="Y196">
            <v>1</v>
          </cell>
          <cell r="AA196">
            <v>0.99999999999999978</v>
          </cell>
          <cell r="AB196">
            <v>1</v>
          </cell>
          <cell r="AC196">
            <v>1</v>
          </cell>
          <cell r="AD196">
            <v>1</v>
          </cell>
          <cell r="AE196">
            <v>1</v>
          </cell>
          <cell r="AG196">
            <v>1</v>
          </cell>
          <cell r="AH196">
            <v>1</v>
          </cell>
          <cell r="AI196">
            <v>1</v>
          </cell>
          <cell r="AJ196">
            <v>1</v>
          </cell>
          <cell r="AK196">
            <v>1</v>
          </cell>
          <cell r="AM196">
            <v>1</v>
          </cell>
          <cell r="AN196">
            <v>1</v>
          </cell>
          <cell r="AO196">
            <v>1</v>
          </cell>
          <cell r="AP196">
            <v>1</v>
          </cell>
          <cell r="AQ196">
            <v>1.0000000000000002</v>
          </cell>
          <cell r="AS196">
            <v>1</v>
          </cell>
          <cell r="AT196">
            <v>1</v>
          </cell>
          <cell r="AU196">
            <v>1</v>
          </cell>
          <cell r="AV196">
            <v>1</v>
          </cell>
          <cell r="AW196">
            <v>1</v>
          </cell>
          <cell r="AY196">
            <v>1</v>
          </cell>
          <cell r="AZ196">
            <v>1</v>
          </cell>
          <cell r="BA196">
            <v>1</v>
          </cell>
          <cell r="BB196">
            <v>1</v>
          </cell>
          <cell r="BC196">
            <v>1</v>
          </cell>
          <cell r="BE196">
            <v>1</v>
          </cell>
          <cell r="BF196">
            <v>0.99999999999999989</v>
          </cell>
          <cell r="BG196">
            <v>1</v>
          </cell>
          <cell r="BH196">
            <v>1</v>
          </cell>
          <cell r="BI196">
            <v>1</v>
          </cell>
          <cell r="BK196">
            <v>1</v>
          </cell>
          <cell r="BL196">
            <v>1</v>
          </cell>
          <cell r="BM196">
            <v>1</v>
          </cell>
          <cell r="BN196">
            <v>1</v>
          </cell>
          <cell r="BO196">
            <v>1</v>
          </cell>
          <cell r="BQ196">
            <v>1</v>
          </cell>
          <cell r="BR196">
            <v>1</v>
          </cell>
          <cell r="BS196">
            <v>1</v>
          </cell>
          <cell r="BT196">
            <v>1</v>
          </cell>
          <cell r="BU196">
            <v>0</v>
          </cell>
          <cell r="BW196">
            <v>1</v>
          </cell>
          <cell r="BX196">
            <v>1</v>
          </cell>
          <cell r="BY196">
            <v>1</v>
          </cell>
          <cell r="BZ196">
            <v>1</v>
          </cell>
          <cell r="CA196">
            <v>0</v>
          </cell>
          <cell r="CC196">
            <v>1</v>
          </cell>
          <cell r="CD196">
            <v>1</v>
          </cell>
          <cell r="CE196">
            <v>1</v>
          </cell>
          <cell r="CF196">
            <v>1</v>
          </cell>
          <cell r="CG196">
            <v>0</v>
          </cell>
        </row>
        <row r="197">
          <cell r="A197" t="str">
            <v>% total revenue</v>
          </cell>
          <cell r="C197"/>
          <cell r="D197"/>
          <cell r="E197"/>
          <cell r="F197"/>
          <cell r="G197"/>
          <cell r="I197"/>
          <cell r="J197"/>
          <cell r="K197"/>
          <cell r="L197"/>
          <cell r="M197"/>
          <cell r="O197"/>
          <cell r="P197"/>
          <cell r="Q197"/>
          <cell r="R197"/>
          <cell r="S197"/>
          <cell r="U197"/>
          <cell r="V197"/>
          <cell r="W197"/>
          <cell r="X197"/>
          <cell r="Y197">
            <v>0.28109203875315919</v>
          </cell>
          <cell r="AA197">
            <v>1.9953153465776009E-2</v>
          </cell>
          <cell r="AB197">
            <v>2.3446105428796223E-2</v>
          </cell>
          <cell r="AC197">
            <v>2.2009907997169141E-2</v>
          </cell>
          <cell r="AD197">
            <v>4.1607350847676979E-2</v>
          </cell>
          <cell r="AE197">
            <v>2.7535720257891898E-2</v>
          </cell>
          <cell r="AG197">
            <v>3.4611313726251244E-2</v>
          </cell>
          <cell r="AH197">
            <v>3.9611387664040112E-2</v>
          </cell>
          <cell r="AI197">
            <v>4.0332217236156875E-2</v>
          </cell>
          <cell r="AJ197">
            <v>3.8057847928851855E-2</v>
          </cell>
          <cell r="AK197">
            <v>3.8276039196473127E-2</v>
          </cell>
          <cell r="AM197">
            <v>6.8032930460676128E-2</v>
          </cell>
          <cell r="AN197">
            <v>7.5464230350605246E-2</v>
          </cell>
          <cell r="AO197">
            <v>6.6725223246962367E-2</v>
          </cell>
          <cell r="AP197">
            <v>6.3024774541308171E-2</v>
          </cell>
          <cell r="AQ197">
            <v>6.7937115806909962E-2</v>
          </cell>
          <cell r="AS197">
            <v>7.5284627153331077E-2</v>
          </cell>
          <cell r="AT197">
            <v>7.5608714224690302E-2</v>
          </cell>
          <cell r="AU197">
            <v>7.0012302481266678E-2</v>
          </cell>
          <cell r="AV197">
            <v>5.1396522714526077E-2</v>
          </cell>
          <cell r="AW197">
            <v>6.5650510707102566E-2</v>
          </cell>
          <cell r="AY197">
            <v>7.0178900289397536E-2</v>
          </cell>
          <cell r="AZ197">
            <v>9.7802371926916376E-2</v>
          </cell>
          <cell r="BA197">
            <v>8.5457024865324915E-2</v>
          </cell>
          <cell r="BB197">
            <v>6.9862575902844365E-2</v>
          </cell>
          <cell r="BC197">
            <v>7.9263477782297628E-2</v>
          </cell>
          <cell r="BE197">
            <v>0.12555246207422516</v>
          </cell>
          <cell r="BF197">
            <v>0.1</v>
          </cell>
          <cell r="BG197">
            <v>9.5000000000000001E-2</v>
          </cell>
          <cell r="BH197">
            <v>0.09</v>
          </cell>
          <cell r="BI197">
            <v>0.11745977920496693</v>
          </cell>
          <cell r="BK197">
            <v>0.13055246207422516</v>
          </cell>
          <cell r="BL197">
            <v>0.10500000000000001</v>
          </cell>
          <cell r="BM197">
            <v>0.1</v>
          </cell>
          <cell r="BN197">
            <v>9.5000000000000001E-2</v>
          </cell>
          <cell r="BO197">
            <v>0.10593109948260872</v>
          </cell>
          <cell r="BQ197"/>
          <cell r="BR197"/>
          <cell r="BS197"/>
          <cell r="BT197"/>
          <cell r="BU197">
            <v>0</v>
          </cell>
          <cell r="BW197"/>
          <cell r="BX197"/>
          <cell r="BY197"/>
          <cell r="BZ197"/>
          <cell r="CA197" t="str">
            <v>NA</v>
          </cell>
          <cell r="CC197"/>
          <cell r="CD197"/>
          <cell r="CE197"/>
          <cell r="CF197"/>
          <cell r="CG197" t="str">
            <v>NA</v>
          </cell>
        </row>
        <row r="198">
          <cell r="A198"/>
          <cell r="C198"/>
          <cell r="D198"/>
          <cell r="E198"/>
          <cell r="F198"/>
          <cell r="G198"/>
          <cell r="I198"/>
          <cell r="J198"/>
          <cell r="K198"/>
          <cell r="L198"/>
          <cell r="M198"/>
          <cell r="O198"/>
          <cell r="P198"/>
          <cell r="Q198"/>
          <cell r="R198"/>
          <cell r="S198"/>
          <cell r="U198"/>
          <cell r="V198"/>
          <cell r="W198"/>
          <cell r="X198"/>
          <cell r="Y198"/>
          <cell r="AA198"/>
          <cell r="AB198"/>
          <cell r="AC198"/>
          <cell r="AD198"/>
          <cell r="AE198"/>
          <cell r="AG198"/>
          <cell r="AH198"/>
          <cell r="AI198"/>
          <cell r="AJ198"/>
          <cell r="AK198"/>
          <cell r="AM198"/>
          <cell r="AN198"/>
          <cell r="AO198"/>
          <cell r="AP198"/>
          <cell r="AQ198"/>
          <cell r="AS198"/>
          <cell r="AT198"/>
          <cell r="AU198"/>
          <cell r="AV198"/>
          <cell r="AW198"/>
          <cell r="AY198"/>
          <cell r="AZ198"/>
          <cell r="BA198"/>
          <cell r="BB198"/>
          <cell r="BC198"/>
          <cell r="BE198"/>
          <cell r="BF198"/>
          <cell r="BG198"/>
          <cell r="BH198"/>
          <cell r="BI198"/>
          <cell r="BK198"/>
          <cell r="BL198"/>
          <cell r="BM198"/>
          <cell r="BN198"/>
          <cell r="BO198"/>
          <cell r="BQ198"/>
          <cell r="BR198"/>
          <cell r="BS198"/>
          <cell r="BT198"/>
          <cell r="BU198"/>
          <cell r="BW198"/>
          <cell r="BX198"/>
          <cell r="BY198"/>
          <cell r="BZ198"/>
          <cell r="CA198"/>
          <cell r="CC198"/>
          <cell r="CD198"/>
          <cell r="CE198"/>
          <cell r="CF198"/>
          <cell r="CG198"/>
        </row>
        <row r="199">
          <cell r="A199"/>
          <cell r="C199"/>
          <cell r="D199"/>
          <cell r="E199"/>
          <cell r="F199"/>
          <cell r="G199"/>
          <cell r="I199"/>
          <cell r="J199"/>
          <cell r="K199"/>
          <cell r="L199"/>
          <cell r="M199"/>
          <cell r="O199"/>
          <cell r="P199"/>
          <cell r="Q199"/>
          <cell r="R199"/>
          <cell r="S199"/>
          <cell r="U199"/>
          <cell r="V199"/>
          <cell r="W199"/>
          <cell r="X199"/>
          <cell r="Y199"/>
          <cell r="AA199"/>
          <cell r="AB199"/>
          <cell r="AC199"/>
          <cell r="AD199"/>
          <cell r="AE199"/>
          <cell r="AG199"/>
          <cell r="AH199"/>
          <cell r="AI199"/>
          <cell r="AJ199"/>
          <cell r="AK199"/>
          <cell r="AM199"/>
          <cell r="AN199"/>
          <cell r="AO199"/>
          <cell r="AP199"/>
          <cell r="AQ199"/>
          <cell r="AS199"/>
          <cell r="AT199"/>
          <cell r="AU199"/>
          <cell r="AV199"/>
          <cell r="AW199"/>
          <cell r="AY199"/>
          <cell r="AZ199"/>
          <cell r="BA199"/>
          <cell r="BB199"/>
          <cell r="BC199"/>
          <cell r="BE199"/>
          <cell r="BF199"/>
          <cell r="BG199"/>
          <cell r="BH199"/>
          <cell r="BI199"/>
          <cell r="BK199"/>
          <cell r="BL199"/>
          <cell r="BM199"/>
          <cell r="BN199"/>
          <cell r="BO199"/>
          <cell r="BQ199"/>
          <cell r="BR199"/>
          <cell r="BS199"/>
          <cell r="BT199"/>
          <cell r="BU199"/>
          <cell r="BW199"/>
          <cell r="BX199"/>
          <cell r="BY199"/>
          <cell r="BZ199"/>
          <cell r="CA199"/>
          <cell r="CC199"/>
          <cell r="CD199"/>
          <cell r="CE199"/>
          <cell r="CF199"/>
          <cell r="CG199"/>
        </row>
        <row r="200">
          <cell r="A200" t="str">
            <v>PAYROLL TAX ON SBC</v>
          </cell>
          <cell r="C200"/>
          <cell r="D200"/>
          <cell r="E200"/>
          <cell r="F200"/>
          <cell r="G200"/>
          <cell r="I200"/>
          <cell r="J200"/>
          <cell r="K200"/>
          <cell r="L200"/>
          <cell r="M200"/>
          <cell r="O200"/>
          <cell r="P200"/>
          <cell r="Q200"/>
          <cell r="R200"/>
          <cell r="S200"/>
          <cell r="U200"/>
          <cell r="V200"/>
          <cell r="W200"/>
          <cell r="X200"/>
          <cell r="Y200"/>
          <cell r="AA200"/>
          <cell r="AB200"/>
          <cell r="AC200"/>
          <cell r="AD200"/>
          <cell r="AE200"/>
          <cell r="AG200"/>
          <cell r="AH200"/>
          <cell r="AI200"/>
          <cell r="AJ200"/>
          <cell r="AK200"/>
          <cell r="AM200"/>
          <cell r="AN200"/>
          <cell r="AO200"/>
          <cell r="AP200"/>
          <cell r="AQ200"/>
          <cell r="AS200"/>
          <cell r="AT200"/>
          <cell r="AU200"/>
          <cell r="AV200"/>
          <cell r="AW200"/>
          <cell r="AY200"/>
          <cell r="AZ200"/>
          <cell r="BA200"/>
          <cell r="BB200"/>
          <cell r="BC200"/>
          <cell r="BE200"/>
          <cell r="BF200"/>
          <cell r="BG200"/>
          <cell r="BH200"/>
          <cell r="BI200"/>
          <cell r="BK200"/>
          <cell r="BL200"/>
          <cell r="BM200"/>
          <cell r="BN200"/>
          <cell r="BO200"/>
          <cell r="BQ200"/>
          <cell r="BR200"/>
          <cell r="BS200"/>
          <cell r="BT200"/>
          <cell r="BU200"/>
          <cell r="BW200"/>
          <cell r="BX200"/>
          <cell r="BY200"/>
          <cell r="BZ200"/>
          <cell r="CA200"/>
          <cell r="CC200"/>
          <cell r="CD200"/>
          <cell r="CE200"/>
          <cell r="CF200"/>
          <cell r="CG200"/>
        </row>
        <row r="201">
          <cell r="A201"/>
          <cell r="C201"/>
          <cell r="D201"/>
          <cell r="E201"/>
          <cell r="F201"/>
          <cell r="G201"/>
          <cell r="I201"/>
          <cell r="J201"/>
          <cell r="K201"/>
          <cell r="L201"/>
          <cell r="M201"/>
          <cell r="O201"/>
          <cell r="P201"/>
          <cell r="Q201"/>
          <cell r="R201"/>
          <cell r="S201"/>
          <cell r="U201"/>
          <cell r="V201"/>
          <cell r="W201"/>
          <cell r="X201"/>
          <cell r="Y201"/>
          <cell r="AA201"/>
          <cell r="AB201"/>
          <cell r="AC201"/>
          <cell r="AD201"/>
          <cell r="AE201"/>
          <cell r="AG201"/>
          <cell r="AH201"/>
          <cell r="AI201"/>
          <cell r="AJ201"/>
          <cell r="AK201"/>
          <cell r="AM201"/>
          <cell r="AN201"/>
          <cell r="AO201"/>
          <cell r="AP201"/>
          <cell r="AQ201"/>
          <cell r="AS201"/>
          <cell r="AT201"/>
          <cell r="AU201"/>
          <cell r="AV201"/>
          <cell r="AW201"/>
          <cell r="AY201"/>
          <cell r="AZ201"/>
          <cell r="BA201"/>
          <cell r="BB201"/>
          <cell r="BC201"/>
          <cell r="BE201"/>
          <cell r="BF201"/>
          <cell r="BG201"/>
          <cell r="BH201"/>
          <cell r="BI201"/>
          <cell r="BK201"/>
          <cell r="BL201"/>
          <cell r="BM201"/>
          <cell r="BN201"/>
          <cell r="BO201"/>
          <cell r="BQ201"/>
          <cell r="BR201"/>
          <cell r="BS201"/>
          <cell r="BT201"/>
          <cell r="BU201"/>
          <cell r="BW201"/>
          <cell r="BX201"/>
          <cell r="BY201"/>
          <cell r="BZ201"/>
          <cell r="CA201"/>
          <cell r="CC201"/>
          <cell r="CD201"/>
          <cell r="CE201"/>
          <cell r="CF201"/>
          <cell r="CG201"/>
        </row>
        <row r="202">
          <cell r="A202" t="str">
            <v>Cost of license revenue</v>
          </cell>
          <cell r="B202"/>
          <cell r="C202"/>
          <cell r="D202"/>
          <cell r="E202"/>
          <cell r="F202"/>
          <cell r="G202"/>
          <cell r="H202"/>
          <cell r="I202"/>
          <cell r="J202"/>
          <cell r="K202"/>
          <cell r="L202"/>
          <cell r="M202"/>
          <cell r="N202"/>
          <cell r="O202"/>
          <cell r="P202"/>
          <cell r="Q202"/>
          <cell r="R202"/>
          <cell r="S202"/>
          <cell r="T202"/>
          <cell r="U202"/>
          <cell r="V202"/>
          <cell r="W202"/>
          <cell r="X202"/>
          <cell r="Y202"/>
          <cell r="Z202"/>
          <cell r="AA202"/>
          <cell r="AB202"/>
          <cell r="AC202"/>
          <cell r="AD202"/>
          <cell r="AE202"/>
          <cell r="AF202"/>
          <cell r="AG202"/>
          <cell r="AH202"/>
          <cell r="AI202"/>
          <cell r="AJ202"/>
          <cell r="AK202"/>
          <cell r="AL202"/>
          <cell r="AM202"/>
          <cell r="AN202"/>
          <cell r="AO202"/>
          <cell r="AP202"/>
          <cell r="AQ202"/>
          <cell r="AR202"/>
          <cell r="AS202"/>
          <cell r="AT202"/>
          <cell r="AU202"/>
          <cell r="AV202"/>
          <cell r="AW202"/>
          <cell r="AX202"/>
          <cell r="AY202"/>
          <cell r="AZ202"/>
          <cell r="BA202"/>
          <cell r="BB202"/>
          <cell r="BC202"/>
          <cell r="BD202"/>
          <cell r="BE202"/>
          <cell r="BF202"/>
          <cell r="BG202"/>
          <cell r="BH202"/>
          <cell r="BI202"/>
          <cell r="BJ202"/>
          <cell r="BK202"/>
          <cell r="BL202"/>
          <cell r="BM202"/>
          <cell r="BN202"/>
          <cell r="BO202"/>
          <cell r="BP202"/>
          <cell r="BQ202"/>
          <cell r="BR202"/>
          <cell r="BS202"/>
          <cell r="BT202"/>
          <cell r="BU202"/>
          <cell r="BV202"/>
          <cell r="BW202"/>
          <cell r="BX202"/>
          <cell r="BY202"/>
          <cell r="BZ202"/>
          <cell r="CA202"/>
          <cell r="CB202"/>
          <cell r="CC202"/>
          <cell r="CD202"/>
          <cell r="CE202"/>
          <cell r="CF202"/>
          <cell r="CG202"/>
          <cell r="CH202"/>
        </row>
        <row r="203">
          <cell r="A203" t="str">
            <v>% total</v>
          </cell>
          <cell r="C203"/>
          <cell r="D203"/>
          <cell r="E203"/>
          <cell r="F203"/>
          <cell r="G203"/>
          <cell r="I203"/>
          <cell r="J203"/>
          <cell r="K203"/>
          <cell r="L203"/>
          <cell r="M203"/>
          <cell r="O203"/>
          <cell r="P203"/>
          <cell r="Q203"/>
          <cell r="R203"/>
          <cell r="S203"/>
          <cell r="U203"/>
          <cell r="V203"/>
          <cell r="W203"/>
          <cell r="X203"/>
          <cell r="Y203"/>
          <cell r="AA203"/>
          <cell r="AB203"/>
          <cell r="AC203"/>
          <cell r="AD203"/>
          <cell r="AE203"/>
          <cell r="AG203"/>
          <cell r="AH203"/>
          <cell r="AI203"/>
          <cell r="AJ203"/>
          <cell r="AK203"/>
          <cell r="AM203"/>
          <cell r="AN203"/>
          <cell r="AO203"/>
          <cell r="AP203"/>
          <cell r="AQ203"/>
          <cell r="AS203"/>
          <cell r="AT203"/>
          <cell r="AU203"/>
          <cell r="AV203"/>
          <cell r="AW203"/>
          <cell r="AY203"/>
          <cell r="AZ203"/>
          <cell r="BA203"/>
          <cell r="BB203"/>
          <cell r="BC203"/>
          <cell r="BE203"/>
          <cell r="BF203"/>
          <cell r="BG203"/>
          <cell r="BH203"/>
          <cell r="BI203"/>
          <cell r="BK203"/>
          <cell r="BL203"/>
          <cell r="BM203"/>
          <cell r="BN203"/>
          <cell r="BO203"/>
          <cell r="BQ203"/>
          <cell r="BR203"/>
          <cell r="BS203"/>
          <cell r="BT203"/>
          <cell r="BU203"/>
          <cell r="BW203"/>
          <cell r="BX203"/>
          <cell r="BY203"/>
          <cell r="BZ203"/>
          <cell r="CA203"/>
          <cell r="CC203"/>
          <cell r="CD203"/>
          <cell r="CE203"/>
          <cell r="CF203"/>
          <cell r="CG203"/>
        </row>
        <row r="204">
          <cell r="A204"/>
          <cell r="C204"/>
          <cell r="D204"/>
          <cell r="E204"/>
          <cell r="F204"/>
          <cell r="G204"/>
          <cell r="I204"/>
          <cell r="J204"/>
          <cell r="K204"/>
          <cell r="L204"/>
          <cell r="M204"/>
          <cell r="O204"/>
          <cell r="P204"/>
          <cell r="Q204"/>
          <cell r="R204"/>
          <cell r="S204"/>
          <cell r="U204"/>
          <cell r="V204"/>
          <cell r="W204"/>
          <cell r="X204"/>
          <cell r="Y204"/>
          <cell r="AA204"/>
          <cell r="AB204"/>
          <cell r="AC204"/>
          <cell r="AD204"/>
          <cell r="AE204"/>
          <cell r="AG204"/>
          <cell r="AH204"/>
          <cell r="AI204"/>
          <cell r="AJ204"/>
          <cell r="AK204"/>
          <cell r="AM204"/>
          <cell r="AN204"/>
          <cell r="AO204"/>
          <cell r="AP204"/>
          <cell r="AQ204"/>
          <cell r="AS204"/>
          <cell r="AT204"/>
          <cell r="AU204"/>
          <cell r="AV204"/>
          <cell r="AW204"/>
          <cell r="AY204"/>
          <cell r="AZ204"/>
          <cell r="BA204"/>
          <cell r="BB204"/>
          <cell r="BC204"/>
          <cell r="BE204"/>
          <cell r="BF204"/>
          <cell r="BG204"/>
          <cell r="BH204"/>
          <cell r="BI204"/>
          <cell r="BK204"/>
          <cell r="BL204"/>
          <cell r="BM204"/>
          <cell r="BN204"/>
          <cell r="BO204"/>
          <cell r="BQ204"/>
          <cell r="BR204"/>
          <cell r="BS204"/>
          <cell r="BT204"/>
          <cell r="BU204"/>
          <cell r="BW204"/>
          <cell r="BX204"/>
          <cell r="BY204"/>
          <cell r="BZ204"/>
          <cell r="CA204"/>
          <cell r="CC204"/>
          <cell r="CD204"/>
          <cell r="CE204"/>
          <cell r="CF204"/>
          <cell r="CG204"/>
        </row>
        <row r="205">
          <cell r="A205" t="str">
            <v>Cost of maintenance and services revenue</v>
          </cell>
          <cell r="B205"/>
          <cell r="C205"/>
          <cell r="D205"/>
          <cell r="E205"/>
          <cell r="F205"/>
          <cell r="G205"/>
          <cell r="H205"/>
          <cell r="I205"/>
          <cell r="J205"/>
          <cell r="K205"/>
          <cell r="L205"/>
          <cell r="M205"/>
          <cell r="N205"/>
          <cell r="O205"/>
          <cell r="P205"/>
          <cell r="Q205"/>
          <cell r="R205"/>
          <cell r="S205"/>
          <cell r="T205"/>
          <cell r="U205"/>
          <cell r="V205"/>
          <cell r="W205"/>
          <cell r="X205"/>
          <cell r="Y205"/>
          <cell r="Z205"/>
          <cell r="AA205"/>
          <cell r="AB205"/>
          <cell r="AC205"/>
          <cell r="AD205"/>
          <cell r="AE205"/>
          <cell r="AF205"/>
          <cell r="AG205"/>
          <cell r="AH205"/>
          <cell r="AI205"/>
          <cell r="AJ205"/>
          <cell r="AK205"/>
          <cell r="AL205"/>
          <cell r="AM205"/>
          <cell r="AN205"/>
          <cell r="AO205"/>
          <cell r="AP205"/>
          <cell r="AQ205"/>
          <cell r="AR205"/>
          <cell r="AS205"/>
          <cell r="AT205"/>
          <cell r="AU205"/>
          <cell r="AV205"/>
          <cell r="AW205"/>
          <cell r="AX205"/>
          <cell r="AY205"/>
          <cell r="AZ205"/>
          <cell r="BA205"/>
          <cell r="BB205"/>
          <cell r="BC205"/>
          <cell r="BD205"/>
          <cell r="BE205"/>
          <cell r="BF205"/>
          <cell r="BG205"/>
          <cell r="BH205"/>
          <cell r="BI205"/>
          <cell r="BJ205"/>
          <cell r="BK205"/>
          <cell r="BL205"/>
          <cell r="BM205"/>
          <cell r="BN205"/>
          <cell r="BO205"/>
          <cell r="BP205"/>
          <cell r="BQ205"/>
          <cell r="BR205"/>
          <cell r="BS205"/>
          <cell r="BT205"/>
          <cell r="BU205"/>
          <cell r="BV205"/>
          <cell r="BW205"/>
          <cell r="BX205"/>
          <cell r="BY205"/>
          <cell r="BZ205"/>
          <cell r="CA205"/>
          <cell r="CB205"/>
          <cell r="CC205"/>
          <cell r="CD205"/>
          <cell r="CE205"/>
          <cell r="CF205"/>
          <cell r="CG205"/>
          <cell r="CH205"/>
        </row>
        <row r="206">
          <cell r="A206" t="str">
            <v>% total</v>
          </cell>
          <cell r="C206"/>
          <cell r="D206"/>
          <cell r="E206"/>
          <cell r="F206"/>
          <cell r="G206"/>
          <cell r="I206"/>
          <cell r="J206"/>
          <cell r="K206"/>
          <cell r="L206"/>
          <cell r="M206"/>
          <cell r="O206"/>
          <cell r="P206"/>
          <cell r="Q206"/>
          <cell r="R206"/>
          <cell r="S206"/>
          <cell r="U206"/>
          <cell r="V206"/>
          <cell r="W206"/>
          <cell r="X206"/>
          <cell r="Y206"/>
          <cell r="AA206"/>
          <cell r="AB206"/>
          <cell r="AC206"/>
          <cell r="AD206"/>
          <cell r="AE206"/>
          <cell r="AG206"/>
          <cell r="AH206"/>
          <cell r="AI206"/>
          <cell r="AJ206"/>
          <cell r="AK206"/>
          <cell r="AM206"/>
          <cell r="AN206"/>
          <cell r="AO206"/>
          <cell r="AP206"/>
          <cell r="AQ206"/>
          <cell r="AS206"/>
          <cell r="AT206"/>
          <cell r="AU206"/>
          <cell r="AV206"/>
          <cell r="AW206"/>
          <cell r="AY206"/>
          <cell r="AZ206"/>
          <cell r="BA206"/>
          <cell r="BB206"/>
          <cell r="BC206"/>
          <cell r="BE206"/>
          <cell r="BF206"/>
          <cell r="BG206"/>
          <cell r="BH206"/>
          <cell r="BI206"/>
          <cell r="BK206"/>
          <cell r="BL206"/>
          <cell r="BM206"/>
          <cell r="BN206"/>
          <cell r="BO206"/>
          <cell r="BQ206"/>
          <cell r="BR206"/>
          <cell r="BS206"/>
          <cell r="BT206"/>
          <cell r="BU206"/>
          <cell r="BW206"/>
          <cell r="BX206"/>
          <cell r="BY206"/>
          <cell r="BZ206"/>
          <cell r="CA206"/>
          <cell r="CC206"/>
          <cell r="CD206"/>
          <cell r="CE206"/>
          <cell r="CF206"/>
          <cell r="CG206"/>
        </row>
        <row r="207">
          <cell r="A207"/>
          <cell r="C207"/>
          <cell r="D207"/>
          <cell r="E207"/>
          <cell r="F207"/>
          <cell r="G207"/>
          <cell r="I207"/>
          <cell r="J207"/>
          <cell r="K207"/>
          <cell r="L207"/>
          <cell r="M207"/>
          <cell r="O207"/>
          <cell r="P207"/>
          <cell r="Q207"/>
          <cell r="R207"/>
          <cell r="S207"/>
          <cell r="U207"/>
          <cell r="V207"/>
          <cell r="W207"/>
          <cell r="X207"/>
          <cell r="Y207"/>
          <cell r="AA207"/>
          <cell r="AB207"/>
          <cell r="AC207"/>
          <cell r="AD207"/>
          <cell r="AE207"/>
          <cell r="AG207"/>
          <cell r="AH207"/>
          <cell r="AI207"/>
          <cell r="AJ207"/>
          <cell r="AK207"/>
          <cell r="AM207"/>
          <cell r="AN207"/>
          <cell r="AO207"/>
          <cell r="AP207"/>
          <cell r="AQ207"/>
          <cell r="AS207"/>
          <cell r="AT207"/>
          <cell r="AU207"/>
          <cell r="AV207"/>
          <cell r="AW207"/>
          <cell r="AY207"/>
          <cell r="AZ207"/>
          <cell r="BA207"/>
          <cell r="BB207"/>
          <cell r="BC207"/>
          <cell r="BE207"/>
          <cell r="BF207"/>
          <cell r="BG207"/>
          <cell r="BH207"/>
          <cell r="BI207"/>
          <cell r="BK207"/>
          <cell r="BL207"/>
          <cell r="BM207"/>
          <cell r="BN207"/>
          <cell r="BO207"/>
          <cell r="BQ207"/>
          <cell r="BR207"/>
          <cell r="BS207"/>
          <cell r="BT207"/>
          <cell r="BU207"/>
          <cell r="BW207"/>
          <cell r="BX207"/>
          <cell r="BY207"/>
          <cell r="BZ207"/>
          <cell r="CA207"/>
          <cell r="CC207"/>
          <cell r="CD207"/>
          <cell r="CE207"/>
          <cell r="CF207"/>
          <cell r="CG207"/>
        </row>
        <row r="208">
          <cell r="A208" t="str">
            <v>Total cost of revenue</v>
          </cell>
          <cell r="B208"/>
          <cell r="C208"/>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cell r="AD208"/>
          <cell r="AE208"/>
          <cell r="AF208"/>
          <cell r="AG208"/>
          <cell r="AH208"/>
          <cell r="AI208"/>
          <cell r="AJ208"/>
          <cell r="AK208"/>
          <cell r="AL208"/>
          <cell r="AM208"/>
          <cell r="AN208"/>
          <cell r="AO208"/>
          <cell r="AP208"/>
          <cell r="AQ208"/>
          <cell r="AR208"/>
          <cell r="AS208"/>
          <cell r="AT208"/>
          <cell r="AU208"/>
          <cell r="AV208"/>
          <cell r="AW208"/>
          <cell r="AX208"/>
          <cell r="AY208"/>
          <cell r="AZ208"/>
          <cell r="BA208"/>
          <cell r="BB208"/>
          <cell r="BC208"/>
          <cell r="BD208"/>
          <cell r="BE208"/>
          <cell r="BF208"/>
          <cell r="BG208"/>
          <cell r="BH208"/>
          <cell r="BI208"/>
          <cell r="BJ208"/>
          <cell r="BK208"/>
          <cell r="BL208"/>
          <cell r="BM208"/>
          <cell r="BN208"/>
          <cell r="BO208"/>
          <cell r="BP208"/>
          <cell r="BQ208"/>
          <cell r="BR208"/>
          <cell r="BS208"/>
          <cell r="BT208"/>
          <cell r="BU208"/>
          <cell r="BV208"/>
          <cell r="BW208"/>
          <cell r="BX208"/>
          <cell r="BY208"/>
          <cell r="BZ208"/>
          <cell r="CA208"/>
          <cell r="CB208"/>
          <cell r="CC208"/>
          <cell r="CD208"/>
          <cell r="CE208"/>
          <cell r="CF208"/>
          <cell r="CG208"/>
          <cell r="CH208"/>
        </row>
        <row r="209">
          <cell r="A209" t="str">
            <v>% total</v>
          </cell>
          <cell r="C209"/>
          <cell r="D209"/>
          <cell r="E209"/>
          <cell r="F209"/>
          <cell r="G209"/>
          <cell r="I209"/>
          <cell r="J209"/>
          <cell r="K209"/>
          <cell r="L209"/>
          <cell r="M209"/>
          <cell r="O209"/>
          <cell r="P209"/>
          <cell r="Q209"/>
          <cell r="R209"/>
          <cell r="S209"/>
          <cell r="U209"/>
          <cell r="V209"/>
          <cell r="W209"/>
          <cell r="X209"/>
          <cell r="Y209"/>
          <cell r="AA209"/>
          <cell r="AB209"/>
          <cell r="AC209"/>
          <cell r="AD209"/>
          <cell r="AE209"/>
          <cell r="AG209"/>
          <cell r="AH209"/>
          <cell r="AI209"/>
          <cell r="AJ209"/>
          <cell r="AK209"/>
          <cell r="AM209"/>
          <cell r="AN209"/>
          <cell r="AO209"/>
          <cell r="AP209"/>
          <cell r="AQ209"/>
          <cell r="AS209"/>
          <cell r="AT209"/>
          <cell r="AU209"/>
          <cell r="AV209"/>
          <cell r="AW209"/>
          <cell r="AY209"/>
          <cell r="AZ209"/>
          <cell r="BA209"/>
          <cell r="BB209"/>
          <cell r="BC209"/>
          <cell r="BE209"/>
          <cell r="BF209"/>
          <cell r="BG209"/>
          <cell r="BH209"/>
          <cell r="BI209"/>
          <cell r="BK209"/>
          <cell r="BL209"/>
          <cell r="BM209"/>
          <cell r="BN209"/>
          <cell r="BO209"/>
          <cell r="BQ209"/>
          <cell r="BR209"/>
          <cell r="BS209"/>
          <cell r="BT209"/>
          <cell r="BU209"/>
          <cell r="BW209"/>
          <cell r="BX209"/>
          <cell r="BY209"/>
          <cell r="BZ209"/>
          <cell r="CA209"/>
          <cell r="CC209"/>
          <cell r="CD209"/>
          <cell r="CE209"/>
          <cell r="CF209"/>
          <cell r="CG209"/>
        </row>
        <row r="210">
          <cell r="A210"/>
          <cell r="C210"/>
          <cell r="D210"/>
          <cell r="E210"/>
          <cell r="F210"/>
          <cell r="G210"/>
          <cell r="I210"/>
          <cell r="J210"/>
          <cell r="K210"/>
          <cell r="L210"/>
          <cell r="M210"/>
          <cell r="O210"/>
          <cell r="P210"/>
          <cell r="Q210"/>
          <cell r="R210"/>
          <cell r="S210"/>
          <cell r="U210"/>
          <cell r="V210"/>
          <cell r="W210"/>
          <cell r="X210"/>
          <cell r="Y210"/>
          <cell r="AA210"/>
          <cell r="AB210"/>
          <cell r="AC210"/>
          <cell r="AD210"/>
          <cell r="AE210"/>
          <cell r="AG210"/>
          <cell r="AH210"/>
          <cell r="AI210"/>
          <cell r="AJ210"/>
          <cell r="AK210"/>
          <cell r="AM210"/>
          <cell r="AN210"/>
          <cell r="AO210"/>
          <cell r="AP210"/>
          <cell r="AQ210"/>
          <cell r="AS210"/>
          <cell r="AT210"/>
          <cell r="AU210"/>
          <cell r="AV210"/>
          <cell r="AW210"/>
          <cell r="AY210"/>
          <cell r="AZ210"/>
          <cell r="BA210"/>
          <cell r="BB210"/>
          <cell r="BC210"/>
          <cell r="BE210"/>
          <cell r="BF210"/>
          <cell r="BG210"/>
          <cell r="BH210"/>
          <cell r="BI210"/>
          <cell r="BK210"/>
          <cell r="BL210"/>
          <cell r="BM210"/>
          <cell r="BN210"/>
          <cell r="BO210"/>
          <cell r="BQ210"/>
          <cell r="BR210"/>
          <cell r="BS210"/>
          <cell r="BT210"/>
          <cell r="BU210"/>
          <cell r="BW210"/>
          <cell r="BX210"/>
          <cell r="BY210"/>
          <cell r="BZ210"/>
          <cell r="CA210"/>
          <cell r="CC210"/>
          <cell r="CD210"/>
          <cell r="CE210"/>
          <cell r="CF210"/>
          <cell r="CG210"/>
        </row>
        <row r="211">
          <cell r="A211" t="str">
            <v>Sales and marketing</v>
          </cell>
          <cell r="B211"/>
          <cell r="C211"/>
          <cell r="D211"/>
          <cell r="E211"/>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cell r="AP211"/>
          <cell r="AQ211"/>
          <cell r="AR211"/>
          <cell r="AS211"/>
          <cell r="AT211"/>
          <cell r="AU211"/>
          <cell r="AV211"/>
          <cell r="AW211"/>
          <cell r="AX211"/>
          <cell r="AY211"/>
          <cell r="AZ211"/>
          <cell r="BA211"/>
          <cell r="BB211"/>
          <cell r="BC211"/>
          <cell r="BD211"/>
          <cell r="BE211"/>
          <cell r="BF211"/>
          <cell r="BG211"/>
          <cell r="BH211"/>
          <cell r="BI211"/>
          <cell r="BJ211"/>
          <cell r="BK211"/>
          <cell r="BL211"/>
          <cell r="BM211"/>
          <cell r="BN211"/>
          <cell r="BO211"/>
          <cell r="BP211"/>
          <cell r="BQ211"/>
          <cell r="BR211"/>
          <cell r="BS211"/>
          <cell r="BT211"/>
          <cell r="BU211"/>
          <cell r="BV211"/>
          <cell r="BW211"/>
          <cell r="BX211"/>
          <cell r="BY211"/>
          <cell r="BZ211"/>
          <cell r="CA211"/>
          <cell r="CB211"/>
          <cell r="CC211"/>
          <cell r="CD211"/>
          <cell r="CE211"/>
          <cell r="CF211"/>
          <cell r="CG211"/>
          <cell r="CH211"/>
        </row>
        <row r="212">
          <cell r="A212" t="str">
            <v>% total</v>
          </cell>
          <cell r="C212"/>
          <cell r="D212"/>
          <cell r="E212"/>
          <cell r="F212"/>
          <cell r="G212"/>
          <cell r="I212"/>
          <cell r="J212"/>
          <cell r="K212"/>
          <cell r="L212"/>
          <cell r="M212"/>
          <cell r="O212"/>
          <cell r="P212"/>
          <cell r="Q212"/>
          <cell r="R212"/>
          <cell r="S212"/>
          <cell r="U212"/>
          <cell r="V212"/>
          <cell r="W212"/>
          <cell r="X212"/>
          <cell r="Y212"/>
          <cell r="AA212"/>
          <cell r="AB212"/>
          <cell r="AC212"/>
          <cell r="AD212"/>
          <cell r="AE212"/>
          <cell r="AG212"/>
          <cell r="AH212"/>
          <cell r="AI212"/>
          <cell r="AJ212"/>
          <cell r="AK212"/>
          <cell r="AM212"/>
          <cell r="AN212"/>
          <cell r="AO212"/>
          <cell r="AP212"/>
          <cell r="AQ212"/>
          <cell r="AS212"/>
          <cell r="AT212"/>
          <cell r="AU212"/>
          <cell r="AV212"/>
          <cell r="AW212"/>
          <cell r="AY212"/>
          <cell r="AZ212"/>
          <cell r="BA212"/>
          <cell r="BB212"/>
          <cell r="BC212"/>
          <cell r="BE212"/>
          <cell r="BF212"/>
          <cell r="BG212"/>
          <cell r="BH212"/>
          <cell r="BI212"/>
          <cell r="BK212"/>
          <cell r="BL212"/>
          <cell r="BM212"/>
          <cell r="BN212"/>
          <cell r="BO212"/>
          <cell r="BQ212"/>
          <cell r="BR212"/>
          <cell r="BS212"/>
          <cell r="BT212"/>
          <cell r="BU212"/>
          <cell r="BW212"/>
          <cell r="BX212"/>
          <cell r="BY212"/>
          <cell r="BZ212"/>
          <cell r="CA212"/>
          <cell r="CC212"/>
          <cell r="CD212"/>
          <cell r="CE212"/>
          <cell r="CF212"/>
          <cell r="CG212"/>
        </row>
        <row r="213">
          <cell r="A213"/>
          <cell r="C213"/>
          <cell r="D213"/>
          <cell r="E213"/>
          <cell r="F213"/>
          <cell r="G213"/>
          <cell r="I213"/>
          <cell r="J213"/>
          <cell r="K213"/>
          <cell r="L213"/>
          <cell r="M213"/>
          <cell r="O213"/>
          <cell r="P213"/>
          <cell r="Q213"/>
          <cell r="R213"/>
          <cell r="S213"/>
          <cell r="U213"/>
          <cell r="V213"/>
          <cell r="W213"/>
          <cell r="X213"/>
          <cell r="Y213"/>
          <cell r="AA213"/>
          <cell r="AB213"/>
          <cell r="AC213"/>
          <cell r="AD213"/>
          <cell r="AE213"/>
          <cell r="AG213"/>
          <cell r="AH213"/>
          <cell r="AI213"/>
          <cell r="AJ213"/>
          <cell r="AK213"/>
          <cell r="AM213"/>
          <cell r="AN213"/>
          <cell r="AO213"/>
          <cell r="AP213"/>
          <cell r="AQ213"/>
          <cell r="AS213"/>
          <cell r="AT213"/>
          <cell r="AU213"/>
          <cell r="AV213"/>
          <cell r="AW213"/>
          <cell r="AY213"/>
          <cell r="AZ213"/>
          <cell r="BA213"/>
          <cell r="BB213"/>
          <cell r="BC213"/>
          <cell r="BE213"/>
          <cell r="BF213"/>
          <cell r="BG213"/>
          <cell r="BH213"/>
          <cell r="BI213"/>
          <cell r="BK213"/>
          <cell r="BL213"/>
          <cell r="BM213"/>
          <cell r="BN213"/>
          <cell r="BO213"/>
          <cell r="BQ213"/>
          <cell r="BR213"/>
          <cell r="BS213"/>
          <cell r="BT213"/>
          <cell r="BU213"/>
          <cell r="BW213"/>
          <cell r="BX213"/>
          <cell r="BY213"/>
          <cell r="BZ213"/>
          <cell r="CA213"/>
          <cell r="CC213"/>
          <cell r="CD213"/>
          <cell r="CE213"/>
          <cell r="CF213"/>
          <cell r="CG213"/>
        </row>
        <row r="214">
          <cell r="A214" t="str">
            <v>Research and development</v>
          </cell>
          <cell r="B214"/>
          <cell r="C214"/>
          <cell r="D214"/>
          <cell r="E214"/>
          <cell r="F214"/>
          <cell r="G214"/>
          <cell r="H214"/>
          <cell r="I214"/>
          <cell r="J214"/>
          <cell r="K214"/>
          <cell r="L214"/>
          <cell r="M214"/>
          <cell r="N214"/>
          <cell r="O214"/>
          <cell r="P214"/>
          <cell r="Q214"/>
          <cell r="R214"/>
          <cell r="S214"/>
          <cell r="T214"/>
          <cell r="U214"/>
          <cell r="V214"/>
          <cell r="W214"/>
          <cell r="X214"/>
          <cell r="Y214"/>
          <cell r="Z214"/>
          <cell r="AA214"/>
          <cell r="AB214"/>
          <cell r="AC214"/>
          <cell r="AD214"/>
          <cell r="AE214"/>
          <cell r="AF214"/>
          <cell r="AG214"/>
          <cell r="AH214"/>
          <cell r="AI214"/>
          <cell r="AJ214"/>
          <cell r="AK214"/>
          <cell r="AL214"/>
          <cell r="AM214"/>
          <cell r="AN214"/>
          <cell r="AO214"/>
          <cell r="AP214"/>
          <cell r="AQ214"/>
          <cell r="AR214"/>
          <cell r="AS214"/>
          <cell r="AT214"/>
          <cell r="AU214"/>
          <cell r="AV214"/>
          <cell r="AW214"/>
          <cell r="AX214"/>
          <cell r="AY214"/>
          <cell r="AZ214"/>
          <cell r="BA214"/>
          <cell r="BB214"/>
          <cell r="BC214"/>
          <cell r="BD214"/>
          <cell r="BE214"/>
          <cell r="BF214"/>
          <cell r="BG214"/>
          <cell r="BH214"/>
          <cell r="BI214"/>
          <cell r="BJ214"/>
          <cell r="BK214"/>
          <cell r="BL214"/>
          <cell r="BM214"/>
          <cell r="BN214"/>
          <cell r="BO214"/>
          <cell r="BP214"/>
          <cell r="BQ214"/>
          <cell r="BR214"/>
          <cell r="BS214"/>
          <cell r="BT214"/>
          <cell r="BU214"/>
          <cell r="BV214"/>
          <cell r="BW214"/>
          <cell r="BX214"/>
          <cell r="BY214"/>
          <cell r="BZ214"/>
          <cell r="CA214"/>
          <cell r="CB214"/>
          <cell r="CC214"/>
          <cell r="CD214"/>
          <cell r="CE214"/>
          <cell r="CF214"/>
          <cell r="CG214"/>
          <cell r="CH214"/>
        </row>
        <row r="215">
          <cell r="A215" t="str">
            <v>% total</v>
          </cell>
          <cell r="C215"/>
          <cell r="D215"/>
          <cell r="E215"/>
          <cell r="F215"/>
          <cell r="G215"/>
          <cell r="I215"/>
          <cell r="J215"/>
          <cell r="K215"/>
          <cell r="L215"/>
          <cell r="M215"/>
          <cell r="O215"/>
          <cell r="P215"/>
          <cell r="Q215"/>
          <cell r="R215"/>
          <cell r="S215"/>
          <cell r="U215"/>
          <cell r="V215"/>
          <cell r="W215"/>
          <cell r="X215"/>
          <cell r="Y215"/>
          <cell r="AA215"/>
          <cell r="AB215"/>
          <cell r="AC215"/>
          <cell r="AD215"/>
          <cell r="AE215"/>
          <cell r="AG215"/>
          <cell r="AH215"/>
          <cell r="AI215"/>
          <cell r="AJ215"/>
          <cell r="AK215"/>
          <cell r="AM215"/>
          <cell r="AN215"/>
          <cell r="AO215"/>
          <cell r="AP215"/>
          <cell r="AQ215"/>
          <cell r="AS215"/>
          <cell r="AT215"/>
          <cell r="AU215"/>
          <cell r="AV215"/>
          <cell r="AW215"/>
          <cell r="AY215"/>
          <cell r="AZ215"/>
          <cell r="BA215"/>
          <cell r="BB215"/>
          <cell r="BC215"/>
          <cell r="BE215"/>
          <cell r="BF215"/>
          <cell r="BG215"/>
          <cell r="BH215"/>
          <cell r="BI215"/>
          <cell r="BK215"/>
          <cell r="BL215"/>
          <cell r="BM215"/>
          <cell r="BN215"/>
          <cell r="BO215"/>
          <cell r="BQ215"/>
          <cell r="BR215"/>
          <cell r="BS215"/>
          <cell r="BT215"/>
          <cell r="BU215"/>
          <cell r="BW215"/>
          <cell r="BX215"/>
          <cell r="BY215"/>
          <cell r="BZ215"/>
          <cell r="CA215"/>
          <cell r="CC215"/>
          <cell r="CD215"/>
          <cell r="CE215"/>
          <cell r="CF215"/>
          <cell r="CG215"/>
        </row>
        <row r="216">
          <cell r="A216"/>
          <cell r="C216"/>
          <cell r="D216"/>
          <cell r="E216"/>
          <cell r="F216"/>
          <cell r="G216"/>
          <cell r="I216"/>
          <cell r="J216"/>
          <cell r="K216"/>
          <cell r="L216"/>
          <cell r="M216"/>
          <cell r="O216"/>
          <cell r="P216"/>
          <cell r="Q216"/>
          <cell r="R216"/>
          <cell r="S216"/>
          <cell r="U216"/>
          <cell r="V216"/>
          <cell r="W216"/>
          <cell r="X216"/>
          <cell r="Y216"/>
          <cell r="AA216"/>
          <cell r="AB216"/>
          <cell r="AC216"/>
          <cell r="AD216"/>
          <cell r="AE216"/>
          <cell r="AG216"/>
          <cell r="AH216"/>
          <cell r="AI216"/>
          <cell r="AJ216"/>
          <cell r="AK216"/>
          <cell r="AM216"/>
          <cell r="AN216"/>
          <cell r="AO216"/>
          <cell r="AP216"/>
          <cell r="AQ216"/>
          <cell r="AS216"/>
          <cell r="AT216"/>
          <cell r="AU216"/>
          <cell r="AV216"/>
          <cell r="AW216"/>
          <cell r="AY216"/>
          <cell r="AZ216"/>
          <cell r="BA216"/>
          <cell r="BB216"/>
          <cell r="BC216"/>
          <cell r="BE216"/>
          <cell r="BF216"/>
          <cell r="BG216"/>
          <cell r="BH216"/>
          <cell r="BI216"/>
          <cell r="BK216"/>
          <cell r="BL216"/>
          <cell r="BM216"/>
          <cell r="BN216"/>
          <cell r="BO216"/>
          <cell r="BQ216"/>
          <cell r="BR216"/>
          <cell r="BS216"/>
          <cell r="BT216"/>
          <cell r="BU216"/>
          <cell r="BW216"/>
          <cell r="BX216"/>
          <cell r="BY216"/>
          <cell r="BZ216"/>
          <cell r="CA216"/>
          <cell r="CC216"/>
          <cell r="CD216"/>
          <cell r="CE216"/>
          <cell r="CF216"/>
          <cell r="CG216"/>
        </row>
        <row r="217">
          <cell r="A217" t="str">
            <v>General and administrative</v>
          </cell>
          <cell r="B217"/>
          <cell r="C217"/>
          <cell r="D217"/>
          <cell r="E217"/>
          <cell r="F217"/>
          <cell r="G217"/>
          <cell r="H217"/>
          <cell r="I217"/>
          <cell r="J217"/>
          <cell r="K217"/>
          <cell r="L217"/>
          <cell r="M217"/>
          <cell r="N217"/>
          <cell r="O217"/>
          <cell r="P217"/>
          <cell r="Q217"/>
          <cell r="R217"/>
          <cell r="S217"/>
          <cell r="T217"/>
          <cell r="U217"/>
          <cell r="V217"/>
          <cell r="W217"/>
          <cell r="X217"/>
          <cell r="Y217"/>
          <cell r="Z217"/>
          <cell r="AA217"/>
          <cell r="AB217"/>
          <cell r="AC217"/>
          <cell r="AD217"/>
          <cell r="AE217"/>
          <cell r="AF217"/>
          <cell r="AG217"/>
          <cell r="AH217"/>
          <cell r="AI217"/>
          <cell r="AJ217"/>
          <cell r="AK217"/>
          <cell r="AL217"/>
          <cell r="AM217"/>
          <cell r="AN217"/>
          <cell r="AO217"/>
          <cell r="AP217"/>
          <cell r="AQ217"/>
          <cell r="AR217"/>
          <cell r="AS217"/>
          <cell r="AT217"/>
          <cell r="AU217"/>
          <cell r="AV217"/>
          <cell r="AW217"/>
          <cell r="AX217"/>
          <cell r="AY217"/>
          <cell r="AZ217"/>
          <cell r="BA217"/>
          <cell r="BB217"/>
          <cell r="BC217"/>
          <cell r="BD217"/>
          <cell r="BE217"/>
          <cell r="BF217"/>
          <cell r="BG217"/>
          <cell r="BH217"/>
          <cell r="BI217"/>
          <cell r="BJ217"/>
          <cell r="BK217"/>
          <cell r="BL217"/>
          <cell r="BM217"/>
          <cell r="BN217"/>
          <cell r="BO217"/>
          <cell r="BP217"/>
          <cell r="BQ217"/>
          <cell r="BR217"/>
          <cell r="BS217"/>
          <cell r="BT217"/>
          <cell r="BU217"/>
          <cell r="BV217"/>
          <cell r="BW217"/>
          <cell r="BX217"/>
          <cell r="BY217"/>
          <cell r="BZ217"/>
          <cell r="CA217"/>
          <cell r="CB217"/>
          <cell r="CC217"/>
          <cell r="CD217"/>
          <cell r="CE217"/>
          <cell r="CF217"/>
          <cell r="CG217"/>
          <cell r="CH217"/>
        </row>
        <row r="218">
          <cell r="A218" t="str">
            <v>% total</v>
          </cell>
          <cell r="C218"/>
          <cell r="D218"/>
          <cell r="E218"/>
          <cell r="F218"/>
          <cell r="G218"/>
          <cell r="I218"/>
          <cell r="J218"/>
          <cell r="K218"/>
          <cell r="L218"/>
          <cell r="M218"/>
          <cell r="O218"/>
          <cell r="P218"/>
          <cell r="Q218"/>
          <cell r="R218"/>
          <cell r="S218"/>
          <cell r="U218"/>
          <cell r="V218"/>
          <cell r="W218"/>
          <cell r="X218"/>
          <cell r="Y218"/>
          <cell r="AA218"/>
          <cell r="AB218"/>
          <cell r="AC218"/>
          <cell r="AD218"/>
          <cell r="AE218"/>
          <cell r="AG218"/>
          <cell r="AH218"/>
          <cell r="AI218"/>
          <cell r="AJ218"/>
          <cell r="AK218"/>
          <cell r="AM218"/>
          <cell r="AN218"/>
          <cell r="AO218"/>
          <cell r="AP218"/>
          <cell r="AQ218"/>
          <cell r="AS218"/>
          <cell r="AT218"/>
          <cell r="AU218"/>
          <cell r="AV218"/>
          <cell r="AW218"/>
          <cell r="AY218"/>
          <cell r="AZ218"/>
          <cell r="BA218"/>
          <cell r="BB218"/>
          <cell r="BC218"/>
          <cell r="BE218"/>
          <cell r="BF218"/>
          <cell r="BG218"/>
          <cell r="BH218"/>
          <cell r="BI218"/>
          <cell r="BK218"/>
          <cell r="BL218"/>
          <cell r="BM218"/>
          <cell r="BN218"/>
          <cell r="BO218"/>
          <cell r="BQ218"/>
          <cell r="BR218"/>
          <cell r="BS218"/>
          <cell r="BT218"/>
          <cell r="BU218"/>
          <cell r="BW218"/>
          <cell r="BX218"/>
          <cell r="BY218"/>
          <cell r="BZ218"/>
          <cell r="CA218"/>
          <cell r="CC218"/>
          <cell r="CD218"/>
          <cell r="CE218"/>
          <cell r="CF218"/>
          <cell r="CG218"/>
        </row>
        <row r="219">
          <cell r="A219"/>
          <cell r="C219"/>
          <cell r="D219"/>
          <cell r="E219"/>
          <cell r="F219"/>
          <cell r="G219"/>
          <cell r="I219"/>
          <cell r="J219"/>
          <cell r="K219"/>
          <cell r="L219"/>
          <cell r="M219"/>
          <cell r="O219"/>
          <cell r="P219"/>
          <cell r="Q219"/>
          <cell r="R219"/>
          <cell r="S219"/>
          <cell r="U219"/>
          <cell r="V219"/>
          <cell r="W219"/>
          <cell r="X219"/>
          <cell r="Y219"/>
          <cell r="AA219"/>
          <cell r="AB219"/>
          <cell r="AC219"/>
          <cell r="AD219"/>
          <cell r="AE219"/>
          <cell r="AG219"/>
          <cell r="AH219"/>
          <cell r="AI219"/>
          <cell r="AJ219"/>
          <cell r="AK219"/>
          <cell r="AM219"/>
          <cell r="AN219"/>
          <cell r="AO219"/>
          <cell r="AP219"/>
          <cell r="AQ219"/>
          <cell r="AS219"/>
          <cell r="AT219"/>
          <cell r="AU219"/>
          <cell r="AV219"/>
          <cell r="AW219"/>
          <cell r="AY219"/>
          <cell r="AZ219"/>
          <cell r="BA219"/>
          <cell r="BB219"/>
          <cell r="BC219"/>
          <cell r="BE219"/>
          <cell r="BF219"/>
          <cell r="BG219"/>
          <cell r="BH219"/>
          <cell r="BI219"/>
          <cell r="BK219"/>
          <cell r="BL219"/>
          <cell r="BM219"/>
          <cell r="BN219"/>
          <cell r="BO219"/>
          <cell r="BQ219"/>
          <cell r="BR219"/>
          <cell r="BS219"/>
          <cell r="BT219"/>
          <cell r="BU219"/>
          <cell r="BW219"/>
          <cell r="BX219"/>
          <cell r="BY219"/>
          <cell r="BZ219"/>
          <cell r="CA219"/>
          <cell r="CC219"/>
          <cell r="CD219"/>
          <cell r="CE219"/>
          <cell r="CF219"/>
          <cell r="CG219"/>
        </row>
        <row r="220">
          <cell r="A220" t="str">
            <v>Other operating expenses</v>
          </cell>
          <cell r="B220"/>
          <cell r="C220"/>
          <cell r="D220"/>
          <cell r="E220"/>
          <cell r="F220"/>
          <cell r="G220"/>
          <cell r="H220"/>
          <cell r="I220"/>
          <cell r="J220"/>
          <cell r="K220"/>
          <cell r="L220"/>
          <cell r="M220"/>
          <cell r="N220"/>
          <cell r="O220"/>
          <cell r="P220"/>
          <cell r="Q220"/>
          <cell r="R220"/>
          <cell r="S220"/>
          <cell r="T220"/>
          <cell r="U220"/>
          <cell r="V220"/>
          <cell r="W220"/>
          <cell r="X220"/>
          <cell r="Y220"/>
          <cell r="Z220"/>
          <cell r="AA220"/>
          <cell r="AB220"/>
          <cell r="AC220"/>
          <cell r="AD220"/>
          <cell r="AE220"/>
          <cell r="AF220"/>
          <cell r="AG220"/>
          <cell r="AH220"/>
          <cell r="AI220"/>
          <cell r="AJ220"/>
          <cell r="AK220"/>
          <cell r="AL220"/>
          <cell r="AM220"/>
          <cell r="AN220"/>
          <cell r="AO220"/>
          <cell r="AP220"/>
          <cell r="AQ220"/>
          <cell r="AR220"/>
          <cell r="AS220"/>
          <cell r="AT220"/>
          <cell r="AU220"/>
          <cell r="AV220"/>
          <cell r="AW220"/>
          <cell r="AX220"/>
          <cell r="AY220"/>
          <cell r="AZ220"/>
          <cell r="BA220"/>
          <cell r="BB220"/>
          <cell r="BC220"/>
          <cell r="BD220"/>
          <cell r="BE220"/>
          <cell r="BF220"/>
          <cell r="BG220"/>
          <cell r="BH220"/>
          <cell r="BI220"/>
          <cell r="BJ220"/>
          <cell r="BK220"/>
          <cell r="BL220"/>
          <cell r="BM220"/>
          <cell r="BN220"/>
          <cell r="BO220"/>
          <cell r="BP220"/>
          <cell r="BQ220"/>
          <cell r="BR220"/>
          <cell r="BS220"/>
          <cell r="BT220"/>
          <cell r="BU220"/>
          <cell r="BV220"/>
          <cell r="BW220"/>
          <cell r="BX220"/>
          <cell r="BY220"/>
          <cell r="BZ220"/>
          <cell r="CA220"/>
          <cell r="CB220"/>
          <cell r="CC220"/>
          <cell r="CD220"/>
          <cell r="CE220"/>
          <cell r="CF220"/>
          <cell r="CG220"/>
          <cell r="CH220"/>
        </row>
        <row r="221">
          <cell r="A221" t="str">
            <v>% total</v>
          </cell>
          <cell r="C221"/>
          <cell r="D221"/>
          <cell r="E221"/>
          <cell r="F221"/>
          <cell r="G221"/>
          <cell r="I221"/>
          <cell r="J221"/>
          <cell r="K221"/>
          <cell r="L221"/>
          <cell r="M221"/>
          <cell r="O221"/>
          <cell r="P221"/>
          <cell r="Q221"/>
          <cell r="R221"/>
          <cell r="S221"/>
          <cell r="U221"/>
          <cell r="V221"/>
          <cell r="W221"/>
          <cell r="X221"/>
          <cell r="Y221"/>
          <cell r="AA221"/>
          <cell r="AB221"/>
          <cell r="AC221"/>
          <cell r="AD221"/>
          <cell r="AE221"/>
          <cell r="AG221"/>
          <cell r="AH221"/>
          <cell r="AI221"/>
          <cell r="AJ221"/>
          <cell r="AK221"/>
          <cell r="AM221"/>
          <cell r="AN221"/>
          <cell r="AO221"/>
          <cell r="AP221"/>
          <cell r="AQ221"/>
          <cell r="AS221"/>
          <cell r="AT221"/>
          <cell r="AU221"/>
          <cell r="AV221"/>
          <cell r="AW221"/>
          <cell r="AY221"/>
          <cell r="AZ221"/>
          <cell r="BA221"/>
          <cell r="BB221"/>
          <cell r="BC221"/>
          <cell r="BE221"/>
          <cell r="BF221"/>
          <cell r="BG221"/>
          <cell r="BH221"/>
          <cell r="BI221"/>
          <cell r="BK221"/>
          <cell r="BL221"/>
          <cell r="BM221"/>
          <cell r="BN221"/>
          <cell r="BO221"/>
          <cell r="BQ221"/>
          <cell r="BR221"/>
          <cell r="BS221"/>
          <cell r="BT221"/>
          <cell r="BU221"/>
          <cell r="BW221"/>
          <cell r="BX221"/>
          <cell r="BY221"/>
          <cell r="BZ221"/>
          <cell r="CA221"/>
          <cell r="CC221"/>
          <cell r="CD221"/>
          <cell r="CE221"/>
          <cell r="CF221"/>
          <cell r="CG221"/>
        </row>
        <row r="222">
          <cell r="A222"/>
          <cell r="C222"/>
          <cell r="D222"/>
          <cell r="E222"/>
          <cell r="F222"/>
          <cell r="G222"/>
          <cell r="I222"/>
          <cell r="J222"/>
          <cell r="K222"/>
          <cell r="L222"/>
          <cell r="M222"/>
          <cell r="O222"/>
          <cell r="P222"/>
          <cell r="Q222"/>
          <cell r="R222"/>
          <cell r="S222"/>
          <cell r="U222"/>
          <cell r="V222"/>
          <cell r="W222"/>
          <cell r="X222"/>
          <cell r="Y222"/>
          <cell r="AA222"/>
          <cell r="AB222"/>
          <cell r="AC222"/>
          <cell r="AD222"/>
          <cell r="AE222"/>
          <cell r="AG222"/>
          <cell r="AH222"/>
          <cell r="AI222"/>
          <cell r="AJ222"/>
          <cell r="AK222"/>
          <cell r="AM222"/>
          <cell r="AN222"/>
          <cell r="AO222"/>
          <cell r="AP222"/>
          <cell r="AQ222"/>
          <cell r="AS222"/>
          <cell r="AT222"/>
          <cell r="AU222"/>
          <cell r="AV222"/>
          <cell r="AW222"/>
          <cell r="AY222"/>
          <cell r="AZ222"/>
          <cell r="BA222"/>
          <cell r="BB222"/>
          <cell r="BC222"/>
          <cell r="BE222"/>
          <cell r="BF222"/>
          <cell r="BG222"/>
          <cell r="BH222"/>
          <cell r="BI222"/>
          <cell r="BK222"/>
          <cell r="BL222"/>
          <cell r="BM222"/>
          <cell r="BN222"/>
          <cell r="BO222"/>
          <cell r="BQ222"/>
          <cell r="BR222"/>
          <cell r="BS222"/>
          <cell r="BT222"/>
          <cell r="BU222"/>
          <cell r="BW222"/>
          <cell r="BX222"/>
          <cell r="BY222"/>
          <cell r="BZ222"/>
          <cell r="CA222"/>
          <cell r="CC222"/>
          <cell r="CD222"/>
          <cell r="CE222"/>
          <cell r="CF222"/>
          <cell r="CG222"/>
        </row>
        <row r="223">
          <cell r="A223" t="str">
            <v>Total operating expenses</v>
          </cell>
          <cell r="B223"/>
          <cell r="C223"/>
          <cell r="D223"/>
          <cell r="E223"/>
          <cell r="F223"/>
          <cell r="G223"/>
          <cell r="H223"/>
          <cell r="I223"/>
          <cell r="J223"/>
          <cell r="K223"/>
          <cell r="L223"/>
          <cell r="M223"/>
          <cell r="N223"/>
          <cell r="O223"/>
          <cell r="P223"/>
          <cell r="Q223"/>
          <cell r="R223"/>
          <cell r="S223"/>
          <cell r="T223"/>
          <cell r="U223"/>
          <cell r="V223"/>
          <cell r="W223"/>
          <cell r="X223"/>
          <cell r="Y223"/>
          <cell r="Z223"/>
          <cell r="AA223"/>
          <cell r="AB223"/>
          <cell r="AC223"/>
          <cell r="AD223"/>
          <cell r="AE223"/>
          <cell r="AF223"/>
          <cell r="AG223"/>
          <cell r="AH223"/>
          <cell r="AI223"/>
          <cell r="AJ223"/>
          <cell r="AK223"/>
          <cell r="AL223"/>
          <cell r="AM223"/>
          <cell r="AN223"/>
          <cell r="AO223"/>
          <cell r="AP223"/>
          <cell r="AQ223"/>
          <cell r="AR223"/>
          <cell r="AS223"/>
          <cell r="AT223"/>
          <cell r="AU223"/>
          <cell r="AV223"/>
          <cell r="AW223"/>
          <cell r="AX223"/>
          <cell r="AY223"/>
          <cell r="AZ223"/>
          <cell r="BA223"/>
          <cell r="BB223"/>
          <cell r="BC223"/>
          <cell r="BD223"/>
          <cell r="BE223"/>
          <cell r="BF223"/>
          <cell r="BG223"/>
          <cell r="BH223"/>
          <cell r="BI223"/>
          <cell r="BJ223"/>
          <cell r="BK223"/>
          <cell r="BL223"/>
          <cell r="BM223"/>
          <cell r="BN223"/>
          <cell r="BO223"/>
          <cell r="BP223"/>
          <cell r="BQ223"/>
          <cell r="BR223"/>
          <cell r="BS223"/>
          <cell r="BT223"/>
          <cell r="BU223"/>
          <cell r="BV223"/>
          <cell r="BW223"/>
          <cell r="BX223"/>
          <cell r="BY223"/>
          <cell r="BZ223"/>
          <cell r="CA223"/>
          <cell r="CB223"/>
          <cell r="CC223"/>
          <cell r="CD223"/>
          <cell r="CE223"/>
          <cell r="CF223"/>
          <cell r="CG223"/>
          <cell r="CH223"/>
        </row>
        <row r="224">
          <cell r="A224" t="str">
            <v>% total</v>
          </cell>
          <cell r="C224"/>
          <cell r="D224"/>
          <cell r="E224"/>
          <cell r="F224"/>
          <cell r="G224"/>
          <cell r="I224"/>
          <cell r="J224"/>
          <cell r="K224"/>
          <cell r="L224"/>
          <cell r="M224"/>
          <cell r="O224"/>
          <cell r="P224"/>
          <cell r="Q224"/>
          <cell r="R224"/>
          <cell r="S224"/>
          <cell r="U224"/>
          <cell r="V224"/>
          <cell r="W224"/>
          <cell r="X224"/>
          <cell r="Y224"/>
          <cell r="AA224"/>
          <cell r="AB224"/>
          <cell r="AC224"/>
          <cell r="AD224"/>
          <cell r="AE224"/>
          <cell r="AG224"/>
          <cell r="AH224"/>
          <cell r="AI224"/>
          <cell r="AJ224"/>
          <cell r="AK224"/>
          <cell r="AM224"/>
          <cell r="AN224"/>
          <cell r="AO224"/>
          <cell r="AP224"/>
          <cell r="AQ224"/>
          <cell r="AS224"/>
          <cell r="AT224"/>
          <cell r="AU224"/>
          <cell r="AV224"/>
          <cell r="AW224"/>
          <cell r="AY224"/>
          <cell r="AZ224"/>
          <cell r="BA224"/>
          <cell r="BB224"/>
          <cell r="BC224"/>
          <cell r="BE224"/>
          <cell r="BF224"/>
          <cell r="BG224"/>
          <cell r="BH224"/>
          <cell r="BI224"/>
          <cell r="BK224"/>
          <cell r="BL224"/>
          <cell r="BM224"/>
          <cell r="BN224"/>
          <cell r="BO224"/>
          <cell r="BQ224"/>
          <cell r="BR224"/>
          <cell r="BS224"/>
          <cell r="BT224"/>
          <cell r="BU224"/>
          <cell r="BW224"/>
          <cell r="BX224"/>
          <cell r="BY224"/>
          <cell r="BZ224"/>
          <cell r="CA224"/>
          <cell r="CC224"/>
          <cell r="CD224"/>
          <cell r="CE224"/>
          <cell r="CF224"/>
          <cell r="CG224"/>
        </row>
        <row r="225">
          <cell r="A225"/>
          <cell r="C225"/>
          <cell r="D225"/>
          <cell r="E225"/>
          <cell r="F225"/>
          <cell r="G225"/>
          <cell r="I225"/>
          <cell r="J225"/>
          <cell r="K225"/>
          <cell r="L225"/>
          <cell r="M225"/>
          <cell r="O225"/>
          <cell r="P225"/>
          <cell r="Q225"/>
          <cell r="R225"/>
          <cell r="S225"/>
          <cell r="U225"/>
          <cell r="V225"/>
          <cell r="W225"/>
          <cell r="X225"/>
          <cell r="Y225"/>
          <cell r="AA225"/>
          <cell r="AB225"/>
          <cell r="AC225"/>
          <cell r="AD225"/>
          <cell r="AE225"/>
          <cell r="AG225"/>
          <cell r="AH225"/>
          <cell r="AI225"/>
          <cell r="AJ225"/>
          <cell r="AK225"/>
          <cell r="AM225"/>
          <cell r="AN225"/>
          <cell r="AO225"/>
          <cell r="AP225"/>
          <cell r="AQ225"/>
          <cell r="AS225"/>
          <cell r="AT225"/>
          <cell r="AU225"/>
          <cell r="AV225"/>
          <cell r="AW225"/>
          <cell r="AY225"/>
          <cell r="AZ225"/>
          <cell r="BA225"/>
          <cell r="BB225"/>
          <cell r="BC225"/>
          <cell r="BE225"/>
          <cell r="BF225"/>
          <cell r="BG225"/>
          <cell r="BH225"/>
          <cell r="BI225"/>
          <cell r="BK225"/>
          <cell r="BL225"/>
          <cell r="BM225"/>
          <cell r="BN225"/>
          <cell r="BO225"/>
          <cell r="BQ225"/>
          <cell r="BR225"/>
          <cell r="BS225"/>
          <cell r="BT225"/>
          <cell r="BU225"/>
          <cell r="BW225"/>
          <cell r="BX225"/>
          <cell r="BY225"/>
          <cell r="BZ225"/>
          <cell r="CA225"/>
          <cell r="CC225"/>
          <cell r="CD225"/>
          <cell r="CE225"/>
          <cell r="CF225"/>
          <cell r="CG225"/>
        </row>
        <row r="226">
          <cell r="A226" t="str">
            <v>Other income (expense), net</v>
          </cell>
          <cell r="B226"/>
          <cell r="C226"/>
          <cell r="D226"/>
          <cell r="E226"/>
          <cell r="F226"/>
          <cell r="G226"/>
          <cell r="H226"/>
          <cell r="I226"/>
          <cell r="J226"/>
          <cell r="K226"/>
          <cell r="L226"/>
          <cell r="M226"/>
          <cell r="N226"/>
          <cell r="O226"/>
          <cell r="P226"/>
          <cell r="Q226"/>
          <cell r="R226"/>
          <cell r="S226"/>
          <cell r="T226"/>
          <cell r="U226"/>
          <cell r="V226"/>
          <cell r="W226"/>
          <cell r="X226"/>
          <cell r="Y226"/>
          <cell r="Z226"/>
          <cell r="AA226"/>
          <cell r="AB226"/>
          <cell r="AC226"/>
          <cell r="AD226"/>
          <cell r="AE226"/>
          <cell r="AF226"/>
          <cell r="AG226"/>
          <cell r="AH226"/>
          <cell r="AI226"/>
          <cell r="AJ226"/>
          <cell r="AK226"/>
          <cell r="AL226"/>
          <cell r="AM226"/>
          <cell r="AN226"/>
          <cell r="AO226"/>
          <cell r="AP226"/>
          <cell r="AQ226"/>
          <cell r="AR226"/>
          <cell r="AS226"/>
          <cell r="AT226"/>
          <cell r="AU226"/>
          <cell r="AV226"/>
          <cell r="AW226"/>
          <cell r="AX226"/>
          <cell r="AY226"/>
          <cell r="AZ226"/>
          <cell r="BA226"/>
          <cell r="BB226"/>
          <cell r="BC226"/>
          <cell r="BD226"/>
          <cell r="BE226"/>
          <cell r="BF226"/>
          <cell r="BG226"/>
          <cell r="BH226"/>
          <cell r="BI226"/>
          <cell r="BJ226"/>
          <cell r="BK226"/>
          <cell r="BL226"/>
          <cell r="BM226"/>
          <cell r="BN226"/>
          <cell r="BO226"/>
          <cell r="BP226"/>
          <cell r="BQ226"/>
          <cell r="BR226"/>
          <cell r="BS226"/>
          <cell r="BT226"/>
          <cell r="BU226"/>
          <cell r="BV226"/>
          <cell r="BW226"/>
          <cell r="BX226"/>
          <cell r="BY226"/>
          <cell r="BZ226"/>
          <cell r="CA226"/>
          <cell r="CB226"/>
          <cell r="CC226"/>
          <cell r="CD226"/>
          <cell r="CE226"/>
          <cell r="CF226"/>
          <cell r="CG226"/>
          <cell r="CH226"/>
        </row>
        <row r="227">
          <cell r="A227" t="str">
            <v>% total</v>
          </cell>
          <cell r="C227"/>
          <cell r="D227"/>
          <cell r="E227"/>
          <cell r="F227"/>
          <cell r="G227"/>
          <cell r="I227"/>
          <cell r="J227"/>
          <cell r="K227"/>
          <cell r="L227"/>
          <cell r="M227"/>
          <cell r="O227"/>
          <cell r="P227"/>
          <cell r="Q227"/>
          <cell r="R227"/>
          <cell r="S227"/>
          <cell r="U227"/>
          <cell r="V227"/>
          <cell r="W227"/>
          <cell r="X227"/>
          <cell r="Y227"/>
          <cell r="AA227"/>
          <cell r="AB227"/>
          <cell r="AC227"/>
          <cell r="AD227"/>
          <cell r="AE227"/>
          <cell r="AG227"/>
          <cell r="AH227"/>
          <cell r="AI227"/>
          <cell r="AJ227"/>
          <cell r="AK227"/>
          <cell r="AM227"/>
          <cell r="AN227"/>
          <cell r="AO227"/>
          <cell r="AP227"/>
          <cell r="AQ227"/>
          <cell r="AS227"/>
          <cell r="AT227"/>
          <cell r="AU227"/>
          <cell r="AV227"/>
          <cell r="AW227"/>
          <cell r="AY227"/>
          <cell r="AZ227"/>
          <cell r="BA227"/>
          <cell r="BB227"/>
          <cell r="BC227"/>
          <cell r="BE227"/>
          <cell r="BF227"/>
          <cell r="BG227"/>
          <cell r="BH227"/>
          <cell r="BI227"/>
          <cell r="BK227"/>
          <cell r="BL227"/>
          <cell r="BM227"/>
          <cell r="BN227"/>
          <cell r="BO227"/>
          <cell r="BQ227"/>
          <cell r="BR227"/>
          <cell r="BS227"/>
          <cell r="BT227"/>
          <cell r="BU227"/>
          <cell r="BW227"/>
          <cell r="BX227"/>
          <cell r="BY227"/>
          <cell r="BZ227"/>
          <cell r="CA227"/>
          <cell r="CC227"/>
          <cell r="CD227"/>
          <cell r="CE227"/>
          <cell r="CF227"/>
          <cell r="CG227"/>
        </row>
        <row r="228">
          <cell r="A228"/>
          <cell r="C228"/>
          <cell r="D228"/>
          <cell r="E228"/>
          <cell r="F228"/>
          <cell r="G228"/>
          <cell r="I228"/>
          <cell r="J228"/>
          <cell r="K228"/>
          <cell r="L228"/>
          <cell r="M228"/>
          <cell r="O228"/>
          <cell r="P228"/>
          <cell r="Q228"/>
          <cell r="R228"/>
          <cell r="S228"/>
          <cell r="U228"/>
          <cell r="V228"/>
          <cell r="W228"/>
          <cell r="X228"/>
          <cell r="Y228"/>
          <cell r="AA228"/>
          <cell r="AB228"/>
          <cell r="AC228"/>
          <cell r="AD228"/>
          <cell r="AE228"/>
          <cell r="AG228"/>
          <cell r="AH228"/>
          <cell r="AI228"/>
          <cell r="AJ228"/>
          <cell r="AK228"/>
          <cell r="AM228"/>
          <cell r="AN228"/>
          <cell r="AO228"/>
          <cell r="AP228"/>
          <cell r="AQ228"/>
          <cell r="AS228"/>
          <cell r="AT228"/>
          <cell r="AU228"/>
          <cell r="AV228"/>
          <cell r="AW228"/>
          <cell r="AY228"/>
          <cell r="AZ228"/>
          <cell r="BA228"/>
          <cell r="BB228"/>
          <cell r="BC228"/>
          <cell r="BE228"/>
          <cell r="BF228"/>
          <cell r="BG228"/>
          <cell r="BH228"/>
          <cell r="BI228"/>
          <cell r="BK228"/>
          <cell r="BL228"/>
          <cell r="BM228"/>
          <cell r="BN228"/>
          <cell r="BO228"/>
          <cell r="BQ228"/>
          <cell r="BR228"/>
          <cell r="BS228"/>
          <cell r="BT228"/>
          <cell r="BU228"/>
          <cell r="BW228"/>
          <cell r="BX228"/>
          <cell r="BY228"/>
          <cell r="BZ228"/>
          <cell r="CA228"/>
          <cell r="CC228"/>
          <cell r="CD228"/>
          <cell r="CE228"/>
          <cell r="CF228"/>
          <cell r="CG228"/>
        </row>
        <row r="229">
          <cell r="A229"/>
          <cell r="B229"/>
          <cell r="C229"/>
          <cell r="D229"/>
          <cell r="E229"/>
          <cell r="F229"/>
          <cell r="G229"/>
          <cell r="I229"/>
          <cell r="J229"/>
          <cell r="K229"/>
          <cell r="L229"/>
          <cell r="M229"/>
          <cell r="O229"/>
          <cell r="P229"/>
          <cell r="Q229"/>
          <cell r="R229"/>
          <cell r="S229"/>
          <cell r="U229"/>
          <cell r="V229"/>
          <cell r="W229"/>
          <cell r="X229"/>
          <cell r="Y229"/>
          <cell r="AA229"/>
          <cell r="AB229"/>
          <cell r="AC229"/>
          <cell r="AD229"/>
          <cell r="AE229"/>
          <cell r="AG229"/>
          <cell r="AH229"/>
          <cell r="AI229"/>
          <cell r="AJ229"/>
          <cell r="AK229"/>
          <cell r="AL229"/>
          <cell r="AM229"/>
          <cell r="AN229"/>
          <cell r="AO229"/>
          <cell r="AP229"/>
          <cell r="AQ229"/>
          <cell r="AS229"/>
          <cell r="AT229"/>
          <cell r="AU229"/>
          <cell r="AV229"/>
          <cell r="AW229"/>
          <cell r="AY229"/>
          <cell r="AZ229"/>
          <cell r="BA229"/>
          <cell r="BB229"/>
          <cell r="BC229"/>
          <cell r="BE229"/>
          <cell r="BF229"/>
          <cell r="BG229"/>
          <cell r="BH229"/>
          <cell r="BI229"/>
          <cell r="BK229"/>
          <cell r="BL229"/>
          <cell r="BM229"/>
          <cell r="BN229"/>
          <cell r="BO229"/>
          <cell r="BQ229"/>
          <cell r="BR229"/>
          <cell r="BS229"/>
          <cell r="BT229"/>
          <cell r="BU229"/>
          <cell r="BW229"/>
          <cell r="BX229"/>
          <cell r="BY229"/>
          <cell r="BZ229"/>
          <cell r="CA229"/>
          <cell r="CC229"/>
          <cell r="CD229"/>
          <cell r="CE229"/>
          <cell r="CF229"/>
          <cell r="CG229"/>
        </row>
        <row r="230">
          <cell r="A230"/>
          <cell r="B230"/>
          <cell r="C230"/>
          <cell r="D230"/>
          <cell r="E230"/>
          <cell r="F230"/>
          <cell r="G230"/>
          <cell r="I230"/>
          <cell r="J230"/>
          <cell r="K230"/>
          <cell r="L230"/>
          <cell r="M230"/>
          <cell r="O230"/>
          <cell r="P230"/>
          <cell r="Q230"/>
          <cell r="R230"/>
          <cell r="S230"/>
          <cell r="U230"/>
          <cell r="V230"/>
          <cell r="W230"/>
          <cell r="X230"/>
          <cell r="Y230"/>
          <cell r="AA230"/>
          <cell r="AB230"/>
          <cell r="AC230"/>
          <cell r="AD230"/>
          <cell r="AE230"/>
          <cell r="AG230"/>
          <cell r="AH230"/>
          <cell r="AI230"/>
          <cell r="AJ230"/>
          <cell r="AK230"/>
          <cell r="AL230"/>
          <cell r="AM230"/>
          <cell r="AN230"/>
          <cell r="AO230"/>
          <cell r="AP230"/>
          <cell r="AQ230"/>
          <cell r="AS230"/>
          <cell r="AT230"/>
          <cell r="AU230"/>
          <cell r="AV230"/>
          <cell r="AW230"/>
          <cell r="AY230"/>
          <cell r="AZ230"/>
          <cell r="BA230"/>
          <cell r="BB230"/>
          <cell r="BC230"/>
          <cell r="BE230"/>
          <cell r="BF230"/>
          <cell r="BG230"/>
          <cell r="BH230"/>
          <cell r="BI230"/>
          <cell r="BK230"/>
          <cell r="BL230"/>
          <cell r="BM230"/>
          <cell r="BN230"/>
          <cell r="BO230"/>
          <cell r="BQ230"/>
          <cell r="BR230"/>
          <cell r="BS230"/>
          <cell r="BT230"/>
          <cell r="BU230"/>
          <cell r="BW230"/>
          <cell r="BX230"/>
          <cell r="BY230"/>
          <cell r="BZ230"/>
          <cell r="CA230"/>
          <cell r="CC230"/>
          <cell r="CD230"/>
          <cell r="CE230"/>
          <cell r="CF230"/>
          <cell r="CG230"/>
        </row>
        <row r="231">
          <cell r="A231"/>
          <cell r="B231"/>
          <cell r="C231"/>
          <cell r="D231"/>
          <cell r="E231"/>
          <cell r="F231"/>
          <cell r="G231"/>
          <cell r="H231"/>
          <cell r="I231"/>
          <cell r="J231"/>
          <cell r="K231"/>
          <cell r="L231"/>
          <cell r="M231"/>
          <cell r="N231"/>
          <cell r="O231"/>
          <cell r="P231"/>
          <cell r="Q231"/>
          <cell r="R231"/>
          <cell r="S231"/>
          <cell r="T231"/>
          <cell r="U231"/>
          <cell r="V231"/>
          <cell r="W231"/>
          <cell r="X231"/>
          <cell r="Y231"/>
          <cell r="Z231"/>
          <cell r="AA231"/>
          <cell r="AB231"/>
          <cell r="AC231"/>
          <cell r="AD231"/>
          <cell r="AE231"/>
          <cell r="AF231"/>
          <cell r="AG231"/>
          <cell r="AH231"/>
          <cell r="AI231"/>
          <cell r="AJ231"/>
          <cell r="AK231"/>
          <cell r="AL231"/>
          <cell r="AM231"/>
          <cell r="AN231"/>
          <cell r="AO231"/>
          <cell r="AP231"/>
          <cell r="AQ231"/>
          <cell r="AR231"/>
          <cell r="AS231"/>
          <cell r="AT231"/>
          <cell r="AU231"/>
          <cell r="AV231"/>
          <cell r="AW231"/>
          <cell r="AX231"/>
          <cell r="AY231"/>
          <cell r="AZ231"/>
          <cell r="BA231"/>
          <cell r="BB231"/>
          <cell r="BC231"/>
          <cell r="BD231"/>
          <cell r="BE231"/>
          <cell r="BF231"/>
          <cell r="BG231"/>
          <cell r="BH231"/>
          <cell r="BI231"/>
          <cell r="BJ231"/>
          <cell r="BK231"/>
          <cell r="BL231"/>
          <cell r="BM231"/>
          <cell r="BN231"/>
          <cell r="BO231"/>
          <cell r="BP231"/>
          <cell r="BQ231"/>
          <cell r="BR231"/>
          <cell r="BS231"/>
          <cell r="BT231"/>
          <cell r="BU231"/>
          <cell r="BV231"/>
          <cell r="BW231"/>
          <cell r="BX231"/>
          <cell r="BY231"/>
          <cell r="BZ231"/>
          <cell r="CA231"/>
          <cell r="CB231"/>
          <cell r="CC231"/>
          <cell r="CD231"/>
          <cell r="CE231"/>
          <cell r="CF231"/>
          <cell r="CG231"/>
        </row>
        <row r="232">
          <cell r="A232"/>
          <cell r="B232"/>
          <cell r="C232"/>
          <cell r="D232"/>
          <cell r="E232"/>
          <cell r="F232"/>
          <cell r="G232"/>
          <cell r="H232"/>
          <cell r="I232"/>
          <cell r="J232"/>
          <cell r="K232"/>
          <cell r="L232"/>
          <cell r="M232"/>
          <cell r="N232"/>
          <cell r="O232"/>
          <cell r="P232"/>
          <cell r="Q232"/>
          <cell r="R232"/>
          <cell r="S232"/>
          <cell r="T232"/>
          <cell r="U232"/>
          <cell r="V232"/>
          <cell r="W232"/>
          <cell r="X232"/>
          <cell r="Y232"/>
          <cell r="Z232"/>
          <cell r="AA232"/>
          <cell r="AB232"/>
          <cell r="AC232"/>
          <cell r="AD232"/>
          <cell r="AE232"/>
          <cell r="AF232"/>
          <cell r="AG232"/>
          <cell r="AH232"/>
          <cell r="AI232"/>
          <cell r="AJ232"/>
          <cell r="AK232"/>
          <cell r="AL232"/>
          <cell r="AM232"/>
          <cell r="AN232"/>
          <cell r="AO232"/>
          <cell r="AP232"/>
          <cell r="AQ232"/>
          <cell r="AR232"/>
          <cell r="AS232"/>
          <cell r="AT232"/>
          <cell r="AU232"/>
          <cell r="AV232"/>
          <cell r="AW232"/>
          <cell r="AX232"/>
          <cell r="AY232"/>
          <cell r="AZ232"/>
          <cell r="BA232"/>
          <cell r="BB232"/>
          <cell r="BC232"/>
          <cell r="BD232"/>
          <cell r="BE232"/>
          <cell r="BF232"/>
          <cell r="BG232"/>
          <cell r="BH232"/>
          <cell r="BI232"/>
          <cell r="BJ232"/>
          <cell r="BK232"/>
          <cell r="BL232"/>
          <cell r="BM232"/>
          <cell r="BN232"/>
          <cell r="BO232"/>
          <cell r="BP232"/>
          <cell r="BQ232"/>
          <cell r="BR232"/>
          <cell r="BS232"/>
          <cell r="BT232"/>
          <cell r="BU232"/>
          <cell r="BV232"/>
          <cell r="BW232"/>
          <cell r="BX232"/>
          <cell r="BY232"/>
          <cell r="BZ232"/>
          <cell r="CA232"/>
          <cell r="CB232"/>
          <cell r="CC232"/>
          <cell r="CD232"/>
          <cell r="CE232"/>
          <cell r="CF232"/>
          <cell r="CG232"/>
        </row>
        <row r="233">
          <cell r="A233"/>
          <cell r="C233"/>
          <cell r="D233"/>
          <cell r="E233"/>
          <cell r="F233"/>
          <cell r="G233"/>
          <cell r="I233"/>
          <cell r="J233"/>
          <cell r="K233"/>
          <cell r="L233"/>
          <cell r="M233"/>
          <cell r="O233"/>
          <cell r="P233"/>
          <cell r="Q233"/>
          <cell r="R233"/>
          <cell r="S233"/>
          <cell r="U233"/>
          <cell r="V233"/>
          <cell r="W233"/>
          <cell r="X233"/>
          <cell r="Y233"/>
          <cell r="AA233"/>
          <cell r="AB233"/>
          <cell r="AC233"/>
          <cell r="AD233"/>
          <cell r="AE233"/>
          <cell r="AG233"/>
          <cell r="AH233"/>
          <cell r="AI233"/>
          <cell r="AJ233"/>
          <cell r="AK233"/>
          <cell r="AM233"/>
          <cell r="AN233"/>
          <cell r="AO233"/>
          <cell r="AP233"/>
          <cell r="AQ233"/>
          <cell r="AS233"/>
          <cell r="AT233"/>
          <cell r="AU233"/>
          <cell r="AV233"/>
          <cell r="AW233"/>
          <cell r="AY233"/>
          <cell r="AZ233"/>
          <cell r="BA233"/>
          <cell r="BB233"/>
          <cell r="BC233"/>
          <cell r="BE233"/>
          <cell r="BF233"/>
          <cell r="BG233"/>
          <cell r="BH233"/>
          <cell r="BI233"/>
          <cell r="BK233"/>
          <cell r="BL233"/>
          <cell r="BM233"/>
          <cell r="BN233"/>
          <cell r="BO233"/>
          <cell r="BQ233"/>
          <cell r="BR233"/>
          <cell r="BS233"/>
          <cell r="BT233"/>
          <cell r="BU233"/>
          <cell r="BW233"/>
          <cell r="BX233"/>
          <cell r="BY233"/>
          <cell r="BZ233"/>
          <cell r="CA233"/>
          <cell r="CC233"/>
          <cell r="CD233"/>
          <cell r="CE233"/>
          <cell r="CF233"/>
          <cell r="CG233"/>
        </row>
        <row r="234">
          <cell r="A234"/>
          <cell r="C234"/>
          <cell r="D234"/>
          <cell r="E234"/>
          <cell r="F234"/>
          <cell r="G234"/>
          <cell r="I234"/>
          <cell r="J234"/>
          <cell r="K234"/>
          <cell r="L234"/>
          <cell r="M234"/>
          <cell r="O234"/>
          <cell r="P234"/>
          <cell r="Q234"/>
          <cell r="R234"/>
          <cell r="S234"/>
          <cell r="U234"/>
          <cell r="V234"/>
          <cell r="W234"/>
          <cell r="X234"/>
          <cell r="Y234"/>
          <cell r="AA234"/>
          <cell r="AB234"/>
          <cell r="AC234"/>
          <cell r="AD234"/>
          <cell r="AE234"/>
          <cell r="AG234"/>
          <cell r="AH234"/>
          <cell r="AI234"/>
          <cell r="AJ234"/>
          <cell r="AK234"/>
          <cell r="AM234"/>
          <cell r="AN234"/>
          <cell r="AO234"/>
          <cell r="AP234"/>
          <cell r="AQ234"/>
          <cell r="AS234"/>
          <cell r="AT234"/>
          <cell r="AU234"/>
          <cell r="AV234"/>
          <cell r="AW234"/>
          <cell r="AY234"/>
          <cell r="AZ234"/>
          <cell r="BA234"/>
          <cell r="BB234"/>
          <cell r="BC234"/>
          <cell r="BE234"/>
          <cell r="BF234"/>
          <cell r="BG234"/>
          <cell r="BH234"/>
          <cell r="BI234"/>
          <cell r="BK234"/>
          <cell r="BL234"/>
          <cell r="BM234"/>
          <cell r="BN234"/>
          <cell r="BO234"/>
          <cell r="BQ234"/>
          <cell r="BR234"/>
          <cell r="BS234"/>
          <cell r="BT234"/>
          <cell r="BU234"/>
          <cell r="BW234"/>
          <cell r="BX234"/>
          <cell r="BY234"/>
          <cell r="BZ234"/>
          <cell r="CA234"/>
          <cell r="CC234"/>
          <cell r="CD234"/>
          <cell r="CE234"/>
          <cell r="CF234"/>
          <cell r="CG234"/>
        </row>
        <row r="235">
          <cell r="A235"/>
          <cell r="C235"/>
          <cell r="D235"/>
          <cell r="E235"/>
          <cell r="F235"/>
          <cell r="G235"/>
          <cell r="I235"/>
          <cell r="J235"/>
          <cell r="K235"/>
          <cell r="L235"/>
          <cell r="M235"/>
          <cell r="O235"/>
          <cell r="P235"/>
          <cell r="Q235"/>
          <cell r="R235"/>
          <cell r="S235"/>
          <cell r="U235"/>
          <cell r="V235"/>
          <cell r="W235"/>
          <cell r="X235"/>
          <cell r="Y235"/>
          <cell r="AA235"/>
          <cell r="AB235"/>
          <cell r="AC235"/>
          <cell r="AD235"/>
          <cell r="AE235"/>
          <cell r="AG235"/>
          <cell r="AH235"/>
          <cell r="AI235"/>
          <cell r="AJ235"/>
          <cell r="AK235"/>
          <cell r="AM235"/>
          <cell r="AN235"/>
          <cell r="AO235"/>
          <cell r="AP235"/>
          <cell r="AQ235"/>
          <cell r="AS235"/>
          <cell r="AT235"/>
          <cell r="AU235"/>
          <cell r="AV235"/>
          <cell r="AW235"/>
          <cell r="AY235"/>
          <cell r="AZ235"/>
          <cell r="BA235"/>
          <cell r="BB235"/>
          <cell r="BC235"/>
          <cell r="BE235"/>
          <cell r="BF235"/>
          <cell r="BG235"/>
          <cell r="BH235"/>
          <cell r="BI235"/>
          <cell r="BK235"/>
          <cell r="BL235"/>
          <cell r="BM235"/>
          <cell r="BN235"/>
          <cell r="BO235"/>
          <cell r="BQ235"/>
          <cell r="BR235"/>
          <cell r="BS235"/>
          <cell r="BT235"/>
          <cell r="BU235"/>
          <cell r="BW235"/>
          <cell r="BX235"/>
          <cell r="BY235"/>
          <cell r="BZ235"/>
          <cell r="CA235"/>
          <cell r="CC235"/>
          <cell r="CD235"/>
          <cell r="CE235"/>
          <cell r="CF235"/>
          <cell r="CG235"/>
        </row>
        <row r="236">
          <cell r="A236"/>
          <cell r="C236"/>
          <cell r="D236"/>
          <cell r="E236"/>
          <cell r="F236"/>
          <cell r="G236"/>
          <cell r="I236"/>
          <cell r="J236"/>
          <cell r="K236"/>
          <cell r="L236"/>
          <cell r="M236"/>
          <cell r="O236"/>
          <cell r="P236"/>
          <cell r="Q236"/>
          <cell r="R236"/>
          <cell r="S236"/>
          <cell r="U236"/>
          <cell r="V236"/>
          <cell r="W236"/>
          <cell r="X236"/>
          <cell r="Y236"/>
          <cell r="AA236"/>
          <cell r="AB236"/>
          <cell r="AC236"/>
          <cell r="AD236"/>
          <cell r="AE236"/>
          <cell r="AG236"/>
          <cell r="AH236"/>
          <cell r="AI236"/>
          <cell r="AJ236"/>
          <cell r="AK236"/>
          <cell r="AM236"/>
          <cell r="AN236"/>
          <cell r="AO236"/>
          <cell r="AP236"/>
          <cell r="AQ236"/>
          <cell r="AS236"/>
          <cell r="AT236"/>
          <cell r="AU236"/>
          <cell r="AV236"/>
          <cell r="AW236"/>
          <cell r="AY236"/>
          <cell r="AZ236"/>
          <cell r="BA236"/>
          <cell r="BB236"/>
          <cell r="BC236"/>
          <cell r="BE236"/>
          <cell r="BF236"/>
          <cell r="BG236"/>
          <cell r="BH236"/>
          <cell r="BI236"/>
          <cell r="BK236"/>
          <cell r="BL236"/>
          <cell r="BM236"/>
          <cell r="BN236"/>
          <cell r="BO236"/>
          <cell r="BQ236"/>
          <cell r="BR236"/>
          <cell r="BS236"/>
          <cell r="BT236"/>
          <cell r="BU236"/>
          <cell r="BW236"/>
          <cell r="BX236"/>
          <cell r="BY236"/>
          <cell r="BZ236"/>
          <cell r="CA236"/>
          <cell r="CC236"/>
          <cell r="CD236"/>
          <cell r="CE236"/>
          <cell r="CF236"/>
          <cell r="CG236"/>
        </row>
        <row r="237">
          <cell r="A237" t="str">
            <v>AMORTIZATION OF INTANGIBLES</v>
          </cell>
          <cell r="C237"/>
          <cell r="D237"/>
          <cell r="E237"/>
          <cell r="F237"/>
          <cell r="G237"/>
          <cell r="I237"/>
          <cell r="J237"/>
          <cell r="K237"/>
          <cell r="L237"/>
          <cell r="M237"/>
          <cell r="O237"/>
          <cell r="P237"/>
          <cell r="Q237"/>
          <cell r="R237"/>
          <cell r="S237"/>
          <cell r="U237"/>
          <cell r="V237"/>
          <cell r="W237"/>
          <cell r="X237"/>
          <cell r="Y237"/>
          <cell r="AA237"/>
          <cell r="AB237"/>
          <cell r="AC237"/>
          <cell r="AD237"/>
          <cell r="AE237"/>
          <cell r="AG237"/>
          <cell r="AH237"/>
          <cell r="AI237"/>
          <cell r="AJ237"/>
          <cell r="AK237"/>
          <cell r="AM237"/>
          <cell r="AN237"/>
          <cell r="AO237"/>
          <cell r="AP237"/>
          <cell r="AQ237"/>
          <cell r="AS237"/>
          <cell r="AT237"/>
          <cell r="AU237"/>
          <cell r="AV237"/>
          <cell r="AW237"/>
          <cell r="AY237"/>
          <cell r="AZ237"/>
          <cell r="BA237"/>
          <cell r="BB237"/>
          <cell r="BC237"/>
          <cell r="BE237"/>
          <cell r="BF237"/>
          <cell r="BG237"/>
          <cell r="BH237"/>
          <cell r="BI237"/>
          <cell r="BK237"/>
          <cell r="BL237"/>
          <cell r="BM237"/>
          <cell r="BN237"/>
          <cell r="BO237"/>
          <cell r="BQ237"/>
          <cell r="BR237"/>
          <cell r="BS237"/>
          <cell r="BT237"/>
          <cell r="BU237"/>
          <cell r="BW237"/>
          <cell r="BX237"/>
          <cell r="BY237"/>
          <cell r="BZ237"/>
          <cell r="CA237"/>
          <cell r="CC237"/>
          <cell r="CD237"/>
          <cell r="CE237"/>
          <cell r="CF237"/>
          <cell r="CG237"/>
        </row>
        <row r="238">
          <cell r="A238"/>
          <cell r="C238"/>
          <cell r="D238"/>
          <cell r="E238"/>
          <cell r="F238"/>
          <cell r="G238"/>
          <cell r="I238"/>
          <cell r="J238"/>
          <cell r="K238"/>
          <cell r="L238"/>
          <cell r="M238"/>
          <cell r="O238"/>
          <cell r="P238"/>
          <cell r="Q238"/>
          <cell r="R238"/>
          <cell r="S238"/>
          <cell r="U238"/>
          <cell r="V238"/>
          <cell r="W238"/>
          <cell r="X238"/>
          <cell r="Y238"/>
          <cell r="AA238"/>
          <cell r="AB238"/>
          <cell r="AC238"/>
          <cell r="AD238"/>
          <cell r="AE238"/>
          <cell r="AG238"/>
          <cell r="AH238"/>
          <cell r="AI238"/>
          <cell r="AJ238"/>
          <cell r="AK238"/>
          <cell r="AM238"/>
          <cell r="AN238"/>
          <cell r="AO238"/>
          <cell r="AP238"/>
          <cell r="AQ238"/>
          <cell r="AS238"/>
          <cell r="AT238"/>
          <cell r="AU238"/>
          <cell r="AV238"/>
          <cell r="AW238"/>
          <cell r="AY238"/>
          <cell r="AZ238"/>
          <cell r="BA238"/>
          <cell r="BB238"/>
          <cell r="BC238"/>
          <cell r="BE238"/>
          <cell r="BF238"/>
          <cell r="BG238"/>
          <cell r="BH238"/>
          <cell r="BI238"/>
          <cell r="BK238"/>
          <cell r="BL238"/>
          <cell r="BM238"/>
          <cell r="BN238"/>
          <cell r="BO238"/>
          <cell r="BQ238"/>
          <cell r="BR238"/>
          <cell r="BS238"/>
          <cell r="BT238"/>
          <cell r="BU238"/>
          <cell r="BW238"/>
          <cell r="BX238"/>
          <cell r="BY238"/>
          <cell r="BZ238"/>
          <cell r="CA238"/>
          <cell r="CC238"/>
          <cell r="CD238"/>
          <cell r="CE238"/>
          <cell r="CF238"/>
          <cell r="CG238"/>
        </row>
        <row r="239">
          <cell r="A239" t="str">
            <v>Cost of license revenue</v>
          </cell>
          <cell r="B239"/>
          <cell r="C239"/>
          <cell r="D239"/>
          <cell r="E239"/>
          <cell r="F239"/>
          <cell r="G239"/>
          <cell r="H239"/>
          <cell r="I239"/>
          <cell r="J239"/>
          <cell r="K239"/>
          <cell r="L239"/>
          <cell r="M239"/>
          <cell r="N239"/>
          <cell r="O239"/>
          <cell r="P239"/>
          <cell r="Q239"/>
          <cell r="R239"/>
          <cell r="S239"/>
          <cell r="T239"/>
          <cell r="U239"/>
          <cell r="V239"/>
          <cell r="W239"/>
          <cell r="X239"/>
          <cell r="Y239">
            <v>0</v>
          </cell>
          <cell r="Z239"/>
          <cell r="AA239">
            <v>0</v>
          </cell>
          <cell r="AB239">
            <v>0</v>
          </cell>
          <cell r="AC239">
            <v>0</v>
          </cell>
          <cell r="AD239">
            <v>0</v>
          </cell>
          <cell r="AE239">
            <v>0</v>
          </cell>
          <cell r="AF239"/>
          <cell r="AG239">
            <v>0</v>
          </cell>
          <cell r="AH239">
            <v>0</v>
          </cell>
          <cell r="AI239">
            <v>0</v>
          </cell>
          <cell r="AJ239">
            <v>0</v>
          </cell>
          <cell r="AK239">
            <v>0</v>
          </cell>
          <cell r="AL239"/>
          <cell r="AM239">
            <v>0</v>
          </cell>
          <cell r="AN239">
            <v>0</v>
          </cell>
          <cell r="AO239">
            <v>0</v>
          </cell>
          <cell r="AP239">
            <v>0</v>
          </cell>
          <cell r="AQ239">
            <v>0</v>
          </cell>
          <cell r="AR239"/>
          <cell r="AS239">
            <v>0</v>
          </cell>
          <cell r="AT239">
            <v>0</v>
          </cell>
          <cell r="AU239">
            <v>0</v>
          </cell>
          <cell r="AV239">
            <v>0</v>
          </cell>
          <cell r="AW239">
            <v>0</v>
          </cell>
          <cell r="AX239"/>
          <cell r="AY239">
            <v>0</v>
          </cell>
          <cell r="AZ239">
            <v>0</v>
          </cell>
          <cell r="BA239">
            <v>0</v>
          </cell>
          <cell r="BB239">
            <v>0</v>
          </cell>
          <cell r="BC239">
            <v>0</v>
          </cell>
          <cell r="BD239"/>
          <cell r="BE239">
            <v>0</v>
          </cell>
          <cell r="BF239">
            <v>0</v>
          </cell>
          <cell r="BG239">
            <v>0</v>
          </cell>
          <cell r="BH239">
            <v>0</v>
          </cell>
          <cell r="BI239">
            <v>0</v>
          </cell>
          <cell r="BJ239"/>
          <cell r="BK239">
            <v>0</v>
          </cell>
          <cell r="BL239">
            <v>0</v>
          </cell>
          <cell r="BM239">
            <v>0</v>
          </cell>
          <cell r="BN239">
            <v>0</v>
          </cell>
          <cell r="BO239">
            <v>0</v>
          </cell>
          <cell r="BP239"/>
          <cell r="BQ239">
            <v>0</v>
          </cell>
          <cell r="BR239">
            <v>0</v>
          </cell>
          <cell r="BS239">
            <v>0</v>
          </cell>
          <cell r="BT239">
            <v>0</v>
          </cell>
          <cell r="BU239">
            <v>0</v>
          </cell>
          <cell r="BV239"/>
          <cell r="BW239" t="str">
            <v>NA</v>
          </cell>
          <cell r="BX239" t="str">
            <v>NA</v>
          </cell>
          <cell r="BY239" t="str">
            <v>NA</v>
          </cell>
          <cell r="BZ239" t="str">
            <v>NA</v>
          </cell>
          <cell r="CA239">
            <v>0</v>
          </cell>
          <cell r="CB239"/>
          <cell r="CC239" t="str">
            <v>NA</v>
          </cell>
          <cell r="CD239" t="str">
            <v>NA</v>
          </cell>
          <cell r="CE239" t="str">
            <v>NA</v>
          </cell>
          <cell r="CF239" t="str">
            <v>NA</v>
          </cell>
          <cell r="CG239">
            <v>0</v>
          </cell>
          <cell r="CH239"/>
        </row>
        <row r="240">
          <cell r="A240" t="str">
            <v>% total</v>
          </cell>
          <cell r="C240"/>
          <cell r="D240"/>
          <cell r="E240"/>
          <cell r="F240"/>
          <cell r="G240"/>
          <cell r="I240"/>
          <cell r="J240"/>
          <cell r="K240"/>
          <cell r="L240"/>
          <cell r="M240"/>
          <cell r="O240"/>
          <cell r="P240"/>
          <cell r="Q240"/>
          <cell r="R240"/>
          <cell r="S240"/>
          <cell r="U240"/>
          <cell r="V240"/>
          <cell r="W240"/>
          <cell r="X240"/>
          <cell r="Y240" t="str">
            <v>NA</v>
          </cell>
          <cell r="AA240" t="str">
            <v>NA</v>
          </cell>
          <cell r="AB240" t="str">
            <v>NA</v>
          </cell>
          <cell r="AC240" t="str">
            <v>NA</v>
          </cell>
          <cell r="AD240" t="str">
            <v>NA</v>
          </cell>
          <cell r="AE240" t="str">
            <v>NA</v>
          </cell>
          <cell r="AG240" t="str">
            <v>NA</v>
          </cell>
          <cell r="AH240" t="str">
            <v>NA</v>
          </cell>
          <cell r="AI240" t="str">
            <v>NA</v>
          </cell>
          <cell r="AJ240" t="str">
            <v>NA</v>
          </cell>
          <cell r="AK240" t="str">
            <v>NA</v>
          </cell>
          <cell r="AM240">
            <v>0</v>
          </cell>
          <cell r="AN240">
            <v>0</v>
          </cell>
          <cell r="AO240">
            <v>0</v>
          </cell>
          <cell r="AP240">
            <v>0</v>
          </cell>
          <cell r="AQ240">
            <v>0</v>
          </cell>
          <cell r="AS240">
            <v>0</v>
          </cell>
          <cell r="AT240">
            <v>0</v>
          </cell>
          <cell r="AU240">
            <v>0</v>
          </cell>
          <cell r="AV240">
            <v>0</v>
          </cell>
          <cell r="AW240">
            <v>0</v>
          </cell>
          <cell r="AY240">
            <v>0</v>
          </cell>
          <cell r="AZ240">
            <v>0</v>
          </cell>
          <cell r="BA240">
            <v>0</v>
          </cell>
          <cell r="BB240">
            <v>0</v>
          </cell>
          <cell r="BC240">
            <v>0</v>
          </cell>
          <cell r="BE240">
            <v>0</v>
          </cell>
          <cell r="BF240">
            <v>0</v>
          </cell>
          <cell r="BG240">
            <v>0</v>
          </cell>
          <cell r="BH240">
            <v>0</v>
          </cell>
          <cell r="BI240">
            <v>0</v>
          </cell>
          <cell r="BK240">
            <v>0</v>
          </cell>
          <cell r="BL240">
            <v>0</v>
          </cell>
          <cell r="BM240">
            <v>0</v>
          </cell>
          <cell r="BN240">
            <v>0</v>
          </cell>
          <cell r="BO240">
            <v>0</v>
          </cell>
          <cell r="BQ240">
            <v>0</v>
          </cell>
          <cell r="BR240">
            <v>0</v>
          </cell>
          <cell r="BS240">
            <v>0</v>
          </cell>
          <cell r="BT240">
            <v>0</v>
          </cell>
          <cell r="BU240" t="str">
            <v>NA</v>
          </cell>
          <cell r="BW240">
            <v>0</v>
          </cell>
          <cell r="BX240">
            <v>0</v>
          </cell>
          <cell r="BY240">
            <v>0</v>
          </cell>
          <cell r="BZ240">
            <v>0</v>
          </cell>
          <cell r="CA240" t="str">
            <v>NA</v>
          </cell>
          <cell r="CC240">
            <v>0</v>
          </cell>
          <cell r="CD240">
            <v>0</v>
          </cell>
          <cell r="CE240">
            <v>0</v>
          </cell>
          <cell r="CF240">
            <v>0</v>
          </cell>
          <cell r="CG240" t="str">
            <v>NA</v>
          </cell>
        </row>
        <row r="241">
          <cell r="A241"/>
          <cell r="C241"/>
          <cell r="D241"/>
          <cell r="E241"/>
          <cell r="F241"/>
          <cell r="G241"/>
          <cell r="I241"/>
          <cell r="J241"/>
          <cell r="K241"/>
          <cell r="L241"/>
          <cell r="M241"/>
          <cell r="O241"/>
          <cell r="P241"/>
          <cell r="Q241"/>
          <cell r="R241"/>
          <cell r="S241"/>
          <cell r="U241"/>
          <cell r="V241"/>
          <cell r="W241"/>
          <cell r="X241"/>
          <cell r="Y241"/>
          <cell r="AA241"/>
          <cell r="AB241"/>
          <cell r="AC241"/>
          <cell r="AD241"/>
          <cell r="AE241"/>
          <cell r="AG241"/>
          <cell r="AH241"/>
          <cell r="AI241"/>
          <cell r="AJ241"/>
          <cell r="AK241"/>
          <cell r="AM241"/>
          <cell r="AN241"/>
          <cell r="AO241"/>
          <cell r="AP241"/>
          <cell r="AQ241"/>
          <cell r="AS241"/>
          <cell r="AT241"/>
          <cell r="AU241"/>
          <cell r="AV241"/>
          <cell r="AW241"/>
          <cell r="AY241"/>
          <cell r="AZ241"/>
          <cell r="BA241"/>
          <cell r="BB241"/>
          <cell r="BC241"/>
          <cell r="BE241"/>
          <cell r="BF241"/>
          <cell r="BG241"/>
          <cell r="BH241"/>
          <cell r="BI241"/>
          <cell r="BK241"/>
          <cell r="BL241"/>
          <cell r="BM241"/>
          <cell r="BN241"/>
          <cell r="BO241"/>
          <cell r="BQ241"/>
          <cell r="BR241"/>
          <cell r="BS241"/>
          <cell r="BT241"/>
          <cell r="BU241"/>
          <cell r="BW241"/>
          <cell r="BX241"/>
          <cell r="BY241"/>
          <cell r="BZ241"/>
          <cell r="CA241"/>
          <cell r="CC241"/>
          <cell r="CD241"/>
          <cell r="CE241"/>
          <cell r="CF241"/>
          <cell r="CG241"/>
        </row>
        <row r="242">
          <cell r="A242" t="str">
            <v>Cost of maintenance and services revenue</v>
          </cell>
          <cell r="B242"/>
          <cell r="C242"/>
          <cell r="D242"/>
          <cell r="E242"/>
          <cell r="F242"/>
          <cell r="G242"/>
          <cell r="H242"/>
          <cell r="I242"/>
          <cell r="J242"/>
          <cell r="K242"/>
          <cell r="L242"/>
          <cell r="M242"/>
          <cell r="N242"/>
          <cell r="O242"/>
          <cell r="P242"/>
          <cell r="Q242"/>
          <cell r="R242"/>
          <cell r="S242"/>
          <cell r="T242"/>
          <cell r="U242"/>
          <cell r="V242"/>
          <cell r="W242"/>
          <cell r="X242"/>
          <cell r="Y242">
            <v>0</v>
          </cell>
          <cell r="Z242"/>
          <cell r="AA242">
            <v>0</v>
          </cell>
          <cell r="AB242">
            <v>0</v>
          </cell>
          <cell r="AC242">
            <v>0</v>
          </cell>
          <cell r="AD242">
            <v>0</v>
          </cell>
          <cell r="AE242">
            <v>0</v>
          </cell>
          <cell r="AF242"/>
          <cell r="AG242">
            <v>0</v>
          </cell>
          <cell r="AH242">
            <v>0</v>
          </cell>
          <cell r="AI242">
            <v>0</v>
          </cell>
          <cell r="AJ242">
            <v>0</v>
          </cell>
          <cell r="AK242">
            <v>0</v>
          </cell>
          <cell r="AL242"/>
          <cell r="AM242">
            <v>0</v>
          </cell>
          <cell r="AN242">
            <v>0</v>
          </cell>
          <cell r="AO242">
            <v>0</v>
          </cell>
          <cell r="AP242">
            <v>0</v>
          </cell>
          <cell r="AQ242">
            <v>0</v>
          </cell>
          <cell r="AR242"/>
          <cell r="AS242">
            <v>0</v>
          </cell>
          <cell r="AT242">
            <v>0</v>
          </cell>
          <cell r="AU242">
            <v>0</v>
          </cell>
          <cell r="AV242">
            <v>0</v>
          </cell>
          <cell r="AW242">
            <v>0</v>
          </cell>
          <cell r="AX242"/>
          <cell r="AY242">
            <v>0</v>
          </cell>
          <cell r="AZ242">
            <v>0</v>
          </cell>
          <cell r="BA242">
            <v>0</v>
          </cell>
          <cell r="BB242">
            <v>0</v>
          </cell>
          <cell r="BC242">
            <v>0</v>
          </cell>
          <cell r="BD242"/>
          <cell r="BE242">
            <v>0</v>
          </cell>
          <cell r="BF242">
            <v>0</v>
          </cell>
          <cell r="BG242">
            <v>0</v>
          </cell>
          <cell r="BH242">
            <v>0</v>
          </cell>
          <cell r="BI242">
            <v>0</v>
          </cell>
          <cell r="BJ242"/>
          <cell r="BK242">
            <v>0</v>
          </cell>
          <cell r="BL242">
            <v>0</v>
          </cell>
          <cell r="BM242">
            <v>0</v>
          </cell>
          <cell r="BN242">
            <v>0</v>
          </cell>
          <cell r="BO242">
            <v>0</v>
          </cell>
          <cell r="BP242"/>
          <cell r="BQ242">
            <v>0</v>
          </cell>
          <cell r="BR242">
            <v>0</v>
          </cell>
          <cell r="BS242">
            <v>0</v>
          </cell>
          <cell r="BT242">
            <v>0</v>
          </cell>
          <cell r="BU242">
            <v>0</v>
          </cell>
          <cell r="BV242"/>
          <cell r="BW242" t="str">
            <v>NA</v>
          </cell>
          <cell r="BX242" t="str">
            <v>NA</v>
          </cell>
          <cell r="BY242" t="str">
            <v>NA</v>
          </cell>
          <cell r="BZ242" t="str">
            <v>NA</v>
          </cell>
          <cell r="CA242">
            <v>0</v>
          </cell>
          <cell r="CB242"/>
          <cell r="CC242" t="str">
            <v>NA</v>
          </cell>
          <cell r="CD242" t="str">
            <v>NA</v>
          </cell>
          <cell r="CE242" t="str">
            <v>NA</v>
          </cell>
          <cell r="CF242" t="str">
            <v>NA</v>
          </cell>
          <cell r="CG242">
            <v>0</v>
          </cell>
          <cell r="CH242"/>
        </row>
        <row r="243">
          <cell r="A243" t="str">
            <v>% total</v>
          </cell>
          <cell r="C243"/>
          <cell r="D243"/>
          <cell r="E243"/>
          <cell r="F243"/>
          <cell r="G243"/>
          <cell r="I243"/>
          <cell r="J243"/>
          <cell r="K243"/>
          <cell r="L243"/>
          <cell r="M243"/>
          <cell r="O243"/>
          <cell r="P243"/>
          <cell r="Q243"/>
          <cell r="R243"/>
          <cell r="S243"/>
          <cell r="U243"/>
          <cell r="V243"/>
          <cell r="W243"/>
          <cell r="X243"/>
          <cell r="Y243" t="str">
            <v>NA</v>
          </cell>
          <cell r="AA243" t="str">
            <v>NA</v>
          </cell>
          <cell r="AB243" t="str">
            <v>NA</v>
          </cell>
          <cell r="AC243" t="str">
            <v>NA</v>
          </cell>
          <cell r="AD243" t="str">
            <v>NA</v>
          </cell>
          <cell r="AE243" t="str">
            <v>NA</v>
          </cell>
          <cell r="AG243" t="str">
            <v>NA</v>
          </cell>
          <cell r="AH243" t="str">
            <v>NA</v>
          </cell>
          <cell r="AI243" t="str">
            <v>NA</v>
          </cell>
          <cell r="AJ243" t="str">
            <v>NA</v>
          </cell>
          <cell r="AK243" t="str">
            <v>NA</v>
          </cell>
          <cell r="AM243">
            <v>0</v>
          </cell>
          <cell r="AN243">
            <v>0</v>
          </cell>
          <cell r="AO243">
            <v>0</v>
          </cell>
          <cell r="AP243">
            <v>0</v>
          </cell>
          <cell r="AQ243">
            <v>0</v>
          </cell>
          <cell r="AS243">
            <v>0</v>
          </cell>
          <cell r="AT243">
            <v>0</v>
          </cell>
          <cell r="AU243">
            <v>0</v>
          </cell>
          <cell r="AV243">
            <v>0</v>
          </cell>
          <cell r="AW243">
            <v>0</v>
          </cell>
          <cell r="AY243">
            <v>0</v>
          </cell>
          <cell r="AZ243">
            <v>0</v>
          </cell>
          <cell r="BA243">
            <v>0</v>
          </cell>
          <cell r="BB243">
            <v>0</v>
          </cell>
          <cell r="BC243">
            <v>0</v>
          </cell>
          <cell r="BE243">
            <v>0</v>
          </cell>
          <cell r="BF243">
            <v>0</v>
          </cell>
          <cell r="BG243">
            <v>0</v>
          </cell>
          <cell r="BH243">
            <v>0</v>
          </cell>
          <cell r="BI243">
            <v>0</v>
          </cell>
          <cell r="BK243">
            <v>0</v>
          </cell>
          <cell r="BL243">
            <v>0</v>
          </cell>
          <cell r="BM243">
            <v>0</v>
          </cell>
          <cell r="BN243">
            <v>0</v>
          </cell>
          <cell r="BO243">
            <v>0</v>
          </cell>
          <cell r="BQ243">
            <v>0</v>
          </cell>
          <cell r="BR243">
            <v>0</v>
          </cell>
          <cell r="BS243">
            <v>0</v>
          </cell>
          <cell r="BT243">
            <v>0</v>
          </cell>
          <cell r="BU243" t="str">
            <v>NA</v>
          </cell>
          <cell r="BW243">
            <v>0</v>
          </cell>
          <cell r="BX243">
            <v>0</v>
          </cell>
          <cell r="BY243">
            <v>0</v>
          </cell>
          <cell r="BZ243">
            <v>0</v>
          </cell>
          <cell r="CA243" t="str">
            <v>NA</v>
          </cell>
          <cell r="CC243">
            <v>0</v>
          </cell>
          <cell r="CD243">
            <v>0</v>
          </cell>
          <cell r="CE243">
            <v>0</v>
          </cell>
          <cell r="CF243">
            <v>0</v>
          </cell>
          <cell r="CG243" t="str">
            <v>NA</v>
          </cell>
        </row>
        <row r="244">
          <cell r="A244"/>
          <cell r="C244"/>
          <cell r="D244"/>
          <cell r="E244"/>
          <cell r="F244"/>
          <cell r="G244"/>
          <cell r="I244"/>
          <cell r="J244"/>
          <cell r="K244"/>
          <cell r="L244"/>
          <cell r="M244"/>
          <cell r="O244"/>
          <cell r="P244"/>
          <cell r="Q244"/>
          <cell r="R244"/>
          <cell r="S244"/>
          <cell r="U244"/>
          <cell r="V244"/>
          <cell r="W244"/>
          <cell r="X244"/>
          <cell r="Y244"/>
          <cell r="AA244"/>
          <cell r="AB244"/>
          <cell r="AC244"/>
          <cell r="AD244"/>
          <cell r="AE244"/>
          <cell r="AG244"/>
          <cell r="AH244"/>
          <cell r="AI244"/>
          <cell r="AJ244"/>
          <cell r="AK244"/>
          <cell r="AM244"/>
          <cell r="AN244"/>
          <cell r="AO244"/>
          <cell r="AP244"/>
          <cell r="AQ244"/>
          <cell r="AS244"/>
          <cell r="AT244"/>
          <cell r="AU244"/>
          <cell r="AV244"/>
          <cell r="AW244"/>
          <cell r="AY244"/>
          <cell r="AZ244"/>
          <cell r="BA244"/>
          <cell r="BB244"/>
          <cell r="BC244"/>
          <cell r="BE244"/>
          <cell r="BF244"/>
          <cell r="BG244"/>
          <cell r="BH244"/>
          <cell r="BI244"/>
          <cell r="BK244"/>
          <cell r="BL244"/>
          <cell r="BM244"/>
          <cell r="BN244"/>
          <cell r="BO244"/>
          <cell r="BQ244"/>
          <cell r="BR244"/>
          <cell r="BS244"/>
          <cell r="BT244"/>
          <cell r="BU244"/>
          <cell r="BW244"/>
          <cell r="BX244"/>
          <cell r="BY244"/>
          <cell r="BZ244"/>
          <cell r="CA244"/>
          <cell r="CC244"/>
          <cell r="CD244"/>
          <cell r="CE244"/>
          <cell r="CF244"/>
          <cell r="CG244"/>
        </row>
        <row r="245">
          <cell r="A245" t="str">
            <v>Total cost of revenue</v>
          </cell>
          <cell r="B245"/>
          <cell r="C245"/>
          <cell r="D245"/>
          <cell r="E245"/>
          <cell r="F245"/>
          <cell r="G245"/>
          <cell r="H245"/>
          <cell r="I245"/>
          <cell r="J245"/>
          <cell r="K245"/>
          <cell r="L245"/>
          <cell r="M245"/>
          <cell r="N245"/>
          <cell r="O245"/>
          <cell r="P245"/>
          <cell r="Q245"/>
          <cell r="R245"/>
          <cell r="S245"/>
          <cell r="T245"/>
          <cell r="U245"/>
          <cell r="V245"/>
          <cell r="W245"/>
          <cell r="X245"/>
          <cell r="Y245">
            <v>0</v>
          </cell>
          <cell r="Z245"/>
          <cell r="AA245">
            <v>0</v>
          </cell>
          <cell r="AB245">
            <v>0</v>
          </cell>
          <cell r="AC245">
            <v>0</v>
          </cell>
          <cell r="AD245">
            <v>0</v>
          </cell>
          <cell r="AE245">
            <v>0</v>
          </cell>
          <cell r="AF245"/>
          <cell r="AG245">
            <v>0</v>
          </cell>
          <cell r="AH245">
            <v>0</v>
          </cell>
          <cell r="AI245">
            <v>0</v>
          </cell>
          <cell r="AJ245">
            <v>0</v>
          </cell>
          <cell r="AK245">
            <v>0</v>
          </cell>
          <cell r="AL245"/>
          <cell r="AM245">
            <v>6.5000000000000002E-2</v>
          </cell>
          <cell r="AN245">
            <v>0.23599999999999999</v>
          </cell>
          <cell r="AO245">
            <v>0.45600000000000002</v>
          </cell>
          <cell r="AP245">
            <v>0.45600000000000002</v>
          </cell>
          <cell r="AQ245">
            <v>1.2130000000000001</v>
          </cell>
          <cell r="AR245"/>
          <cell r="AS245">
            <v>0.44600000000000001</v>
          </cell>
          <cell r="AT245">
            <v>0.45100000000000001</v>
          </cell>
          <cell r="AU245">
            <v>0.45600000000000002</v>
          </cell>
          <cell r="AV245">
            <v>0.45600000000000002</v>
          </cell>
          <cell r="AW245">
            <v>1.8089999999999999</v>
          </cell>
          <cell r="AX245"/>
          <cell r="AY245">
            <v>0.44600000000000001</v>
          </cell>
          <cell r="AZ245">
            <v>1.0960000000000001</v>
          </cell>
          <cell r="BA245">
            <v>1.1279999999999999</v>
          </cell>
          <cell r="BB245">
            <v>1.131</v>
          </cell>
          <cell r="BC245">
            <v>3.8010000000000002</v>
          </cell>
          <cell r="BD245"/>
          <cell r="BE245">
            <v>1.1180000000000001</v>
          </cell>
          <cell r="BF245">
            <v>0.76200000000000001</v>
          </cell>
          <cell r="BG245">
            <v>0.77300000000000002</v>
          </cell>
          <cell r="BH245">
            <v>1.0152559164748438</v>
          </cell>
          <cell r="BI245">
            <v>3.6682559164748438</v>
          </cell>
          <cell r="BJ245"/>
          <cell r="BK245">
            <v>0.55744019812943313</v>
          </cell>
          <cell r="BL245">
            <v>0.57965278440067924</v>
          </cell>
          <cell r="BM245">
            <v>0.67031195340908867</v>
          </cell>
          <cell r="BN245">
            <v>0.79302720132213245</v>
          </cell>
          <cell r="BO245">
            <v>2.6004321372613335</v>
          </cell>
          <cell r="BP245"/>
          <cell r="BQ245">
            <v>0</v>
          </cell>
          <cell r="BR245">
            <v>0</v>
          </cell>
          <cell r="BS245">
            <v>0</v>
          </cell>
          <cell r="BT245">
            <v>0</v>
          </cell>
          <cell r="BU245">
            <v>0</v>
          </cell>
          <cell r="BV245"/>
          <cell r="BW245" t="str">
            <v>NA</v>
          </cell>
          <cell r="BX245" t="str">
            <v>NA</v>
          </cell>
          <cell r="BY245" t="str">
            <v>NA</v>
          </cell>
          <cell r="BZ245" t="str">
            <v>NA</v>
          </cell>
          <cell r="CA245">
            <v>0</v>
          </cell>
          <cell r="CB245"/>
          <cell r="CC245" t="str">
            <v>NA</v>
          </cell>
          <cell r="CD245" t="str">
            <v>NA</v>
          </cell>
          <cell r="CE245" t="str">
            <v>NA</v>
          </cell>
          <cell r="CF245" t="str">
            <v>NA</v>
          </cell>
          <cell r="CG245">
            <v>0</v>
          </cell>
          <cell r="CH245"/>
        </row>
        <row r="246">
          <cell r="A246" t="str">
            <v>% total</v>
          </cell>
          <cell r="C246"/>
          <cell r="D246"/>
          <cell r="E246"/>
          <cell r="F246"/>
          <cell r="G246"/>
          <cell r="I246"/>
          <cell r="J246"/>
          <cell r="K246"/>
          <cell r="L246"/>
          <cell r="M246"/>
          <cell r="O246"/>
          <cell r="P246"/>
          <cell r="Q246"/>
          <cell r="R246"/>
          <cell r="S246"/>
          <cell r="U246"/>
          <cell r="V246"/>
          <cell r="W246"/>
          <cell r="X246"/>
          <cell r="Y246" t="str">
            <v>NA</v>
          </cell>
          <cell r="AA246" t="str">
            <v>NA</v>
          </cell>
          <cell r="AB246" t="str">
            <v>NA</v>
          </cell>
          <cell r="AC246" t="str">
            <v>NA</v>
          </cell>
          <cell r="AD246" t="str">
            <v>NA</v>
          </cell>
          <cell r="AE246" t="str">
            <v>NA</v>
          </cell>
          <cell r="AG246" t="str">
            <v>NA</v>
          </cell>
          <cell r="AH246" t="str">
            <v>NA</v>
          </cell>
          <cell r="AI246" t="str">
            <v>NA</v>
          </cell>
          <cell r="AJ246" t="str">
            <v>NA</v>
          </cell>
          <cell r="AK246" t="str">
            <v>NA</v>
          </cell>
          <cell r="AM246">
            <v>1</v>
          </cell>
          <cell r="AN246">
            <v>1</v>
          </cell>
          <cell r="AO246">
            <v>1</v>
          </cell>
          <cell r="AP246">
            <v>1</v>
          </cell>
          <cell r="AQ246">
            <v>1</v>
          </cell>
          <cell r="AS246">
            <v>0.93501048218029359</v>
          </cell>
          <cell r="AT246">
            <v>0.87403100775193798</v>
          </cell>
          <cell r="AU246">
            <v>0.87861271676300579</v>
          </cell>
          <cell r="AV246">
            <v>0.88201160541586077</v>
          </cell>
          <cell r="AW246">
            <v>0.89157220305569251</v>
          </cell>
          <cell r="AY246">
            <v>0.88316831683168318</v>
          </cell>
          <cell r="AZ246">
            <v>0.95138888888888906</v>
          </cell>
          <cell r="BA246">
            <v>0.9551227773073665</v>
          </cell>
          <cell r="BB246">
            <v>0.95523648648648651</v>
          </cell>
          <cell r="BC246">
            <v>0.94505221282943808</v>
          </cell>
          <cell r="BE246">
            <v>0.95719178082191791</v>
          </cell>
          <cell r="BF246">
            <v>0.93842364532019695</v>
          </cell>
          <cell r="BG246">
            <v>0.93842364532019695</v>
          </cell>
          <cell r="BH246">
            <v>0.93842364532019695</v>
          </cell>
          <cell r="BI246">
            <v>0.9436726041773108</v>
          </cell>
          <cell r="BK246">
            <v>0.93842364532019695</v>
          </cell>
          <cell r="BL246">
            <v>0.93842364532019695</v>
          </cell>
          <cell r="BM246">
            <v>0.93842364532019695</v>
          </cell>
          <cell r="BN246">
            <v>0.93842364532019695</v>
          </cell>
          <cell r="BO246">
            <v>0.93842364532019695</v>
          </cell>
          <cell r="BQ246">
            <v>0.93842364532019695</v>
          </cell>
          <cell r="BR246">
            <v>0.93842364532019695</v>
          </cell>
          <cell r="BS246">
            <v>0.93842364532019695</v>
          </cell>
          <cell r="BT246">
            <v>0.93842364532019695</v>
          </cell>
          <cell r="BU246" t="str">
            <v>NA</v>
          </cell>
          <cell r="BW246">
            <v>0.93842364532019695</v>
          </cell>
          <cell r="BX246">
            <v>0.93842364532019695</v>
          </cell>
          <cell r="BY246">
            <v>0.93842364532019695</v>
          </cell>
          <cell r="BZ246">
            <v>0.93842364532019695</v>
          </cell>
          <cell r="CA246" t="str">
            <v>NA</v>
          </cell>
          <cell r="CC246">
            <v>0.93842364532019695</v>
          </cell>
          <cell r="CD246">
            <v>0.93842364532019695</v>
          </cell>
          <cell r="CE246">
            <v>0.93842364532019695</v>
          </cell>
          <cell r="CF246">
            <v>0.93842364532019695</v>
          </cell>
          <cell r="CG246" t="str">
            <v>NA</v>
          </cell>
        </row>
        <row r="247">
          <cell r="A247"/>
          <cell r="C247"/>
          <cell r="D247"/>
          <cell r="E247"/>
          <cell r="F247"/>
          <cell r="G247"/>
          <cell r="I247"/>
          <cell r="J247"/>
          <cell r="K247"/>
          <cell r="L247"/>
          <cell r="M247"/>
          <cell r="O247"/>
          <cell r="P247"/>
          <cell r="Q247"/>
          <cell r="R247"/>
          <cell r="S247"/>
          <cell r="U247"/>
          <cell r="V247"/>
          <cell r="W247"/>
          <cell r="X247"/>
          <cell r="Y247"/>
          <cell r="AA247"/>
          <cell r="AB247"/>
          <cell r="AC247"/>
          <cell r="AD247"/>
          <cell r="AE247"/>
          <cell r="AG247"/>
          <cell r="AH247"/>
          <cell r="AI247"/>
          <cell r="AJ247"/>
          <cell r="AK247"/>
          <cell r="AM247"/>
          <cell r="AN247"/>
          <cell r="AO247"/>
          <cell r="AP247"/>
          <cell r="AQ247"/>
          <cell r="AS247"/>
          <cell r="AT247"/>
          <cell r="AU247"/>
          <cell r="AV247"/>
          <cell r="AW247"/>
          <cell r="AY247"/>
          <cell r="AZ247"/>
          <cell r="BA247"/>
          <cell r="BB247"/>
          <cell r="BC247"/>
          <cell r="BE247"/>
          <cell r="BF247"/>
          <cell r="BG247"/>
          <cell r="BH247"/>
          <cell r="BI247"/>
          <cell r="BK247"/>
          <cell r="BL247"/>
          <cell r="BM247"/>
          <cell r="BN247"/>
          <cell r="BO247"/>
          <cell r="BQ247"/>
          <cell r="BR247"/>
          <cell r="BS247"/>
          <cell r="BT247"/>
          <cell r="BU247"/>
          <cell r="BW247"/>
          <cell r="BX247"/>
          <cell r="BY247"/>
          <cell r="BZ247"/>
          <cell r="CA247"/>
          <cell r="CC247"/>
          <cell r="CD247"/>
          <cell r="CE247"/>
          <cell r="CF247"/>
          <cell r="CG247"/>
        </row>
        <row r="248">
          <cell r="A248" t="str">
            <v>Sales and marketing</v>
          </cell>
          <cell r="B248"/>
          <cell r="C248"/>
          <cell r="D248"/>
          <cell r="E248"/>
          <cell r="F248"/>
          <cell r="G248"/>
          <cell r="H248"/>
          <cell r="I248"/>
          <cell r="J248"/>
          <cell r="K248"/>
          <cell r="L248"/>
          <cell r="M248"/>
          <cell r="N248"/>
          <cell r="O248"/>
          <cell r="P248"/>
          <cell r="Q248"/>
          <cell r="R248"/>
          <cell r="S248"/>
          <cell r="T248"/>
          <cell r="U248"/>
          <cell r="V248"/>
          <cell r="W248"/>
          <cell r="X248"/>
          <cell r="Y248">
            <v>0</v>
          </cell>
          <cell r="Z248"/>
          <cell r="AA248">
            <v>0</v>
          </cell>
          <cell r="AB248">
            <v>0</v>
          </cell>
          <cell r="AC248">
            <v>0</v>
          </cell>
          <cell r="AD248">
            <v>0</v>
          </cell>
          <cell r="AE248">
            <v>0</v>
          </cell>
          <cell r="AF248"/>
          <cell r="AG248">
            <v>0</v>
          </cell>
          <cell r="AH248">
            <v>0</v>
          </cell>
          <cell r="AI248">
            <v>0</v>
          </cell>
          <cell r="AJ248">
            <v>0</v>
          </cell>
          <cell r="AK248">
            <v>0</v>
          </cell>
          <cell r="AL248"/>
          <cell r="AM248">
            <v>0</v>
          </cell>
          <cell r="AN248">
            <v>0</v>
          </cell>
          <cell r="AO248">
            <v>0</v>
          </cell>
          <cell r="AP248">
            <v>0</v>
          </cell>
          <cell r="AQ248">
            <v>0</v>
          </cell>
          <cell r="AR248"/>
          <cell r="AS248">
            <v>3.1E-2</v>
          </cell>
          <cell r="AT248">
            <v>6.5000000000000002E-2</v>
          </cell>
          <cell r="AU248">
            <v>6.3E-2</v>
          </cell>
          <cell r="AV248">
            <v>6.0999999999999999E-2</v>
          </cell>
          <cell r="AW248">
            <v>0.22</v>
          </cell>
          <cell r="AX248"/>
          <cell r="AY248">
            <v>5.8999999999999997E-2</v>
          </cell>
          <cell r="AZ248">
            <v>5.5999999999999828E-2</v>
          </cell>
          <cell r="BA248">
            <v>5.3000000000000158E-2</v>
          </cell>
          <cell r="BB248">
            <v>5.2999999999999936E-2</v>
          </cell>
          <cell r="BC248">
            <v>0.22099999999999992</v>
          </cell>
          <cell r="BD248"/>
          <cell r="BE248">
            <v>4.9999999999999822E-2</v>
          </cell>
          <cell r="BF248">
            <v>5.0000000000000044E-2</v>
          </cell>
          <cell r="BG248">
            <v>5.5999999999999939E-2</v>
          </cell>
          <cell r="BH248">
            <v>7.355023456997567E-2</v>
          </cell>
          <cell r="BI248">
            <v>0.22955023456997548</v>
          </cell>
          <cell r="BJ248"/>
          <cell r="BK248">
            <v>4.0383765970566914E-2</v>
          </cell>
          <cell r="BL248">
            <v>4.1992957214020701E-2</v>
          </cell>
          <cell r="BM248">
            <v>4.8560762472068468E-2</v>
          </cell>
          <cell r="BN248">
            <v>5.7450870988407982E-2</v>
          </cell>
          <cell r="BO248">
            <v>0.18838835664506406</v>
          </cell>
          <cell r="BP248"/>
          <cell r="BQ248">
            <v>0</v>
          </cell>
          <cell r="BR248">
            <v>0</v>
          </cell>
          <cell r="BS248">
            <v>0</v>
          </cell>
          <cell r="BT248">
            <v>0</v>
          </cell>
          <cell r="BU248">
            <v>0</v>
          </cell>
          <cell r="BV248"/>
          <cell r="BW248" t="str">
            <v>NA</v>
          </cell>
          <cell r="BX248" t="str">
            <v>NA</v>
          </cell>
          <cell r="BY248" t="str">
            <v>NA</v>
          </cell>
          <cell r="BZ248" t="str">
            <v>NA</v>
          </cell>
          <cell r="CA248">
            <v>0</v>
          </cell>
          <cell r="CB248"/>
          <cell r="CC248" t="str">
            <v>NA</v>
          </cell>
          <cell r="CD248" t="str">
            <v>NA</v>
          </cell>
          <cell r="CE248" t="str">
            <v>NA</v>
          </cell>
          <cell r="CF248" t="str">
            <v>NA</v>
          </cell>
          <cell r="CG248">
            <v>0</v>
          </cell>
          <cell r="CH248"/>
        </row>
        <row r="249">
          <cell r="A249" t="str">
            <v>% total</v>
          </cell>
          <cell r="C249"/>
          <cell r="D249"/>
          <cell r="E249"/>
          <cell r="F249"/>
          <cell r="G249"/>
          <cell r="I249"/>
          <cell r="J249"/>
          <cell r="K249"/>
          <cell r="L249"/>
          <cell r="M249"/>
          <cell r="O249"/>
          <cell r="P249"/>
          <cell r="Q249"/>
          <cell r="R249"/>
          <cell r="S249"/>
          <cell r="U249"/>
          <cell r="V249"/>
          <cell r="W249"/>
          <cell r="X249"/>
          <cell r="Y249" t="str">
            <v>NA</v>
          </cell>
          <cell r="AA249" t="str">
            <v>NA</v>
          </cell>
          <cell r="AB249" t="str">
            <v>NA</v>
          </cell>
          <cell r="AC249" t="str">
            <v>NA</v>
          </cell>
          <cell r="AD249" t="str">
            <v>NA</v>
          </cell>
          <cell r="AE249" t="str">
            <v>NA</v>
          </cell>
          <cell r="AG249" t="str">
            <v>NA</v>
          </cell>
          <cell r="AH249" t="str">
            <v>NA</v>
          </cell>
          <cell r="AI249" t="str">
            <v>NA</v>
          </cell>
          <cell r="AJ249" t="str">
            <v>NA</v>
          </cell>
          <cell r="AK249" t="str">
            <v>NA</v>
          </cell>
          <cell r="AM249">
            <v>0</v>
          </cell>
          <cell r="AN249">
            <v>0</v>
          </cell>
          <cell r="AO249">
            <v>0</v>
          </cell>
          <cell r="AP249">
            <v>0</v>
          </cell>
          <cell r="AQ249">
            <v>0</v>
          </cell>
          <cell r="AS249">
            <v>6.4989517819706508E-2</v>
          </cell>
          <cell r="AT249">
            <v>0.12596899224806202</v>
          </cell>
          <cell r="AU249">
            <v>0.12138728323699421</v>
          </cell>
          <cell r="AV249">
            <v>0.11798839458413926</v>
          </cell>
          <cell r="AW249">
            <v>0.10842779694430754</v>
          </cell>
          <cell r="AY249">
            <v>0.11683168316831682</v>
          </cell>
          <cell r="AZ249">
            <v>4.8611111111110966E-2</v>
          </cell>
          <cell r="BA249">
            <v>4.4877222692633494E-2</v>
          </cell>
          <cell r="BB249">
            <v>4.4763513513513459E-2</v>
          </cell>
          <cell r="BC249">
            <v>5.4947787170561889E-2</v>
          </cell>
          <cell r="BE249">
            <v>4.2808219178082044E-2</v>
          </cell>
          <cell r="BF249">
            <v>6.1576354679803005E-2</v>
          </cell>
          <cell r="BG249">
            <v>6.1576354679803005E-2</v>
          </cell>
          <cell r="BH249">
            <v>6.1576354679803005E-2</v>
          </cell>
          <cell r="BI249">
            <v>5.6327395822689079E-2</v>
          </cell>
          <cell r="BK249">
            <v>6.1576354679803005E-2</v>
          </cell>
          <cell r="BL249">
            <v>6.1576354679803005E-2</v>
          </cell>
          <cell r="BM249">
            <v>6.1576354679803005E-2</v>
          </cell>
          <cell r="BN249">
            <v>6.1576354679803005E-2</v>
          </cell>
          <cell r="BO249">
            <v>6.1576354679803005E-2</v>
          </cell>
          <cell r="BQ249">
            <v>6.1576354679803005E-2</v>
          </cell>
          <cell r="BR249">
            <v>6.1576354679803005E-2</v>
          </cell>
          <cell r="BS249">
            <v>6.1576354679803005E-2</v>
          </cell>
          <cell r="BT249">
            <v>6.1576354679803005E-2</v>
          </cell>
          <cell r="BU249" t="str">
            <v>NA</v>
          </cell>
          <cell r="BW249">
            <v>6.1576354679803005E-2</v>
          </cell>
          <cell r="BX249">
            <v>6.1576354679803005E-2</v>
          </cell>
          <cell r="BY249">
            <v>6.1576354679803005E-2</v>
          </cell>
          <cell r="BZ249">
            <v>6.1576354679803005E-2</v>
          </cell>
          <cell r="CA249" t="str">
            <v>NA</v>
          </cell>
          <cell r="CC249">
            <v>6.1576354679803005E-2</v>
          </cell>
          <cell r="CD249">
            <v>6.1576354679803005E-2</v>
          </cell>
          <cell r="CE249">
            <v>6.1576354679803005E-2</v>
          </cell>
          <cell r="CF249">
            <v>6.1576354679803005E-2</v>
          </cell>
          <cell r="CG249" t="str">
            <v>NA</v>
          </cell>
        </row>
        <row r="250">
          <cell r="A250"/>
          <cell r="C250"/>
          <cell r="D250"/>
          <cell r="E250"/>
          <cell r="F250"/>
          <cell r="G250"/>
          <cell r="I250"/>
          <cell r="J250"/>
          <cell r="K250"/>
          <cell r="L250"/>
          <cell r="M250"/>
          <cell r="O250"/>
          <cell r="P250"/>
          <cell r="Q250"/>
          <cell r="R250"/>
          <cell r="S250"/>
          <cell r="U250"/>
          <cell r="V250"/>
          <cell r="W250"/>
          <cell r="X250"/>
          <cell r="Y250"/>
          <cell r="AA250"/>
          <cell r="AB250"/>
          <cell r="AC250"/>
          <cell r="AD250"/>
          <cell r="AE250"/>
          <cell r="AG250"/>
          <cell r="AH250"/>
          <cell r="AI250"/>
          <cell r="AJ250"/>
          <cell r="AK250"/>
          <cell r="AM250"/>
          <cell r="AN250"/>
          <cell r="AO250"/>
          <cell r="AP250"/>
          <cell r="AQ250"/>
          <cell r="AS250"/>
          <cell r="AT250"/>
          <cell r="AU250"/>
          <cell r="AV250"/>
          <cell r="AW250"/>
          <cell r="AY250"/>
          <cell r="AZ250"/>
          <cell r="BA250"/>
          <cell r="BB250"/>
          <cell r="BC250"/>
          <cell r="BE250"/>
          <cell r="BF250"/>
          <cell r="BG250"/>
          <cell r="BH250"/>
          <cell r="BI250"/>
          <cell r="BK250"/>
          <cell r="BL250"/>
          <cell r="BM250"/>
          <cell r="BN250"/>
          <cell r="BO250"/>
          <cell r="BQ250"/>
          <cell r="BR250"/>
          <cell r="BS250"/>
          <cell r="BT250"/>
          <cell r="BU250"/>
          <cell r="BW250"/>
          <cell r="BX250"/>
          <cell r="BY250"/>
          <cell r="BZ250"/>
          <cell r="CA250"/>
          <cell r="CC250"/>
          <cell r="CD250"/>
          <cell r="CE250"/>
          <cell r="CF250"/>
          <cell r="CG250"/>
        </row>
        <row r="251">
          <cell r="A251" t="str">
            <v>Research and development</v>
          </cell>
          <cell r="B251"/>
          <cell r="C251"/>
          <cell r="D251"/>
          <cell r="E251"/>
          <cell r="F251"/>
          <cell r="G251"/>
          <cell r="H251"/>
          <cell r="I251"/>
          <cell r="J251"/>
          <cell r="K251"/>
          <cell r="L251"/>
          <cell r="M251"/>
          <cell r="N251"/>
          <cell r="O251"/>
          <cell r="P251"/>
          <cell r="Q251"/>
          <cell r="R251"/>
          <cell r="S251"/>
          <cell r="T251"/>
          <cell r="U251"/>
          <cell r="V251"/>
          <cell r="W251"/>
          <cell r="X251"/>
          <cell r="Y251">
            <v>0</v>
          </cell>
          <cell r="Z251"/>
          <cell r="AA251">
            <v>0</v>
          </cell>
          <cell r="AB251">
            <v>0</v>
          </cell>
          <cell r="AC251">
            <v>0</v>
          </cell>
          <cell r="AD251">
            <v>0</v>
          </cell>
          <cell r="AE251">
            <v>0</v>
          </cell>
          <cell r="AF251"/>
          <cell r="AG251">
            <v>0</v>
          </cell>
          <cell r="AH251">
            <v>0</v>
          </cell>
          <cell r="AI251">
            <v>0</v>
          </cell>
          <cell r="AJ251">
            <v>0</v>
          </cell>
          <cell r="AK251">
            <v>0</v>
          </cell>
          <cell r="AL251"/>
          <cell r="AM251">
            <v>0</v>
          </cell>
          <cell r="AN251">
            <v>0</v>
          </cell>
          <cell r="AO251">
            <v>0</v>
          </cell>
          <cell r="AP251">
            <v>0</v>
          </cell>
          <cell r="AQ251">
            <v>0</v>
          </cell>
          <cell r="AR251"/>
          <cell r="AS251">
            <v>0</v>
          </cell>
          <cell r="AT251">
            <v>0</v>
          </cell>
          <cell r="AU251">
            <v>0</v>
          </cell>
          <cell r="AV251">
            <v>0</v>
          </cell>
          <cell r="AW251">
            <v>0</v>
          </cell>
          <cell r="AX251"/>
          <cell r="AY251">
            <v>0</v>
          </cell>
          <cell r="AZ251">
            <v>0</v>
          </cell>
          <cell r="BA251">
            <v>0</v>
          </cell>
          <cell r="BB251">
            <v>0</v>
          </cell>
          <cell r="BC251">
            <v>0</v>
          </cell>
          <cell r="BD251"/>
          <cell r="BE251">
            <v>0</v>
          </cell>
          <cell r="BF251">
            <v>0</v>
          </cell>
          <cell r="BG251">
            <v>0</v>
          </cell>
          <cell r="BH251">
            <v>0</v>
          </cell>
          <cell r="BI251">
            <v>0</v>
          </cell>
          <cell r="BJ251"/>
          <cell r="BK251">
            <v>0</v>
          </cell>
          <cell r="BL251">
            <v>0</v>
          </cell>
          <cell r="BM251">
            <v>0</v>
          </cell>
          <cell r="BN251">
            <v>0</v>
          </cell>
          <cell r="BO251">
            <v>0</v>
          </cell>
          <cell r="BP251"/>
          <cell r="BQ251">
            <v>0</v>
          </cell>
          <cell r="BR251">
            <v>0</v>
          </cell>
          <cell r="BS251">
            <v>0</v>
          </cell>
          <cell r="BT251">
            <v>0</v>
          </cell>
          <cell r="BU251">
            <v>0</v>
          </cell>
          <cell r="BV251"/>
          <cell r="BW251" t="str">
            <v>NA</v>
          </cell>
          <cell r="BX251" t="str">
            <v>NA</v>
          </cell>
          <cell r="BY251" t="str">
            <v>NA</v>
          </cell>
          <cell r="BZ251" t="str">
            <v>NA</v>
          </cell>
          <cell r="CA251">
            <v>0</v>
          </cell>
          <cell r="CB251"/>
          <cell r="CC251" t="str">
            <v>NA</v>
          </cell>
          <cell r="CD251" t="str">
            <v>NA</v>
          </cell>
          <cell r="CE251" t="str">
            <v>NA</v>
          </cell>
          <cell r="CF251" t="str">
            <v>NA</v>
          </cell>
          <cell r="CG251">
            <v>0</v>
          </cell>
          <cell r="CH251"/>
        </row>
        <row r="252">
          <cell r="A252" t="str">
            <v>% total</v>
          </cell>
          <cell r="C252"/>
          <cell r="D252"/>
          <cell r="E252"/>
          <cell r="F252"/>
          <cell r="G252"/>
          <cell r="I252"/>
          <cell r="J252"/>
          <cell r="K252"/>
          <cell r="L252"/>
          <cell r="M252"/>
          <cell r="O252"/>
          <cell r="P252"/>
          <cell r="Q252"/>
          <cell r="R252"/>
          <cell r="S252"/>
          <cell r="U252"/>
          <cell r="V252"/>
          <cell r="W252"/>
          <cell r="X252"/>
          <cell r="Y252" t="str">
            <v>NA</v>
          </cell>
          <cell r="AA252" t="str">
            <v>NA</v>
          </cell>
          <cell r="AB252" t="str">
            <v>NA</v>
          </cell>
          <cell r="AC252" t="str">
            <v>NA</v>
          </cell>
          <cell r="AD252" t="str">
            <v>NA</v>
          </cell>
          <cell r="AE252" t="str">
            <v>NA</v>
          </cell>
          <cell r="AG252" t="str">
            <v>NA</v>
          </cell>
          <cell r="AH252" t="str">
            <v>NA</v>
          </cell>
          <cell r="AI252" t="str">
            <v>NA</v>
          </cell>
          <cell r="AJ252" t="str">
            <v>NA</v>
          </cell>
          <cell r="AK252" t="str">
            <v>NA</v>
          </cell>
          <cell r="AM252">
            <v>0</v>
          </cell>
          <cell r="AN252">
            <v>0</v>
          </cell>
          <cell r="AO252">
            <v>0</v>
          </cell>
          <cell r="AP252">
            <v>0</v>
          </cell>
          <cell r="AQ252">
            <v>0</v>
          </cell>
          <cell r="AS252">
            <v>0</v>
          </cell>
          <cell r="AT252">
            <v>0</v>
          </cell>
          <cell r="AU252">
            <v>0</v>
          </cell>
          <cell r="AV252">
            <v>0</v>
          </cell>
          <cell r="AW252">
            <v>0</v>
          </cell>
          <cell r="AY252">
            <v>0</v>
          </cell>
          <cell r="AZ252">
            <v>0</v>
          </cell>
          <cell r="BA252">
            <v>0</v>
          </cell>
          <cell r="BB252">
            <v>0</v>
          </cell>
          <cell r="BC252">
            <v>0</v>
          </cell>
          <cell r="BE252">
            <v>0</v>
          </cell>
          <cell r="BF252">
            <v>0</v>
          </cell>
          <cell r="BG252">
            <v>0</v>
          </cell>
          <cell r="BH252">
            <v>0</v>
          </cell>
          <cell r="BI252">
            <v>0</v>
          </cell>
          <cell r="BK252">
            <v>0</v>
          </cell>
          <cell r="BL252">
            <v>0</v>
          </cell>
          <cell r="BM252">
            <v>0</v>
          </cell>
          <cell r="BN252">
            <v>0</v>
          </cell>
          <cell r="BO252">
            <v>0</v>
          </cell>
          <cell r="BQ252">
            <v>0</v>
          </cell>
          <cell r="BR252">
            <v>0</v>
          </cell>
          <cell r="BS252">
            <v>0</v>
          </cell>
          <cell r="BT252">
            <v>0</v>
          </cell>
          <cell r="BU252" t="str">
            <v>NA</v>
          </cell>
          <cell r="BW252">
            <v>0</v>
          </cell>
          <cell r="BX252">
            <v>0</v>
          </cell>
          <cell r="BY252">
            <v>0</v>
          </cell>
          <cell r="BZ252">
            <v>0</v>
          </cell>
          <cell r="CA252" t="str">
            <v>NA</v>
          </cell>
          <cell r="CC252">
            <v>0</v>
          </cell>
          <cell r="CD252">
            <v>0</v>
          </cell>
          <cell r="CE252">
            <v>0</v>
          </cell>
          <cell r="CF252">
            <v>0</v>
          </cell>
          <cell r="CG252" t="str">
            <v>NA</v>
          </cell>
        </row>
        <row r="253">
          <cell r="A253"/>
          <cell r="C253"/>
          <cell r="D253"/>
          <cell r="E253"/>
          <cell r="F253"/>
          <cell r="G253"/>
          <cell r="I253"/>
          <cell r="J253"/>
          <cell r="K253"/>
          <cell r="L253"/>
          <cell r="M253"/>
          <cell r="O253"/>
          <cell r="P253"/>
          <cell r="Q253"/>
          <cell r="R253"/>
          <cell r="S253"/>
          <cell r="U253"/>
          <cell r="V253"/>
          <cell r="W253"/>
          <cell r="X253"/>
          <cell r="Y253"/>
          <cell r="AA253"/>
          <cell r="AB253"/>
          <cell r="AC253"/>
          <cell r="AD253"/>
          <cell r="AE253"/>
          <cell r="AG253"/>
          <cell r="AH253"/>
          <cell r="AI253"/>
          <cell r="AJ253"/>
          <cell r="AK253"/>
          <cell r="AM253"/>
          <cell r="AN253"/>
          <cell r="AO253"/>
          <cell r="AP253"/>
          <cell r="AQ253"/>
          <cell r="AS253"/>
          <cell r="AT253"/>
          <cell r="AU253"/>
          <cell r="AV253"/>
          <cell r="AW253"/>
          <cell r="AY253"/>
          <cell r="AZ253"/>
          <cell r="BA253"/>
          <cell r="BB253"/>
          <cell r="BC253"/>
          <cell r="BE253"/>
          <cell r="BF253"/>
          <cell r="BG253"/>
          <cell r="BH253"/>
          <cell r="BI253"/>
          <cell r="BK253"/>
          <cell r="BL253"/>
          <cell r="BM253"/>
          <cell r="BN253"/>
          <cell r="BO253"/>
          <cell r="BQ253"/>
          <cell r="BR253"/>
          <cell r="BS253"/>
          <cell r="BT253"/>
          <cell r="BU253"/>
          <cell r="BW253"/>
          <cell r="BX253"/>
          <cell r="BY253"/>
          <cell r="BZ253"/>
          <cell r="CA253"/>
          <cell r="CC253"/>
          <cell r="CD253"/>
          <cell r="CE253"/>
          <cell r="CF253"/>
          <cell r="CG253"/>
        </row>
        <row r="254">
          <cell r="A254" t="str">
            <v>General and administrative</v>
          </cell>
          <cell r="B254"/>
          <cell r="C254"/>
          <cell r="D254"/>
          <cell r="E254"/>
          <cell r="F254"/>
          <cell r="G254"/>
          <cell r="H254"/>
          <cell r="I254"/>
          <cell r="J254"/>
          <cell r="K254"/>
          <cell r="L254"/>
          <cell r="M254"/>
          <cell r="N254"/>
          <cell r="O254"/>
          <cell r="P254"/>
          <cell r="Q254"/>
          <cell r="R254"/>
          <cell r="S254"/>
          <cell r="T254"/>
          <cell r="U254"/>
          <cell r="V254"/>
          <cell r="W254"/>
          <cell r="X254"/>
          <cell r="Y254">
            <v>0</v>
          </cell>
          <cell r="Z254"/>
          <cell r="AA254">
            <v>0</v>
          </cell>
          <cell r="AB254">
            <v>0</v>
          </cell>
          <cell r="AC254">
            <v>0</v>
          </cell>
          <cell r="AD254">
            <v>0</v>
          </cell>
          <cell r="AE254">
            <v>0</v>
          </cell>
          <cell r="AF254"/>
          <cell r="AG254">
            <v>0</v>
          </cell>
          <cell r="AH254">
            <v>0</v>
          </cell>
          <cell r="AI254">
            <v>0</v>
          </cell>
          <cell r="AJ254">
            <v>0</v>
          </cell>
          <cell r="AK254">
            <v>0</v>
          </cell>
          <cell r="AL254"/>
          <cell r="AM254">
            <v>0</v>
          </cell>
          <cell r="AN254">
            <v>0</v>
          </cell>
          <cell r="AO254">
            <v>0</v>
          </cell>
          <cell r="AP254">
            <v>0</v>
          </cell>
          <cell r="AQ254">
            <v>0</v>
          </cell>
          <cell r="AR254"/>
          <cell r="AS254">
            <v>0</v>
          </cell>
          <cell r="AT254">
            <v>0</v>
          </cell>
          <cell r="AU254">
            <v>0</v>
          </cell>
          <cell r="AV254">
            <v>0</v>
          </cell>
          <cell r="AW254">
            <v>0</v>
          </cell>
          <cell r="AX254"/>
          <cell r="AY254">
            <v>0</v>
          </cell>
          <cell r="AZ254">
            <v>0</v>
          </cell>
          <cell r="BA254">
            <v>0</v>
          </cell>
          <cell r="BB254">
            <v>0</v>
          </cell>
          <cell r="BC254">
            <v>0</v>
          </cell>
          <cell r="BD254"/>
          <cell r="BE254">
            <v>0</v>
          </cell>
          <cell r="BF254">
            <v>0</v>
          </cell>
          <cell r="BG254">
            <v>0</v>
          </cell>
          <cell r="BH254">
            <v>0</v>
          </cell>
          <cell r="BI254">
            <v>0</v>
          </cell>
          <cell r="BJ254"/>
          <cell r="BK254">
            <v>0</v>
          </cell>
          <cell r="BL254">
            <v>0</v>
          </cell>
          <cell r="BM254">
            <v>0</v>
          </cell>
          <cell r="BN254">
            <v>0</v>
          </cell>
          <cell r="BO254">
            <v>0</v>
          </cell>
          <cell r="BP254"/>
          <cell r="BQ254">
            <v>0</v>
          </cell>
          <cell r="BR254">
            <v>0</v>
          </cell>
          <cell r="BS254">
            <v>0</v>
          </cell>
          <cell r="BT254">
            <v>0</v>
          </cell>
          <cell r="BU254">
            <v>0</v>
          </cell>
          <cell r="BV254"/>
          <cell r="BW254" t="str">
            <v>NA</v>
          </cell>
          <cell r="BX254" t="str">
            <v>NA</v>
          </cell>
          <cell r="BY254" t="str">
            <v>NA</v>
          </cell>
          <cell r="BZ254" t="str">
            <v>NA</v>
          </cell>
          <cell r="CA254">
            <v>0</v>
          </cell>
          <cell r="CB254"/>
          <cell r="CC254" t="str">
            <v>NA</v>
          </cell>
          <cell r="CD254" t="str">
            <v>NA</v>
          </cell>
          <cell r="CE254" t="str">
            <v>NA</v>
          </cell>
          <cell r="CF254" t="str">
            <v>NA</v>
          </cell>
          <cell r="CG254">
            <v>0</v>
          </cell>
          <cell r="CH254"/>
        </row>
        <row r="255">
          <cell r="A255" t="str">
            <v>% total</v>
          </cell>
          <cell r="C255"/>
          <cell r="D255"/>
          <cell r="E255"/>
          <cell r="F255"/>
          <cell r="G255"/>
          <cell r="I255"/>
          <cell r="J255"/>
          <cell r="K255"/>
          <cell r="L255"/>
          <cell r="M255"/>
          <cell r="O255"/>
          <cell r="P255"/>
          <cell r="Q255"/>
          <cell r="R255"/>
          <cell r="S255"/>
          <cell r="U255"/>
          <cell r="V255"/>
          <cell r="W255"/>
          <cell r="X255"/>
          <cell r="Y255" t="str">
            <v>NA</v>
          </cell>
          <cell r="AA255" t="str">
            <v>NA</v>
          </cell>
          <cell r="AB255" t="str">
            <v>NA</v>
          </cell>
          <cell r="AC255" t="str">
            <v>NA</v>
          </cell>
          <cell r="AD255" t="str">
            <v>NA</v>
          </cell>
          <cell r="AE255" t="str">
            <v>NA</v>
          </cell>
          <cell r="AG255" t="str">
            <v>NA</v>
          </cell>
          <cell r="AH255" t="str">
            <v>NA</v>
          </cell>
          <cell r="AI255" t="str">
            <v>NA</v>
          </cell>
          <cell r="AJ255" t="str">
            <v>NA</v>
          </cell>
          <cell r="AK255" t="str">
            <v>NA</v>
          </cell>
          <cell r="AM255">
            <v>0</v>
          </cell>
          <cell r="AN255">
            <v>0</v>
          </cell>
          <cell r="AO255">
            <v>0</v>
          </cell>
          <cell r="AP255">
            <v>0</v>
          </cell>
          <cell r="AQ255">
            <v>0</v>
          </cell>
          <cell r="AS255">
            <v>0</v>
          </cell>
          <cell r="AT255">
            <v>0</v>
          </cell>
          <cell r="AU255">
            <v>0</v>
          </cell>
          <cell r="AV255">
            <v>0</v>
          </cell>
          <cell r="AW255">
            <v>0</v>
          </cell>
          <cell r="AY255">
            <v>0</v>
          </cell>
          <cell r="AZ255">
            <v>0</v>
          </cell>
          <cell r="BA255">
            <v>0</v>
          </cell>
          <cell r="BB255">
            <v>0</v>
          </cell>
          <cell r="BC255">
            <v>0</v>
          </cell>
          <cell r="BE255">
            <v>0</v>
          </cell>
          <cell r="BF255">
            <v>0</v>
          </cell>
          <cell r="BG255">
            <v>0</v>
          </cell>
          <cell r="BH255">
            <v>0</v>
          </cell>
          <cell r="BI255">
            <v>0</v>
          </cell>
          <cell r="BK255">
            <v>0</v>
          </cell>
          <cell r="BL255">
            <v>0</v>
          </cell>
          <cell r="BM255">
            <v>0</v>
          </cell>
          <cell r="BN255">
            <v>0</v>
          </cell>
          <cell r="BO255">
            <v>0</v>
          </cell>
          <cell r="BQ255">
            <v>0</v>
          </cell>
          <cell r="BR255">
            <v>0</v>
          </cell>
          <cell r="BS255">
            <v>0</v>
          </cell>
          <cell r="BT255">
            <v>0</v>
          </cell>
          <cell r="BU255" t="str">
            <v>NA</v>
          </cell>
          <cell r="BW255">
            <v>0</v>
          </cell>
          <cell r="BX255">
            <v>0</v>
          </cell>
          <cell r="BY255">
            <v>0</v>
          </cell>
          <cell r="BZ255">
            <v>0</v>
          </cell>
          <cell r="CA255" t="str">
            <v>NA</v>
          </cell>
          <cell r="CC255">
            <v>0</v>
          </cell>
          <cell r="CD255">
            <v>0</v>
          </cell>
          <cell r="CE255">
            <v>0</v>
          </cell>
          <cell r="CF255">
            <v>0</v>
          </cell>
          <cell r="CG255" t="str">
            <v>NA</v>
          </cell>
        </row>
        <row r="256">
          <cell r="A256"/>
          <cell r="C256"/>
          <cell r="D256"/>
          <cell r="E256"/>
          <cell r="F256"/>
          <cell r="G256"/>
          <cell r="I256"/>
          <cell r="J256"/>
          <cell r="K256"/>
          <cell r="L256"/>
          <cell r="M256"/>
          <cell r="O256"/>
          <cell r="P256"/>
          <cell r="Q256"/>
          <cell r="R256"/>
          <cell r="S256"/>
          <cell r="U256"/>
          <cell r="V256"/>
          <cell r="W256"/>
          <cell r="X256"/>
          <cell r="Y256"/>
          <cell r="AA256"/>
          <cell r="AB256"/>
          <cell r="AC256"/>
          <cell r="AD256"/>
          <cell r="AE256"/>
          <cell r="AG256"/>
          <cell r="AH256"/>
          <cell r="AI256"/>
          <cell r="AJ256"/>
          <cell r="AK256"/>
          <cell r="AM256"/>
          <cell r="AN256"/>
          <cell r="AO256"/>
          <cell r="AP256"/>
          <cell r="AQ256"/>
          <cell r="AS256"/>
          <cell r="AT256"/>
          <cell r="AU256"/>
          <cell r="AV256"/>
          <cell r="AW256"/>
          <cell r="AY256"/>
          <cell r="AZ256"/>
          <cell r="BA256"/>
          <cell r="BB256"/>
          <cell r="BC256"/>
          <cell r="BE256"/>
          <cell r="BF256"/>
          <cell r="BG256"/>
          <cell r="BH256"/>
          <cell r="BI256"/>
          <cell r="BK256"/>
          <cell r="BL256"/>
          <cell r="BM256"/>
          <cell r="BN256"/>
          <cell r="BO256"/>
          <cell r="BQ256"/>
          <cell r="BR256"/>
          <cell r="BS256"/>
          <cell r="BT256"/>
          <cell r="BU256"/>
          <cell r="BW256"/>
          <cell r="BX256"/>
          <cell r="BY256"/>
          <cell r="BZ256"/>
          <cell r="CA256"/>
          <cell r="CC256"/>
          <cell r="CD256"/>
          <cell r="CE256"/>
          <cell r="CF256"/>
          <cell r="CG256"/>
        </row>
        <row r="257">
          <cell r="A257" t="str">
            <v>Other operating expenses</v>
          </cell>
          <cell r="B257"/>
          <cell r="C257"/>
          <cell r="D257"/>
          <cell r="E257"/>
          <cell r="F257"/>
          <cell r="G257"/>
          <cell r="H257"/>
          <cell r="I257"/>
          <cell r="J257"/>
          <cell r="K257"/>
          <cell r="L257"/>
          <cell r="M257"/>
          <cell r="N257"/>
          <cell r="O257"/>
          <cell r="P257"/>
          <cell r="Q257"/>
          <cell r="R257"/>
          <cell r="S257"/>
          <cell r="T257"/>
          <cell r="U257"/>
          <cell r="V257"/>
          <cell r="W257"/>
          <cell r="X257"/>
          <cell r="Y257">
            <v>0</v>
          </cell>
          <cell r="Z257"/>
          <cell r="AA257">
            <v>0</v>
          </cell>
          <cell r="AB257">
            <v>0</v>
          </cell>
          <cell r="AC257">
            <v>0</v>
          </cell>
          <cell r="AD257">
            <v>0</v>
          </cell>
          <cell r="AE257">
            <v>0</v>
          </cell>
          <cell r="AF257"/>
          <cell r="AG257">
            <v>0</v>
          </cell>
          <cell r="AH257">
            <v>0</v>
          </cell>
          <cell r="AI257">
            <v>0</v>
          </cell>
          <cell r="AJ257">
            <v>0</v>
          </cell>
          <cell r="AK257">
            <v>0</v>
          </cell>
          <cell r="AL257"/>
          <cell r="AM257">
            <v>0</v>
          </cell>
          <cell r="AN257">
            <v>0</v>
          </cell>
          <cell r="AO257">
            <v>0</v>
          </cell>
          <cell r="AP257">
            <v>0</v>
          </cell>
          <cell r="AQ257">
            <v>0</v>
          </cell>
          <cell r="AR257"/>
          <cell r="AS257">
            <v>0</v>
          </cell>
          <cell r="AT257">
            <v>0</v>
          </cell>
          <cell r="AU257">
            <v>0</v>
          </cell>
          <cell r="AV257">
            <v>0</v>
          </cell>
          <cell r="AW257">
            <v>0</v>
          </cell>
          <cell r="AX257"/>
          <cell r="AY257">
            <v>0</v>
          </cell>
          <cell r="AZ257">
            <v>0</v>
          </cell>
          <cell r="BA257">
            <v>0</v>
          </cell>
          <cell r="BB257">
            <v>0</v>
          </cell>
          <cell r="BC257">
            <v>0</v>
          </cell>
          <cell r="BD257"/>
          <cell r="BE257">
            <v>0</v>
          </cell>
          <cell r="BF257">
            <v>0</v>
          </cell>
          <cell r="BG257">
            <v>0</v>
          </cell>
          <cell r="BH257">
            <v>0</v>
          </cell>
          <cell r="BI257">
            <v>0</v>
          </cell>
          <cell r="BJ257"/>
          <cell r="BK257">
            <v>0</v>
          </cell>
          <cell r="BL257">
            <v>0</v>
          </cell>
          <cell r="BM257">
            <v>0</v>
          </cell>
          <cell r="BN257">
            <v>0</v>
          </cell>
          <cell r="BO257">
            <v>0</v>
          </cell>
          <cell r="BP257"/>
          <cell r="BQ257">
            <v>0</v>
          </cell>
          <cell r="BR257">
            <v>0</v>
          </cell>
          <cell r="BS257">
            <v>0</v>
          </cell>
          <cell r="BT257">
            <v>0</v>
          </cell>
          <cell r="BU257">
            <v>0</v>
          </cell>
          <cell r="BV257"/>
          <cell r="BW257" t="str">
            <v>NA</v>
          </cell>
          <cell r="BX257" t="str">
            <v>NA</v>
          </cell>
          <cell r="BY257" t="str">
            <v>NA</v>
          </cell>
          <cell r="BZ257" t="str">
            <v>NA</v>
          </cell>
          <cell r="CA257">
            <v>0</v>
          </cell>
          <cell r="CB257"/>
          <cell r="CC257" t="str">
            <v>NA</v>
          </cell>
          <cell r="CD257" t="str">
            <v>NA</v>
          </cell>
          <cell r="CE257" t="str">
            <v>NA</v>
          </cell>
          <cell r="CF257" t="str">
            <v>NA</v>
          </cell>
          <cell r="CG257">
            <v>0</v>
          </cell>
          <cell r="CH257"/>
        </row>
        <row r="258">
          <cell r="A258" t="str">
            <v>% total</v>
          </cell>
          <cell r="C258"/>
          <cell r="D258"/>
          <cell r="E258"/>
          <cell r="F258"/>
          <cell r="G258"/>
          <cell r="I258"/>
          <cell r="J258"/>
          <cell r="K258"/>
          <cell r="L258"/>
          <cell r="M258"/>
          <cell r="O258"/>
          <cell r="P258"/>
          <cell r="Q258"/>
          <cell r="R258"/>
          <cell r="S258"/>
          <cell r="U258"/>
          <cell r="V258"/>
          <cell r="W258"/>
          <cell r="X258"/>
          <cell r="Y258" t="str">
            <v>NA</v>
          </cell>
          <cell r="AA258" t="str">
            <v>NA</v>
          </cell>
          <cell r="AB258" t="str">
            <v>NA</v>
          </cell>
          <cell r="AC258" t="str">
            <v>NA</v>
          </cell>
          <cell r="AD258" t="str">
            <v>NA</v>
          </cell>
          <cell r="AE258" t="str">
            <v>NA</v>
          </cell>
          <cell r="AG258" t="str">
            <v>NA</v>
          </cell>
          <cell r="AH258" t="str">
            <v>NA</v>
          </cell>
          <cell r="AI258" t="str">
            <v>NA</v>
          </cell>
          <cell r="AJ258" t="str">
            <v>NA</v>
          </cell>
          <cell r="AK258" t="str">
            <v>NA</v>
          </cell>
          <cell r="AM258">
            <v>0</v>
          </cell>
          <cell r="AN258">
            <v>0</v>
          </cell>
          <cell r="AO258">
            <v>0</v>
          </cell>
          <cell r="AP258">
            <v>0</v>
          </cell>
          <cell r="AQ258">
            <v>0</v>
          </cell>
          <cell r="AS258">
            <v>0</v>
          </cell>
          <cell r="AT258">
            <v>0</v>
          </cell>
          <cell r="AU258">
            <v>0</v>
          </cell>
          <cell r="AV258">
            <v>0</v>
          </cell>
          <cell r="AW258">
            <v>0</v>
          </cell>
          <cell r="AY258">
            <v>0</v>
          </cell>
          <cell r="AZ258">
            <v>0</v>
          </cell>
          <cell r="BA258">
            <v>0</v>
          </cell>
          <cell r="BB258">
            <v>0</v>
          </cell>
          <cell r="BC258">
            <v>0</v>
          </cell>
          <cell r="BE258">
            <v>0</v>
          </cell>
          <cell r="BF258">
            <v>0</v>
          </cell>
          <cell r="BG258">
            <v>0</v>
          </cell>
          <cell r="BH258">
            <v>0</v>
          </cell>
          <cell r="BI258">
            <v>0</v>
          </cell>
          <cell r="BK258">
            <v>0</v>
          </cell>
          <cell r="BL258">
            <v>0</v>
          </cell>
          <cell r="BM258">
            <v>0</v>
          </cell>
          <cell r="BN258">
            <v>0</v>
          </cell>
          <cell r="BO258">
            <v>0</v>
          </cell>
          <cell r="BQ258">
            <v>0</v>
          </cell>
          <cell r="BR258">
            <v>0</v>
          </cell>
          <cell r="BS258">
            <v>0</v>
          </cell>
          <cell r="BT258">
            <v>0</v>
          </cell>
          <cell r="BU258" t="str">
            <v>NA</v>
          </cell>
          <cell r="BW258">
            <v>0</v>
          </cell>
          <cell r="BX258">
            <v>0</v>
          </cell>
          <cell r="BY258">
            <v>0</v>
          </cell>
          <cell r="BZ258">
            <v>0</v>
          </cell>
          <cell r="CA258" t="str">
            <v>NA</v>
          </cell>
          <cell r="CC258">
            <v>0</v>
          </cell>
          <cell r="CD258">
            <v>0</v>
          </cell>
          <cell r="CE258">
            <v>0</v>
          </cell>
          <cell r="CF258">
            <v>0</v>
          </cell>
          <cell r="CG258" t="str">
            <v>NA</v>
          </cell>
        </row>
        <row r="259">
          <cell r="A259"/>
          <cell r="C259"/>
          <cell r="D259"/>
          <cell r="E259"/>
          <cell r="F259"/>
          <cell r="G259"/>
          <cell r="I259"/>
          <cell r="J259"/>
          <cell r="K259"/>
          <cell r="L259"/>
          <cell r="M259"/>
          <cell r="O259"/>
          <cell r="P259"/>
          <cell r="Q259"/>
          <cell r="R259"/>
          <cell r="S259"/>
          <cell r="U259"/>
          <cell r="V259"/>
          <cell r="W259"/>
          <cell r="X259"/>
          <cell r="Y259"/>
          <cell r="AA259"/>
          <cell r="AB259"/>
          <cell r="AC259"/>
          <cell r="AD259"/>
          <cell r="AE259"/>
          <cell r="AG259"/>
          <cell r="AH259"/>
          <cell r="AI259"/>
          <cell r="AJ259"/>
          <cell r="AK259"/>
          <cell r="AM259"/>
          <cell r="AN259"/>
          <cell r="AO259"/>
          <cell r="AP259"/>
          <cell r="AQ259"/>
          <cell r="AS259"/>
          <cell r="AT259"/>
          <cell r="AU259"/>
          <cell r="AV259"/>
          <cell r="AW259"/>
          <cell r="AY259"/>
          <cell r="AZ259"/>
          <cell r="BA259"/>
          <cell r="BB259"/>
          <cell r="BC259"/>
          <cell r="BE259"/>
          <cell r="BF259"/>
          <cell r="BG259"/>
          <cell r="BH259"/>
          <cell r="BI259"/>
          <cell r="BK259"/>
          <cell r="BL259"/>
          <cell r="BM259"/>
          <cell r="BN259"/>
          <cell r="BO259"/>
          <cell r="BQ259"/>
          <cell r="BR259"/>
          <cell r="BS259"/>
          <cell r="BT259"/>
          <cell r="BU259"/>
          <cell r="BW259"/>
          <cell r="BX259"/>
          <cell r="BY259"/>
          <cell r="BZ259"/>
          <cell r="CA259"/>
          <cell r="CC259"/>
          <cell r="CD259"/>
          <cell r="CE259"/>
          <cell r="CF259"/>
          <cell r="CG259"/>
        </row>
        <row r="260">
          <cell r="A260" t="str">
            <v>Total operating expenses</v>
          </cell>
          <cell r="B260"/>
          <cell r="C260"/>
          <cell r="D260"/>
          <cell r="E260"/>
          <cell r="F260"/>
          <cell r="G260"/>
          <cell r="H260"/>
          <cell r="I260"/>
          <cell r="J260"/>
          <cell r="K260"/>
          <cell r="L260"/>
          <cell r="M260"/>
          <cell r="N260"/>
          <cell r="O260"/>
          <cell r="P260"/>
          <cell r="Q260"/>
          <cell r="R260"/>
          <cell r="S260"/>
          <cell r="T260"/>
          <cell r="U260"/>
          <cell r="V260"/>
          <cell r="W260"/>
          <cell r="X260"/>
          <cell r="Y260">
            <v>0</v>
          </cell>
          <cell r="Z260"/>
          <cell r="AA260">
            <v>0</v>
          </cell>
          <cell r="AB260">
            <v>0</v>
          </cell>
          <cell r="AC260">
            <v>0</v>
          </cell>
          <cell r="AD260">
            <v>0</v>
          </cell>
          <cell r="AE260">
            <v>0</v>
          </cell>
          <cell r="AF260"/>
          <cell r="AG260">
            <v>0</v>
          </cell>
          <cell r="AH260">
            <v>0</v>
          </cell>
          <cell r="AI260">
            <v>0</v>
          </cell>
          <cell r="AJ260">
            <v>0</v>
          </cell>
          <cell r="AK260">
            <v>0</v>
          </cell>
          <cell r="AL260"/>
          <cell r="AM260">
            <v>0</v>
          </cell>
          <cell r="AN260">
            <v>0</v>
          </cell>
          <cell r="AO260">
            <v>0</v>
          </cell>
          <cell r="AP260">
            <v>0</v>
          </cell>
          <cell r="AQ260">
            <v>0</v>
          </cell>
          <cell r="AR260"/>
          <cell r="AS260">
            <v>0</v>
          </cell>
          <cell r="AT260">
            <v>0</v>
          </cell>
          <cell r="AU260">
            <v>0</v>
          </cell>
          <cell r="AV260">
            <v>0</v>
          </cell>
          <cell r="AW260">
            <v>0</v>
          </cell>
          <cell r="AX260"/>
          <cell r="AY260">
            <v>0</v>
          </cell>
          <cell r="AZ260">
            <v>0</v>
          </cell>
          <cell r="BA260">
            <v>0</v>
          </cell>
          <cell r="BB260">
            <v>0</v>
          </cell>
          <cell r="BC260">
            <v>0</v>
          </cell>
          <cell r="BD260"/>
          <cell r="BE260">
            <v>0</v>
          </cell>
          <cell r="BF260">
            <v>0</v>
          </cell>
          <cell r="BG260">
            <v>0</v>
          </cell>
          <cell r="BH260">
            <v>0</v>
          </cell>
          <cell r="BI260">
            <v>0</v>
          </cell>
          <cell r="BJ260"/>
          <cell r="BK260">
            <v>0</v>
          </cell>
          <cell r="BL260">
            <v>0</v>
          </cell>
          <cell r="BM260">
            <v>0</v>
          </cell>
          <cell r="BN260">
            <v>0</v>
          </cell>
          <cell r="BO260">
            <v>0</v>
          </cell>
          <cell r="BP260"/>
          <cell r="BQ260">
            <v>0</v>
          </cell>
          <cell r="BR260">
            <v>0</v>
          </cell>
          <cell r="BS260">
            <v>0</v>
          </cell>
          <cell r="BT260">
            <v>0</v>
          </cell>
          <cell r="BU260">
            <v>0</v>
          </cell>
          <cell r="BV260"/>
          <cell r="BW260" t="str">
            <v>NA</v>
          </cell>
          <cell r="BX260" t="str">
            <v>NA</v>
          </cell>
          <cell r="BY260" t="str">
            <v>NA</v>
          </cell>
          <cell r="BZ260" t="str">
            <v>NA</v>
          </cell>
          <cell r="CA260">
            <v>0</v>
          </cell>
          <cell r="CB260"/>
          <cell r="CC260" t="str">
            <v>NA</v>
          </cell>
          <cell r="CD260" t="str">
            <v>NA</v>
          </cell>
          <cell r="CE260" t="str">
            <v>NA</v>
          </cell>
          <cell r="CF260" t="str">
            <v>NA</v>
          </cell>
          <cell r="CG260">
            <v>0</v>
          </cell>
          <cell r="CH260"/>
        </row>
        <row r="261">
          <cell r="A261" t="str">
            <v>% total</v>
          </cell>
          <cell r="C261"/>
          <cell r="D261"/>
          <cell r="E261"/>
          <cell r="F261"/>
          <cell r="G261"/>
          <cell r="I261"/>
          <cell r="J261"/>
          <cell r="K261"/>
          <cell r="L261"/>
          <cell r="M261"/>
          <cell r="O261"/>
          <cell r="P261"/>
          <cell r="Q261"/>
          <cell r="R261"/>
          <cell r="S261"/>
          <cell r="U261"/>
          <cell r="V261"/>
          <cell r="W261"/>
          <cell r="X261"/>
          <cell r="Y261" t="str">
            <v>NA</v>
          </cell>
          <cell r="AA261" t="str">
            <v>NA</v>
          </cell>
          <cell r="AB261" t="str">
            <v>NA</v>
          </cell>
          <cell r="AC261" t="str">
            <v>NA</v>
          </cell>
          <cell r="AD261" t="str">
            <v>NA</v>
          </cell>
          <cell r="AE261" t="str">
            <v>NA</v>
          </cell>
          <cell r="AG261" t="str">
            <v>NA</v>
          </cell>
          <cell r="AH261" t="str">
            <v>NA</v>
          </cell>
          <cell r="AI261" t="str">
            <v>NA</v>
          </cell>
          <cell r="AJ261" t="str">
            <v>NA</v>
          </cell>
          <cell r="AK261" t="str">
            <v>NA</v>
          </cell>
          <cell r="AM261">
            <v>0</v>
          </cell>
          <cell r="AN261">
            <v>0</v>
          </cell>
          <cell r="AO261">
            <v>0</v>
          </cell>
          <cell r="AP261">
            <v>0</v>
          </cell>
          <cell r="AQ261">
            <v>0</v>
          </cell>
          <cell r="AS261">
            <v>0</v>
          </cell>
          <cell r="AT261">
            <v>0</v>
          </cell>
          <cell r="AU261">
            <v>0</v>
          </cell>
          <cell r="AV261">
            <v>0</v>
          </cell>
          <cell r="AW261">
            <v>0</v>
          </cell>
          <cell r="AY261">
            <v>0</v>
          </cell>
          <cell r="AZ261">
            <v>0</v>
          </cell>
          <cell r="BA261">
            <v>0</v>
          </cell>
          <cell r="BB261">
            <v>0</v>
          </cell>
          <cell r="BC261">
            <v>0</v>
          </cell>
          <cell r="BE261">
            <v>0</v>
          </cell>
          <cell r="BF261">
            <v>0</v>
          </cell>
          <cell r="BG261">
            <v>0</v>
          </cell>
          <cell r="BH261">
            <v>0</v>
          </cell>
          <cell r="BI261">
            <v>0</v>
          </cell>
          <cell r="BK261">
            <v>0</v>
          </cell>
          <cell r="BL261">
            <v>0</v>
          </cell>
          <cell r="BM261">
            <v>0</v>
          </cell>
          <cell r="BN261">
            <v>0</v>
          </cell>
          <cell r="BO261">
            <v>0</v>
          </cell>
          <cell r="BQ261">
            <v>0</v>
          </cell>
          <cell r="BR261">
            <v>0</v>
          </cell>
          <cell r="BS261">
            <v>0</v>
          </cell>
          <cell r="BT261">
            <v>0</v>
          </cell>
          <cell r="BU261" t="str">
            <v>NA</v>
          </cell>
          <cell r="BW261">
            <v>0</v>
          </cell>
          <cell r="BX261">
            <v>0</v>
          </cell>
          <cell r="BY261">
            <v>0</v>
          </cell>
          <cell r="BZ261">
            <v>0</v>
          </cell>
          <cell r="CA261" t="str">
            <v>NA</v>
          </cell>
          <cell r="CC261">
            <v>0</v>
          </cell>
          <cell r="CD261">
            <v>0</v>
          </cell>
          <cell r="CE261">
            <v>0</v>
          </cell>
          <cell r="CF261">
            <v>0</v>
          </cell>
          <cell r="CG261" t="str">
            <v>NA</v>
          </cell>
        </row>
        <row r="262">
          <cell r="A262"/>
          <cell r="C262"/>
          <cell r="D262"/>
          <cell r="E262"/>
          <cell r="F262"/>
          <cell r="G262"/>
          <cell r="I262"/>
          <cell r="J262"/>
          <cell r="K262"/>
          <cell r="L262"/>
          <cell r="M262"/>
          <cell r="O262"/>
          <cell r="P262"/>
          <cell r="Q262"/>
          <cell r="R262"/>
          <cell r="S262"/>
          <cell r="U262"/>
          <cell r="V262"/>
          <cell r="W262"/>
          <cell r="X262"/>
          <cell r="Y262"/>
          <cell r="AA262"/>
          <cell r="AB262"/>
          <cell r="AC262"/>
          <cell r="AD262"/>
          <cell r="AE262"/>
          <cell r="AG262"/>
          <cell r="AH262"/>
          <cell r="AI262"/>
          <cell r="AJ262"/>
          <cell r="AK262"/>
          <cell r="AM262"/>
          <cell r="AN262"/>
          <cell r="AO262"/>
          <cell r="AP262"/>
          <cell r="AQ262"/>
          <cell r="AS262"/>
          <cell r="AT262"/>
          <cell r="AU262"/>
          <cell r="AV262"/>
          <cell r="AW262"/>
          <cell r="AY262"/>
          <cell r="AZ262"/>
          <cell r="BA262"/>
          <cell r="BB262"/>
          <cell r="BC262"/>
          <cell r="BE262"/>
          <cell r="BF262"/>
          <cell r="BG262"/>
          <cell r="BH262"/>
          <cell r="BI262"/>
          <cell r="BK262"/>
          <cell r="BL262"/>
          <cell r="BM262"/>
          <cell r="BN262"/>
          <cell r="BO262"/>
          <cell r="BQ262"/>
          <cell r="BR262"/>
          <cell r="BS262"/>
          <cell r="BT262"/>
          <cell r="BU262"/>
          <cell r="BW262"/>
          <cell r="BX262"/>
          <cell r="BY262"/>
          <cell r="BZ262"/>
          <cell r="CA262"/>
          <cell r="CC262"/>
          <cell r="CD262"/>
          <cell r="CE262"/>
          <cell r="CF262"/>
          <cell r="CG262"/>
        </row>
        <row r="263">
          <cell r="A263" t="str">
            <v>Other income (expense), net</v>
          </cell>
          <cell r="B263"/>
          <cell r="C263"/>
          <cell r="D263"/>
          <cell r="E263"/>
          <cell r="F263"/>
          <cell r="G263"/>
          <cell r="H263"/>
          <cell r="I263"/>
          <cell r="J263"/>
          <cell r="K263"/>
          <cell r="L263"/>
          <cell r="M263"/>
          <cell r="N263"/>
          <cell r="O263"/>
          <cell r="P263"/>
          <cell r="Q263"/>
          <cell r="R263"/>
          <cell r="S263"/>
          <cell r="T263"/>
          <cell r="U263"/>
          <cell r="V263"/>
          <cell r="W263"/>
          <cell r="X263"/>
          <cell r="Y263">
            <v>0</v>
          </cell>
          <cell r="Z263"/>
          <cell r="AA263">
            <v>0</v>
          </cell>
          <cell r="AB263">
            <v>0</v>
          </cell>
          <cell r="AC263">
            <v>0</v>
          </cell>
          <cell r="AD263">
            <v>0</v>
          </cell>
          <cell r="AE263">
            <v>0</v>
          </cell>
          <cell r="AF263"/>
          <cell r="AG263">
            <v>0</v>
          </cell>
          <cell r="AH263">
            <v>0</v>
          </cell>
          <cell r="AI263">
            <v>0</v>
          </cell>
          <cell r="AJ263">
            <v>0</v>
          </cell>
          <cell r="AK263">
            <v>0</v>
          </cell>
          <cell r="AL263"/>
          <cell r="AM263">
            <v>0</v>
          </cell>
          <cell r="AN263">
            <v>0</v>
          </cell>
          <cell r="AO263">
            <v>0</v>
          </cell>
          <cell r="AP263">
            <v>0</v>
          </cell>
          <cell r="AQ263">
            <v>0</v>
          </cell>
          <cell r="AR263"/>
          <cell r="AS263">
            <v>0</v>
          </cell>
          <cell r="AT263">
            <v>0</v>
          </cell>
          <cell r="AU263">
            <v>0</v>
          </cell>
          <cell r="AV263">
            <v>0</v>
          </cell>
          <cell r="AW263">
            <v>0</v>
          </cell>
          <cell r="AX263"/>
          <cell r="AY263">
            <v>0</v>
          </cell>
          <cell r="AZ263">
            <v>0</v>
          </cell>
          <cell r="BA263">
            <v>0</v>
          </cell>
          <cell r="BB263">
            <v>0</v>
          </cell>
          <cell r="BC263">
            <v>0</v>
          </cell>
          <cell r="BD263"/>
          <cell r="BE263">
            <v>0</v>
          </cell>
          <cell r="BF263">
            <v>0</v>
          </cell>
          <cell r="BG263">
            <v>0</v>
          </cell>
          <cell r="BH263">
            <v>0</v>
          </cell>
          <cell r="BI263">
            <v>0</v>
          </cell>
          <cell r="BJ263"/>
          <cell r="BK263">
            <v>0</v>
          </cell>
          <cell r="BL263">
            <v>0</v>
          </cell>
          <cell r="BM263">
            <v>0</v>
          </cell>
          <cell r="BN263">
            <v>0</v>
          </cell>
          <cell r="BO263">
            <v>0</v>
          </cell>
          <cell r="BP263"/>
          <cell r="BQ263">
            <v>0</v>
          </cell>
          <cell r="BR263">
            <v>0</v>
          </cell>
          <cell r="BS263">
            <v>0</v>
          </cell>
          <cell r="BT263">
            <v>0</v>
          </cell>
          <cell r="BU263">
            <v>0</v>
          </cell>
          <cell r="BV263"/>
          <cell r="BW263" t="str">
            <v>NA</v>
          </cell>
          <cell r="BX263" t="str">
            <v>NA</v>
          </cell>
          <cell r="BY263" t="str">
            <v>NA</v>
          </cell>
          <cell r="BZ263" t="str">
            <v>NA</v>
          </cell>
          <cell r="CA263">
            <v>0</v>
          </cell>
          <cell r="CB263"/>
          <cell r="CC263" t="str">
            <v>NA</v>
          </cell>
          <cell r="CD263" t="str">
            <v>NA</v>
          </cell>
          <cell r="CE263" t="str">
            <v>NA</v>
          </cell>
          <cell r="CF263" t="str">
            <v>NA</v>
          </cell>
          <cell r="CG263">
            <v>0</v>
          </cell>
          <cell r="CH263"/>
        </row>
        <row r="264">
          <cell r="A264" t="str">
            <v>% total</v>
          </cell>
          <cell r="C264"/>
          <cell r="D264"/>
          <cell r="E264"/>
          <cell r="F264"/>
          <cell r="G264"/>
          <cell r="I264"/>
          <cell r="J264"/>
          <cell r="K264"/>
          <cell r="L264"/>
          <cell r="M264"/>
          <cell r="O264"/>
          <cell r="P264"/>
          <cell r="Q264"/>
          <cell r="R264"/>
          <cell r="S264"/>
          <cell r="U264"/>
          <cell r="V264"/>
          <cell r="W264"/>
          <cell r="X264"/>
          <cell r="Y264" t="str">
            <v>NA</v>
          </cell>
          <cell r="AA264" t="str">
            <v>NA</v>
          </cell>
          <cell r="AB264" t="str">
            <v>NA</v>
          </cell>
          <cell r="AC264" t="str">
            <v>NA</v>
          </cell>
          <cell r="AD264" t="str">
            <v>NA</v>
          </cell>
          <cell r="AE264" t="str">
            <v>NA</v>
          </cell>
          <cell r="AG264" t="str">
            <v>NA</v>
          </cell>
          <cell r="AH264" t="str">
            <v>NA</v>
          </cell>
          <cell r="AI264" t="str">
            <v>NA</v>
          </cell>
          <cell r="AJ264" t="str">
            <v>NA</v>
          </cell>
          <cell r="AK264" t="str">
            <v>NA</v>
          </cell>
          <cell r="AM264">
            <v>0</v>
          </cell>
          <cell r="AN264">
            <v>0</v>
          </cell>
          <cell r="AO264">
            <v>0</v>
          </cell>
          <cell r="AP264">
            <v>0</v>
          </cell>
          <cell r="AQ264">
            <v>0</v>
          </cell>
          <cell r="AS264">
            <v>0</v>
          </cell>
          <cell r="AT264">
            <v>0</v>
          </cell>
          <cell r="AU264">
            <v>0</v>
          </cell>
          <cell r="AV264">
            <v>0</v>
          </cell>
          <cell r="AW264">
            <v>0</v>
          </cell>
          <cell r="AY264">
            <v>0</v>
          </cell>
          <cell r="AZ264">
            <v>0</v>
          </cell>
          <cell r="BA264">
            <v>0</v>
          </cell>
          <cell r="BB264">
            <v>0</v>
          </cell>
          <cell r="BC264">
            <v>0</v>
          </cell>
          <cell r="BE264">
            <v>0</v>
          </cell>
          <cell r="BF264">
            <v>0</v>
          </cell>
          <cell r="BG264">
            <v>0</v>
          </cell>
          <cell r="BH264">
            <v>0</v>
          </cell>
          <cell r="BI264">
            <v>0</v>
          </cell>
          <cell r="BK264">
            <v>0</v>
          </cell>
          <cell r="BL264">
            <v>0</v>
          </cell>
          <cell r="BM264">
            <v>0</v>
          </cell>
          <cell r="BN264">
            <v>0</v>
          </cell>
          <cell r="BO264">
            <v>0</v>
          </cell>
          <cell r="BQ264">
            <v>0</v>
          </cell>
          <cell r="BR264">
            <v>0</v>
          </cell>
          <cell r="BS264">
            <v>0</v>
          </cell>
          <cell r="BT264">
            <v>0</v>
          </cell>
          <cell r="BU264" t="str">
            <v>NA</v>
          </cell>
          <cell r="BW264">
            <v>0</v>
          </cell>
          <cell r="BX264">
            <v>0</v>
          </cell>
          <cell r="BY264">
            <v>0</v>
          </cell>
          <cell r="BZ264">
            <v>0</v>
          </cell>
          <cell r="CA264" t="str">
            <v>NA</v>
          </cell>
          <cell r="CC264">
            <v>0</v>
          </cell>
          <cell r="CD264">
            <v>0</v>
          </cell>
          <cell r="CE264">
            <v>0</v>
          </cell>
          <cell r="CF264">
            <v>0</v>
          </cell>
          <cell r="CG264" t="str">
            <v>NA</v>
          </cell>
        </row>
        <row r="265">
          <cell r="A265"/>
          <cell r="C265"/>
          <cell r="D265"/>
          <cell r="E265"/>
          <cell r="F265"/>
          <cell r="G265"/>
          <cell r="I265"/>
          <cell r="J265"/>
          <cell r="K265"/>
          <cell r="L265"/>
          <cell r="M265"/>
          <cell r="O265"/>
          <cell r="P265"/>
          <cell r="Q265"/>
          <cell r="R265"/>
          <cell r="S265"/>
          <cell r="U265"/>
          <cell r="V265"/>
          <cell r="W265"/>
          <cell r="X265"/>
          <cell r="Y265"/>
          <cell r="AA265"/>
          <cell r="AB265"/>
          <cell r="AC265"/>
          <cell r="AD265"/>
          <cell r="AE265"/>
          <cell r="AG265"/>
          <cell r="AH265"/>
          <cell r="AI265"/>
          <cell r="AJ265"/>
          <cell r="AK265"/>
          <cell r="AM265"/>
          <cell r="AN265"/>
          <cell r="AO265"/>
          <cell r="AP265"/>
          <cell r="AQ265"/>
          <cell r="AS265"/>
          <cell r="AT265"/>
          <cell r="AU265"/>
          <cell r="AV265"/>
          <cell r="AW265"/>
          <cell r="AY265"/>
          <cell r="AZ265"/>
          <cell r="BA265"/>
          <cell r="BB265"/>
          <cell r="BC265"/>
          <cell r="BE265"/>
          <cell r="BF265"/>
          <cell r="BG265"/>
          <cell r="BH265"/>
          <cell r="BI265"/>
          <cell r="BK265"/>
          <cell r="BL265"/>
          <cell r="BM265"/>
          <cell r="BN265"/>
          <cell r="BO265"/>
          <cell r="BQ265"/>
          <cell r="BR265"/>
          <cell r="BS265"/>
          <cell r="BT265"/>
          <cell r="BU265"/>
          <cell r="BW265"/>
          <cell r="BX265"/>
          <cell r="BY265"/>
          <cell r="BZ265"/>
          <cell r="CA265"/>
          <cell r="CC265"/>
          <cell r="CD265"/>
          <cell r="CE265"/>
          <cell r="CF265"/>
          <cell r="CG265"/>
        </row>
        <row r="266">
          <cell r="A266" t="str">
            <v>Total</v>
          </cell>
          <cell r="B266"/>
          <cell r="C266"/>
          <cell r="D266"/>
          <cell r="E266"/>
          <cell r="F266"/>
          <cell r="G266"/>
          <cell r="I266"/>
          <cell r="J266"/>
          <cell r="K266"/>
          <cell r="L266"/>
          <cell r="M266"/>
          <cell r="O266"/>
          <cell r="P266"/>
          <cell r="Q266"/>
          <cell r="R266"/>
          <cell r="S266"/>
          <cell r="U266"/>
          <cell r="V266"/>
          <cell r="W266"/>
          <cell r="X266"/>
          <cell r="Y266">
            <v>0</v>
          </cell>
          <cell r="AA266">
            <v>0</v>
          </cell>
          <cell r="AB266">
            <v>0</v>
          </cell>
          <cell r="AC266">
            <v>0</v>
          </cell>
          <cell r="AD266">
            <v>0</v>
          </cell>
          <cell r="AE266">
            <v>0</v>
          </cell>
          <cell r="AG266">
            <v>0</v>
          </cell>
          <cell r="AH266">
            <v>0</v>
          </cell>
          <cell r="AI266">
            <v>0</v>
          </cell>
          <cell r="AJ266">
            <v>0</v>
          </cell>
          <cell r="AK266">
            <v>0</v>
          </cell>
          <cell r="AL266"/>
          <cell r="AM266">
            <v>6.5000000000000002E-2</v>
          </cell>
          <cell r="AN266">
            <v>0.23599999999999999</v>
          </cell>
          <cell r="AO266">
            <v>0.45600000000000002</v>
          </cell>
          <cell r="AP266">
            <v>0.45600000000000002</v>
          </cell>
          <cell r="AQ266">
            <v>1.2130000000000001</v>
          </cell>
          <cell r="AS266">
            <v>0.47699999999999998</v>
          </cell>
          <cell r="AT266">
            <v>0.51600000000000001</v>
          </cell>
          <cell r="AU266">
            <v>0.51900000000000002</v>
          </cell>
          <cell r="AV266">
            <v>0.51700000000000002</v>
          </cell>
          <cell r="AW266">
            <v>2.0289999999999999</v>
          </cell>
          <cell r="AY266">
            <v>0.505</v>
          </cell>
          <cell r="AZ266">
            <v>1.1519999999999999</v>
          </cell>
          <cell r="BA266">
            <v>1.181</v>
          </cell>
          <cell r="BB266">
            <v>1.1839999999999999</v>
          </cell>
          <cell r="BC266">
            <v>4.0220000000000002</v>
          </cell>
          <cell r="BE266">
            <v>1.1679999999999999</v>
          </cell>
          <cell r="BF266">
            <v>0.81200000000000006</v>
          </cell>
          <cell r="BG266">
            <v>1.1363014259901669</v>
          </cell>
          <cell r="BH266">
            <v>1.0599900753806764</v>
          </cell>
          <cell r="BI266">
            <v>4.1762915013708435</v>
          </cell>
          <cell r="BK266">
            <v>0.58615926796986562</v>
          </cell>
          <cell r="BL266">
            <v>0.56658338007995412</v>
          </cell>
          <cell r="BM266">
            <v>0.63439301237213097</v>
          </cell>
          <cell r="BN266">
            <v>0.92779745804710756</v>
          </cell>
          <cell r="BO266">
            <v>2.7149331184690584</v>
          </cell>
          <cell r="BQ266" t="e">
            <v>#VALUE!</v>
          </cell>
          <cell r="BR266" t="e">
            <v>#VALUE!</v>
          </cell>
          <cell r="BS266" t="e">
            <v>#VALUE!</v>
          </cell>
          <cell r="BT266" t="e">
            <v>#VALUE!</v>
          </cell>
          <cell r="BU266">
            <v>0</v>
          </cell>
          <cell r="BW266" t="e">
            <v>#VALUE!</v>
          </cell>
          <cell r="BX266" t="e">
            <v>#VALUE!</v>
          </cell>
          <cell r="BY266" t="e">
            <v>#VALUE!</v>
          </cell>
          <cell r="BZ266" t="e">
            <v>#VALUE!</v>
          </cell>
          <cell r="CA266">
            <v>0</v>
          </cell>
          <cell r="CC266" t="e">
            <v>#VALUE!</v>
          </cell>
          <cell r="CD266" t="e">
            <v>#VALUE!</v>
          </cell>
          <cell r="CE266" t="e">
            <v>#VALUE!</v>
          </cell>
          <cell r="CF266" t="e">
            <v>#VALUE!</v>
          </cell>
          <cell r="CG266">
            <v>0</v>
          </cell>
        </row>
        <row r="267">
          <cell r="A267" t="str">
            <v>q/q change</v>
          </cell>
          <cell r="B267"/>
          <cell r="C267"/>
          <cell r="D267"/>
          <cell r="E267"/>
          <cell r="F267"/>
          <cell r="G267"/>
          <cell r="I267"/>
          <cell r="J267"/>
          <cell r="K267"/>
          <cell r="L267"/>
          <cell r="M267"/>
          <cell r="O267"/>
          <cell r="P267"/>
          <cell r="Q267"/>
          <cell r="R267"/>
          <cell r="S267"/>
          <cell r="U267"/>
          <cell r="V267"/>
          <cell r="W267"/>
          <cell r="X267"/>
          <cell r="Y267" t="str">
            <v>NA</v>
          </cell>
          <cell r="AA267" t="str">
            <v>NA</v>
          </cell>
          <cell r="AB267" t="str">
            <v>NA</v>
          </cell>
          <cell r="AC267" t="str">
            <v>NA</v>
          </cell>
          <cell r="AD267" t="str">
            <v>NA</v>
          </cell>
          <cell r="AE267" t="str">
            <v>NA</v>
          </cell>
          <cell r="AG267" t="str">
            <v>NA</v>
          </cell>
          <cell r="AH267" t="str">
            <v>NA</v>
          </cell>
          <cell r="AI267" t="str">
            <v>NA</v>
          </cell>
          <cell r="AJ267" t="str">
            <v>NA</v>
          </cell>
          <cell r="AK267" t="str">
            <v>NA</v>
          </cell>
          <cell r="AL267"/>
          <cell r="AM267" t="str">
            <v>NA</v>
          </cell>
          <cell r="AN267">
            <v>2.6307692307692303</v>
          </cell>
          <cell r="AO267">
            <v>0.93220338983050866</v>
          </cell>
          <cell r="AP267">
            <v>0</v>
          </cell>
          <cell r="AQ267" t="str">
            <v>NA</v>
          </cell>
          <cell r="AS267">
            <v>4.6052631578947345E-2</v>
          </cell>
          <cell r="AT267">
            <v>8.1761006289308158E-2</v>
          </cell>
          <cell r="AU267">
            <v>5.8139534883721034E-3</v>
          </cell>
          <cell r="AV267">
            <v>-3.8535645472062008E-3</v>
          </cell>
          <cell r="AW267" t="str">
            <v>NA</v>
          </cell>
          <cell r="AY267">
            <v>-2.3210831721470093E-2</v>
          </cell>
          <cell r="AZ267">
            <v>1.281188118811881</v>
          </cell>
          <cell r="BA267">
            <v>2.517361111111116E-2</v>
          </cell>
          <cell r="BB267">
            <v>2.5402201524131751E-3</v>
          </cell>
          <cell r="BC267" t="str">
            <v>NA</v>
          </cell>
          <cell r="BE267">
            <v>-1.3513513513513487E-2</v>
          </cell>
          <cell r="BF267">
            <v>-0.30479452054794509</v>
          </cell>
          <cell r="BG267">
            <v>0.39938599259872753</v>
          </cell>
          <cell r="BH267">
            <v>-6.7157665091367225E-2</v>
          </cell>
          <cell r="BI267" t="str">
            <v>NA</v>
          </cell>
          <cell r="BK267">
            <v>-0.44701438099846635</v>
          </cell>
          <cell r="BL267">
            <v>-3.3396875149158123E-2</v>
          </cell>
          <cell r="BM267">
            <v>0.1196816473554303</v>
          </cell>
          <cell r="BN267">
            <v>0.4624963389459078</v>
          </cell>
          <cell r="BO267" t="str">
            <v>NA</v>
          </cell>
          <cell r="BQ267" t="str">
            <v>NA</v>
          </cell>
          <cell r="BR267" t="str">
            <v>NA</v>
          </cell>
          <cell r="BS267" t="str">
            <v>NA</v>
          </cell>
          <cell r="BT267" t="str">
            <v>NA</v>
          </cell>
          <cell r="BU267" t="str">
            <v>NA</v>
          </cell>
          <cell r="BW267" t="str">
            <v>NA</v>
          </cell>
          <cell r="BX267" t="str">
            <v>NA</v>
          </cell>
          <cell r="BY267" t="str">
            <v>NA</v>
          </cell>
          <cell r="BZ267" t="str">
            <v>NA</v>
          </cell>
          <cell r="CA267" t="str">
            <v>NA</v>
          </cell>
          <cell r="CC267" t="str">
            <v>NA</v>
          </cell>
          <cell r="CD267" t="str">
            <v>NA</v>
          </cell>
          <cell r="CE267" t="str">
            <v>NA</v>
          </cell>
          <cell r="CF267" t="str">
            <v>NA</v>
          </cell>
          <cell r="CG267" t="str">
            <v>NA</v>
          </cell>
        </row>
        <row r="268">
          <cell r="A268" t="str">
            <v>y/y change</v>
          </cell>
          <cell r="B268"/>
          <cell r="C268"/>
          <cell r="D268"/>
          <cell r="E268"/>
          <cell r="F268"/>
          <cell r="G268"/>
          <cell r="H268"/>
          <cell r="I268"/>
          <cell r="J268"/>
          <cell r="K268"/>
          <cell r="L268"/>
          <cell r="M268"/>
          <cell r="N268"/>
          <cell r="O268"/>
          <cell r="P268"/>
          <cell r="Q268"/>
          <cell r="R268"/>
          <cell r="S268"/>
          <cell r="T268"/>
          <cell r="U268"/>
          <cell r="V268"/>
          <cell r="W268"/>
          <cell r="X268"/>
          <cell r="Y268" t="str">
            <v>NA</v>
          </cell>
          <cell r="Z268"/>
          <cell r="AA268" t="str">
            <v>NA</v>
          </cell>
          <cell r="AB268" t="str">
            <v>NA</v>
          </cell>
          <cell r="AC268" t="str">
            <v>NA</v>
          </cell>
          <cell r="AD268" t="str">
            <v>NA</v>
          </cell>
          <cell r="AE268" t="str">
            <v>NA</v>
          </cell>
          <cell r="AF268"/>
          <cell r="AG268" t="str">
            <v>NA</v>
          </cell>
          <cell r="AH268" t="str">
            <v>NA</v>
          </cell>
          <cell r="AI268" t="str">
            <v>NA</v>
          </cell>
          <cell r="AJ268" t="str">
            <v>NA</v>
          </cell>
          <cell r="AK268" t="str">
            <v>NA</v>
          </cell>
          <cell r="AL268"/>
          <cell r="AM268" t="str">
            <v>NA</v>
          </cell>
          <cell r="AN268" t="str">
            <v>NA</v>
          </cell>
          <cell r="AO268" t="str">
            <v>NA</v>
          </cell>
          <cell r="AP268" t="str">
            <v>NA</v>
          </cell>
          <cell r="AQ268" t="str">
            <v>NA</v>
          </cell>
          <cell r="AR268"/>
          <cell r="AS268">
            <v>6.3384615384615381</v>
          </cell>
          <cell r="AT268">
            <v>1.1864406779661021</v>
          </cell>
          <cell r="AU268">
            <v>0.13815789473684204</v>
          </cell>
          <cell r="AV268">
            <v>0.13377192982456143</v>
          </cell>
          <cell r="AW268">
            <v>0.67271228359439394</v>
          </cell>
          <cell r="AX268"/>
          <cell r="AY268">
            <v>5.8700209643606005E-2</v>
          </cell>
          <cell r="AZ268">
            <v>1.2325581395348837</v>
          </cell>
          <cell r="BA268">
            <v>1.2755298651252409</v>
          </cell>
          <cell r="BB268">
            <v>1.2901353965183753</v>
          </cell>
          <cell r="BC268">
            <v>0.98225726959093174</v>
          </cell>
          <cell r="BD268"/>
          <cell r="BE268">
            <v>1.3128712871287127</v>
          </cell>
          <cell r="BF268">
            <v>-0.29513888888888884</v>
          </cell>
          <cell r="BG268">
            <v>-0.29805249788314991</v>
          </cell>
          <cell r="BH268">
            <v>-8.0400210266199701E-2</v>
          </cell>
          <cell r="BI268">
            <v>-3.0878629775032529E-2</v>
          </cell>
          <cell r="BJ268"/>
          <cell r="BK268">
            <v>-0.4881644142979451</v>
          </cell>
          <cell r="BL268">
            <v>-0.23442642658288182</v>
          </cell>
          <cell r="BM268">
            <v>-0.13284352728449067</v>
          </cell>
          <cell r="BN268">
            <v>-0.21888935739900006</v>
          </cell>
          <cell r="BO268">
            <v>-0.28451534380209109</v>
          </cell>
          <cell r="BP268"/>
          <cell r="BQ268">
            <v>-1</v>
          </cell>
          <cell r="BR268">
            <v>-1</v>
          </cell>
          <cell r="BS268">
            <v>-1</v>
          </cell>
          <cell r="BT268">
            <v>-1</v>
          </cell>
          <cell r="BU268">
            <v>-1</v>
          </cell>
          <cell r="BV268"/>
          <cell r="BW268" t="str">
            <v>NA</v>
          </cell>
          <cell r="BX268" t="str">
            <v>NA</v>
          </cell>
          <cell r="BY268" t="str">
            <v>NA</v>
          </cell>
          <cell r="BZ268" t="str">
            <v>NA</v>
          </cell>
          <cell r="CA268" t="str">
            <v>NA</v>
          </cell>
          <cell r="CB268"/>
          <cell r="CC268" t="str">
            <v>NA</v>
          </cell>
          <cell r="CD268" t="str">
            <v>NA</v>
          </cell>
          <cell r="CE268" t="str">
            <v>NA</v>
          </cell>
          <cell r="CF268" t="str">
            <v>NA</v>
          </cell>
          <cell r="CG268" t="str">
            <v>NA</v>
          </cell>
        </row>
        <row r="269">
          <cell r="A269" t="str">
            <v>% seasonality</v>
          </cell>
          <cell r="B269"/>
          <cell r="C269"/>
          <cell r="D269"/>
          <cell r="E269"/>
          <cell r="F269"/>
          <cell r="G269"/>
          <cell r="H269"/>
          <cell r="I269"/>
          <cell r="J269"/>
          <cell r="K269"/>
          <cell r="L269"/>
          <cell r="M269"/>
          <cell r="N269"/>
          <cell r="O269"/>
          <cell r="P269"/>
          <cell r="Q269"/>
          <cell r="R269"/>
          <cell r="S269"/>
          <cell r="T269"/>
          <cell r="U269"/>
          <cell r="V269"/>
          <cell r="W269"/>
          <cell r="X269"/>
          <cell r="Y269">
            <v>0</v>
          </cell>
          <cell r="Z269"/>
          <cell r="AA269" t="str">
            <v>NA</v>
          </cell>
          <cell r="AB269" t="str">
            <v>NA</v>
          </cell>
          <cell r="AC269" t="str">
            <v>NA</v>
          </cell>
          <cell r="AD269" t="str">
            <v>NA</v>
          </cell>
          <cell r="AE269">
            <v>0</v>
          </cell>
          <cell r="AF269"/>
          <cell r="AG269" t="str">
            <v>NA</v>
          </cell>
          <cell r="AH269" t="str">
            <v>NA</v>
          </cell>
          <cell r="AI269" t="str">
            <v>NA</v>
          </cell>
          <cell r="AJ269" t="str">
            <v>NA</v>
          </cell>
          <cell r="AK269">
            <v>0</v>
          </cell>
          <cell r="AL269"/>
          <cell r="AM269">
            <v>5.3586150041220117E-2</v>
          </cell>
          <cell r="AN269">
            <v>0.19455894476504532</v>
          </cell>
          <cell r="AO269">
            <v>0.37592745259686727</v>
          </cell>
          <cell r="AP269">
            <v>0.37592745259686727</v>
          </cell>
          <cell r="AQ269">
            <v>1</v>
          </cell>
          <cell r="AR269"/>
          <cell r="AS269">
            <v>0.23509117792015771</v>
          </cell>
          <cell r="AT269">
            <v>0.25431246919664863</v>
          </cell>
          <cell r="AU269">
            <v>0.255791030064071</v>
          </cell>
          <cell r="AV269">
            <v>0.25480532281912271</v>
          </cell>
          <cell r="AW269">
            <v>1</v>
          </cell>
          <cell r="AX269"/>
          <cell r="AY269">
            <v>0.12555942317255098</v>
          </cell>
          <cell r="AZ269">
            <v>0.28642466434609642</v>
          </cell>
          <cell r="BA269">
            <v>0.29363500745897564</v>
          </cell>
          <cell r="BB269">
            <v>0.2943809050223769</v>
          </cell>
          <cell r="BC269">
            <v>1</v>
          </cell>
          <cell r="BD269"/>
          <cell r="BE269">
            <v>0.29965574344606999</v>
          </cell>
          <cell r="BF269">
            <v>0.20832231479298705</v>
          </cell>
          <cell r="BG269">
            <v>0.2126837425657466</v>
          </cell>
          <cell r="BH269">
            <v>0.27933819919519637</v>
          </cell>
          <cell r="BI269">
            <v>1</v>
          </cell>
          <cell r="BJ269"/>
          <cell r="BK269">
            <v>0.21436444740930863</v>
          </cell>
          <cell r="BL269">
            <v>0.22290633010371322</v>
          </cell>
          <cell r="BM269">
            <v>0.25776944677934693</v>
          </cell>
          <cell r="BN269">
            <v>0.30495977570763128</v>
          </cell>
          <cell r="BO269">
            <v>1</v>
          </cell>
          <cell r="BP269"/>
          <cell r="BQ269" t="str">
            <v>NA</v>
          </cell>
          <cell r="BR269" t="str">
            <v>NA</v>
          </cell>
          <cell r="BS269" t="str">
            <v>NA</v>
          </cell>
          <cell r="BT269" t="str">
            <v>NA</v>
          </cell>
          <cell r="BU269">
            <v>0</v>
          </cell>
          <cell r="BV269"/>
          <cell r="BW269" t="str">
            <v>NA</v>
          </cell>
          <cell r="BX269" t="str">
            <v>NA</v>
          </cell>
          <cell r="BY269" t="str">
            <v>NA</v>
          </cell>
          <cell r="BZ269" t="str">
            <v>NA</v>
          </cell>
          <cell r="CA269">
            <v>0</v>
          </cell>
          <cell r="CB269"/>
          <cell r="CC269" t="str">
            <v>NA</v>
          </cell>
          <cell r="CD269" t="str">
            <v>NA</v>
          </cell>
          <cell r="CE269" t="str">
            <v>NA</v>
          </cell>
          <cell r="CF269" t="str">
            <v>NA</v>
          </cell>
          <cell r="CG269">
            <v>0</v>
          </cell>
        </row>
        <row r="270">
          <cell r="A270" t="str">
            <v>% balance check</v>
          </cell>
          <cell r="C270"/>
          <cell r="D270"/>
          <cell r="E270"/>
          <cell r="F270"/>
          <cell r="G270"/>
          <cell r="I270"/>
          <cell r="J270"/>
          <cell r="K270"/>
          <cell r="L270"/>
          <cell r="M270"/>
          <cell r="O270"/>
          <cell r="P270"/>
          <cell r="Q270"/>
          <cell r="R270"/>
          <cell r="S270"/>
          <cell r="U270"/>
          <cell r="V270"/>
          <cell r="W270"/>
          <cell r="X270"/>
          <cell r="Y270">
            <v>0</v>
          </cell>
          <cell r="AA270">
            <v>0</v>
          </cell>
          <cell r="AB270">
            <v>0</v>
          </cell>
          <cell r="AC270">
            <v>0</v>
          </cell>
          <cell r="AD270">
            <v>0</v>
          </cell>
          <cell r="AE270">
            <v>0</v>
          </cell>
          <cell r="AG270">
            <v>0</v>
          </cell>
          <cell r="AH270">
            <v>0</v>
          </cell>
          <cell r="AI270">
            <v>0</v>
          </cell>
          <cell r="AJ270">
            <v>0</v>
          </cell>
          <cell r="AK270">
            <v>0</v>
          </cell>
          <cell r="AM270">
            <v>1</v>
          </cell>
          <cell r="AN270">
            <v>1</v>
          </cell>
          <cell r="AO270">
            <v>1</v>
          </cell>
          <cell r="AP270">
            <v>1</v>
          </cell>
          <cell r="AQ270">
            <v>1</v>
          </cell>
          <cell r="AS270">
            <v>1</v>
          </cell>
          <cell r="AT270">
            <v>1</v>
          </cell>
          <cell r="AU270">
            <v>1</v>
          </cell>
          <cell r="AV270">
            <v>1</v>
          </cell>
          <cell r="AW270">
            <v>1</v>
          </cell>
          <cell r="AY270">
            <v>1</v>
          </cell>
          <cell r="AZ270">
            <v>1</v>
          </cell>
          <cell r="BA270">
            <v>1</v>
          </cell>
          <cell r="BB270">
            <v>1</v>
          </cell>
          <cell r="BC270">
            <v>1</v>
          </cell>
          <cell r="BE270">
            <v>1</v>
          </cell>
          <cell r="BF270">
            <v>1</v>
          </cell>
          <cell r="BG270">
            <v>1</v>
          </cell>
          <cell r="BH270">
            <v>1</v>
          </cell>
          <cell r="BI270">
            <v>0.99999999999999989</v>
          </cell>
          <cell r="BK270">
            <v>1</v>
          </cell>
          <cell r="BL270">
            <v>1</v>
          </cell>
          <cell r="BM270">
            <v>1</v>
          </cell>
          <cell r="BN270">
            <v>1</v>
          </cell>
          <cell r="BO270">
            <v>1</v>
          </cell>
          <cell r="BQ270">
            <v>1</v>
          </cell>
          <cell r="BR270">
            <v>1</v>
          </cell>
          <cell r="BS270">
            <v>1</v>
          </cell>
          <cell r="BT270">
            <v>1</v>
          </cell>
          <cell r="BU270">
            <v>0</v>
          </cell>
          <cell r="BW270">
            <v>1</v>
          </cell>
          <cell r="BX270">
            <v>1</v>
          </cell>
          <cell r="BY270">
            <v>1</v>
          </cell>
          <cell r="BZ270">
            <v>1</v>
          </cell>
          <cell r="CA270">
            <v>0</v>
          </cell>
          <cell r="CC270">
            <v>1</v>
          </cell>
          <cell r="CD270">
            <v>1</v>
          </cell>
          <cell r="CE270">
            <v>1</v>
          </cell>
          <cell r="CF270">
            <v>1</v>
          </cell>
          <cell r="CG270">
            <v>0</v>
          </cell>
        </row>
        <row r="271">
          <cell r="A271" t="str">
            <v>% total revenue</v>
          </cell>
          <cell r="C271"/>
          <cell r="D271"/>
          <cell r="E271"/>
          <cell r="F271"/>
          <cell r="G271"/>
          <cell r="I271"/>
          <cell r="J271"/>
          <cell r="K271"/>
          <cell r="L271"/>
          <cell r="M271"/>
          <cell r="O271"/>
          <cell r="P271"/>
          <cell r="Q271"/>
          <cell r="R271"/>
          <cell r="S271"/>
          <cell r="U271"/>
          <cell r="V271"/>
          <cell r="W271"/>
          <cell r="X271"/>
          <cell r="Y271">
            <v>0</v>
          </cell>
          <cell r="AA271">
            <v>0</v>
          </cell>
          <cell r="AB271">
            <v>0</v>
          </cell>
          <cell r="AC271">
            <v>0</v>
          </cell>
          <cell r="AD271">
            <v>0</v>
          </cell>
          <cell r="AE271">
            <v>0</v>
          </cell>
          <cell r="AG271">
            <v>0</v>
          </cell>
          <cell r="AH271">
            <v>0</v>
          </cell>
          <cell r="AI271">
            <v>0</v>
          </cell>
          <cell r="AJ271">
            <v>0</v>
          </cell>
          <cell r="AK271">
            <v>0</v>
          </cell>
          <cell r="AM271">
            <v>2.277106323349098E-3</v>
          </cell>
          <cell r="AN271">
            <v>7.783897885814176E-3</v>
          </cell>
          <cell r="AO271">
            <v>1.3350900307422047E-2</v>
          </cell>
          <cell r="AP271">
            <v>1.1817145226495284E-2</v>
          </cell>
          <cell r="AQ271">
            <v>9.2168349707842292E-3</v>
          </cell>
          <cell r="AS271">
            <v>9.4776371475689958E-3</v>
          </cell>
          <cell r="AT271">
            <v>1.0019028387247097E-2</v>
          </cell>
          <cell r="AU271">
            <v>8.29219191870776E-3</v>
          </cell>
          <cell r="AV271">
            <v>5.7992148065058886E-3</v>
          </cell>
          <cell r="AW271">
            <v>8.0017352210434971E-3</v>
          </cell>
          <cell r="AY271">
            <v>6.6429886871875827E-3</v>
          </cell>
          <cell r="AZ271">
            <v>1.4041417305559278E-2</v>
          </cell>
          <cell r="BA271">
            <v>1.14219948354401E-2</v>
          </cell>
          <cell r="BB271">
            <v>7.5679130712687764E-3</v>
          </cell>
          <cell r="BC271">
            <v>9.6240817400875794E-3</v>
          </cell>
          <cell r="BE271">
            <v>1.0732236219459528E-2</v>
          </cell>
          <cell r="BF271">
            <v>8.4378539586212626E-3</v>
          </cell>
          <cell r="BG271">
            <v>1.0057688253392235E-2</v>
          </cell>
          <cell r="BH271">
            <v>7.3451602092955382E-3</v>
          </cell>
          <cell r="BI271">
            <v>9.032675697988728E-3</v>
          </cell>
          <cell r="BK271">
            <v>5.0000000000000001E-3</v>
          </cell>
          <cell r="BL271">
            <v>5.0000000000000001E-3</v>
          </cell>
          <cell r="BM271">
            <v>5.0000000000000001E-3</v>
          </cell>
          <cell r="BN271">
            <v>5.0000000000000001E-3</v>
          </cell>
          <cell r="BO271">
            <v>5.0000000000000001E-3</v>
          </cell>
          <cell r="BQ271"/>
          <cell r="BR271"/>
          <cell r="BS271"/>
          <cell r="BT271"/>
          <cell r="BU271">
            <v>0</v>
          </cell>
          <cell r="BW271"/>
          <cell r="BX271"/>
          <cell r="BY271"/>
          <cell r="BZ271"/>
          <cell r="CA271" t="str">
            <v>NA</v>
          </cell>
          <cell r="CC271"/>
          <cell r="CD271"/>
          <cell r="CE271"/>
          <cell r="CF271"/>
          <cell r="CG271" t="str">
            <v>NA</v>
          </cell>
        </row>
        <row r="272">
          <cell r="A272"/>
          <cell r="C272"/>
          <cell r="D272"/>
          <cell r="E272"/>
          <cell r="F272"/>
          <cell r="G272"/>
          <cell r="I272"/>
          <cell r="J272"/>
          <cell r="K272"/>
          <cell r="L272"/>
          <cell r="M272"/>
          <cell r="O272"/>
          <cell r="P272"/>
          <cell r="Q272"/>
          <cell r="R272"/>
          <cell r="S272"/>
          <cell r="U272"/>
          <cell r="V272"/>
          <cell r="W272"/>
          <cell r="X272"/>
          <cell r="Y272"/>
          <cell r="AA272"/>
          <cell r="AB272"/>
          <cell r="AC272"/>
          <cell r="AD272"/>
          <cell r="AE272"/>
          <cell r="AG272"/>
          <cell r="AH272"/>
          <cell r="AI272"/>
          <cell r="AJ272"/>
          <cell r="AK272"/>
          <cell r="AM272"/>
          <cell r="AN272"/>
          <cell r="AO272"/>
          <cell r="AP272"/>
          <cell r="AQ272"/>
          <cell r="AS272"/>
          <cell r="AT272"/>
          <cell r="AU272"/>
          <cell r="AV272"/>
          <cell r="AW272"/>
          <cell r="AY272"/>
          <cell r="AZ272"/>
          <cell r="BA272"/>
          <cell r="BB272"/>
          <cell r="BC272"/>
          <cell r="BE272"/>
          <cell r="BF272"/>
          <cell r="BG272"/>
          <cell r="BH272"/>
          <cell r="BI272"/>
          <cell r="BK272"/>
          <cell r="BL272"/>
          <cell r="BM272"/>
          <cell r="BN272"/>
          <cell r="BO272"/>
          <cell r="BQ272"/>
          <cell r="BR272"/>
          <cell r="BS272"/>
          <cell r="BT272"/>
          <cell r="BU272"/>
          <cell r="BW272"/>
          <cell r="BX272"/>
          <cell r="BY272"/>
          <cell r="BZ272"/>
          <cell r="CA272"/>
          <cell r="CC272"/>
          <cell r="CD272"/>
          <cell r="CE272"/>
          <cell r="CF272"/>
          <cell r="CG272"/>
        </row>
        <row r="273">
          <cell r="A273"/>
          <cell r="C273"/>
          <cell r="D273"/>
          <cell r="E273"/>
          <cell r="F273"/>
          <cell r="G273"/>
          <cell r="I273"/>
          <cell r="J273"/>
          <cell r="K273"/>
          <cell r="L273"/>
          <cell r="M273"/>
          <cell r="O273"/>
          <cell r="P273"/>
          <cell r="Q273"/>
          <cell r="R273"/>
          <cell r="S273"/>
          <cell r="U273"/>
          <cell r="V273"/>
          <cell r="W273"/>
          <cell r="X273"/>
          <cell r="Y273"/>
          <cell r="AA273"/>
          <cell r="AB273"/>
          <cell r="AC273"/>
          <cell r="AD273"/>
          <cell r="AE273"/>
          <cell r="AG273"/>
          <cell r="AH273"/>
          <cell r="AI273"/>
          <cell r="AJ273"/>
          <cell r="AK273"/>
          <cell r="AM273"/>
          <cell r="AN273"/>
          <cell r="AO273"/>
          <cell r="AP273"/>
          <cell r="AQ273"/>
          <cell r="AS273"/>
          <cell r="AT273"/>
          <cell r="AU273"/>
          <cell r="AV273"/>
          <cell r="AW273"/>
          <cell r="AY273"/>
          <cell r="AZ273"/>
          <cell r="BA273"/>
          <cell r="BB273"/>
          <cell r="BC273"/>
          <cell r="BE273"/>
          <cell r="BF273"/>
          <cell r="BG273"/>
          <cell r="BH273"/>
          <cell r="BI273"/>
          <cell r="BK273"/>
          <cell r="BL273"/>
          <cell r="BM273"/>
          <cell r="BN273"/>
          <cell r="BO273"/>
          <cell r="BQ273"/>
          <cell r="BR273"/>
          <cell r="BS273"/>
          <cell r="BT273"/>
          <cell r="BU273"/>
          <cell r="BW273"/>
          <cell r="BX273"/>
          <cell r="BY273"/>
          <cell r="BZ273"/>
          <cell r="CA273"/>
          <cell r="CC273"/>
          <cell r="CD273"/>
          <cell r="CE273"/>
          <cell r="CF273"/>
          <cell r="CG273"/>
        </row>
        <row r="274">
          <cell r="A274" t="str">
            <v>ACQUISITION RELATED EXPENSES</v>
          </cell>
          <cell r="C274"/>
          <cell r="D274"/>
          <cell r="E274"/>
          <cell r="F274"/>
          <cell r="G274"/>
          <cell r="I274"/>
          <cell r="J274"/>
          <cell r="K274"/>
          <cell r="L274"/>
          <cell r="M274"/>
          <cell r="O274"/>
          <cell r="P274"/>
          <cell r="Q274"/>
          <cell r="R274"/>
          <cell r="S274"/>
          <cell r="U274"/>
          <cell r="V274"/>
          <cell r="W274"/>
          <cell r="X274"/>
          <cell r="Y274"/>
          <cell r="AA274"/>
          <cell r="AB274"/>
          <cell r="AC274"/>
          <cell r="AD274"/>
          <cell r="AE274"/>
          <cell r="AG274"/>
          <cell r="AH274"/>
          <cell r="AI274"/>
          <cell r="AJ274"/>
          <cell r="AK274"/>
          <cell r="AM274"/>
          <cell r="AN274"/>
          <cell r="AO274"/>
          <cell r="AP274"/>
          <cell r="AQ274"/>
          <cell r="AS274"/>
          <cell r="AT274"/>
          <cell r="AU274"/>
          <cell r="AV274"/>
          <cell r="AW274"/>
          <cell r="AY274"/>
          <cell r="AZ274"/>
          <cell r="BA274"/>
          <cell r="BB274"/>
          <cell r="BC274"/>
          <cell r="BE274"/>
          <cell r="BF274"/>
          <cell r="BG274"/>
          <cell r="BH274"/>
          <cell r="BI274"/>
          <cell r="BK274"/>
          <cell r="BL274"/>
          <cell r="BM274"/>
          <cell r="BN274"/>
          <cell r="BO274"/>
          <cell r="BQ274"/>
          <cell r="BR274"/>
          <cell r="BS274"/>
          <cell r="BT274"/>
          <cell r="BU274"/>
          <cell r="BW274"/>
          <cell r="BX274"/>
          <cell r="BY274"/>
          <cell r="BZ274"/>
          <cell r="CA274"/>
          <cell r="CC274"/>
          <cell r="CD274"/>
          <cell r="CE274"/>
          <cell r="CF274"/>
          <cell r="CG274"/>
        </row>
        <row r="275">
          <cell r="A275"/>
          <cell r="C275"/>
          <cell r="D275"/>
          <cell r="E275"/>
          <cell r="F275"/>
          <cell r="G275"/>
          <cell r="I275"/>
          <cell r="J275"/>
          <cell r="K275"/>
          <cell r="L275"/>
          <cell r="M275"/>
          <cell r="O275"/>
          <cell r="P275"/>
          <cell r="Q275"/>
          <cell r="R275"/>
          <cell r="S275"/>
          <cell r="U275"/>
          <cell r="V275"/>
          <cell r="W275"/>
          <cell r="X275"/>
          <cell r="Y275"/>
          <cell r="AA275"/>
          <cell r="AB275"/>
          <cell r="AC275"/>
          <cell r="AD275"/>
          <cell r="AE275"/>
          <cell r="AG275"/>
          <cell r="AH275"/>
          <cell r="AI275"/>
          <cell r="AJ275"/>
          <cell r="AK275"/>
          <cell r="AM275"/>
          <cell r="AN275"/>
          <cell r="AO275"/>
          <cell r="AP275"/>
          <cell r="AQ275"/>
          <cell r="AS275"/>
          <cell r="AT275"/>
          <cell r="AU275"/>
          <cell r="AV275"/>
          <cell r="AW275"/>
          <cell r="AY275"/>
          <cell r="AZ275"/>
          <cell r="BA275"/>
          <cell r="BB275"/>
          <cell r="BC275"/>
          <cell r="BE275"/>
          <cell r="BF275"/>
          <cell r="BG275"/>
          <cell r="BH275"/>
          <cell r="BI275"/>
          <cell r="BK275"/>
          <cell r="BL275"/>
          <cell r="BM275"/>
          <cell r="BN275"/>
          <cell r="BO275"/>
          <cell r="BQ275"/>
          <cell r="BR275"/>
          <cell r="BS275"/>
          <cell r="BT275"/>
          <cell r="BU275"/>
          <cell r="BW275"/>
          <cell r="BX275"/>
          <cell r="BY275"/>
          <cell r="BZ275"/>
          <cell r="CA275"/>
          <cell r="CC275"/>
          <cell r="CD275"/>
          <cell r="CE275"/>
          <cell r="CF275"/>
          <cell r="CG275"/>
        </row>
        <row r="276">
          <cell r="A276" t="str">
            <v>Cost of license revenue</v>
          </cell>
          <cell r="B276"/>
          <cell r="C276"/>
          <cell r="D276"/>
          <cell r="E276"/>
          <cell r="F276"/>
          <cell r="G276"/>
          <cell r="H276"/>
          <cell r="I276"/>
          <cell r="J276"/>
          <cell r="K276"/>
          <cell r="L276"/>
          <cell r="M276"/>
          <cell r="N276"/>
          <cell r="O276"/>
          <cell r="P276"/>
          <cell r="Q276"/>
          <cell r="R276"/>
          <cell r="S276"/>
          <cell r="T276"/>
          <cell r="U276"/>
          <cell r="V276"/>
          <cell r="W276"/>
          <cell r="X276"/>
          <cell r="Y276">
            <v>0</v>
          </cell>
          <cell r="Z276"/>
          <cell r="AA276">
            <v>0</v>
          </cell>
          <cell r="AB276">
            <v>0</v>
          </cell>
          <cell r="AC276">
            <v>0</v>
          </cell>
          <cell r="AD276">
            <v>0</v>
          </cell>
          <cell r="AE276">
            <v>0</v>
          </cell>
          <cell r="AF276"/>
          <cell r="AG276">
            <v>0</v>
          </cell>
          <cell r="AH276">
            <v>0</v>
          </cell>
          <cell r="AI276">
            <v>0</v>
          </cell>
          <cell r="AJ276">
            <v>0</v>
          </cell>
          <cell r="AK276">
            <v>0</v>
          </cell>
          <cell r="AL276"/>
          <cell r="AM276">
            <v>0</v>
          </cell>
          <cell r="AN276">
            <v>0</v>
          </cell>
          <cell r="AO276">
            <v>0</v>
          </cell>
          <cell r="AP276">
            <v>0</v>
          </cell>
          <cell r="AQ276">
            <v>0</v>
          </cell>
          <cell r="AR276"/>
          <cell r="AS276">
            <v>0</v>
          </cell>
          <cell r="AT276">
            <v>0</v>
          </cell>
          <cell r="AU276">
            <v>0</v>
          </cell>
          <cell r="AV276">
            <v>0</v>
          </cell>
          <cell r="AW276">
            <v>0</v>
          </cell>
          <cell r="AX276"/>
          <cell r="AY276">
            <v>0</v>
          </cell>
          <cell r="AZ276">
            <v>0</v>
          </cell>
          <cell r="BA276">
            <v>0</v>
          </cell>
          <cell r="BB276">
            <v>0</v>
          </cell>
          <cell r="BC276">
            <v>0</v>
          </cell>
          <cell r="BD276"/>
          <cell r="BE276">
            <v>0</v>
          </cell>
          <cell r="BF276">
            <v>0</v>
          </cell>
          <cell r="BG276">
            <v>0</v>
          </cell>
          <cell r="BH276">
            <v>0</v>
          </cell>
          <cell r="BI276">
            <v>0</v>
          </cell>
          <cell r="BJ276"/>
          <cell r="BK276">
            <v>0</v>
          </cell>
          <cell r="BL276">
            <v>0</v>
          </cell>
          <cell r="BM276">
            <v>0</v>
          </cell>
          <cell r="BN276">
            <v>0</v>
          </cell>
          <cell r="BO276">
            <v>0</v>
          </cell>
          <cell r="BP276"/>
          <cell r="BQ276">
            <v>0</v>
          </cell>
          <cell r="BR276">
            <v>0</v>
          </cell>
          <cell r="BS276">
            <v>0</v>
          </cell>
          <cell r="BT276">
            <v>0</v>
          </cell>
          <cell r="BU276">
            <v>0</v>
          </cell>
          <cell r="BV276"/>
          <cell r="BW276" t="str">
            <v>NA</v>
          </cell>
          <cell r="BX276" t="str">
            <v>NA</v>
          </cell>
          <cell r="BY276" t="str">
            <v>NA</v>
          </cell>
          <cell r="BZ276" t="str">
            <v>NA</v>
          </cell>
          <cell r="CA276">
            <v>0</v>
          </cell>
          <cell r="CB276"/>
          <cell r="CC276" t="str">
            <v>NA</v>
          </cell>
          <cell r="CD276" t="str">
            <v>NA</v>
          </cell>
          <cell r="CE276" t="str">
            <v>NA</v>
          </cell>
          <cell r="CF276" t="str">
            <v>NA</v>
          </cell>
          <cell r="CG276">
            <v>0</v>
          </cell>
          <cell r="CH276"/>
        </row>
        <row r="277">
          <cell r="A277" t="str">
            <v>% total</v>
          </cell>
          <cell r="C277"/>
          <cell r="D277"/>
          <cell r="E277"/>
          <cell r="F277"/>
          <cell r="G277"/>
          <cell r="I277"/>
          <cell r="J277"/>
          <cell r="K277"/>
          <cell r="L277"/>
          <cell r="M277"/>
          <cell r="O277"/>
          <cell r="P277"/>
          <cell r="Q277"/>
          <cell r="R277"/>
          <cell r="S277"/>
          <cell r="U277"/>
          <cell r="V277"/>
          <cell r="W277"/>
          <cell r="X277"/>
          <cell r="Y277" t="str">
            <v>NA</v>
          </cell>
          <cell r="AA277" t="str">
            <v>NA</v>
          </cell>
          <cell r="AB277" t="str">
            <v>NA</v>
          </cell>
          <cell r="AC277" t="str">
            <v>NA</v>
          </cell>
          <cell r="AD277" t="str">
            <v>NA</v>
          </cell>
          <cell r="AE277" t="str">
            <v>NA</v>
          </cell>
          <cell r="AG277" t="str">
            <v>NA</v>
          </cell>
          <cell r="AH277" t="str">
            <v>NA</v>
          </cell>
          <cell r="AI277" t="str">
            <v>NA</v>
          </cell>
          <cell r="AJ277" t="str">
            <v>NA</v>
          </cell>
          <cell r="AK277" t="str">
            <v>NA</v>
          </cell>
          <cell r="AM277" t="str">
            <v>NA</v>
          </cell>
          <cell r="AN277" t="str">
            <v>NA</v>
          </cell>
          <cell r="AO277" t="str">
            <v>NA</v>
          </cell>
          <cell r="AP277" t="str">
            <v>NA</v>
          </cell>
          <cell r="AQ277" t="str">
            <v>NA</v>
          </cell>
          <cell r="AS277" t="str">
            <v>NA</v>
          </cell>
          <cell r="AT277" t="str">
            <v>NA</v>
          </cell>
          <cell r="AU277" t="str">
            <v>NA</v>
          </cell>
          <cell r="AV277" t="str">
            <v>NA</v>
          </cell>
          <cell r="AW277" t="str">
            <v>NA</v>
          </cell>
          <cell r="AY277" t="str">
            <v>NA</v>
          </cell>
          <cell r="AZ277" t="str">
            <v>NA</v>
          </cell>
          <cell r="BA277" t="str">
            <v>NA</v>
          </cell>
          <cell r="BB277">
            <v>0</v>
          </cell>
          <cell r="BC277">
            <v>0</v>
          </cell>
          <cell r="BE277" t="str">
            <v>NA</v>
          </cell>
          <cell r="BF277" t="str">
            <v>NA</v>
          </cell>
          <cell r="BG277">
            <v>0</v>
          </cell>
          <cell r="BH277">
            <v>0</v>
          </cell>
          <cell r="BI277" t="str">
            <v>NA</v>
          </cell>
          <cell r="BK277">
            <v>0</v>
          </cell>
          <cell r="BL277">
            <v>0</v>
          </cell>
          <cell r="BM277">
            <v>0</v>
          </cell>
          <cell r="BN277">
            <v>0</v>
          </cell>
          <cell r="BO277" t="str">
            <v>NA</v>
          </cell>
          <cell r="BQ277">
            <v>0</v>
          </cell>
          <cell r="BR277">
            <v>0</v>
          </cell>
          <cell r="BS277">
            <v>0</v>
          </cell>
          <cell r="BT277">
            <v>0</v>
          </cell>
          <cell r="BU277" t="str">
            <v>NA</v>
          </cell>
          <cell r="BW277">
            <v>0</v>
          </cell>
          <cell r="BX277">
            <v>0</v>
          </cell>
          <cell r="BY277">
            <v>0</v>
          </cell>
          <cell r="BZ277">
            <v>0</v>
          </cell>
          <cell r="CA277" t="str">
            <v>NA</v>
          </cell>
          <cell r="CC277">
            <v>0</v>
          </cell>
          <cell r="CD277">
            <v>0</v>
          </cell>
          <cell r="CE277">
            <v>0</v>
          </cell>
          <cell r="CF277">
            <v>0</v>
          </cell>
          <cell r="CG277" t="str">
            <v>NA</v>
          </cell>
        </row>
        <row r="278">
          <cell r="A278"/>
          <cell r="C278"/>
          <cell r="D278"/>
          <cell r="E278"/>
          <cell r="F278"/>
          <cell r="G278"/>
          <cell r="I278"/>
          <cell r="J278"/>
          <cell r="K278"/>
          <cell r="L278"/>
          <cell r="M278"/>
          <cell r="O278"/>
          <cell r="P278"/>
          <cell r="Q278"/>
          <cell r="R278"/>
          <cell r="S278"/>
          <cell r="U278"/>
          <cell r="V278"/>
          <cell r="W278"/>
          <cell r="X278"/>
          <cell r="Y278"/>
          <cell r="AA278"/>
          <cell r="AB278"/>
          <cell r="AC278"/>
          <cell r="AD278"/>
          <cell r="AE278"/>
          <cell r="AG278"/>
          <cell r="AH278"/>
          <cell r="AI278"/>
          <cell r="AJ278"/>
          <cell r="AK278"/>
          <cell r="AM278"/>
          <cell r="AN278"/>
          <cell r="AO278"/>
          <cell r="AP278"/>
          <cell r="AQ278"/>
          <cell r="AS278"/>
          <cell r="AT278"/>
          <cell r="AU278"/>
          <cell r="AV278"/>
          <cell r="AW278"/>
          <cell r="AY278"/>
          <cell r="AZ278"/>
          <cell r="BA278"/>
          <cell r="BB278"/>
          <cell r="BC278"/>
          <cell r="BE278"/>
          <cell r="BF278"/>
          <cell r="BG278"/>
          <cell r="BH278"/>
          <cell r="BI278"/>
          <cell r="BK278"/>
          <cell r="BL278"/>
          <cell r="BM278"/>
          <cell r="BN278"/>
          <cell r="BO278"/>
          <cell r="BQ278"/>
          <cell r="BR278"/>
          <cell r="BS278"/>
          <cell r="BT278"/>
          <cell r="BU278"/>
          <cell r="BW278"/>
          <cell r="BX278"/>
          <cell r="BY278"/>
          <cell r="BZ278"/>
          <cell r="CA278"/>
          <cell r="CC278"/>
          <cell r="CD278"/>
          <cell r="CE278"/>
          <cell r="CF278"/>
          <cell r="CG278"/>
        </row>
        <row r="279">
          <cell r="A279" t="str">
            <v>Cost of maintenance and services revenue</v>
          </cell>
          <cell r="B279"/>
          <cell r="C279"/>
          <cell r="D279"/>
          <cell r="E279"/>
          <cell r="F279"/>
          <cell r="G279"/>
          <cell r="H279"/>
          <cell r="I279"/>
          <cell r="J279"/>
          <cell r="K279"/>
          <cell r="L279"/>
          <cell r="M279"/>
          <cell r="N279"/>
          <cell r="O279"/>
          <cell r="P279"/>
          <cell r="Q279"/>
          <cell r="R279"/>
          <cell r="S279"/>
          <cell r="T279"/>
          <cell r="U279"/>
          <cell r="V279"/>
          <cell r="W279"/>
          <cell r="X279"/>
          <cell r="Y279">
            <v>0</v>
          </cell>
          <cell r="Z279"/>
          <cell r="AA279">
            <v>0</v>
          </cell>
          <cell r="AB279">
            <v>0</v>
          </cell>
          <cell r="AC279">
            <v>0</v>
          </cell>
          <cell r="AD279">
            <v>0</v>
          </cell>
          <cell r="AE279">
            <v>0</v>
          </cell>
          <cell r="AF279"/>
          <cell r="AG279">
            <v>0</v>
          </cell>
          <cell r="AH279">
            <v>0</v>
          </cell>
          <cell r="AI279">
            <v>0</v>
          </cell>
          <cell r="AJ279">
            <v>0</v>
          </cell>
          <cell r="AK279">
            <v>0</v>
          </cell>
          <cell r="AL279"/>
          <cell r="AM279">
            <v>0</v>
          </cell>
          <cell r="AN279">
            <v>0</v>
          </cell>
          <cell r="AO279">
            <v>0</v>
          </cell>
          <cell r="AP279">
            <v>0</v>
          </cell>
          <cell r="AQ279">
            <v>0</v>
          </cell>
          <cell r="AR279"/>
          <cell r="AS279">
            <v>0</v>
          </cell>
          <cell r="AT279">
            <v>0</v>
          </cell>
          <cell r="AU279">
            <v>0</v>
          </cell>
          <cell r="AV279">
            <v>0</v>
          </cell>
          <cell r="AW279">
            <v>0</v>
          </cell>
          <cell r="AX279"/>
          <cell r="AY279">
            <v>0</v>
          </cell>
          <cell r="AZ279">
            <v>0</v>
          </cell>
          <cell r="BA279">
            <v>0</v>
          </cell>
          <cell r="BB279">
            <v>0</v>
          </cell>
          <cell r="BC279">
            <v>0</v>
          </cell>
          <cell r="BD279"/>
          <cell r="BE279">
            <v>0</v>
          </cell>
          <cell r="BF279">
            <v>0</v>
          </cell>
          <cell r="BG279">
            <v>0</v>
          </cell>
          <cell r="BH279">
            <v>0</v>
          </cell>
          <cell r="BI279">
            <v>0</v>
          </cell>
          <cell r="BJ279"/>
          <cell r="BK279">
            <v>0</v>
          </cell>
          <cell r="BL279">
            <v>0</v>
          </cell>
          <cell r="BM279">
            <v>0</v>
          </cell>
          <cell r="BN279">
            <v>0</v>
          </cell>
          <cell r="BO279">
            <v>0</v>
          </cell>
          <cell r="BP279"/>
          <cell r="BQ279">
            <v>0</v>
          </cell>
          <cell r="BR279">
            <v>0</v>
          </cell>
          <cell r="BS279">
            <v>0</v>
          </cell>
          <cell r="BT279">
            <v>0</v>
          </cell>
          <cell r="BU279">
            <v>0</v>
          </cell>
          <cell r="BV279"/>
          <cell r="BW279" t="str">
            <v>NA</v>
          </cell>
          <cell r="BX279" t="str">
            <v>NA</v>
          </cell>
          <cell r="BY279" t="str">
            <v>NA</v>
          </cell>
          <cell r="BZ279" t="str">
            <v>NA</v>
          </cell>
          <cell r="CA279">
            <v>0</v>
          </cell>
          <cell r="CB279"/>
          <cell r="CC279" t="str">
            <v>NA</v>
          </cell>
          <cell r="CD279" t="str">
            <v>NA</v>
          </cell>
          <cell r="CE279" t="str">
            <v>NA</v>
          </cell>
          <cell r="CF279" t="str">
            <v>NA</v>
          </cell>
          <cell r="CG279">
            <v>0</v>
          </cell>
          <cell r="CH279"/>
        </row>
        <row r="280">
          <cell r="A280" t="str">
            <v>% total</v>
          </cell>
          <cell r="C280"/>
          <cell r="D280"/>
          <cell r="E280"/>
          <cell r="F280"/>
          <cell r="G280"/>
          <cell r="I280"/>
          <cell r="J280"/>
          <cell r="K280"/>
          <cell r="L280"/>
          <cell r="M280"/>
          <cell r="O280"/>
          <cell r="P280"/>
          <cell r="Q280"/>
          <cell r="R280"/>
          <cell r="S280"/>
          <cell r="U280"/>
          <cell r="V280"/>
          <cell r="W280"/>
          <cell r="X280"/>
          <cell r="Y280" t="str">
            <v>NA</v>
          </cell>
          <cell r="AA280" t="str">
            <v>NA</v>
          </cell>
          <cell r="AB280" t="str">
            <v>NA</v>
          </cell>
          <cell r="AC280" t="str">
            <v>NA</v>
          </cell>
          <cell r="AD280" t="str">
            <v>NA</v>
          </cell>
          <cell r="AE280" t="str">
            <v>NA</v>
          </cell>
          <cell r="AG280" t="str">
            <v>NA</v>
          </cell>
          <cell r="AH280" t="str">
            <v>NA</v>
          </cell>
          <cell r="AI280" t="str">
            <v>NA</v>
          </cell>
          <cell r="AJ280" t="str">
            <v>NA</v>
          </cell>
          <cell r="AK280" t="str">
            <v>NA</v>
          </cell>
          <cell r="AM280" t="str">
            <v>NA</v>
          </cell>
          <cell r="AN280" t="str">
            <v>NA</v>
          </cell>
          <cell r="AO280" t="str">
            <v>NA</v>
          </cell>
          <cell r="AP280" t="str">
            <v>NA</v>
          </cell>
          <cell r="AQ280" t="str">
            <v>NA</v>
          </cell>
          <cell r="AS280" t="str">
            <v>NA</v>
          </cell>
          <cell r="AT280" t="str">
            <v>NA</v>
          </cell>
          <cell r="AU280" t="str">
            <v>NA</v>
          </cell>
          <cell r="AV280" t="str">
            <v>NA</v>
          </cell>
          <cell r="AW280" t="str">
            <v>NA</v>
          </cell>
          <cell r="AY280" t="str">
            <v>NA</v>
          </cell>
          <cell r="AZ280" t="str">
            <v>NA</v>
          </cell>
          <cell r="BA280" t="str">
            <v>NA</v>
          </cell>
          <cell r="BB280">
            <v>0</v>
          </cell>
          <cell r="BC280">
            <v>0</v>
          </cell>
          <cell r="BE280" t="str">
            <v>NA</v>
          </cell>
          <cell r="BF280" t="str">
            <v>NA</v>
          </cell>
          <cell r="BG280">
            <v>0</v>
          </cell>
          <cell r="BH280">
            <v>0</v>
          </cell>
          <cell r="BI280" t="str">
            <v>NA</v>
          </cell>
          <cell r="BK280">
            <v>0</v>
          </cell>
          <cell r="BL280">
            <v>0</v>
          </cell>
          <cell r="BM280">
            <v>0</v>
          </cell>
          <cell r="BN280">
            <v>0</v>
          </cell>
          <cell r="BO280" t="str">
            <v>NA</v>
          </cell>
          <cell r="BQ280">
            <v>0</v>
          </cell>
          <cell r="BR280">
            <v>0</v>
          </cell>
          <cell r="BS280">
            <v>0</v>
          </cell>
          <cell r="BT280">
            <v>0</v>
          </cell>
          <cell r="BU280" t="str">
            <v>NA</v>
          </cell>
          <cell r="BW280">
            <v>0</v>
          </cell>
          <cell r="BX280">
            <v>0</v>
          </cell>
          <cell r="BY280">
            <v>0</v>
          </cell>
          <cell r="BZ280">
            <v>0</v>
          </cell>
          <cell r="CA280" t="str">
            <v>NA</v>
          </cell>
          <cell r="CC280">
            <v>0</v>
          </cell>
          <cell r="CD280">
            <v>0</v>
          </cell>
          <cell r="CE280">
            <v>0</v>
          </cell>
          <cell r="CF280">
            <v>0</v>
          </cell>
          <cell r="CG280" t="str">
            <v>NA</v>
          </cell>
        </row>
        <row r="281">
          <cell r="A281"/>
          <cell r="C281"/>
          <cell r="D281"/>
          <cell r="E281"/>
          <cell r="F281"/>
          <cell r="G281"/>
          <cell r="I281"/>
          <cell r="J281"/>
          <cell r="K281"/>
          <cell r="L281"/>
          <cell r="M281"/>
          <cell r="O281"/>
          <cell r="P281"/>
          <cell r="Q281"/>
          <cell r="R281"/>
          <cell r="S281"/>
          <cell r="U281"/>
          <cell r="V281"/>
          <cell r="W281"/>
          <cell r="X281"/>
          <cell r="Y281"/>
          <cell r="AA281"/>
          <cell r="AB281"/>
          <cell r="AC281"/>
          <cell r="AD281"/>
          <cell r="AE281"/>
          <cell r="AG281"/>
          <cell r="AH281"/>
          <cell r="AI281"/>
          <cell r="AJ281"/>
          <cell r="AK281"/>
          <cell r="AM281"/>
          <cell r="AN281"/>
          <cell r="AO281"/>
          <cell r="AP281"/>
          <cell r="AQ281"/>
          <cell r="AS281"/>
          <cell r="AT281"/>
          <cell r="AU281"/>
          <cell r="AV281"/>
          <cell r="AW281"/>
          <cell r="AY281"/>
          <cell r="AZ281"/>
          <cell r="BA281"/>
          <cell r="BB281"/>
          <cell r="BC281"/>
          <cell r="BE281"/>
          <cell r="BF281"/>
          <cell r="BG281"/>
          <cell r="BH281"/>
          <cell r="BI281"/>
          <cell r="BK281"/>
          <cell r="BL281"/>
          <cell r="BM281"/>
          <cell r="BN281"/>
          <cell r="BO281"/>
          <cell r="BQ281"/>
          <cell r="BR281"/>
          <cell r="BS281"/>
          <cell r="BT281"/>
          <cell r="BU281"/>
          <cell r="BW281"/>
          <cell r="BX281"/>
          <cell r="BY281"/>
          <cell r="BZ281"/>
          <cell r="CA281"/>
          <cell r="CC281"/>
          <cell r="CD281"/>
          <cell r="CE281"/>
          <cell r="CF281"/>
          <cell r="CG281"/>
        </row>
        <row r="282">
          <cell r="A282" t="str">
            <v>Total cost of revenue</v>
          </cell>
          <cell r="B282"/>
          <cell r="C282"/>
          <cell r="D282"/>
          <cell r="E282"/>
          <cell r="F282"/>
          <cell r="G282"/>
          <cell r="H282"/>
          <cell r="I282"/>
          <cell r="J282"/>
          <cell r="K282"/>
          <cell r="L282"/>
          <cell r="M282"/>
          <cell r="N282"/>
          <cell r="O282"/>
          <cell r="P282"/>
          <cell r="Q282"/>
          <cell r="R282"/>
          <cell r="S282"/>
          <cell r="T282"/>
          <cell r="U282"/>
          <cell r="V282"/>
          <cell r="W282"/>
          <cell r="X282"/>
          <cell r="Y282">
            <v>0</v>
          </cell>
          <cell r="Z282"/>
          <cell r="AA282">
            <v>0</v>
          </cell>
          <cell r="AB282">
            <v>0</v>
          </cell>
          <cell r="AC282">
            <v>0</v>
          </cell>
          <cell r="AD282">
            <v>0</v>
          </cell>
          <cell r="AE282">
            <v>0</v>
          </cell>
          <cell r="AF282"/>
          <cell r="AG282">
            <v>0</v>
          </cell>
          <cell r="AH282">
            <v>0</v>
          </cell>
          <cell r="AI282">
            <v>0</v>
          </cell>
          <cell r="AJ282">
            <v>0</v>
          </cell>
          <cell r="AK282">
            <v>0</v>
          </cell>
          <cell r="AL282"/>
          <cell r="AM282">
            <v>0</v>
          </cell>
          <cell r="AN282">
            <v>0</v>
          </cell>
          <cell r="AO282">
            <v>0</v>
          </cell>
          <cell r="AP282">
            <v>0</v>
          </cell>
          <cell r="AQ282">
            <v>0</v>
          </cell>
          <cell r="AR282"/>
          <cell r="AS282">
            <v>0</v>
          </cell>
          <cell r="AT282">
            <v>0</v>
          </cell>
          <cell r="AU282">
            <v>0</v>
          </cell>
          <cell r="AV282">
            <v>0</v>
          </cell>
          <cell r="AW282">
            <v>0</v>
          </cell>
          <cell r="AX282"/>
          <cell r="AY282">
            <v>0</v>
          </cell>
          <cell r="AZ282">
            <v>0</v>
          </cell>
          <cell r="BA282">
            <v>0</v>
          </cell>
          <cell r="BB282">
            <v>0</v>
          </cell>
          <cell r="BC282">
            <v>0</v>
          </cell>
          <cell r="BD282"/>
          <cell r="BE282">
            <v>0</v>
          </cell>
          <cell r="BF282">
            <v>0</v>
          </cell>
          <cell r="BG282">
            <v>0</v>
          </cell>
          <cell r="BH282">
            <v>0</v>
          </cell>
          <cell r="BI282">
            <v>0</v>
          </cell>
          <cell r="BJ282"/>
          <cell r="BK282">
            <v>0</v>
          </cell>
          <cell r="BL282">
            <v>0</v>
          </cell>
          <cell r="BM282">
            <v>0</v>
          </cell>
          <cell r="BN282">
            <v>0</v>
          </cell>
          <cell r="BO282">
            <v>0</v>
          </cell>
          <cell r="BP282"/>
          <cell r="BQ282">
            <v>0</v>
          </cell>
          <cell r="BR282">
            <v>0</v>
          </cell>
          <cell r="BS282">
            <v>0</v>
          </cell>
          <cell r="BT282">
            <v>0</v>
          </cell>
          <cell r="BU282">
            <v>0</v>
          </cell>
          <cell r="BV282"/>
          <cell r="BW282" t="str">
            <v>NA</v>
          </cell>
          <cell r="BX282" t="str">
            <v>NA</v>
          </cell>
          <cell r="BY282" t="str">
            <v>NA</v>
          </cell>
          <cell r="BZ282" t="str">
            <v>NA</v>
          </cell>
          <cell r="CA282">
            <v>0</v>
          </cell>
          <cell r="CB282"/>
          <cell r="CC282" t="str">
            <v>NA</v>
          </cell>
          <cell r="CD282" t="str">
            <v>NA</v>
          </cell>
          <cell r="CE282" t="str">
            <v>NA</v>
          </cell>
          <cell r="CF282" t="str">
            <v>NA</v>
          </cell>
          <cell r="CG282">
            <v>0</v>
          </cell>
          <cell r="CH282"/>
        </row>
        <row r="283">
          <cell r="A283" t="str">
            <v>% total</v>
          </cell>
          <cell r="C283"/>
          <cell r="D283"/>
          <cell r="E283"/>
          <cell r="F283"/>
          <cell r="G283"/>
          <cell r="I283"/>
          <cell r="J283"/>
          <cell r="K283"/>
          <cell r="L283"/>
          <cell r="M283"/>
          <cell r="O283"/>
          <cell r="P283"/>
          <cell r="Q283"/>
          <cell r="R283"/>
          <cell r="S283"/>
          <cell r="U283"/>
          <cell r="V283"/>
          <cell r="W283"/>
          <cell r="X283"/>
          <cell r="Y283" t="str">
            <v>NA</v>
          </cell>
          <cell r="AA283" t="str">
            <v>NA</v>
          </cell>
          <cell r="AB283" t="str">
            <v>NA</v>
          </cell>
          <cell r="AC283" t="str">
            <v>NA</v>
          </cell>
          <cell r="AD283" t="str">
            <v>NA</v>
          </cell>
          <cell r="AE283" t="str">
            <v>NA</v>
          </cell>
          <cell r="AG283" t="str">
            <v>NA</v>
          </cell>
          <cell r="AH283" t="str">
            <v>NA</v>
          </cell>
          <cell r="AI283" t="str">
            <v>NA</v>
          </cell>
          <cell r="AJ283" t="str">
            <v>NA</v>
          </cell>
          <cell r="AK283" t="str">
            <v>NA</v>
          </cell>
          <cell r="AM283" t="str">
            <v>NA</v>
          </cell>
          <cell r="AN283" t="str">
            <v>NA</v>
          </cell>
          <cell r="AO283" t="str">
            <v>NA</v>
          </cell>
          <cell r="AP283" t="str">
            <v>NA</v>
          </cell>
          <cell r="AQ283" t="str">
            <v>NA</v>
          </cell>
          <cell r="AS283" t="str">
            <v>NA</v>
          </cell>
          <cell r="AT283" t="str">
            <v>NA</v>
          </cell>
          <cell r="AU283" t="str">
            <v>NA</v>
          </cell>
          <cell r="AV283" t="str">
            <v>NA</v>
          </cell>
          <cell r="AW283" t="str">
            <v>NA</v>
          </cell>
          <cell r="AY283" t="str">
            <v>NA</v>
          </cell>
          <cell r="AZ283" t="str">
            <v>NA</v>
          </cell>
          <cell r="BA283" t="str">
            <v>NA</v>
          </cell>
          <cell r="BB283">
            <v>0</v>
          </cell>
          <cell r="BC283">
            <v>0</v>
          </cell>
          <cell r="BE283" t="str">
            <v>NA</v>
          </cell>
          <cell r="BF283" t="str">
            <v>NA</v>
          </cell>
          <cell r="BG283">
            <v>0</v>
          </cell>
          <cell r="BH283">
            <v>0</v>
          </cell>
          <cell r="BI283" t="str">
            <v>NA</v>
          </cell>
          <cell r="BK283">
            <v>0</v>
          </cell>
          <cell r="BL283">
            <v>0</v>
          </cell>
          <cell r="BM283">
            <v>0</v>
          </cell>
          <cell r="BN283">
            <v>0</v>
          </cell>
          <cell r="BO283" t="str">
            <v>NA</v>
          </cell>
          <cell r="BQ283">
            <v>0</v>
          </cell>
          <cell r="BR283">
            <v>0</v>
          </cell>
          <cell r="BS283">
            <v>0</v>
          </cell>
          <cell r="BT283">
            <v>0</v>
          </cell>
          <cell r="BU283" t="str">
            <v>NA</v>
          </cell>
          <cell r="BW283">
            <v>0</v>
          </cell>
          <cell r="BX283">
            <v>0</v>
          </cell>
          <cell r="BY283">
            <v>0</v>
          </cell>
          <cell r="BZ283">
            <v>0</v>
          </cell>
          <cell r="CA283" t="str">
            <v>NA</v>
          </cell>
          <cell r="CC283">
            <v>0</v>
          </cell>
          <cell r="CD283">
            <v>0</v>
          </cell>
          <cell r="CE283">
            <v>0</v>
          </cell>
          <cell r="CF283">
            <v>0</v>
          </cell>
          <cell r="CG283" t="str">
            <v>NA</v>
          </cell>
        </row>
        <row r="284">
          <cell r="A284"/>
          <cell r="C284"/>
          <cell r="D284"/>
          <cell r="E284"/>
          <cell r="F284"/>
          <cell r="G284"/>
          <cell r="I284"/>
          <cell r="J284"/>
          <cell r="K284"/>
          <cell r="L284"/>
          <cell r="M284"/>
          <cell r="O284"/>
          <cell r="P284"/>
          <cell r="Q284"/>
          <cell r="R284"/>
          <cell r="S284"/>
          <cell r="U284"/>
          <cell r="V284"/>
          <cell r="W284"/>
          <cell r="X284"/>
          <cell r="Y284"/>
          <cell r="AA284"/>
          <cell r="AB284"/>
          <cell r="AC284"/>
          <cell r="AD284"/>
          <cell r="AE284"/>
          <cell r="AG284"/>
          <cell r="AH284"/>
          <cell r="AI284"/>
          <cell r="AJ284"/>
          <cell r="AK284"/>
          <cell r="AM284"/>
          <cell r="AN284"/>
          <cell r="AO284"/>
          <cell r="AP284"/>
          <cell r="AQ284"/>
          <cell r="AS284"/>
          <cell r="AT284"/>
          <cell r="AU284"/>
          <cell r="AV284"/>
          <cell r="AW284"/>
          <cell r="AY284"/>
          <cell r="AZ284"/>
          <cell r="BA284"/>
          <cell r="BB284"/>
          <cell r="BC284"/>
          <cell r="BE284"/>
          <cell r="BF284"/>
          <cell r="BG284"/>
          <cell r="BH284"/>
          <cell r="BI284"/>
          <cell r="BK284"/>
          <cell r="BL284"/>
          <cell r="BM284"/>
          <cell r="BN284"/>
          <cell r="BO284"/>
          <cell r="BQ284"/>
          <cell r="BR284"/>
          <cell r="BS284"/>
          <cell r="BT284"/>
          <cell r="BU284"/>
          <cell r="BW284"/>
          <cell r="BX284"/>
          <cell r="BY284"/>
          <cell r="BZ284"/>
          <cell r="CA284"/>
          <cell r="CC284"/>
          <cell r="CD284"/>
          <cell r="CE284"/>
          <cell r="CF284"/>
          <cell r="CG284"/>
        </row>
        <row r="285">
          <cell r="A285" t="str">
            <v>Sales and marketing</v>
          </cell>
          <cell r="B285"/>
          <cell r="C285"/>
          <cell r="D285"/>
          <cell r="E285"/>
          <cell r="F285"/>
          <cell r="G285"/>
          <cell r="H285"/>
          <cell r="I285"/>
          <cell r="J285"/>
          <cell r="K285"/>
          <cell r="L285"/>
          <cell r="M285"/>
          <cell r="N285"/>
          <cell r="O285"/>
          <cell r="P285"/>
          <cell r="Q285"/>
          <cell r="R285"/>
          <cell r="S285"/>
          <cell r="T285"/>
          <cell r="U285"/>
          <cell r="V285"/>
          <cell r="W285"/>
          <cell r="X285"/>
          <cell r="Y285">
            <v>0</v>
          </cell>
          <cell r="Z285"/>
          <cell r="AA285">
            <v>0</v>
          </cell>
          <cell r="AB285">
            <v>0</v>
          </cell>
          <cell r="AC285">
            <v>0</v>
          </cell>
          <cell r="AD285">
            <v>0</v>
          </cell>
          <cell r="AE285">
            <v>0</v>
          </cell>
          <cell r="AF285"/>
          <cell r="AG285">
            <v>0</v>
          </cell>
          <cell r="AH285">
            <v>0</v>
          </cell>
          <cell r="AI285">
            <v>0</v>
          </cell>
          <cell r="AJ285">
            <v>0</v>
          </cell>
          <cell r="AK285">
            <v>0</v>
          </cell>
          <cell r="AL285"/>
          <cell r="AM285">
            <v>0</v>
          </cell>
          <cell r="AN285">
            <v>0</v>
          </cell>
          <cell r="AO285">
            <v>0</v>
          </cell>
          <cell r="AP285">
            <v>0</v>
          </cell>
          <cell r="AQ285">
            <v>0</v>
          </cell>
          <cell r="AR285"/>
          <cell r="AS285">
            <v>0</v>
          </cell>
          <cell r="AT285">
            <v>0</v>
          </cell>
          <cell r="AU285">
            <v>0</v>
          </cell>
          <cell r="AV285">
            <v>0</v>
          </cell>
          <cell r="AW285">
            <v>0</v>
          </cell>
          <cell r="AX285"/>
          <cell r="AY285">
            <v>0</v>
          </cell>
          <cell r="AZ285">
            <v>0</v>
          </cell>
          <cell r="BA285">
            <v>0</v>
          </cell>
          <cell r="BB285">
            <v>0</v>
          </cell>
          <cell r="BC285">
            <v>0</v>
          </cell>
          <cell r="BD285"/>
          <cell r="BE285">
            <v>0</v>
          </cell>
          <cell r="BF285">
            <v>0</v>
          </cell>
          <cell r="BG285">
            <v>0</v>
          </cell>
          <cell r="BH285">
            <v>0</v>
          </cell>
          <cell r="BI285">
            <v>0</v>
          </cell>
          <cell r="BJ285"/>
          <cell r="BK285">
            <v>0</v>
          </cell>
          <cell r="BL285">
            <v>0</v>
          </cell>
          <cell r="BM285">
            <v>0</v>
          </cell>
          <cell r="BN285">
            <v>0</v>
          </cell>
          <cell r="BO285">
            <v>0</v>
          </cell>
          <cell r="BP285"/>
          <cell r="BQ285">
            <v>0</v>
          </cell>
          <cell r="BR285">
            <v>0</v>
          </cell>
          <cell r="BS285">
            <v>0</v>
          </cell>
          <cell r="BT285">
            <v>0</v>
          </cell>
          <cell r="BU285">
            <v>0</v>
          </cell>
          <cell r="BV285"/>
          <cell r="BW285" t="str">
            <v>NA</v>
          </cell>
          <cell r="BX285" t="str">
            <v>NA</v>
          </cell>
          <cell r="BY285" t="str">
            <v>NA</v>
          </cell>
          <cell r="BZ285" t="str">
            <v>NA</v>
          </cell>
          <cell r="CA285">
            <v>0</v>
          </cell>
          <cell r="CB285"/>
          <cell r="CC285" t="str">
            <v>NA</v>
          </cell>
          <cell r="CD285" t="str">
            <v>NA</v>
          </cell>
          <cell r="CE285" t="str">
            <v>NA</v>
          </cell>
          <cell r="CF285" t="str">
            <v>NA</v>
          </cell>
          <cell r="CG285">
            <v>0</v>
          </cell>
          <cell r="CH285"/>
        </row>
        <row r="286">
          <cell r="A286" t="str">
            <v>% total</v>
          </cell>
          <cell r="C286"/>
          <cell r="D286"/>
          <cell r="E286"/>
          <cell r="F286"/>
          <cell r="G286"/>
          <cell r="I286"/>
          <cell r="J286"/>
          <cell r="K286"/>
          <cell r="L286"/>
          <cell r="M286"/>
          <cell r="O286"/>
          <cell r="P286"/>
          <cell r="Q286"/>
          <cell r="R286"/>
          <cell r="S286"/>
          <cell r="U286"/>
          <cell r="V286"/>
          <cell r="W286"/>
          <cell r="X286"/>
          <cell r="Y286" t="str">
            <v>NA</v>
          </cell>
          <cell r="AA286" t="str">
            <v>NA</v>
          </cell>
          <cell r="AB286" t="str">
            <v>NA</v>
          </cell>
          <cell r="AC286" t="str">
            <v>NA</v>
          </cell>
          <cell r="AD286" t="str">
            <v>NA</v>
          </cell>
          <cell r="AE286" t="str">
            <v>NA</v>
          </cell>
          <cell r="AG286" t="str">
            <v>NA</v>
          </cell>
          <cell r="AH286" t="str">
            <v>NA</v>
          </cell>
          <cell r="AI286" t="str">
            <v>NA</v>
          </cell>
          <cell r="AJ286" t="str">
            <v>NA</v>
          </cell>
          <cell r="AK286" t="str">
            <v>NA</v>
          </cell>
          <cell r="AM286" t="str">
            <v>NA</v>
          </cell>
          <cell r="AN286" t="str">
            <v>NA</v>
          </cell>
          <cell r="AO286" t="str">
            <v>NA</v>
          </cell>
          <cell r="AP286" t="str">
            <v>NA</v>
          </cell>
          <cell r="AQ286" t="str">
            <v>NA</v>
          </cell>
          <cell r="AS286" t="str">
            <v>NA</v>
          </cell>
          <cell r="AT286" t="str">
            <v>NA</v>
          </cell>
          <cell r="AU286" t="str">
            <v>NA</v>
          </cell>
          <cell r="AV286" t="str">
            <v>NA</v>
          </cell>
          <cell r="AW286" t="str">
            <v>NA</v>
          </cell>
          <cell r="AY286" t="str">
            <v>NA</v>
          </cell>
          <cell r="AZ286" t="str">
            <v>NA</v>
          </cell>
          <cell r="BA286" t="str">
            <v>NA</v>
          </cell>
          <cell r="BB286">
            <v>0</v>
          </cell>
          <cell r="BC286">
            <v>0</v>
          </cell>
          <cell r="BE286" t="str">
            <v>NA</v>
          </cell>
          <cell r="BF286" t="str">
            <v>NA</v>
          </cell>
          <cell r="BG286">
            <v>0</v>
          </cell>
          <cell r="BH286">
            <v>0</v>
          </cell>
          <cell r="BI286" t="str">
            <v>NA</v>
          </cell>
          <cell r="BK286">
            <v>0</v>
          </cell>
          <cell r="BL286">
            <v>0</v>
          </cell>
          <cell r="BM286">
            <v>0</v>
          </cell>
          <cell r="BN286">
            <v>0</v>
          </cell>
          <cell r="BO286" t="str">
            <v>NA</v>
          </cell>
          <cell r="BQ286">
            <v>0</v>
          </cell>
          <cell r="BR286">
            <v>0</v>
          </cell>
          <cell r="BS286">
            <v>0</v>
          </cell>
          <cell r="BT286">
            <v>0</v>
          </cell>
          <cell r="BU286" t="str">
            <v>NA</v>
          </cell>
          <cell r="BW286">
            <v>0</v>
          </cell>
          <cell r="BX286">
            <v>0</v>
          </cell>
          <cell r="BY286">
            <v>0</v>
          </cell>
          <cell r="BZ286">
            <v>0</v>
          </cell>
          <cell r="CA286" t="str">
            <v>NA</v>
          </cell>
          <cell r="CC286">
            <v>0</v>
          </cell>
          <cell r="CD286">
            <v>0</v>
          </cell>
          <cell r="CE286">
            <v>0</v>
          </cell>
          <cell r="CF286">
            <v>0</v>
          </cell>
          <cell r="CG286" t="str">
            <v>NA</v>
          </cell>
        </row>
        <row r="287">
          <cell r="A287"/>
          <cell r="C287"/>
          <cell r="D287"/>
          <cell r="E287"/>
          <cell r="F287"/>
          <cell r="G287"/>
          <cell r="I287"/>
          <cell r="J287"/>
          <cell r="K287"/>
          <cell r="L287"/>
          <cell r="M287"/>
          <cell r="O287"/>
          <cell r="P287"/>
          <cell r="Q287"/>
          <cell r="R287"/>
          <cell r="S287"/>
          <cell r="U287"/>
          <cell r="V287"/>
          <cell r="W287"/>
          <cell r="X287"/>
          <cell r="Y287"/>
          <cell r="AA287"/>
          <cell r="AB287"/>
          <cell r="AC287"/>
          <cell r="AD287"/>
          <cell r="AE287"/>
          <cell r="AG287"/>
          <cell r="AH287"/>
          <cell r="AI287"/>
          <cell r="AJ287"/>
          <cell r="AK287"/>
          <cell r="AM287"/>
          <cell r="AN287"/>
          <cell r="AO287"/>
          <cell r="AP287"/>
          <cell r="AQ287"/>
          <cell r="AS287"/>
          <cell r="AT287"/>
          <cell r="AU287"/>
          <cell r="AV287"/>
          <cell r="AW287"/>
          <cell r="AY287"/>
          <cell r="AZ287"/>
          <cell r="BA287"/>
          <cell r="BB287"/>
          <cell r="BC287"/>
          <cell r="BE287"/>
          <cell r="BF287"/>
          <cell r="BG287"/>
          <cell r="BH287"/>
          <cell r="BI287"/>
          <cell r="BK287"/>
          <cell r="BL287"/>
          <cell r="BM287"/>
          <cell r="BN287"/>
          <cell r="BO287"/>
          <cell r="BQ287"/>
          <cell r="BR287"/>
          <cell r="BS287"/>
          <cell r="BT287"/>
          <cell r="BU287"/>
          <cell r="BW287"/>
          <cell r="BX287"/>
          <cell r="BY287"/>
          <cell r="BZ287"/>
          <cell r="CA287"/>
          <cell r="CC287"/>
          <cell r="CD287"/>
          <cell r="CE287"/>
          <cell r="CF287"/>
          <cell r="CG287"/>
        </row>
        <row r="288">
          <cell r="A288" t="str">
            <v>Research and development</v>
          </cell>
          <cell r="B288"/>
          <cell r="C288"/>
          <cell r="D288"/>
          <cell r="E288"/>
          <cell r="F288"/>
          <cell r="G288"/>
          <cell r="H288"/>
          <cell r="I288"/>
          <cell r="J288"/>
          <cell r="K288"/>
          <cell r="L288"/>
          <cell r="M288"/>
          <cell r="N288"/>
          <cell r="O288"/>
          <cell r="P288"/>
          <cell r="Q288"/>
          <cell r="R288"/>
          <cell r="S288"/>
          <cell r="T288"/>
          <cell r="U288"/>
          <cell r="V288"/>
          <cell r="W288"/>
          <cell r="X288"/>
          <cell r="Y288">
            <v>0</v>
          </cell>
          <cell r="Z288"/>
          <cell r="AA288">
            <v>0</v>
          </cell>
          <cell r="AB288">
            <v>0</v>
          </cell>
          <cell r="AC288">
            <v>0</v>
          </cell>
          <cell r="AD288">
            <v>0</v>
          </cell>
          <cell r="AE288">
            <v>0</v>
          </cell>
          <cell r="AF288"/>
          <cell r="AG288">
            <v>0</v>
          </cell>
          <cell r="AH288">
            <v>0</v>
          </cell>
          <cell r="AI288">
            <v>0</v>
          </cell>
          <cell r="AJ288">
            <v>0</v>
          </cell>
          <cell r="AK288">
            <v>0</v>
          </cell>
          <cell r="AL288"/>
          <cell r="AM288">
            <v>0</v>
          </cell>
          <cell r="AN288">
            <v>0</v>
          </cell>
          <cell r="AO288">
            <v>0</v>
          </cell>
          <cell r="AP288">
            <v>0</v>
          </cell>
          <cell r="AQ288">
            <v>0</v>
          </cell>
          <cell r="AR288"/>
          <cell r="AS288">
            <v>0</v>
          </cell>
          <cell r="AT288">
            <v>0</v>
          </cell>
          <cell r="AU288">
            <v>0</v>
          </cell>
          <cell r="AV288">
            <v>0</v>
          </cell>
          <cell r="AW288">
            <v>0</v>
          </cell>
          <cell r="AX288"/>
          <cell r="AY288">
            <v>0</v>
          </cell>
          <cell r="AZ288">
            <v>0</v>
          </cell>
          <cell r="BA288">
            <v>0</v>
          </cell>
          <cell r="BB288">
            <v>0</v>
          </cell>
          <cell r="BC288">
            <v>0</v>
          </cell>
          <cell r="BD288"/>
          <cell r="BE288">
            <v>0</v>
          </cell>
          <cell r="BF288">
            <v>0</v>
          </cell>
          <cell r="BG288">
            <v>0</v>
          </cell>
          <cell r="BH288">
            <v>0</v>
          </cell>
          <cell r="BI288">
            <v>0</v>
          </cell>
          <cell r="BJ288"/>
          <cell r="BK288">
            <v>0</v>
          </cell>
          <cell r="BL288">
            <v>0</v>
          </cell>
          <cell r="BM288">
            <v>0</v>
          </cell>
          <cell r="BN288">
            <v>0</v>
          </cell>
          <cell r="BO288">
            <v>0</v>
          </cell>
          <cell r="BP288"/>
          <cell r="BQ288">
            <v>0</v>
          </cell>
          <cell r="BR288">
            <v>0</v>
          </cell>
          <cell r="BS288">
            <v>0</v>
          </cell>
          <cell r="BT288">
            <v>0</v>
          </cell>
          <cell r="BU288">
            <v>0</v>
          </cell>
          <cell r="BV288"/>
          <cell r="BW288" t="str">
            <v>NA</v>
          </cell>
          <cell r="BX288" t="str">
            <v>NA</v>
          </cell>
          <cell r="BY288" t="str">
            <v>NA</v>
          </cell>
          <cell r="BZ288" t="str">
            <v>NA</v>
          </cell>
          <cell r="CA288">
            <v>0</v>
          </cell>
          <cell r="CB288"/>
          <cell r="CC288" t="str">
            <v>NA</v>
          </cell>
          <cell r="CD288" t="str">
            <v>NA</v>
          </cell>
          <cell r="CE288" t="str">
            <v>NA</v>
          </cell>
          <cell r="CF288" t="str">
            <v>NA</v>
          </cell>
          <cell r="CG288">
            <v>0</v>
          </cell>
          <cell r="CH288"/>
        </row>
        <row r="289">
          <cell r="A289" t="str">
            <v>% total</v>
          </cell>
          <cell r="C289"/>
          <cell r="D289"/>
          <cell r="E289"/>
          <cell r="F289"/>
          <cell r="G289"/>
          <cell r="I289"/>
          <cell r="J289"/>
          <cell r="K289"/>
          <cell r="L289"/>
          <cell r="M289"/>
          <cell r="O289"/>
          <cell r="P289"/>
          <cell r="Q289"/>
          <cell r="R289"/>
          <cell r="S289"/>
          <cell r="U289"/>
          <cell r="V289"/>
          <cell r="W289"/>
          <cell r="X289"/>
          <cell r="Y289" t="str">
            <v>NA</v>
          </cell>
          <cell r="AA289" t="str">
            <v>NA</v>
          </cell>
          <cell r="AB289" t="str">
            <v>NA</v>
          </cell>
          <cell r="AC289" t="str">
            <v>NA</v>
          </cell>
          <cell r="AD289" t="str">
            <v>NA</v>
          </cell>
          <cell r="AE289" t="str">
            <v>NA</v>
          </cell>
          <cell r="AG289" t="str">
            <v>NA</v>
          </cell>
          <cell r="AH289" t="str">
            <v>NA</v>
          </cell>
          <cell r="AI289" t="str">
            <v>NA</v>
          </cell>
          <cell r="AJ289" t="str">
            <v>NA</v>
          </cell>
          <cell r="AK289" t="str">
            <v>NA</v>
          </cell>
          <cell r="AM289" t="str">
            <v>NA</v>
          </cell>
          <cell r="AN289" t="str">
            <v>NA</v>
          </cell>
          <cell r="AO289" t="str">
            <v>NA</v>
          </cell>
          <cell r="AP289" t="str">
            <v>NA</v>
          </cell>
          <cell r="AQ289" t="str">
            <v>NA</v>
          </cell>
          <cell r="AS289" t="str">
            <v>NA</v>
          </cell>
          <cell r="AT289" t="str">
            <v>NA</v>
          </cell>
          <cell r="AU289" t="str">
            <v>NA</v>
          </cell>
          <cell r="AV289" t="str">
            <v>NA</v>
          </cell>
          <cell r="AW289" t="str">
            <v>NA</v>
          </cell>
          <cell r="AY289" t="str">
            <v>NA</v>
          </cell>
          <cell r="AZ289" t="str">
            <v>NA</v>
          </cell>
          <cell r="BA289" t="str">
            <v>NA</v>
          </cell>
          <cell r="BB289">
            <v>0</v>
          </cell>
          <cell r="BC289">
            <v>0</v>
          </cell>
          <cell r="BE289" t="str">
            <v>NA</v>
          </cell>
          <cell r="BF289" t="str">
            <v>NA</v>
          </cell>
          <cell r="BG289">
            <v>0</v>
          </cell>
          <cell r="BH289">
            <v>0</v>
          </cell>
          <cell r="BI289" t="str">
            <v>NA</v>
          </cell>
          <cell r="BK289">
            <v>0</v>
          </cell>
          <cell r="BL289">
            <v>0</v>
          </cell>
          <cell r="BM289">
            <v>0</v>
          </cell>
          <cell r="BN289">
            <v>0</v>
          </cell>
          <cell r="BO289" t="str">
            <v>NA</v>
          </cell>
          <cell r="BQ289">
            <v>0</v>
          </cell>
          <cell r="BR289">
            <v>0</v>
          </cell>
          <cell r="BS289">
            <v>0</v>
          </cell>
          <cell r="BT289">
            <v>0</v>
          </cell>
          <cell r="BU289" t="str">
            <v>NA</v>
          </cell>
          <cell r="BW289">
            <v>0</v>
          </cell>
          <cell r="BX289">
            <v>0</v>
          </cell>
          <cell r="BY289">
            <v>0</v>
          </cell>
          <cell r="BZ289">
            <v>0</v>
          </cell>
          <cell r="CA289" t="str">
            <v>NA</v>
          </cell>
          <cell r="CC289">
            <v>0</v>
          </cell>
          <cell r="CD289">
            <v>0</v>
          </cell>
          <cell r="CE289">
            <v>0</v>
          </cell>
          <cell r="CF289">
            <v>0</v>
          </cell>
          <cell r="CG289" t="str">
            <v>NA</v>
          </cell>
        </row>
        <row r="290">
          <cell r="A290"/>
          <cell r="C290"/>
          <cell r="D290"/>
          <cell r="E290"/>
          <cell r="F290"/>
          <cell r="G290"/>
          <cell r="I290"/>
          <cell r="J290"/>
          <cell r="K290"/>
          <cell r="L290"/>
          <cell r="M290"/>
          <cell r="O290"/>
          <cell r="P290"/>
          <cell r="Q290"/>
          <cell r="R290"/>
          <cell r="S290"/>
          <cell r="U290"/>
          <cell r="V290"/>
          <cell r="W290"/>
          <cell r="X290"/>
          <cell r="Y290"/>
          <cell r="AA290"/>
          <cell r="AB290"/>
          <cell r="AC290"/>
          <cell r="AD290"/>
          <cell r="AE290"/>
          <cell r="AG290"/>
          <cell r="AH290"/>
          <cell r="AI290"/>
          <cell r="AJ290"/>
          <cell r="AK290"/>
          <cell r="AM290"/>
          <cell r="AN290"/>
          <cell r="AO290"/>
          <cell r="AP290"/>
          <cell r="AQ290"/>
          <cell r="AS290"/>
          <cell r="AT290"/>
          <cell r="AU290"/>
          <cell r="AV290"/>
          <cell r="AW290"/>
          <cell r="AY290"/>
          <cell r="AZ290"/>
          <cell r="BA290"/>
          <cell r="BB290"/>
          <cell r="BC290"/>
          <cell r="BE290"/>
          <cell r="BF290"/>
          <cell r="BG290"/>
          <cell r="BH290"/>
          <cell r="BI290"/>
          <cell r="BK290"/>
          <cell r="BL290"/>
          <cell r="BM290"/>
          <cell r="BN290"/>
          <cell r="BO290"/>
          <cell r="BQ290"/>
          <cell r="BR290"/>
          <cell r="BS290"/>
          <cell r="BT290"/>
          <cell r="BU290"/>
          <cell r="BW290"/>
          <cell r="BX290"/>
          <cell r="BY290"/>
          <cell r="BZ290"/>
          <cell r="CA290"/>
          <cell r="CC290"/>
          <cell r="CD290"/>
          <cell r="CE290"/>
          <cell r="CF290"/>
          <cell r="CG290"/>
        </row>
        <row r="291">
          <cell r="A291" t="str">
            <v>General and administrative</v>
          </cell>
          <cell r="B291"/>
          <cell r="C291"/>
          <cell r="D291"/>
          <cell r="E291"/>
          <cell r="F291"/>
          <cell r="G291"/>
          <cell r="H291"/>
          <cell r="I291"/>
          <cell r="J291"/>
          <cell r="K291"/>
          <cell r="L291"/>
          <cell r="M291"/>
          <cell r="N291"/>
          <cell r="O291"/>
          <cell r="P291"/>
          <cell r="Q291"/>
          <cell r="R291"/>
          <cell r="S291"/>
          <cell r="T291"/>
          <cell r="U291"/>
          <cell r="V291"/>
          <cell r="W291"/>
          <cell r="X291"/>
          <cell r="Y291">
            <v>0</v>
          </cell>
          <cell r="Z291"/>
          <cell r="AA291">
            <v>0</v>
          </cell>
          <cell r="AB291">
            <v>0</v>
          </cell>
          <cell r="AC291">
            <v>0</v>
          </cell>
          <cell r="AD291">
            <v>0</v>
          </cell>
          <cell r="AE291">
            <v>0</v>
          </cell>
          <cell r="AF291"/>
          <cell r="AG291">
            <v>0</v>
          </cell>
          <cell r="AH291">
            <v>0</v>
          </cell>
          <cell r="AI291">
            <v>0</v>
          </cell>
          <cell r="AJ291">
            <v>0</v>
          </cell>
          <cell r="AK291">
            <v>0</v>
          </cell>
          <cell r="AL291"/>
          <cell r="AM291">
            <v>0</v>
          </cell>
          <cell r="AN291">
            <v>0</v>
          </cell>
          <cell r="AO291">
            <v>0</v>
          </cell>
          <cell r="AP291">
            <v>0</v>
          </cell>
          <cell r="AQ291">
            <v>0</v>
          </cell>
          <cell r="AR291"/>
          <cell r="AS291">
            <v>0</v>
          </cell>
          <cell r="AT291">
            <v>0</v>
          </cell>
          <cell r="AU291">
            <v>0</v>
          </cell>
          <cell r="AV291">
            <v>0</v>
          </cell>
          <cell r="AW291">
            <v>0</v>
          </cell>
          <cell r="AX291"/>
          <cell r="AY291">
            <v>0</v>
          </cell>
          <cell r="AZ291">
            <v>0</v>
          </cell>
          <cell r="BA291">
            <v>0</v>
          </cell>
          <cell r="BB291">
            <v>0.17499999999999999</v>
          </cell>
          <cell r="BC291">
            <v>0.17499999999999999</v>
          </cell>
          <cell r="BD291"/>
          <cell r="BE291">
            <v>0</v>
          </cell>
          <cell r="BF291">
            <v>0</v>
          </cell>
          <cell r="BG291">
            <v>0</v>
          </cell>
          <cell r="BH291">
            <v>0</v>
          </cell>
          <cell r="BI291">
            <v>0</v>
          </cell>
          <cell r="BJ291"/>
          <cell r="BK291">
            <v>0</v>
          </cell>
          <cell r="BL291">
            <v>0</v>
          </cell>
          <cell r="BM291">
            <v>0</v>
          </cell>
          <cell r="BN291">
            <v>0</v>
          </cell>
          <cell r="BO291">
            <v>0</v>
          </cell>
          <cell r="BP291"/>
          <cell r="BQ291">
            <v>0</v>
          </cell>
          <cell r="BR291">
            <v>0</v>
          </cell>
          <cell r="BS291">
            <v>0</v>
          </cell>
          <cell r="BT291">
            <v>0</v>
          </cell>
          <cell r="BU291">
            <v>0</v>
          </cell>
          <cell r="BV291"/>
          <cell r="BW291" t="str">
            <v>NA</v>
          </cell>
          <cell r="BX291" t="str">
            <v>NA</v>
          </cell>
          <cell r="BY291" t="str">
            <v>NA</v>
          </cell>
          <cell r="BZ291" t="str">
            <v>NA</v>
          </cell>
          <cell r="CA291">
            <v>0</v>
          </cell>
          <cell r="CB291"/>
          <cell r="CC291" t="str">
            <v>NA</v>
          </cell>
          <cell r="CD291" t="str">
            <v>NA</v>
          </cell>
          <cell r="CE291" t="str">
            <v>NA</v>
          </cell>
          <cell r="CF291" t="str">
            <v>NA</v>
          </cell>
          <cell r="CG291">
            <v>0</v>
          </cell>
          <cell r="CH291"/>
        </row>
        <row r="292">
          <cell r="A292" t="str">
            <v>% total</v>
          </cell>
          <cell r="C292"/>
          <cell r="D292"/>
          <cell r="E292"/>
          <cell r="F292"/>
          <cell r="G292"/>
          <cell r="I292"/>
          <cell r="J292"/>
          <cell r="K292"/>
          <cell r="L292"/>
          <cell r="M292"/>
          <cell r="O292"/>
          <cell r="P292"/>
          <cell r="Q292"/>
          <cell r="R292"/>
          <cell r="S292"/>
          <cell r="U292"/>
          <cell r="V292"/>
          <cell r="W292"/>
          <cell r="X292"/>
          <cell r="Y292" t="str">
            <v>NA</v>
          </cell>
          <cell r="AA292" t="str">
            <v>NA</v>
          </cell>
          <cell r="AB292" t="str">
            <v>NA</v>
          </cell>
          <cell r="AC292" t="str">
            <v>NA</v>
          </cell>
          <cell r="AD292" t="str">
            <v>NA</v>
          </cell>
          <cell r="AE292" t="str">
            <v>NA</v>
          </cell>
          <cell r="AG292" t="str">
            <v>NA</v>
          </cell>
          <cell r="AH292" t="str">
            <v>NA</v>
          </cell>
          <cell r="AI292" t="str">
            <v>NA</v>
          </cell>
          <cell r="AJ292" t="str">
            <v>NA</v>
          </cell>
          <cell r="AK292" t="str">
            <v>NA</v>
          </cell>
          <cell r="AM292" t="str">
            <v>NA</v>
          </cell>
          <cell r="AN292" t="str">
            <v>NA</v>
          </cell>
          <cell r="AO292" t="str">
            <v>NA</v>
          </cell>
          <cell r="AP292" t="str">
            <v>NA</v>
          </cell>
          <cell r="AQ292" t="str">
            <v>NA</v>
          </cell>
          <cell r="AS292" t="str">
            <v>NA</v>
          </cell>
          <cell r="AT292" t="str">
            <v>NA</v>
          </cell>
          <cell r="AU292" t="str">
            <v>NA</v>
          </cell>
          <cell r="AV292" t="str">
            <v>NA</v>
          </cell>
          <cell r="AW292" t="str">
            <v>NA</v>
          </cell>
          <cell r="AY292" t="str">
            <v>NA</v>
          </cell>
          <cell r="AZ292" t="str">
            <v>NA</v>
          </cell>
          <cell r="BA292" t="str">
            <v>NA</v>
          </cell>
          <cell r="BB292">
            <v>1</v>
          </cell>
          <cell r="BC292">
            <v>1</v>
          </cell>
          <cell r="BE292" t="str">
            <v>NA</v>
          </cell>
          <cell r="BF292" t="str">
            <v>NA</v>
          </cell>
          <cell r="BG292">
            <v>0</v>
          </cell>
          <cell r="BH292">
            <v>0</v>
          </cell>
          <cell r="BI292" t="str">
            <v>NA</v>
          </cell>
          <cell r="BK292">
            <v>0</v>
          </cell>
          <cell r="BL292">
            <v>0</v>
          </cell>
          <cell r="BM292">
            <v>0</v>
          </cell>
          <cell r="BN292">
            <v>0</v>
          </cell>
          <cell r="BO292" t="str">
            <v>NA</v>
          </cell>
          <cell r="BQ292">
            <v>0</v>
          </cell>
          <cell r="BR292">
            <v>0</v>
          </cell>
          <cell r="BS292">
            <v>0</v>
          </cell>
          <cell r="BT292">
            <v>0</v>
          </cell>
          <cell r="BU292" t="str">
            <v>NA</v>
          </cell>
          <cell r="BW292">
            <v>0</v>
          </cell>
          <cell r="BX292">
            <v>0</v>
          </cell>
          <cell r="BY292">
            <v>0</v>
          </cell>
          <cell r="BZ292">
            <v>0</v>
          </cell>
          <cell r="CA292" t="str">
            <v>NA</v>
          </cell>
          <cell r="CC292">
            <v>0</v>
          </cell>
          <cell r="CD292">
            <v>0</v>
          </cell>
          <cell r="CE292">
            <v>0</v>
          </cell>
          <cell r="CF292">
            <v>0</v>
          </cell>
          <cell r="CG292" t="str">
            <v>NA</v>
          </cell>
        </row>
        <row r="293">
          <cell r="A293"/>
          <cell r="C293"/>
          <cell r="D293"/>
          <cell r="E293"/>
          <cell r="F293"/>
          <cell r="G293"/>
          <cell r="I293"/>
          <cell r="J293"/>
          <cell r="K293"/>
          <cell r="L293"/>
          <cell r="M293"/>
          <cell r="O293"/>
          <cell r="P293"/>
          <cell r="Q293"/>
          <cell r="R293"/>
          <cell r="S293"/>
          <cell r="U293"/>
          <cell r="V293"/>
          <cell r="W293"/>
          <cell r="X293"/>
          <cell r="Y293"/>
          <cell r="AA293"/>
          <cell r="AB293"/>
          <cell r="AC293"/>
          <cell r="AD293"/>
          <cell r="AE293"/>
          <cell r="AG293"/>
          <cell r="AH293"/>
          <cell r="AI293"/>
          <cell r="AJ293"/>
          <cell r="AK293"/>
          <cell r="AM293"/>
          <cell r="AN293"/>
          <cell r="AO293"/>
          <cell r="AP293"/>
          <cell r="AQ293"/>
          <cell r="AS293"/>
          <cell r="AT293"/>
          <cell r="AU293"/>
          <cell r="AV293"/>
          <cell r="AW293"/>
          <cell r="AY293"/>
          <cell r="AZ293"/>
          <cell r="BA293"/>
          <cell r="BB293"/>
          <cell r="BC293"/>
          <cell r="BE293"/>
          <cell r="BF293"/>
          <cell r="BG293"/>
          <cell r="BH293"/>
          <cell r="BI293"/>
          <cell r="BK293"/>
          <cell r="BL293"/>
          <cell r="BM293"/>
          <cell r="BN293"/>
          <cell r="BO293"/>
          <cell r="BQ293"/>
          <cell r="BR293"/>
          <cell r="BS293"/>
          <cell r="BT293"/>
          <cell r="BU293"/>
          <cell r="BW293"/>
          <cell r="BX293"/>
          <cell r="BY293"/>
          <cell r="BZ293"/>
          <cell r="CA293"/>
          <cell r="CC293"/>
          <cell r="CD293"/>
          <cell r="CE293"/>
          <cell r="CF293"/>
          <cell r="CG293"/>
        </row>
        <row r="294">
          <cell r="A294" t="str">
            <v>Other operating expenses</v>
          </cell>
          <cell r="B294"/>
          <cell r="C294"/>
          <cell r="D294"/>
          <cell r="E294"/>
          <cell r="F294"/>
          <cell r="G294"/>
          <cell r="H294"/>
          <cell r="I294"/>
          <cell r="J294"/>
          <cell r="K294"/>
          <cell r="L294"/>
          <cell r="M294"/>
          <cell r="N294"/>
          <cell r="O294"/>
          <cell r="P294"/>
          <cell r="Q294"/>
          <cell r="R294"/>
          <cell r="S294"/>
          <cell r="T294"/>
          <cell r="U294"/>
          <cell r="V294"/>
          <cell r="W294"/>
          <cell r="X294"/>
          <cell r="Y294">
            <v>0</v>
          </cell>
          <cell r="Z294"/>
          <cell r="AA294">
            <v>0</v>
          </cell>
          <cell r="AB294">
            <v>0</v>
          </cell>
          <cell r="AC294">
            <v>0</v>
          </cell>
          <cell r="AD294">
            <v>0</v>
          </cell>
          <cell r="AE294">
            <v>0</v>
          </cell>
          <cell r="AF294"/>
          <cell r="AG294">
            <v>0</v>
          </cell>
          <cell r="AH294">
            <v>0</v>
          </cell>
          <cell r="AI294">
            <v>0</v>
          </cell>
          <cell r="AJ294">
            <v>0</v>
          </cell>
          <cell r="AK294">
            <v>0</v>
          </cell>
          <cell r="AL294"/>
          <cell r="AM294">
            <v>0</v>
          </cell>
          <cell r="AN294">
            <v>0</v>
          </cell>
          <cell r="AO294">
            <v>0</v>
          </cell>
          <cell r="AP294">
            <v>0</v>
          </cell>
          <cell r="AQ294">
            <v>0</v>
          </cell>
          <cell r="AR294"/>
          <cell r="AS294">
            <v>0</v>
          </cell>
          <cell r="AT294">
            <v>0</v>
          </cell>
          <cell r="AU294">
            <v>0</v>
          </cell>
          <cell r="AV294">
            <v>0</v>
          </cell>
          <cell r="AW294">
            <v>0</v>
          </cell>
          <cell r="AX294"/>
          <cell r="AY294">
            <v>0</v>
          </cell>
          <cell r="AZ294">
            <v>0</v>
          </cell>
          <cell r="BA294">
            <v>0</v>
          </cell>
          <cell r="BB294">
            <v>0</v>
          </cell>
          <cell r="BC294">
            <v>0</v>
          </cell>
          <cell r="BD294"/>
          <cell r="BE294">
            <v>0</v>
          </cell>
          <cell r="BF294">
            <v>0</v>
          </cell>
          <cell r="BG294">
            <v>0</v>
          </cell>
          <cell r="BH294">
            <v>0</v>
          </cell>
          <cell r="BI294">
            <v>0</v>
          </cell>
          <cell r="BJ294"/>
          <cell r="BK294">
            <v>0</v>
          </cell>
          <cell r="BL294">
            <v>0</v>
          </cell>
          <cell r="BM294">
            <v>0</v>
          </cell>
          <cell r="BN294">
            <v>0</v>
          </cell>
          <cell r="BO294">
            <v>0</v>
          </cell>
          <cell r="BP294"/>
          <cell r="BQ294">
            <v>0</v>
          </cell>
          <cell r="BR294">
            <v>0</v>
          </cell>
          <cell r="BS294">
            <v>0</v>
          </cell>
          <cell r="BT294">
            <v>0</v>
          </cell>
          <cell r="BU294">
            <v>0</v>
          </cell>
          <cell r="BV294"/>
          <cell r="BW294" t="str">
            <v>NA</v>
          </cell>
          <cell r="BX294" t="str">
            <v>NA</v>
          </cell>
          <cell r="BY294" t="str">
            <v>NA</v>
          </cell>
          <cell r="BZ294" t="str">
            <v>NA</v>
          </cell>
          <cell r="CA294">
            <v>0</v>
          </cell>
          <cell r="CB294"/>
          <cell r="CC294" t="str">
            <v>NA</v>
          </cell>
          <cell r="CD294" t="str">
            <v>NA</v>
          </cell>
          <cell r="CE294" t="str">
            <v>NA</v>
          </cell>
          <cell r="CF294" t="str">
            <v>NA</v>
          </cell>
          <cell r="CG294">
            <v>0</v>
          </cell>
          <cell r="CH294"/>
        </row>
        <row r="295">
          <cell r="A295" t="str">
            <v>% total</v>
          </cell>
          <cell r="C295"/>
          <cell r="D295"/>
          <cell r="E295"/>
          <cell r="F295"/>
          <cell r="G295"/>
          <cell r="I295"/>
          <cell r="J295"/>
          <cell r="K295"/>
          <cell r="L295"/>
          <cell r="M295"/>
          <cell r="O295"/>
          <cell r="P295"/>
          <cell r="Q295"/>
          <cell r="R295"/>
          <cell r="S295"/>
          <cell r="U295"/>
          <cell r="V295"/>
          <cell r="W295"/>
          <cell r="X295"/>
          <cell r="Y295" t="str">
            <v>NA</v>
          </cell>
          <cell r="AA295" t="str">
            <v>NA</v>
          </cell>
          <cell r="AB295" t="str">
            <v>NA</v>
          </cell>
          <cell r="AC295" t="str">
            <v>NA</v>
          </cell>
          <cell r="AD295" t="str">
            <v>NA</v>
          </cell>
          <cell r="AE295" t="str">
            <v>NA</v>
          </cell>
          <cell r="AG295" t="str">
            <v>NA</v>
          </cell>
          <cell r="AH295" t="str">
            <v>NA</v>
          </cell>
          <cell r="AI295" t="str">
            <v>NA</v>
          </cell>
          <cell r="AJ295" t="str">
            <v>NA</v>
          </cell>
          <cell r="AK295" t="str">
            <v>NA</v>
          </cell>
          <cell r="AM295" t="str">
            <v>NA</v>
          </cell>
          <cell r="AN295" t="str">
            <v>NA</v>
          </cell>
          <cell r="AO295" t="str">
            <v>NA</v>
          </cell>
          <cell r="AP295" t="str">
            <v>NA</v>
          </cell>
          <cell r="AQ295" t="str">
            <v>NA</v>
          </cell>
          <cell r="AS295" t="str">
            <v>NA</v>
          </cell>
          <cell r="AT295" t="str">
            <v>NA</v>
          </cell>
          <cell r="AU295" t="str">
            <v>NA</v>
          </cell>
          <cell r="AV295" t="str">
            <v>NA</v>
          </cell>
          <cell r="AW295" t="str">
            <v>NA</v>
          </cell>
          <cell r="AY295" t="str">
            <v>NA</v>
          </cell>
          <cell r="AZ295" t="str">
            <v>NA</v>
          </cell>
          <cell r="BA295" t="str">
            <v>NA</v>
          </cell>
          <cell r="BB295">
            <v>0</v>
          </cell>
          <cell r="BC295">
            <v>0</v>
          </cell>
          <cell r="BE295" t="str">
            <v>NA</v>
          </cell>
          <cell r="BF295" t="str">
            <v>NA</v>
          </cell>
          <cell r="BG295">
            <v>0</v>
          </cell>
          <cell r="BH295">
            <v>0</v>
          </cell>
          <cell r="BI295" t="str">
            <v>NA</v>
          </cell>
          <cell r="BK295">
            <v>0</v>
          </cell>
          <cell r="BL295">
            <v>0</v>
          </cell>
          <cell r="BM295">
            <v>0</v>
          </cell>
          <cell r="BN295">
            <v>0</v>
          </cell>
          <cell r="BO295" t="str">
            <v>NA</v>
          </cell>
          <cell r="BQ295">
            <v>0</v>
          </cell>
          <cell r="BR295">
            <v>0</v>
          </cell>
          <cell r="BS295">
            <v>0</v>
          </cell>
          <cell r="BT295">
            <v>0</v>
          </cell>
          <cell r="BU295" t="str">
            <v>NA</v>
          </cell>
          <cell r="BW295">
            <v>0</v>
          </cell>
          <cell r="BX295">
            <v>0</v>
          </cell>
          <cell r="BY295">
            <v>0</v>
          </cell>
          <cell r="BZ295">
            <v>0</v>
          </cell>
          <cell r="CA295" t="str">
            <v>NA</v>
          </cell>
          <cell r="CC295">
            <v>0</v>
          </cell>
          <cell r="CD295">
            <v>0</v>
          </cell>
          <cell r="CE295">
            <v>0</v>
          </cell>
          <cell r="CF295">
            <v>0</v>
          </cell>
          <cell r="CG295" t="str">
            <v>NA</v>
          </cell>
        </row>
        <row r="296">
          <cell r="A296"/>
          <cell r="C296"/>
          <cell r="D296"/>
          <cell r="E296"/>
          <cell r="F296"/>
          <cell r="G296"/>
          <cell r="I296"/>
          <cell r="J296"/>
          <cell r="K296"/>
          <cell r="L296"/>
          <cell r="M296"/>
          <cell r="O296"/>
          <cell r="P296"/>
          <cell r="Q296"/>
          <cell r="R296"/>
          <cell r="S296"/>
          <cell r="U296"/>
          <cell r="V296"/>
          <cell r="W296"/>
          <cell r="X296"/>
          <cell r="Y296"/>
          <cell r="AA296"/>
          <cell r="AB296"/>
          <cell r="AC296"/>
          <cell r="AD296"/>
          <cell r="AE296"/>
          <cell r="AG296"/>
          <cell r="AH296"/>
          <cell r="AI296"/>
          <cell r="AJ296"/>
          <cell r="AK296"/>
          <cell r="AM296"/>
          <cell r="AN296"/>
          <cell r="AO296"/>
          <cell r="AP296"/>
          <cell r="AQ296"/>
          <cell r="AS296"/>
          <cell r="AT296"/>
          <cell r="AU296"/>
          <cell r="AV296"/>
          <cell r="AW296"/>
          <cell r="AY296"/>
          <cell r="AZ296"/>
          <cell r="BA296"/>
          <cell r="BB296"/>
          <cell r="BC296"/>
          <cell r="BE296"/>
          <cell r="BF296"/>
          <cell r="BG296"/>
          <cell r="BH296"/>
          <cell r="BI296"/>
          <cell r="BK296"/>
          <cell r="BL296"/>
          <cell r="BM296"/>
          <cell r="BN296"/>
          <cell r="BO296"/>
          <cell r="BQ296"/>
          <cell r="BR296"/>
          <cell r="BS296"/>
          <cell r="BT296"/>
          <cell r="BU296"/>
          <cell r="BW296"/>
          <cell r="BX296"/>
          <cell r="BY296"/>
          <cell r="BZ296"/>
          <cell r="CA296"/>
          <cell r="CC296"/>
          <cell r="CD296"/>
          <cell r="CE296"/>
          <cell r="CF296"/>
          <cell r="CG296"/>
        </row>
        <row r="297">
          <cell r="A297" t="str">
            <v>Total operating expenses</v>
          </cell>
          <cell r="B297"/>
          <cell r="C297"/>
          <cell r="D297"/>
          <cell r="E297"/>
          <cell r="F297"/>
          <cell r="G297"/>
          <cell r="H297"/>
          <cell r="I297"/>
          <cell r="J297"/>
          <cell r="K297"/>
          <cell r="L297"/>
          <cell r="M297"/>
          <cell r="N297"/>
          <cell r="O297"/>
          <cell r="P297"/>
          <cell r="Q297"/>
          <cell r="R297"/>
          <cell r="S297"/>
          <cell r="T297"/>
          <cell r="U297"/>
          <cell r="V297"/>
          <cell r="W297"/>
          <cell r="X297"/>
          <cell r="Y297">
            <v>0</v>
          </cell>
          <cell r="Z297"/>
          <cell r="AA297">
            <v>0</v>
          </cell>
          <cell r="AB297">
            <v>0</v>
          </cell>
          <cell r="AC297">
            <v>0</v>
          </cell>
          <cell r="AD297">
            <v>0</v>
          </cell>
          <cell r="AE297">
            <v>0</v>
          </cell>
          <cell r="AF297"/>
          <cell r="AG297">
            <v>0</v>
          </cell>
          <cell r="AH297">
            <v>0</v>
          </cell>
          <cell r="AI297">
            <v>0</v>
          </cell>
          <cell r="AJ297">
            <v>0</v>
          </cell>
          <cell r="AK297">
            <v>0</v>
          </cell>
          <cell r="AL297"/>
          <cell r="AM297">
            <v>0</v>
          </cell>
          <cell r="AN297">
            <v>0</v>
          </cell>
          <cell r="AO297">
            <v>0</v>
          </cell>
          <cell r="AP297">
            <v>0</v>
          </cell>
          <cell r="AQ297">
            <v>0</v>
          </cell>
          <cell r="AR297"/>
          <cell r="AS297">
            <v>0</v>
          </cell>
          <cell r="AT297">
            <v>0</v>
          </cell>
          <cell r="AU297">
            <v>0</v>
          </cell>
          <cell r="AV297">
            <v>0</v>
          </cell>
          <cell r="AW297">
            <v>0</v>
          </cell>
          <cell r="AX297"/>
          <cell r="AY297">
            <v>0</v>
          </cell>
          <cell r="AZ297">
            <v>0</v>
          </cell>
          <cell r="BA297">
            <v>0</v>
          </cell>
          <cell r="BB297">
            <v>0</v>
          </cell>
          <cell r="BC297">
            <v>0</v>
          </cell>
          <cell r="BD297"/>
          <cell r="BE297">
            <v>0</v>
          </cell>
          <cell r="BF297">
            <v>0</v>
          </cell>
          <cell r="BG297">
            <v>0</v>
          </cell>
          <cell r="BH297">
            <v>0</v>
          </cell>
          <cell r="BI297">
            <v>0</v>
          </cell>
          <cell r="BJ297"/>
          <cell r="BK297">
            <v>0</v>
          </cell>
          <cell r="BL297">
            <v>0</v>
          </cell>
          <cell r="BM297">
            <v>0</v>
          </cell>
          <cell r="BN297">
            <v>0</v>
          </cell>
          <cell r="BO297">
            <v>0</v>
          </cell>
          <cell r="BP297"/>
          <cell r="BQ297">
            <v>0</v>
          </cell>
          <cell r="BR297">
            <v>0</v>
          </cell>
          <cell r="BS297">
            <v>0</v>
          </cell>
          <cell r="BT297">
            <v>0</v>
          </cell>
          <cell r="BU297">
            <v>0</v>
          </cell>
          <cell r="BV297"/>
          <cell r="BW297" t="str">
            <v>NA</v>
          </cell>
          <cell r="BX297" t="str">
            <v>NA</v>
          </cell>
          <cell r="BY297" t="str">
            <v>NA</v>
          </cell>
          <cell r="BZ297" t="str">
            <v>NA</v>
          </cell>
          <cell r="CA297">
            <v>0</v>
          </cell>
          <cell r="CB297"/>
          <cell r="CC297" t="str">
            <v>NA</v>
          </cell>
          <cell r="CD297" t="str">
            <v>NA</v>
          </cell>
          <cell r="CE297" t="str">
            <v>NA</v>
          </cell>
          <cell r="CF297" t="str">
            <v>NA</v>
          </cell>
          <cell r="CG297">
            <v>0</v>
          </cell>
          <cell r="CH297"/>
        </row>
        <row r="298">
          <cell r="A298" t="str">
            <v>% total</v>
          </cell>
          <cell r="C298"/>
          <cell r="D298"/>
          <cell r="E298"/>
          <cell r="F298"/>
          <cell r="G298"/>
          <cell r="I298"/>
          <cell r="J298"/>
          <cell r="K298"/>
          <cell r="L298"/>
          <cell r="M298"/>
          <cell r="O298"/>
          <cell r="P298"/>
          <cell r="Q298"/>
          <cell r="R298"/>
          <cell r="S298"/>
          <cell r="U298"/>
          <cell r="V298"/>
          <cell r="W298"/>
          <cell r="X298"/>
          <cell r="Y298" t="str">
            <v>NA</v>
          </cell>
          <cell r="AA298" t="str">
            <v>NA</v>
          </cell>
          <cell r="AB298" t="str">
            <v>NA</v>
          </cell>
          <cell r="AC298" t="str">
            <v>NA</v>
          </cell>
          <cell r="AD298" t="str">
            <v>NA</v>
          </cell>
          <cell r="AE298" t="str">
            <v>NA</v>
          </cell>
          <cell r="AG298" t="str">
            <v>NA</v>
          </cell>
          <cell r="AH298" t="str">
            <v>NA</v>
          </cell>
          <cell r="AI298" t="str">
            <v>NA</v>
          </cell>
          <cell r="AJ298" t="str">
            <v>NA</v>
          </cell>
          <cell r="AK298" t="str">
            <v>NA</v>
          </cell>
          <cell r="AM298" t="str">
            <v>NA</v>
          </cell>
          <cell r="AN298" t="str">
            <v>NA</v>
          </cell>
          <cell r="AO298" t="str">
            <v>NA</v>
          </cell>
          <cell r="AP298" t="str">
            <v>NA</v>
          </cell>
          <cell r="AQ298" t="str">
            <v>NA</v>
          </cell>
          <cell r="AS298" t="str">
            <v>NA</v>
          </cell>
          <cell r="AT298" t="str">
            <v>NA</v>
          </cell>
          <cell r="AU298" t="str">
            <v>NA</v>
          </cell>
          <cell r="AV298" t="str">
            <v>NA</v>
          </cell>
          <cell r="AW298" t="str">
            <v>NA</v>
          </cell>
          <cell r="AY298" t="str">
            <v>NA</v>
          </cell>
          <cell r="AZ298" t="str">
            <v>NA</v>
          </cell>
          <cell r="BA298" t="str">
            <v>NA</v>
          </cell>
          <cell r="BB298">
            <v>0</v>
          </cell>
          <cell r="BC298">
            <v>0</v>
          </cell>
          <cell r="BE298" t="str">
            <v>NA</v>
          </cell>
          <cell r="BF298" t="str">
            <v>NA</v>
          </cell>
          <cell r="BG298">
            <v>0</v>
          </cell>
          <cell r="BH298">
            <v>0</v>
          </cell>
          <cell r="BI298" t="str">
            <v>NA</v>
          </cell>
          <cell r="BK298">
            <v>0</v>
          </cell>
          <cell r="BL298">
            <v>0</v>
          </cell>
          <cell r="BM298">
            <v>0</v>
          </cell>
          <cell r="BN298">
            <v>0</v>
          </cell>
          <cell r="BO298" t="str">
            <v>NA</v>
          </cell>
          <cell r="BQ298">
            <v>0</v>
          </cell>
          <cell r="BR298">
            <v>0</v>
          </cell>
          <cell r="BS298">
            <v>0</v>
          </cell>
          <cell r="BT298">
            <v>0</v>
          </cell>
          <cell r="BU298" t="str">
            <v>NA</v>
          </cell>
          <cell r="BW298">
            <v>0</v>
          </cell>
          <cell r="BX298">
            <v>0</v>
          </cell>
          <cell r="BY298">
            <v>0</v>
          </cell>
          <cell r="BZ298">
            <v>0</v>
          </cell>
          <cell r="CA298" t="str">
            <v>NA</v>
          </cell>
          <cell r="CC298">
            <v>0</v>
          </cell>
          <cell r="CD298">
            <v>0</v>
          </cell>
          <cell r="CE298">
            <v>0</v>
          </cell>
          <cell r="CF298">
            <v>0</v>
          </cell>
          <cell r="CG298" t="str">
            <v>NA</v>
          </cell>
        </row>
        <row r="299">
          <cell r="A299"/>
          <cell r="C299"/>
          <cell r="D299"/>
          <cell r="E299"/>
          <cell r="F299"/>
          <cell r="G299"/>
          <cell r="I299"/>
          <cell r="J299"/>
          <cell r="K299"/>
          <cell r="L299"/>
          <cell r="M299"/>
          <cell r="O299"/>
          <cell r="P299"/>
          <cell r="Q299"/>
          <cell r="R299"/>
          <cell r="S299"/>
          <cell r="U299"/>
          <cell r="V299"/>
          <cell r="W299"/>
          <cell r="X299"/>
          <cell r="Y299"/>
          <cell r="AA299"/>
          <cell r="AB299"/>
          <cell r="AC299"/>
          <cell r="AD299"/>
          <cell r="AE299"/>
          <cell r="AG299"/>
          <cell r="AH299"/>
          <cell r="AI299"/>
          <cell r="AJ299"/>
          <cell r="AK299"/>
          <cell r="AM299"/>
          <cell r="AN299"/>
          <cell r="AO299"/>
          <cell r="AP299"/>
          <cell r="AQ299"/>
          <cell r="AS299"/>
          <cell r="AT299"/>
          <cell r="AU299"/>
          <cell r="AV299"/>
          <cell r="AW299"/>
          <cell r="AY299"/>
          <cell r="AZ299"/>
          <cell r="BA299"/>
          <cell r="BB299"/>
          <cell r="BC299"/>
          <cell r="BE299"/>
          <cell r="BF299"/>
          <cell r="BG299"/>
          <cell r="BH299"/>
          <cell r="BI299"/>
          <cell r="BK299"/>
          <cell r="BL299"/>
          <cell r="BM299"/>
          <cell r="BN299"/>
          <cell r="BO299"/>
          <cell r="BQ299"/>
          <cell r="BR299"/>
          <cell r="BS299"/>
          <cell r="BT299"/>
          <cell r="BU299"/>
          <cell r="BW299"/>
          <cell r="BX299"/>
          <cell r="BY299"/>
          <cell r="BZ299"/>
          <cell r="CA299"/>
          <cell r="CC299"/>
          <cell r="CD299"/>
          <cell r="CE299"/>
          <cell r="CF299"/>
          <cell r="CG299"/>
        </row>
        <row r="300">
          <cell r="A300" t="str">
            <v>Other income (expense), net</v>
          </cell>
          <cell r="B300"/>
          <cell r="C300"/>
          <cell r="D300"/>
          <cell r="E300"/>
          <cell r="F300"/>
          <cell r="G300"/>
          <cell r="H300"/>
          <cell r="I300"/>
          <cell r="J300"/>
          <cell r="K300"/>
          <cell r="L300"/>
          <cell r="M300"/>
          <cell r="N300"/>
          <cell r="O300"/>
          <cell r="P300"/>
          <cell r="Q300"/>
          <cell r="R300"/>
          <cell r="S300"/>
          <cell r="T300"/>
          <cell r="U300"/>
          <cell r="V300"/>
          <cell r="W300"/>
          <cell r="X300"/>
          <cell r="Y300">
            <v>0</v>
          </cell>
          <cell r="Z300"/>
          <cell r="AA300">
            <v>0</v>
          </cell>
          <cell r="AB300">
            <v>0</v>
          </cell>
          <cell r="AC300">
            <v>0</v>
          </cell>
          <cell r="AD300">
            <v>0</v>
          </cell>
          <cell r="AE300">
            <v>0</v>
          </cell>
          <cell r="AF300"/>
          <cell r="AG300">
            <v>0</v>
          </cell>
          <cell r="AH300">
            <v>0</v>
          </cell>
          <cell r="AI300">
            <v>0</v>
          </cell>
          <cell r="AJ300">
            <v>0</v>
          </cell>
          <cell r="AK300">
            <v>0</v>
          </cell>
          <cell r="AL300"/>
          <cell r="AM300">
            <v>0</v>
          </cell>
          <cell r="AN300">
            <v>0</v>
          </cell>
          <cell r="AO300">
            <v>0</v>
          </cell>
          <cell r="AP300">
            <v>0</v>
          </cell>
          <cell r="AQ300">
            <v>0</v>
          </cell>
          <cell r="AR300"/>
          <cell r="AS300">
            <v>0</v>
          </cell>
          <cell r="AT300">
            <v>0</v>
          </cell>
          <cell r="AU300">
            <v>0</v>
          </cell>
          <cell r="AV300">
            <v>0</v>
          </cell>
          <cell r="AW300">
            <v>0</v>
          </cell>
          <cell r="AX300"/>
          <cell r="AY300">
            <v>0</v>
          </cell>
          <cell r="AZ300">
            <v>0</v>
          </cell>
          <cell r="BA300">
            <v>0</v>
          </cell>
          <cell r="BB300">
            <v>0</v>
          </cell>
          <cell r="BC300">
            <v>0</v>
          </cell>
          <cell r="BD300"/>
          <cell r="BE300">
            <v>0</v>
          </cell>
          <cell r="BF300">
            <v>0</v>
          </cell>
          <cell r="BG300">
            <v>0</v>
          </cell>
          <cell r="BH300">
            <v>0</v>
          </cell>
          <cell r="BI300">
            <v>0</v>
          </cell>
          <cell r="BJ300"/>
          <cell r="BK300">
            <v>0</v>
          </cell>
          <cell r="BL300">
            <v>0</v>
          </cell>
          <cell r="BM300">
            <v>0</v>
          </cell>
          <cell r="BN300">
            <v>0</v>
          </cell>
          <cell r="BO300">
            <v>0</v>
          </cell>
          <cell r="BP300"/>
          <cell r="BQ300">
            <v>0</v>
          </cell>
          <cell r="BR300">
            <v>0</v>
          </cell>
          <cell r="BS300">
            <v>0</v>
          </cell>
          <cell r="BT300">
            <v>0</v>
          </cell>
          <cell r="BU300">
            <v>0</v>
          </cell>
          <cell r="BV300"/>
          <cell r="BW300" t="str">
            <v>NA</v>
          </cell>
          <cell r="BX300" t="str">
            <v>NA</v>
          </cell>
          <cell r="BY300" t="str">
            <v>NA</v>
          </cell>
          <cell r="BZ300" t="str">
            <v>NA</v>
          </cell>
          <cell r="CA300">
            <v>0</v>
          </cell>
          <cell r="CB300"/>
          <cell r="CC300" t="str">
            <v>NA</v>
          </cell>
          <cell r="CD300" t="str">
            <v>NA</v>
          </cell>
          <cell r="CE300" t="str">
            <v>NA</v>
          </cell>
          <cell r="CF300" t="str">
            <v>NA</v>
          </cell>
          <cell r="CG300">
            <v>0</v>
          </cell>
          <cell r="CH300"/>
        </row>
        <row r="301">
          <cell r="A301" t="str">
            <v>% total</v>
          </cell>
          <cell r="C301"/>
          <cell r="D301"/>
          <cell r="E301"/>
          <cell r="F301"/>
          <cell r="G301"/>
          <cell r="I301"/>
          <cell r="J301"/>
          <cell r="K301"/>
          <cell r="L301"/>
          <cell r="M301"/>
          <cell r="O301"/>
          <cell r="P301"/>
          <cell r="Q301"/>
          <cell r="R301"/>
          <cell r="S301"/>
          <cell r="U301"/>
          <cell r="V301"/>
          <cell r="W301"/>
          <cell r="X301"/>
          <cell r="Y301" t="str">
            <v>NA</v>
          </cell>
          <cell r="AA301" t="str">
            <v>NA</v>
          </cell>
          <cell r="AB301" t="str">
            <v>NA</v>
          </cell>
          <cell r="AC301" t="str">
            <v>NA</v>
          </cell>
          <cell r="AD301" t="str">
            <v>NA</v>
          </cell>
          <cell r="AE301" t="str">
            <v>NA</v>
          </cell>
          <cell r="AG301" t="str">
            <v>NA</v>
          </cell>
          <cell r="AH301" t="str">
            <v>NA</v>
          </cell>
          <cell r="AI301" t="str">
            <v>NA</v>
          </cell>
          <cell r="AJ301" t="str">
            <v>NA</v>
          </cell>
          <cell r="AK301" t="str">
            <v>NA</v>
          </cell>
          <cell r="AM301" t="str">
            <v>NA</v>
          </cell>
          <cell r="AN301" t="str">
            <v>NA</v>
          </cell>
          <cell r="AO301" t="str">
            <v>NA</v>
          </cell>
          <cell r="AP301" t="str">
            <v>NA</v>
          </cell>
          <cell r="AQ301" t="str">
            <v>NA</v>
          </cell>
          <cell r="AS301" t="str">
            <v>NA</v>
          </cell>
          <cell r="AT301" t="str">
            <v>NA</v>
          </cell>
          <cell r="AU301" t="str">
            <v>NA</v>
          </cell>
          <cell r="AV301" t="str">
            <v>NA</v>
          </cell>
          <cell r="AW301" t="str">
            <v>NA</v>
          </cell>
          <cell r="AY301" t="str">
            <v>NA</v>
          </cell>
          <cell r="AZ301" t="str">
            <v>NA</v>
          </cell>
          <cell r="BA301" t="str">
            <v>NA</v>
          </cell>
          <cell r="BB301">
            <v>0</v>
          </cell>
          <cell r="BC301">
            <v>0</v>
          </cell>
          <cell r="BE301" t="str">
            <v>NA</v>
          </cell>
          <cell r="BF301" t="str">
            <v>NA</v>
          </cell>
          <cell r="BG301">
            <v>0</v>
          </cell>
          <cell r="BH301">
            <v>0</v>
          </cell>
          <cell r="BI301" t="str">
            <v>NA</v>
          </cell>
          <cell r="BK301">
            <v>0</v>
          </cell>
          <cell r="BL301">
            <v>0</v>
          </cell>
          <cell r="BM301">
            <v>0</v>
          </cell>
          <cell r="BN301">
            <v>0</v>
          </cell>
          <cell r="BO301" t="str">
            <v>NA</v>
          </cell>
          <cell r="BQ301">
            <v>0</v>
          </cell>
          <cell r="BR301">
            <v>0</v>
          </cell>
          <cell r="BS301">
            <v>0</v>
          </cell>
          <cell r="BT301">
            <v>0</v>
          </cell>
          <cell r="BU301" t="str">
            <v>NA</v>
          </cell>
          <cell r="BW301">
            <v>0</v>
          </cell>
          <cell r="BX301">
            <v>0</v>
          </cell>
          <cell r="BY301">
            <v>0</v>
          </cell>
          <cell r="BZ301">
            <v>0</v>
          </cell>
          <cell r="CA301" t="str">
            <v>NA</v>
          </cell>
          <cell r="CC301">
            <v>0</v>
          </cell>
          <cell r="CD301">
            <v>0</v>
          </cell>
          <cell r="CE301">
            <v>0</v>
          </cell>
          <cell r="CF301">
            <v>0</v>
          </cell>
          <cell r="CG301" t="str">
            <v>NA</v>
          </cell>
        </row>
        <row r="302">
          <cell r="A302"/>
          <cell r="C302"/>
          <cell r="D302"/>
          <cell r="E302"/>
          <cell r="F302"/>
          <cell r="G302"/>
          <cell r="I302"/>
          <cell r="J302"/>
          <cell r="K302"/>
          <cell r="L302"/>
          <cell r="M302"/>
          <cell r="O302"/>
          <cell r="P302"/>
          <cell r="Q302"/>
          <cell r="R302"/>
          <cell r="S302"/>
          <cell r="U302"/>
          <cell r="V302"/>
          <cell r="W302"/>
          <cell r="X302"/>
          <cell r="Y302"/>
          <cell r="AA302"/>
          <cell r="AB302"/>
          <cell r="AC302"/>
          <cell r="AD302"/>
          <cell r="AE302"/>
          <cell r="AG302"/>
          <cell r="AH302"/>
          <cell r="AI302"/>
          <cell r="AJ302"/>
          <cell r="AK302"/>
          <cell r="AM302"/>
          <cell r="AN302"/>
          <cell r="AO302"/>
          <cell r="AP302"/>
          <cell r="AQ302"/>
          <cell r="AS302"/>
          <cell r="AT302"/>
          <cell r="AU302"/>
          <cell r="AV302"/>
          <cell r="AW302"/>
          <cell r="AY302"/>
          <cell r="AZ302"/>
          <cell r="BA302"/>
          <cell r="BB302"/>
          <cell r="BC302"/>
          <cell r="BE302"/>
          <cell r="BF302"/>
          <cell r="BG302"/>
          <cell r="BH302"/>
          <cell r="BI302"/>
          <cell r="BK302"/>
          <cell r="BL302"/>
          <cell r="BM302"/>
          <cell r="BN302"/>
          <cell r="BO302"/>
          <cell r="BQ302"/>
          <cell r="BR302"/>
          <cell r="BS302"/>
          <cell r="BT302"/>
          <cell r="BU302"/>
          <cell r="BW302"/>
          <cell r="BX302"/>
          <cell r="BY302"/>
          <cell r="BZ302"/>
          <cell r="CA302"/>
          <cell r="CC302"/>
          <cell r="CD302"/>
          <cell r="CE302"/>
          <cell r="CF302"/>
          <cell r="CG302"/>
        </row>
        <row r="303">
          <cell r="A303" t="str">
            <v>Total</v>
          </cell>
          <cell r="B303"/>
          <cell r="C303"/>
          <cell r="D303"/>
          <cell r="E303"/>
          <cell r="F303"/>
          <cell r="G303"/>
          <cell r="I303"/>
          <cell r="J303"/>
          <cell r="K303"/>
          <cell r="L303"/>
          <cell r="M303"/>
          <cell r="O303"/>
          <cell r="P303"/>
          <cell r="Q303"/>
          <cell r="R303"/>
          <cell r="S303"/>
          <cell r="U303"/>
          <cell r="V303"/>
          <cell r="W303"/>
          <cell r="X303"/>
          <cell r="Y303">
            <v>0</v>
          </cell>
          <cell r="AA303">
            <v>0</v>
          </cell>
          <cell r="AB303">
            <v>0</v>
          </cell>
          <cell r="AC303">
            <v>0</v>
          </cell>
          <cell r="AD303">
            <v>0</v>
          </cell>
          <cell r="AE303">
            <v>0</v>
          </cell>
          <cell r="AG303">
            <v>0</v>
          </cell>
          <cell r="AH303">
            <v>0</v>
          </cell>
          <cell r="AI303">
            <v>0</v>
          </cell>
          <cell r="AJ303">
            <v>0</v>
          </cell>
          <cell r="AK303">
            <v>0</v>
          </cell>
          <cell r="AL303"/>
          <cell r="AM303">
            <v>0</v>
          </cell>
          <cell r="AN303">
            <v>0</v>
          </cell>
          <cell r="AO303">
            <v>0</v>
          </cell>
          <cell r="AP303">
            <v>0</v>
          </cell>
          <cell r="AQ303">
            <v>0</v>
          </cell>
          <cell r="AS303">
            <v>0</v>
          </cell>
          <cell r="AT303">
            <v>0</v>
          </cell>
          <cell r="AU303">
            <v>0</v>
          </cell>
          <cell r="AV303">
            <v>0</v>
          </cell>
          <cell r="AW303">
            <v>0</v>
          </cell>
          <cell r="AY303">
            <v>0</v>
          </cell>
          <cell r="AZ303">
            <v>0</v>
          </cell>
          <cell r="BA303">
            <v>0</v>
          </cell>
          <cell r="BB303">
            <v>0.17499999999999999</v>
          </cell>
          <cell r="BC303">
            <v>0.17499999999999999</v>
          </cell>
          <cell r="BE303">
            <v>0</v>
          </cell>
          <cell r="BF303">
            <v>0</v>
          </cell>
          <cell r="BG303">
            <v>0</v>
          </cell>
          <cell r="BH303">
            <v>0</v>
          </cell>
          <cell r="BI303">
            <v>0</v>
          </cell>
          <cell r="BK303">
            <v>0</v>
          </cell>
          <cell r="BL303">
            <v>0</v>
          </cell>
          <cell r="BM303">
            <v>0</v>
          </cell>
          <cell r="BN303">
            <v>0</v>
          </cell>
          <cell r="BO303">
            <v>0</v>
          </cell>
          <cell r="BQ303" t="e">
            <v>#VALUE!</v>
          </cell>
          <cell r="BR303" t="e">
            <v>#VALUE!</v>
          </cell>
          <cell r="BS303" t="e">
            <v>#VALUE!</v>
          </cell>
          <cell r="BT303" t="e">
            <v>#VALUE!</v>
          </cell>
          <cell r="BU303">
            <v>0</v>
          </cell>
          <cell r="BW303" t="e">
            <v>#VALUE!</v>
          </cell>
          <cell r="BX303" t="e">
            <v>#VALUE!</v>
          </cell>
          <cell r="BY303" t="e">
            <v>#VALUE!</v>
          </cell>
          <cell r="BZ303" t="e">
            <v>#VALUE!</v>
          </cell>
          <cell r="CA303">
            <v>0</v>
          </cell>
          <cell r="CC303" t="e">
            <v>#VALUE!</v>
          </cell>
          <cell r="CD303" t="e">
            <v>#VALUE!</v>
          </cell>
          <cell r="CE303" t="e">
            <v>#VALUE!</v>
          </cell>
          <cell r="CF303" t="e">
            <v>#VALUE!</v>
          </cell>
          <cell r="CG303">
            <v>0</v>
          </cell>
        </row>
        <row r="304">
          <cell r="A304" t="str">
            <v>q/q change</v>
          </cell>
          <cell r="B304"/>
          <cell r="C304"/>
          <cell r="D304"/>
          <cell r="E304"/>
          <cell r="F304"/>
          <cell r="G304"/>
          <cell r="I304"/>
          <cell r="J304"/>
          <cell r="K304"/>
          <cell r="L304"/>
          <cell r="M304"/>
          <cell r="O304"/>
          <cell r="P304"/>
          <cell r="Q304"/>
          <cell r="R304"/>
          <cell r="S304"/>
          <cell r="U304"/>
          <cell r="V304"/>
          <cell r="W304"/>
          <cell r="X304"/>
          <cell r="Y304" t="str">
            <v>NA</v>
          </cell>
          <cell r="AA304" t="str">
            <v>NA</v>
          </cell>
          <cell r="AB304" t="str">
            <v>NA</v>
          </cell>
          <cell r="AC304" t="str">
            <v>NA</v>
          </cell>
          <cell r="AD304" t="str">
            <v>NA</v>
          </cell>
          <cell r="AE304" t="str">
            <v>NA</v>
          </cell>
          <cell r="AG304" t="str">
            <v>NA</v>
          </cell>
          <cell r="AH304" t="str">
            <v>NA</v>
          </cell>
          <cell r="AI304" t="str">
            <v>NA</v>
          </cell>
          <cell r="AJ304" t="str">
            <v>NA</v>
          </cell>
          <cell r="AK304" t="str">
            <v>NA</v>
          </cell>
          <cell r="AL304"/>
          <cell r="AM304" t="str">
            <v>NA</v>
          </cell>
          <cell r="AN304" t="str">
            <v>NA</v>
          </cell>
          <cell r="AO304" t="str">
            <v>NA</v>
          </cell>
          <cell r="AP304" t="str">
            <v>NA</v>
          </cell>
          <cell r="AQ304" t="str">
            <v>NA</v>
          </cell>
          <cell r="AS304" t="str">
            <v>NA</v>
          </cell>
          <cell r="AT304" t="str">
            <v>NA</v>
          </cell>
          <cell r="AU304" t="str">
            <v>NA</v>
          </cell>
          <cell r="AV304" t="str">
            <v>NA</v>
          </cell>
          <cell r="AW304" t="str">
            <v>NA</v>
          </cell>
          <cell r="AY304" t="str">
            <v>NA</v>
          </cell>
          <cell r="AZ304" t="str">
            <v>NA</v>
          </cell>
          <cell r="BA304" t="str">
            <v>NA</v>
          </cell>
          <cell r="BB304" t="str">
            <v>NA</v>
          </cell>
          <cell r="BC304" t="str">
            <v>NA</v>
          </cell>
          <cell r="BE304">
            <v>-1</v>
          </cell>
          <cell r="BF304" t="str">
            <v>NA</v>
          </cell>
          <cell r="BG304" t="str">
            <v>NA</v>
          </cell>
          <cell r="BH304" t="str">
            <v>NA</v>
          </cell>
          <cell r="BI304" t="str">
            <v>NA</v>
          </cell>
          <cell r="BK304" t="str">
            <v>NA</v>
          </cell>
          <cell r="BL304" t="str">
            <v>NA</v>
          </cell>
          <cell r="BM304" t="str">
            <v>NA</v>
          </cell>
          <cell r="BN304" t="str">
            <v>NA</v>
          </cell>
          <cell r="BO304" t="str">
            <v>NA</v>
          </cell>
          <cell r="BQ304" t="str">
            <v>NA</v>
          </cell>
          <cell r="BR304" t="str">
            <v>NA</v>
          </cell>
          <cell r="BS304" t="str">
            <v>NA</v>
          </cell>
          <cell r="BT304" t="str">
            <v>NA</v>
          </cell>
          <cell r="BU304" t="str">
            <v>NA</v>
          </cell>
          <cell r="BW304" t="str">
            <v>NA</v>
          </cell>
          <cell r="BX304" t="str">
            <v>NA</v>
          </cell>
          <cell r="BY304" t="str">
            <v>NA</v>
          </cell>
          <cell r="BZ304" t="str">
            <v>NA</v>
          </cell>
          <cell r="CA304" t="str">
            <v>NA</v>
          </cell>
          <cell r="CC304" t="str">
            <v>NA</v>
          </cell>
          <cell r="CD304" t="str">
            <v>NA</v>
          </cell>
          <cell r="CE304" t="str">
            <v>NA</v>
          </cell>
          <cell r="CF304" t="str">
            <v>NA</v>
          </cell>
          <cell r="CG304" t="str">
            <v>NA</v>
          </cell>
        </row>
        <row r="305">
          <cell r="A305" t="str">
            <v>y/y change</v>
          </cell>
          <cell r="B305"/>
          <cell r="C305"/>
          <cell r="D305"/>
          <cell r="E305"/>
          <cell r="F305"/>
          <cell r="G305"/>
          <cell r="H305"/>
          <cell r="I305"/>
          <cell r="J305"/>
          <cell r="K305"/>
          <cell r="L305"/>
          <cell r="M305"/>
          <cell r="N305"/>
          <cell r="O305"/>
          <cell r="P305"/>
          <cell r="Q305"/>
          <cell r="R305"/>
          <cell r="S305"/>
          <cell r="T305"/>
          <cell r="U305"/>
          <cell r="V305"/>
          <cell r="W305"/>
          <cell r="X305"/>
          <cell r="Y305" t="str">
            <v>NA</v>
          </cell>
          <cell r="Z305"/>
          <cell r="AA305" t="str">
            <v>NA</v>
          </cell>
          <cell r="AB305" t="str">
            <v>NA</v>
          </cell>
          <cell r="AC305" t="str">
            <v>NA</v>
          </cell>
          <cell r="AD305" t="str">
            <v>NA</v>
          </cell>
          <cell r="AE305" t="str">
            <v>NA</v>
          </cell>
          <cell r="AF305"/>
          <cell r="AG305" t="str">
            <v>NA</v>
          </cell>
          <cell r="AH305" t="str">
            <v>NA</v>
          </cell>
          <cell r="AI305" t="str">
            <v>NA</v>
          </cell>
          <cell r="AJ305" t="str">
            <v>NA</v>
          </cell>
          <cell r="AK305" t="str">
            <v>NA</v>
          </cell>
          <cell r="AL305"/>
          <cell r="AM305" t="str">
            <v>NA</v>
          </cell>
          <cell r="AN305" t="str">
            <v>NA</v>
          </cell>
          <cell r="AO305" t="str">
            <v>NA</v>
          </cell>
          <cell r="AP305" t="str">
            <v>NA</v>
          </cell>
          <cell r="AQ305" t="str">
            <v>NA</v>
          </cell>
          <cell r="AR305"/>
          <cell r="AS305" t="str">
            <v>NA</v>
          </cell>
          <cell r="AT305" t="str">
            <v>NA</v>
          </cell>
          <cell r="AU305" t="str">
            <v>NA</v>
          </cell>
          <cell r="AV305" t="str">
            <v>NA</v>
          </cell>
          <cell r="AW305" t="str">
            <v>NA</v>
          </cell>
          <cell r="AX305"/>
          <cell r="AY305" t="str">
            <v>NA</v>
          </cell>
          <cell r="AZ305" t="str">
            <v>NA</v>
          </cell>
          <cell r="BA305" t="str">
            <v>NA</v>
          </cell>
          <cell r="BB305" t="str">
            <v>NA</v>
          </cell>
          <cell r="BC305" t="str">
            <v>NA</v>
          </cell>
          <cell r="BD305"/>
          <cell r="BE305" t="str">
            <v>NA</v>
          </cell>
          <cell r="BF305" t="str">
            <v>NA</v>
          </cell>
          <cell r="BG305" t="str">
            <v>NA</v>
          </cell>
          <cell r="BH305">
            <v>-1</v>
          </cell>
          <cell r="BI305">
            <v>-1</v>
          </cell>
          <cell r="BJ305"/>
          <cell r="BK305" t="str">
            <v>NA</v>
          </cell>
          <cell r="BL305" t="str">
            <v>NA</v>
          </cell>
          <cell r="BM305" t="str">
            <v>NA</v>
          </cell>
          <cell r="BN305" t="str">
            <v>NA</v>
          </cell>
          <cell r="BO305" t="str">
            <v>NA</v>
          </cell>
          <cell r="BP305"/>
          <cell r="BQ305" t="str">
            <v>NA</v>
          </cell>
          <cell r="BR305" t="str">
            <v>NA</v>
          </cell>
          <cell r="BS305" t="str">
            <v>NA</v>
          </cell>
          <cell r="BT305" t="str">
            <v>NA</v>
          </cell>
          <cell r="BU305" t="str">
            <v>NA</v>
          </cell>
          <cell r="BV305"/>
          <cell r="BW305" t="str">
            <v>NA</v>
          </cell>
          <cell r="BX305" t="str">
            <v>NA</v>
          </cell>
          <cell r="BY305" t="str">
            <v>NA</v>
          </cell>
          <cell r="BZ305" t="str">
            <v>NA</v>
          </cell>
          <cell r="CA305" t="str">
            <v>NA</v>
          </cell>
          <cell r="CB305"/>
          <cell r="CC305" t="str">
            <v>NA</v>
          </cell>
          <cell r="CD305" t="str">
            <v>NA</v>
          </cell>
          <cell r="CE305" t="str">
            <v>NA</v>
          </cell>
          <cell r="CF305" t="str">
            <v>NA</v>
          </cell>
          <cell r="CG305" t="str">
            <v>NA</v>
          </cell>
        </row>
        <row r="306">
          <cell r="A306" t="str">
            <v>% seasonality</v>
          </cell>
          <cell r="B306"/>
          <cell r="C306"/>
          <cell r="D306"/>
          <cell r="E306"/>
          <cell r="F306"/>
          <cell r="G306"/>
          <cell r="H306"/>
          <cell r="I306"/>
          <cell r="J306"/>
          <cell r="K306"/>
          <cell r="L306"/>
          <cell r="M306"/>
          <cell r="N306"/>
          <cell r="O306"/>
          <cell r="P306"/>
          <cell r="Q306"/>
          <cell r="R306"/>
          <cell r="S306"/>
          <cell r="T306"/>
          <cell r="U306"/>
          <cell r="V306"/>
          <cell r="W306"/>
          <cell r="X306"/>
          <cell r="Y306">
            <v>0</v>
          </cell>
          <cell r="Z306"/>
          <cell r="AA306" t="str">
            <v>NA</v>
          </cell>
          <cell r="AB306" t="str">
            <v>NA</v>
          </cell>
          <cell r="AC306" t="str">
            <v>NA</v>
          </cell>
          <cell r="AD306" t="str">
            <v>NA</v>
          </cell>
          <cell r="AE306">
            <v>0</v>
          </cell>
          <cell r="AF306"/>
          <cell r="AG306" t="str">
            <v>NA</v>
          </cell>
          <cell r="AH306" t="str">
            <v>NA</v>
          </cell>
          <cell r="AI306" t="str">
            <v>NA</v>
          </cell>
          <cell r="AJ306" t="str">
            <v>NA</v>
          </cell>
          <cell r="AK306">
            <v>0</v>
          </cell>
          <cell r="AL306"/>
          <cell r="AM306" t="str">
            <v>NA</v>
          </cell>
          <cell r="AN306" t="str">
            <v>NA</v>
          </cell>
          <cell r="AO306" t="str">
            <v>NA</v>
          </cell>
          <cell r="AP306" t="str">
            <v>NA</v>
          </cell>
          <cell r="AQ306">
            <v>0</v>
          </cell>
          <cell r="AR306"/>
          <cell r="AS306" t="str">
            <v>NA</v>
          </cell>
          <cell r="AT306" t="str">
            <v>NA</v>
          </cell>
          <cell r="AU306" t="str">
            <v>NA</v>
          </cell>
          <cell r="AV306" t="str">
            <v>NA</v>
          </cell>
          <cell r="AW306">
            <v>0</v>
          </cell>
          <cell r="AX306"/>
          <cell r="AY306">
            <v>0</v>
          </cell>
          <cell r="AZ306">
            <v>0</v>
          </cell>
          <cell r="BA306">
            <v>0</v>
          </cell>
          <cell r="BB306">
            <v>1</v>
          </cell>
          <cell r="BC306">
            <v>1</v>
          </cell>
          <cell r="BD306"/>
          <cell r="BE306" t="str">
            <v>NA</v>
          </cell>
          <cell r="BF306">
            <v>0</v>
          </cell>
          <cell r="BG306" t="str">
            <v>NA</v>
          </cell>
          <cell r="BH306" t="str">
            <v>NA</v>
          </cell>
          <cell r="BI306">
            <v>0</v>
          </cell>
          <cell r="BJ306"/>
          <cell r="BK306" t="str">
            <v>NA</v>
          </cell>
          <cell r="BL306" t="str">
            <v>NA</v>
          </cell>
          <cell r="BM306" t="str">
            <v>NA</v>
          </cell>
          <cell r="BN306" t="str">
            <v>NA</v>
          </cell>
          <cell r="BO306">
            <v>0</v>
          </cell>
          <cell r="BP306"/>
          <cell r="BQ306" t="str">
            <v>NA</v>
          </cell>
          <cell r="BR306" t="str">
            <v>NA</v>
          </cell>
          <cell r="BS306" t="str">
            <v>NA</v>
          </cell>
          <cell r="BT306" t="str">
            <v>NA</v>
          </cell>
          <cell r="BU306">
            <v>0</v>
          </cell>
          <cell r="BV306"/>
          <cell r="BW306" t="str">
            <v>NA</v>
          </cell>
          <cell r="BX306" t="str">
            <v>NA</v>
          </cell>
          <cell r="BY306" t="str">
            <v>NA</v>
          </cell>
          <cell r="BZ306" t="str">
            <v>NA</v>
          </cell>
          <cell r="CA306">
            <v>0</v>
          </cell>
          <cell r="CB306"/>
          <cell r="CC306" t="str">
            <v>NA</v>
          </cell>
          <cell r="CD306" t="str">
            <v>NA</v>
          </cell>
          <cell r="CE306" t="str">
            <v>NA</v>
          </cell>
          <cell r="CF306" t="str">
            <v>NA</v>
          </cell>
          <cell r="CG306">
            <v>0</v>
          </cell>
        </row>
        <row r="307">
          <cell r="A307" t="str">
            <v>% balance check</v>
          </cell>
          <cell r="C307"/>
          <cell r="D307"/>
          <cell r="E307"/>
          <cell r="F307"/>
          <cell r="G307"/>
          <cell r="I307"/>
          <cell r="J307"/>
          <cell r="K307"/>
          <cell r="L307"/>
          <cell r="M307"/>
          <cell r="O307"/>
          <cell r="P307"/>
          <cell r="Q307"/>
          <cell r="R307"/>
          <cell r="S307"/>
          <cell r="U307"/>
          <cell r="V307"/>
          <cell r="W307"/>
          <cell r="X307"/>
          <cell r="Y307">
            <v>0</v>
          </cell>
          <cell r="AA307">
            <v>0</v>
          </cell>
          <cell r="AB307">
            <v>0</v>
          </cell>
          <cell r="AC307">
            <v>0</v>
          </cell>
          <cell r="AD307">
            <v>0</v>
          </cell>
          <cell r="AE307">
            <v>0</v>
          </cell>
          <cell r="AG307">
            <v>0</v>
          </cell>
          <cell r="AH307">
            <v>0</v>
          </cell>
          <cell r="AI307">
            <v>0</v>
          </cell>
          <cell r="AJ307">
            <v>0</v>
          </cell>
          <cell r="AK307">
            <v>0</v>
          </cell>
          <cell r="AM307">
            <v>0</v>
          </cell>
          <cell r="AN307">
            <v>0</v>
          </cell>
          <cell r="AO307">
            <v>0</v>
          </cell>
          <cell r="AP307">
            <v>0</v>
          </cell>
          <cell r="AQ307">
            <v>0</v>
          </cell>
          <cell r="AS307">
            <v>0</v>
          </cell>
          <cell r="AT307">
            <v>0</v>
          </cell>
          <cell r="AU307">
            <v>0</v>
          </cell>
          <cell r="AV307">
            <v>0</v>
          </cell>
          <cell r="AW307">
            <v>0</v>
          </cell>
          <cell r="AY307">
            <v>0</v>
          </cell>
          <cell r="AZ307">
            <v>0</v>
          </cell>
          <cell r="BA307">
            <v>0</v>
          </cell>
          <cell r="BB307">
            <v>1</v>
          </cell>
          <cell r="BC307">
            <v>1</v>
          </cell>
          <cell r="BE307">
            <v>0</v>
          </cell>
          <cell r="BF307">
            <v>0</v>
          </cell>
          <cell r="BG307">
            <v>0</v>
          </cell>
          <cell r="BH307">
            <v>0</v>
          </cell>
          <cell r="BI307">
            <v>0</v>
          </cell>
          <cell r="BK307">
            <v>0</v>
          </cell>
          <cell r="BL307">
            <v>0</v>
          </cell>
          <cell r="BM307">
            <v>0</v>
          </cell>
          <cell r="BN307">
            <v>0</v>
          </cell>
          <cell r="BO307">
            <v>0</v>
          </cell>
          <cell r="BQ307">
            <v>0</v>
          </cell>
          <cell r="BR307">
            <v>0</v>
          </cell>
          <cell r="BS307">
            <v>0</v>
          </cell>
          <cell r="BT307">
            <v>0</v>
          </cell>
          <cell r="BU307">
            <v>0</v>
          </cell>
          <cell r="BW307">
            <v>0</v>
          </cell>
          <cell r="BX307">
            <v>0</v>
          </cell>
          <cell r="BY307">
            <v>0</v>
          </cell>
          <cell r="BZ307">
            <v>0</v>
          </cell>
          <cell r="CA307">
            <v>0</v>
          </cell>
          <cell r="CC307">
            <v>0</v>
          </cell>
          <cell r="CD307">
            <v>0</v>
          </cell>
          <cell r="CE307">
            <v>0</v>
          </cell>
          <cell r="CF307">
            <v>0</v>
          </cell>
          <cell r="CG307">
            <v>0</v>
          </cell>
        </row>
        <row r="308">
          <cell r="A308" t="str">
            <v>% total revenue</v>
          </cell>
          <cell r="C308"/>
          <cell r="D308"/>
          <cell r="E308"/>
          <cell r="F308"/>
          <cell r="G308"/>
          <cell r="I308"/>
          <cell r="J308"/>
          <cell r="K308"/>
          <cell r="L308"/>
          <cell r="M308"/>
          <cell r="O308"/>
          <cell r="P308"/>
          <cell r="Q308"/>
          <cell r="R308"/>
          <cell r="S308"/>
          <cell r="U308"/>
          <cell r="V308"/>
          <cell r="W308"/>
          <cell r="X308"/>
          <cell r="Y308">
            <v>0</v>
          </cell>
          <cell r="AA308">
            <v>0</v>
          </cell>
          <cell r="AB308">
            <v>0</v>
          </cell>
          <cell r="AC308">
            <v>0</v>
          </cell>
          <cell r="AD308">
            <v>0</v>
          </cell>
          <cell r="AE308">
            <v>0</v>
          </cell>
          <cell r="AG308">
            <v>0</v>
          </cell>
          <cell r="AH308">
            <v>0</v>
          </cell>
          <cell r="AI308">
            <v>0</v>
          </cell>
          <cell r="AJ308">
            <v>0</v>
          </cell>
          <cell r="AK308">
            <v>0</v>
          </cell>
          <cell r="AM308">
            <v>0</v>
          </cell>
          <cell r="AN308">
            <v>0</v>
          </cell>
          <cell r="AO308">
            <v>0</v>
          </cell>
          <cell r="AP308">
            <v>0</v>
          </cell>
          <cell r="AQ308">
            <v>0</v>
          </cell>
          <cell r="AS308">
            <v>0</v>
          </cell>
          <cell r="AT308">
            <v>0</v>
          </cell>
          <cell r="AU308">
            <v>0</v>
          </cell>
          <cell r="AV308">
            <v>0</v>
          </cell>
          <cell r="AW308">
            <v>0</v>
          </cell>
          <cell r="AY308">
            <v>0</v>
          </cell>
          <cell r="AZ308">
            <v>0</v>
          </cell>
          <cell r="BA308">
            <v>0</v>
          </cell>
          <cell r="BB308">
            <v>1.1185682326621924E-3</v>
          </cell>
          <cell r="BC308">
            <v>4.1875044866119502E-4</v>
          </cell>
          <cell r="BE308">
            <v>0</v>
          </cell>
          <cell r="BF308">
            <v>0</v>
          </cell>
          <cell r="BG308">
            <v>0</v>
          </cell>
          <cell r="BH308">
            <v>0</v>
          </cell>
          <cell r="BI308">
            <v>0</v>
          </cell>
          <cell r="BK308">
            <v>0</v>
          </cell>
          <cell r="BL308">
            <v>0</v>
          </cell>
          <cell r="BM308">
            <v>0</v>
          </cell>
          <cell r="BN308">
            <v>0</v>
          </cell>
          <cell r="BO308">
            <v>0</v>
          </cell>
          <cell r="BQ308">
            <v>0</v>
          </cell>
          <cell r="BR308">
            <v>0</v>
          </cell>
          <cell r="BS308">
            <v>0</v>
          </cell>
          <cell r="BT308">
            <v>0</v>
          </cell>
          <cell r="BU308" t="str">
            <v>NA</v>
          </cell>
          <cell r="BW308">
            <v>0</v>
          </cell>
          <cell r="BX308">
            <v>0</v>
          </cell>
          <cell r="BY308">
            <v>0</v>
          </cell>
          <cell r="BZ308">
            <v>0</v>
          </cell>
          <cell r="CA308" t="str">
            <v>NA</v>
          </cell>
          <cell r="CC308">
            <v>0</v>
          </cell>
          <cell r="CD308">
            <v>0</v>
          </cell>
          <cell r="CE308">
            <v>0</v>
          </cell>
          <cell r="CF308">
            <v>0</v>
          </cell>
          <cell r="CG308" t="str">
            <v>NA</v>
          </cell>
        </row>
        <row r="309">
          <cell r="A309"/>
          <cell r="C309"/>
          <cell r="D309"/>
          <cell r="E309"/>
          <cell r="F309"/>
          <cell r="G309"/>
          <cell r="I309"/>
          <cell r="J309"/>
          <cell r="K309"/>
          <cell r="L309"/>
          <cell r="M309"/>
          <cell r="O309"/>
          <cell r="P309"/>
          <cell r="Q309"/>
          <cell r="R309"/>
          <cell r="S309"/>
          <cell r="U309"/>
          <cell r="V309"/>
          <cell r="W309"/>
          <cell r="X309"/>
          <cell r="Y309"/>
          <cell r="AA309"/>
          <cell r="AB309"/>
          <cell r="AC309"/>
          <cell r="AD309"/>
          <cell r="AE309"/>
          <cell r="AG309"/>
          <cell r="AH309"/>
          <cell r="AI309"/>
          <cell r="AJ309"/>
          <cell r="AK309"/>
          <cell r="AM309"/>
          <cell r="AN309"/>
          <cell r="AO309"/>
          <cell r="AP309"/>
          <cell r="AQ309"/>
          <cell r="AS309"/>
          <cell r="AT309"/>
          <cell r="AU309"/>
          <cell r="AV309"/>
          <cell r="AW309"/>
          <cell r="AY309"/>
          <cell r="AZ309"/>
          <cell r="BA309"/>
          <cell r="BB309"/>
          <cell r="BC309"/>
          <cell r="BE309"/>
          <cell r="BF309"/>
          <cell r="BG309"/>
          <cell r="BH309"/>
          <cell r="BI309"/>
          <cell r="BK309"/>
          <cell r="BL309"/>
          <cell r="BM309"/>
          <cell r="BN309"/>
          <cell r="BO309"/>
          <cell r="BQ309"/>
          <cell r="BR309"/>
          <cell r="BS309"/>
          <cell r="BT309"/>
          <cell r="BU309"/>
          <cell r="BW309"/>
          <cell r="BX309"/>
          <cell r="BY309"/>
          <cell r="BZ309"/>
          <cell r="CA309"/>
          <cell r="CC309"/>
          <cell r="CD309"/>
          <cell r="CE309"/>
          <cell r="CF309"/>
          <cell r="CG309"/>
        </row>
        <row r="310">
          <cell r="A310"/>
          <cell r="C310"/>
          <cell r="D310"/>
          <cell r="E310"/>
          <cell r="F310"/>
          <cell r="G310"/>
          <cell r="I310"/>
          <cell r="J310"/>
          <cell r="K310"/>
          <cell r="L310"/>
          <cell r="M310"/>
          <cell r="O310"/>
          <cell r="P310"/>
          <cell r="Q310"/>
          <cell r="R310"/>
          <cell r="S310"/>
          <cell r="U310"/>
          <cell r="V310"/>
          <cell r="W310"/>
          <cell r="X310"/>
          <cell r="Y310"/>
          <cell r="AA310"/>
          <cell r="AB310"/>
          <cell r="AC310"/>
          <cell r="AD310"/>
          <cell r="AE310"/>
          <cell r="AG310"/>
          <cell r="AH310"/>
          <cell r="AI310"/>
          <cell r="AJ310"/>
          <cell r="AK310"/>
          <cell r="AM310"/>
          <cell r="AN310"/>
          <cell r="AO310"/>
          <cell r="AP310"/>
          <cell r="AQ310"/>
          <cell r="AS310"/>
          <cell r="AT310"/>
          <cell r="AU310"/>
          <cell r="AV310"/>
          <cell r="AW310"/>
          <cell r="AY310"/>
          <cell r="AZ310"/>
          <cell r="BA310"/>
          <cell r="BB310"/>
          <cell r="BC310"/>
          <cell r="BE310"/>
          <cell r="BF310"/>
          <cell r="BG310"/>
          <cell r="BH310"/>
          <cell r="BI310"/>
          <cell r="BK310"/>
          <cell r="BL310"/>
          <cell r="BM310"/>
          <cell r="BN310"/>
          <cell r="BO310"/>
          <cell r="BQ310"/>
          <cell r="BR310"/>
          <cell r="BS310"/>
          <cell r="BT310"/>
          <cell r="BU310"/>
          <cell r="BW310"/>
          <cell r="BX310"/>
          <cell r="BY310"/>
          <cell r="BZ310"/>
          <cell r="CA310"/>
          <cell r="CC310"/>
          <cell r="CD310"/>
          <cell r="CE310"/>
          <cell r="CF310"/>
          <cell r="CG310"/>
        </row>
        <row r="311">
          <cell r="A311" t="str">
            <v>OTHER NON-RECURRING ITEMS</v>
          </cell>
          <cell r="C311"/>
          <cell r="D311"/>
          <cell r="E311"/>
          <cell r="F311"/>
          <cell r="G311"/>
          <cell r="I311"/>
          <cell r="J311"/>
          <cell r="K311"/>
          <cell r="L311"/>
          <cell r="M311"/>
          <cell r="O311"/>
          <cell r="P311"/>
          <cell r="Q311"/>
          <cell r="R311"/>
          <cell r="S311"/>
          <cell r="U311"/>
          <cell r="V311"/>
          <cell r="W311"/>
          <cell r="X311"/>
          <cell r="Y311"/>
          <cell r="AA311"/>
          <cell r="AB311"/>
          <cell r="AC311"/>
          <cell r="AD311"/>
          <cell r="AE311"/>
          <cell r="AG311"/>
          <cell r="AH311"/>
          <cell r="AI311"/>
          <cell r="AJ311"/>
          <cell r="AK311"/>
          <cell r="AM311"/>
          <cell r="AN311"/>
          <cell r="AO311"/>
          <cell r="AP311"/>
          <cell r="AQ311"/>
          <cell r="AS311"/>
          <cell r="AT311"/>
          <cell r="AU311"/>
          <cell r="AV311"/>
          <cell r="AW311"/>
          <cell r="AY311"/>
          <cell r="AZ311"/>
          <cell r="BA311"/>
          <cell r="BB311"/>
          <cell r="BC311"/>
          <cell r="BE311"/>
          <cell r="BF311"/>
          <cell r="BG311"/>
          <cell r="BH311"/>
          <cell r="BI311"/>
          <cell r="BK311"/>
          <cell r="BL311"/>
          <cell r="BM311"/>
          <cell r="BN311"/>
          <cell r="BO311"/>
          <cell r="BQ311"/>
          <cell r="BR311"/>
          <cell r="BS311"/>
          <cell r="BT311"/>
          <cell r="BU311"/>
          <cell r="BW311"/>
          <cell r="BX311"/>
          <cell r="BY311"/>
          <cell r="BZ311"/>
          <cell r="CA311"/>
          <cell r="CC311"/>
          <cell r="CD311"/>
          <cell r="CE311"/>
          <cell r="CF311"/>
          <cell r="CG311"/>
        </row>
        <row r="312">
          <cell r="A312"/>
          <cell r="C312"/>
          <cell r="D312"/>
          <cell r="E312"/>
          <cell r="F312"/>
          <cell r="G312"/>
          <cell r="I312"/>
          <cell r="J312"/>
          <cell r="K312"/>
          <cell r="L312"/>
          <cell r="M312"/>
          <cell r="O312"/>
          <cell r="P312"/>
          <cell r="Q312"/>
          <cell r="R312"/>
          <cell r="S312"/>
          <cell r="U312"/>
          <cell r="V312"/>
          <cell r="W312"/>
          <cell r="X312"/>
          <cell r="Y312"/>
          <cell r="AA312"/>
          <cell r="AB312"/>
          <cell r="AC312"/>
          <cell r="AD312"/>
          <cell r="AE312"/>
          <cell r="AG312"/>
          <cell r="AH312"/>
          <cell r="AI312"/>
          <cell r="AJ312"/>
          <cell r="AK312"/>
          <cell r="AM312"/>
          <cell r="AN312"/>
          <cell r="AO312"/>
          <cell r="AP312"/>
          <cell r="AQ312"/>
          <cell r="AS312"/>
          <cell r="AT312"/>
          <cell r="AU312"/>
          <cell r="AV312"/>
          <cell r="AW312"/>
          <cell r="AY312"/>
          <cell r="AZ312"/>
          <cell r="BA312"/>
          <cell r="BB312"/>
          <cell r="BC312"/>
          <cell r="BE312"/>
          <cell r="BF312"/>
          <cell r="BG312"/>
          <cell r="BH312"/>
          <cell r="BI312"/>
          <cell r="BK312"/>
          <cell r="BL312"/>
          <cell r="BM312"/>
          <cell r="BN312"/>
          <cell r="BO312"/>
          <cell r="BQ312"/>
          <cell r="BR312"/>
          <cell r="BS312"/>
          <cell r="BT312"/>
          <cell r="BU312"/>
          <cell r="BW312"/>
          <cell r="BX312"/>
          <cell r="BY312"/>
          <cell r="BZ312"/>
          <cell r="CA312"/>
          <cell r="CC312"/>
          <cell r="CD312"/>
          <cell r="CE312"/>
          <cell r="CF312"/>
          <cell r="CG312"/>
        </row>
        <row r="313">
          <cell r="A313" t="str">
            <v>Cost of license revenue</v>
          </cell>
          <cell r="B313"/>
          <cell r="C313"/>
          <cell r="D313"/>
          <cell r="E313"/>
          <cell r="F313"/>
          <cell r="G313"/>
          <cell r="H313"/>
          <cell r="I313"/>
          <cell r="J313"/>
          <cell r="K313"/>
          <cell r="L313"/>
          <cell r="M313"/>
          <cell r="N313"/>
          <cell r="O313"/>
          <cell r="P313"/>
          <cell r="Q313"/>
          <cell r="R313"/>
          <cell r="S313"/>
          <cell r="T313"/>
          <cell r="U313"/>
          <cell r="V313"/>
          <cell r="W313"/>
          <cell r="X313"/>
          <cell r="Y313">
            <v>0</v>
          </cell>
          <cell r="Z313"/>
          <cell r="AA313">
            <v>0</v>
          </cell>
          <cell r="AB313">
            <v>0</v>
          </cell>
          <cell r="AC313">
            <v>0</v>
          </cell>
          <cell r="AD313">
            <v>0</v>
          </cell>
          <cell r="AE313">
            <v>0</v>
          </cell>
          <cell r="AF313"/>
          <cell r="AG313">
            <v>0</v>
          </cell>
          <cell r="AH313">
            <v>0</v>
          </cell>
          <cell r="AI313">
            <v>0</v>
          </cell>
          <cell r="AJ313">
            <v>0</v>
          </cell>
          <cell r="AK313">
            <v>0</v>
          </cell>
          <cell r="AL313"/>
          <cell r="AM313">
            <v>0</v>
          </cell>
          <cell r="AN313">
            <v>0</v>
          </cell>
          <cell r="AO313">
            <v>0</v>
          </cell>
          <cell r="AP313">
            <v>0</v>
          </cell>
          <cell r="AQ313">
            <v>0</v>
          </cell>
          <cell r="AR313"/>
          <cell r="AS313">
            <v>0</v>
          </cell>
          <cell r="AT313">
            <v>0</v>
          </cell>
          <cell r="AU313">
            <v>0</v>
          </cell>
          <cell r="AV313">
            <v>0</v>
          </cell>
          <cell r="AW313">
            <v>0</v>
          </cell>
          <cell r="AX313"/>
          <cell r="AY313">
            <v>0</v>
          </cell>
          <cell r="AZ313">
            <v>0</v>
          </cell>
          <cell r="BA313">
            <v>0</v>
          </cell>
          <cell r="BB313">
            <v>0</v>
          </cell>
          <cell r="BC313">
            <v>0</v>
          </cell>
          <cell r="BD313"/>
          <cell r="BE313">
            <v>0</v>
          </cell>
          <cell r="BF313">
            <v>0</v>
          </cell>
          <cell r="BG313">
            <v>0</v>
          </cell>
          <cell r="BH313">
            <v>0</v>
          </cell>
          <cell r="BI313">
            <v>0</v>
          </cell>
          <cell r="BJ313"/>
          <cell r="BK313">
            <v>0</v>
          </cell>
          <cell r="BL313">
            <v>0</v>
          </cell>
          <cell r="BM313">
            <v>0</v>
          </cell>
          <cell r="BN313">
            <v>0</v>
          </cell>
          <cell r="BO313">
            <v>0</v>
          </cell>
          <cell r="BP313"/>
          <cell r="BQ313">
            <v>0</v>
          </cell>
          <cell r="BR313">
            <v>0</v>
          </cell>
          <cell r="BS313">
            <v>0</v>
          </cell>
          <cell r="BT313">
            <v>0</v>
          </cell>
          <cell r="BU313">
            <v>0</v>
          </cell>
          <cell r="BV313"/>
          <cell r="BW313" t="str">
            <v>NA</v>
          </cell>
          <cell r="BX313" t="str">
            <v>NA</v>
          </cell>
          <cell r="BY313" t="str">
            <v>NA</v>
          </cell>
          <cell r="BZ313" t="str">
            <v>NA</v>
          </cell>
          <cell r="CA313">
            <v>0</v>
          </cell>
          <cell r="CB313"/>
          <cell r="CC313" t="str">
            <v>NA</v>
          </cell>
          <cell r="CD313" t="str">
            <v>NA</v>
          </cell>
          <cell r="CE313" t="str">
            <v>NA</v>
          </cell>
          <cell r="CF313" t="str">
            <v>NA</v>
          </cell>
          <cell r="CG313">
            <v>0</v>
          </cell>
          <cell r="CH313"/>
        </row>
        <row r="314">
          <cell r="A314" t="str">
            <v>% total revenue</v>
          </cell>
          <cell r="C314"/>
          <cell r="D314"/>
          <cell r="E314"/>
          <cell r="F314"/>
          <cell r="G314"/>
          <cell r="I314"/>
          <cell r="J314"/>
          <cell r="K314"/>
          <cell r="L314"/>
          <cell r="M314"/>
          <cell r="O314"/>
          <cell r="P314"/>
          <cell r="Q314"/>
          <cell r="R314"/>
          <cell r="S314"/>
          <cell r="U314"/>
          <cell r="V314"/>
          <cell r="W314"/>
          <cell r="X314"/>
          <cell r="Y314">
            <v>0</v>
          </cell>
          <cell r="AA314">
            <v>0</v>
          </cell>
          <cell r="AB314">
            <v>0</v>
          </cell>
          <cell r="AC314">
            <v>0</v>
          </cell>
          <cell r="AD314">
            <v>0</v>
          </cell>
          <cell r="AE314">
            <v>0</v>
          </cell>
          <cell r="AG314">
            <v>0</v>
          </cell>
          <cell r="AH314">
            <v>0</v>
          </cell>
          <cell r="AI314">
            <v>0</v>
          </cell>
          <cell r="AJ314">
            <v>0</v>
          </cell>
          <cell r="AK314">
            <v>0</v>
          </cell>
          <cell r="AM314">
            <v>0</v>
          </cell>
          <cell r="AN314">
            <v>0</v>
          </cell>
          <cell r="AO314">
            <v>0</v>
          </cell>
          <cell r="AP314">
            <v>0</v>
          </cell>
          <cell r="AQ314">
            <v>0</v>
          </cell>
          <cell r="AS314">
            <v>0</v>
          </cell>
          <cell r="AT314">
            <v>0</v>
          </cell>
          <cell r="AU314">
            <v>0</v>
          </cell>
          <cell r="AV314">
            <v>0</v>
          </cell>
          <cell r="AW314">
            <v>0</v>
          </cell>
          <cell r="AY314">
            <v>0</v>
          </cell>
          <cell r="AZ314">
            <v>0</v>
          </cell>
          <cell r="BA314">
            <v>0</v>
          </cell>
          <cell r="BB314">
            <v>0</v>
          </cell>
          <cell r="BC314">
            <v>0</v>
          </cell>
          <cell r="BE314">
            <v>0</v>
          </cell>
          <cell r="BF314">
            <v>0</v>
          </cell>
          <cell r="BG314">
            <v>0</v>
          </cell>
          <cell r="BH314">
            <v>0</v>
          </cell>
          <cell r="BI314">
            <v>0</v>
          </cell>
          <cell r="BK314">
            <v>0</v>
          </cell>
          <cell r="BL314">
            <v>0</v>
          </cell>
          <cell r="BM314">
            <v>0</v>
          </cell>
          <cell r="BN314">
            <v>0</v>
          </cell>
          <cell r="BO314">
            <v>0</v>
          </cell>
          <cell r="BQ314">
            <v>0</v>
          </cell>
          <cell r="BR314">
            <v>0</v>
          </cell>
          <cell r="BS314">
            <v>0</v>
          </cell>
          <cell r="BT314">
            <v>0</v>
          </cell>
          <cell r="BU314" t="str">
            <v>NA</v>
          </cell>
          <cell r="BW314">
            <v>0</v>
          </cell>
          <cell r="BX314">
            <v>0</v>
          </cell>
          <cell r="BY314">
            <v>0</v>
          </cell>
          <cell r="BZ314">
            <v>0</v>
          </cell>
          <cell r="CA314" t="str">
            <v>NA</v>
          </cell>
          <cell r="CC314">
            <v>0</v>
          </cell>
          <cell r="CD314">
            <v>0</v>
          </cell>
          <cell r="CE314">
            <v>0</v>
          </cell>
          <cell r="CF314">
            <v>0</v>
          </cell>
          <cell r="CG314" t="str">
            <v>NA</v>
          </cell>
        </row>
        <row r="315">
          <cell r="A315"/>
          <cell r="C315"/>
          <cell r="D315"/>
          <cell r="E315"/>
          <cell r="F315"/>
          <cell r="G315"/>
          <cell r="I315"/>
          <cell r="J315"/>
          <cell r="K315"/>
          <cell r="L315"/>
          <cell r="M315"/>
          <cell r="O315"/>
          <cell r="P315"/>
          <cell r="Q315"/>
          <cell r="R315"/>
          <cell r="S315"/>
          <cell r="U315"/>
          <cell r="V315"/>
          <cell r="W315"/>
          <cell r="X315"/>
          <cell r="Y315"/>
          <cell r="AA315"/>
          <cell r="AB315"/>
          <cell r="AC315"/>
          <cell r="AD315"/>
          <cell r="AE315"/>
          <cell r="AG315"/>
          <cell r="AH315"/>
          <cell r="AI315"/>
          <cell r="AJ315"/>
          <cell r="AK315"/>
          <cell r="AM315"/>
          <cell r="AN315"/>
          <cell r="AO315"/>
          <cell r="AP315"/>
          <cell r="AQ315"/>
          <cell r="AS315"/>
          <cell r="AT315"/>
          <cell r="AU315"/>
          <cell r="AV315"/>
          <cell r="AW315"/>
          <cell r="AY315"/>
          <cell r="AZ315"/>
          <cell r="BA315"/>
          <cell r="BB315"/>
          <cell r="BC315"/>
          <cell r="BE315"/>
          <cell r="BF315"/>
          <cell r="BG315"/>
          <cell r="BH315"/>
          <cell r="BI315"/>
          <cell r="BK315"/>
          <cell r="BL315"/>
          <cell r="BM315"/>
          <cell r="BN315"/>
          <cell r="BO315"/>
          <cell r="BQ315"/>
          <cell r="BR315"/>
          <cell r="BS315"/>
          <cell r="BT315"/>
          <cell r="BU315"/>
          <cell r="BW315"/>
          <cell r="BX315"/>
          <cell r="BY315"/>
          <cell r="BZ315"/>
          <cell r="CA315"/>
          <cell r="CC315"/>
          <cell r="CD315"/>
          <cell r="CE315"/>
          <cell r="CF315"/>
          <cell r="CG315"/>
        </row>
        <row r="316">
          <cell r="A316" t="str">
            <v>Cost of maintenance and services revenue</v>
          </cell>
          <cell r="B316"/>
          <cell r="C316"/>
          <cell r="D316"/>
          <cell r="E316"/>
          <cell r="F316"/>
          <cell r="G316"/>
          <cell r="H316"/>
          <cell r="I316"/>
          <cell r="J316"/>
          <cell r="K316"/>
          <cell r="L316"/>
          <cell r="M316"/>
          <cell r="N316"/>
          <cell r="O316"/>
          <cell r="P316"/>
          <cell r="Q316"/>
          <cell r="R316"/>
          <cell r="S316"/>
          <cell r="T316"/>
          <cell r="U316"/>
          <cell r="V316"/>
          <cell r="W316"/>
          <cell r="X316"/>
          <cell r="Y316">
            <v>0</v>
          </cell>
          <cell r="Z316"/>
          <cell r="AA316">
            <v>0</v>
          </cell>
          <cell r="AB316">
            <v>0</v>
          </cell>
          <cell r="AC316">
            <v>0</v>
          </cell>
          <cell r="AD316">
            <v>0</v>
          </cell>
          <cell r="AE316">
            <v>0</v>
          </cell>
          <cell r="AF316"/>
          <cell r="AG316">
            <v>0</v>
          </cell>
          <cell r="AH316">
            <v>0</v>
          </cell>
          <cell r="AI316">
            <v>0</v>
          </cell>
          <cell r="AJ316">
            <v>0</v>
          </cell>
          <cell r="AK316">
            <v>0</v>
          </cell>
          <cell r="AL316"/>
          <cell r="AM316">
            <v>0</v>
          </cell>
          <cell r="AN316">
            <v>0</v>
          </cell>
          <cell r="AO316">
            <v>0</v>
          </cell>
          <cell r="AP316">
            <v>0</v>
          </cell>
          <cell r="AQ316">
            <v>0</v>
          </cell>
          <cell r="AR316"/>
          <cell r="AS316">
            <v>0</v>
          </cell>
          <cell r="AT316">
            <v>0</v>
          </cell>
          <cell r="AU316">
            <v>0</v>
          </cell>
          <cell r="AV316">
            <v>0</v>
          </cell>
          <cell r="AW316">
            <v>0</v>
          </cell>
          <cell r="AX316"/>
          <cell r="AY316">
            <v>0</v>
          </cell>
          <cell r="AZ316">
            <v>0</v>
          </cell>
          <cell r="BA316">
            <v>0</v>
          </cell>
          <cell r="BB316">
            <v>0</v>
          </cell>
          <cell r="BC316">
            <v>0</v>
          </cell>
          <cell r="BD316"/>
          <cell r="BE316">
            <v>0</v>
          </cell>
          <cell r="BF316">
            <v>0</v>
          </cell>
          <cell r="BG316">
            <v>0</v>
          </cell>
          <cell r="BH316">
            <v>0</v>
          </cell>
          <cell r="BI316">
            <v>0</v>
          </cell>
          <cell r="BJ316"/>
          <cell r="BK316">
            <v>0</v>
          </cell>
          <cell r="BL316">
            <v>0</v>
          </cell>
          <cell r="BM316">
            <v>0</v>
          </cell>
          <cell r="BN316">
            <v>0</v>
          </cell>
          <cell r="BO316">
            <v>0</v>
          </cell>
          <cell r="BP316"/>
          <cell r="BQ316">
            <v>0</v>
          </cell>
          <cell r="BR316">
            <v>0</v>
          </cell>
          <cell r="BS316">
            <v>0</v>
          </cell>
          <cell r="BT316">
            <v>0</v>
          </cell>
          <cell r="BU316">
            <v>0</v>
          </cell>
          <cell r="BV316"/>
          <cell r="BW316" t="str">
            <v>NA</v>
          </cell>
          <cell r="BX316" t="str">
            <v>NA</v>
          </cell>
          <cell r="BY316" t="str">
            <v>NA</v>
          </cell>
          <cell r="BZ316" t="str">
            <v>NA</v>
          </cell>
          <cell r="CA316">
            <v>0</v>
          </cell>
          <cell r="CB316"/>
          <cell r="CC316" t="str">
            <v>NA</v>
          </cell>
          <cell r="CD316" t="str">
            <v>NA</v>
          </cell>
          <cell r="CE316" t="str">
            <v>NA</v>
          </cell>
          <cell r="CF316" t="str">
            <v>NA</v>
          </cell>
          <cell r="CG316">
            <v>0</v>
          </cell>
          <cell r="CH316"/>
        </row>
        <row r="317">
          <cell r="A317" t="str">
            <v>% total revenue</v>
          </cell>
          <cell r="C317"/>
          <cell r="D317"/>
          <cell r="E317"/>
          <cell r="F317"/>
          <cell r="G317"/>
          <cell r="I317"/>
          <cell r="J317"/>
          <cell r="K317"/>
          <cell r="L317"/>
          <cell r="M317"/>
          <cell r="O317"/>
          <cell r="P317"/>
          <cell r="Q317"/>
          <cell r="R317"/>
          <cell r="S317"/>
          <cell r="U317"/>
          <cell r="V317"/>
          <cell r="W317"/>
          <cell r="X317"/>
          <cell r="Y317">
            <v>0</v>
          </cell>
          <cell r="AA317">
            <v>0</v>
          </cell>
          <cell r="AB317">
            <v>0</v>
          </cell>
          <cell r="AC317">
            <v>0</v>
          </cell>
          <cell r="AD317">
            <v>0</v>
          </cell>
          <cell r="AE317">
            <v>0</v>
          </cell>
          <cell r="AG317">
            <v>0</v>
          </cell>
          <cell r="AH317">
            <v>0</v>
          </cell>
          <cell r="AI317">
            <v>0</v>
          </cell>
          <cell r="AJ317">
            <v>0</v>
          </cell>
          <cell r="AK317">
            <v>0</v>
          </cell>
          <cell r="AM317">
            <v>0</v>
          </cell>
          <cell r="AN317">
            <v>0</v>
          </cell>
          <cell r="AO317">
            <v>0</v>
          </cell>
          <cell r="AP317">
            <v>0</v>
          </cell>
          <cell r="AQ317">
            <v>0</v>
          </cell>
          <cell r="AS317">
            <v>0</v>
          </cell>
          <cell r="AT317">
            <v>0</v>
          </cell>
          <cell r="AU317">
            <v>0</v>
          </cell>
          <cell r="AV317">
            <v>0</v>
          </cell>
          <cell r="AW317">
            <v>0</v>
          </cell>
          <cell r="AY317">
            <v>0</v>
          </cell>
          <cell r="AZ317">
            <v>0</v>
          </cell>
          <cell r="BA317">
            <v>0</v>
          </cell>
          <cell r="BB317">
            <v>0</v>
          </cell>
          <cell r="BC317">
            <v>0</v>
          </cell>
          <cell r="BE317">
            <v>0</v>
          </cell>
          <cell r="BF317">
            <v>0</v>
          </cell>
          <cell r="BG317">
            <v>0</v>
          </cell>
          <cell r="BH317">
            <v>0</v>
          </cell>
          <cell r="BI317">
            <v>0</v>
          </cell>
          <cell r="BK317">
            <v>0</v>
          </cell>
          <cell r="BL317">
            <v>0</v>
          </cell>
          <cell r="BM317">
            <v>0</v>
          </cell>
          <cell r="BN317">
            <v>0</v>
          </cell>
          <cell r="BO317">
            <v>0</v>
          </cell>
          <cell r="BQ317">
            <v>0</v>
          </cell>
          <cell r="BR317">
            <v>0</v>
          </cell>
          <cell r="BS317">
            <v>0</v>
          </cell>
          <cell r="BT317">
            <v>0</v>
          </cell>
          <cell r="BU317" t="str">
            <v>NA</v>
          </cell>
          <cell r="BW317">
            <v>0</v>
          </cell>
          <cell r="BX317">
            <v>0</v>
          </cell>
          <cell r="BY317">
            <v>0</v>
          </cell>
          <cell r="BZ317">
            <v>0</v>
          </cell>
          <cell r="CA317" t="str">
            <v>NA</v>
          </cell>
          <cell r="CC317">
            <v>0</v>
          </cell>
          <cell r="CD317">
            <v>0</v>
          </cell>
          <cell r="CE317">
            <v>0</v>
          </cell>
          <cell r="CF317">
            <v>0</v>
          </cell>
          <cell r="CG317" t="str">
            <v>NA</v>
          </cell>
        </row>
        <row r="318">
          <cell r="A318"/>
          <cell r="C318"/>
          <cell r="D318"/>
          <cell r="E318"/>
          <cell r="F318"/>
          <cell r="G318"/>
          <cell r="I318"/>
          <cell r="J318"/>
          <cell r="K318"/>
          <cell r="L318"/>
          <cell r="M318"/>
          <cell r="O318"/>
          <cell r="P318"/>
          <cell r="Q318"/>
          <cell r="R318"/>
          <cell r="S318"/>
          <cell r="U318"/>
          <cell r="V318"/>
          <cell r="W318"/>
          <cell r="X318"/>
          <cell r="Y318"/>
          <cell r="AA318"/>
          <cell r="AB318"/>
          <cell r="AC318"/>
          <cell r="AD318"/>
          <cell r="AE318"/>
          <cell r="AG318"/>
          <cell r="AH318"/>
          <cell r="AI318"/>
          <cell r="AJ318"/>
          <cell r="AK318"/>
          <cell r="AM318"/>
          <cell r="AN318"/>
          <cell r="AO318"/>
          <cell r="AP318"/>
          <cell r="AQ318"/>
          <cell r="AS318"/>
          <cell r="AT318"/>
          <cell r="AU318"/>
          <cell r="AV318"/>
          <cell r="AW318"/>
          <cell r="AY318"/>
          <cell r="AZ318"/>
          <cell r="BA318"/>
          <cell r="BB318"/>
          <cell r="BC318"/>
          <cell r="BE318"/>
          <cell r="BF318"/>
          <cell r="BG318"/>
          <cell r="BH318"/>
          <cell r="BI318"/>
          <cell r="BK318"/>
          <cell r="BL318"/>
          <cell r="BM318"/>
          <cell r="BN318"/>
          <cell r="BO318"/>
          <cell r="BQ318"/>
          <cell r="BR318"/>
          <cell r="BS318"/>
          <cell r="BT318"/>
          <cell r="BU318"/>
          <cell r="BW318"/>
          <cell r="BX318"/>
          <cell r="BY318"/>
          <cell r="BZ318"/>
          <cell r="CA318"/>
          <cell r="CC318"/>
          <cell r="CD318"/>
          <cell r="CE318"/>
          <cell r="CF318"/>
          <cell r="CG318"/>
        </row>
        <row r="319">
          <cell r="A319" t="str">
            <v>Total cost of revenue</v>
          </cell>
          <cell r="B319"/>
          <cell r="C319"/>
          <cell r="D319"/>
          <cell r="E319"/>
          <cell r="F319"/>
          <cell r="G319"/>
          <cell r="H319"/>
          <cell r="I319"/>
          <cell r="J319"/>
          <cell r="K319"/>
          <cell r="L319"/>
          <cell r="M319"/>
          <cell r="N319"/>
          <cell r="O319"/>
          <cell r="P319"/>
          <cell r="Q319"/>
          <cell r="R319"/>
          <cell r="S319"/>
          <cell r="T319"/>
          <cell r="U319"/>
          <cell r="V319"/>
          <cell r="W319"/>
          <cell r="X319"/>
          <cell r="Y319">
            <v>0</v>
          </cell>
          <cell r="Z319"/>
          <cell r="AA319">
            <v>0</v>
          </cell>
          <cell r="AB319">
            <v>0</v>
          </cell>
          <cell r="AC319">
            <v>0</v>
          </cell>
          <cell r="AD319">
            <v>0</v>
          </cell>
          <cell r="AE319">
            <v>0</v>
          </cell>
          <cell r="AF319"/>
          <cell r="AG319">
            <v>0</v>
          </cell>
          <cell r="AH319">
            <v>0</v>
          </cell>
          <cell r="AI319">
            <v>0</v>
          </cell>
          <cell r="AJ319">
            <v>0</v>
          </cell>
          <cell r="AK319">
            <v>0</v>
          </cell>
          <cell r="AL319"/>
          <cell r="AM319">
            <v>0</v>
          </cell>
          <cell r="AN319">
            <v>0</v>
          </cell>
          <cell r="AO319">
            <v>0</v>
          </cell>
          <cell r="AP319">
            <v>0</v>
          </cell>
          <cell r="AQ319">
            <v>0</v>
          </cell>
          <cell r="AR319"/>
          <cell r="AS319">
            <v>0</v>
          </cell>
          <cell r="AT319">
            <v>0</v>
          </cell>
          <cell r="AU319">
            <v>0</v>
          </cell>
          <cell r="AV319">
            <v>0</v>
          </cell>
          <cell r="AW319">
            <v>0</v>
          </cell>
          <cell r="AX319"/>
          <cell r="AY319">
            <v>0</v>
          </cell>
          <cell r="AZ319">
            <v>0</v>
          </cell>
          <cell r="BA319">
            <v>0</v>
          </cell>
          <cell r="BB319">
            <v>0</v>
          </cell>
          <cell r="BC319">
            <v>0</v>
          </cell>
          <cell r="BD319"/>
          <cell r="BE319">
            <v>0</v>
          </cell>
          <cell r="BF319">
            <v>0</v>
          </cell>
          <cell r="BG319">
            <v>0</v>
          </cell>
          <cell r="BH319">
            <v>0</v>
          </cell>
          <cell r="BI319">
            <v>0</v>
          </cell>
          <cell r="BJ319"/>
          <cell r="BK319">
            <v>0</v>
          </cell>
          <cell r="BL319">
            <v>0</v>
          </cell>
          <cell r="BM319">
            <v>0</v>
          </cell>
          <cell r="BN319">
            <v>0</v>
          </cell>
          <cell r="BO319">
            <v>0</v>
          </cell>
          <cell r="BP319"/>
          <cell r="BQ319">
            <v>0</v>
          </cell>
          <cell r="BR319">
            <v>0</v>
          </cell>
          <cell r="BS319">
            <v>0</v>
          </cell>
          <cell r="BT319">
            <v>0</v>
          </cell>
          <cell r="BU319">
            <v>0</v>
          </cell>
          <cell r="BV319"/>
          <cell r="BW319" t="str">
            <v>NA</v>
          </cell>
          <cell r="BX319" t="str">
            <v>NA</v>
          </cell>
          <cell r="BY319" t="str">
            <v>NA</v>
          </cell>
          <cell r="BZ319" t="str">
            <v>NA</v>
          </cell>
          <cell r="CA319">
            <v>0</v>
          </cell>
          <cell r="CB319"/>
          <cell r="CC319" t="str">
            <v>NA</v>
          </cell>
          <cell r="CD319" t="str">
            <v>NA</v>
          </cell>
          <cell r="CE319" t="str">
            <v>NA</v>
          </cell>
          <cell r="CF319" t="str">
            <v>NA</v>
          </cell>
          <cell r="CG319">
            <v>0</v>
          </cell>
          <cell r="CH319"/>
        </row>
        <row r="320">
          <cell r="A320" t="str">
            <v>% total revenue</v>
          </cell>
          <cell r="C320"/>
          <cell r="D320"/>
          <cell r="E320"/>
          <cell r="F320"/>
          <cell r="G320"/>
          <cell r="I320"/>
          <cell r="J320"/>
          <cell r="K320"/>
          <cell r="L320"/>
          <cell r="M320"/>
          <cell r="O320"/>
          <cell r="P320"/>
          <cell r="Q320"/>
          <cell r="R320"/>
          <cell r="S320"/>
          <cell r="U320"/>
          <cell r="V320"/>
          <cell r="W320"/>
          <cell r="X320"/>
          <cell r="Y320">
            <v>0</v>
          </cell>
          <cell r="AA320">
            <v>0</v>
          </cell>
          <cell r="AB320">
            <v>0</v>
          </cell>
          <cell r="AC320">
            <v>0</v>
          </cell>
          <cell r="AD320">
            <v>0</v>
          </cell>
          <cell r="AE320">
            <v>0</v>
          </cell>
          <cell r="AG320">
            <v>0</v>
          </cell>
          <cell r="AH320">
            <v>0</v>
          </cell>
          <cell r="AI320">
            <v>0</v>
          </cell>
          <cell r="AJ320">
            <v>0</v>
          </cell>
          <cell r="AK320">
            <v>0</v>
          </cell>
          <cell r="AM320">
            <v>0</v>
          </cell>
          <cell r="AN320">
            <v>0</v>
          </cell>
          <cell r="AO320">
            <v>0</v>
          </cell>
          <cell r="AP320">
            <v>0</v>
          </cell>
          <cell r="AQ320">
            <v>0</v>
          </cell>
          <cell r="AS320">
            <v>0</v>
          </cell>
          <cell r="AT320">
            <v>0</v>
          </cell>
          <cell r="AU320">
            <v>0</v>
          </cell>
          <cell r="AV320">
            <v>0</v>
          </cell>
          <cell r="AW320">
            <v>0</v>
          </cell>
          <cell r="AY320">
            <v>0</v>
          </cell>
          <cell r="AZ320">
            <v>0</v>
          </cell>
          <cell r="BA320">
            <v>0</v>
          </cell>
          <cell r="BB320">
            <v>0</v>
          </cell>
          <cell r="BC320">
            <v>0</v>
          </cell>
          <cell r="BE320">
            <v>0</v>
          </cell>
          <cell r="BF320">
            <v>0</v>
          </cell>
          <cell r="BG320">
            <v>0</v>
          </cell>
          <cell r="BH320">
            <v>0</v>
          </cell>
          <cell r="BI320">
            <v>0</v>
          </cell>
          <cell r="BK320">
            <v>0</v>
          </cell>
          <cell r="BL320">
            <v>0</v>
          </cell>
          <cell r="BM320">
            <v>0</v>
          </cell>
          <cell r="BN320">
            <v>0</v>
          </cell>
          <cell r="BO320">
            <v>0</v>
          </cell>
          <cell r="BQ320">
            <v>0</v>
          </cell>
          <cell r="BR320">
            <v>0</v>
          </cell>
          <cell r="BS320">
            <v>0</v>
          </cell>
          <cell r="BT320">
            <v>0</v>
          </cell>
          <cell r="BU320" t="str">
            <v>NA</v>
          </cell>
          <cell r="BW320">
            <v>0</v>
          </cell>
          <cell r="BX320">
            <v>0</v>
          </cell>
          <cell r="BY320">
            <v>0</v>
          </cell>
          <cell r="BZ320">
            <v>0</v>
          </cell>
          <cell r="CA320" t="str">
            <v>NA</v>
          </cell>
          <cell r="CC320">
            <v>0</v>
          </cell>
          <cell r="CD320">
            <v>0</v>
          </cell>
          <cell r="CE320">
            <v>0</v>
          </cell>
          <cell r="CF320">
            <v>0</v>
          </cell>
          <cell r="CG320" t="str">
            <v>NA</v>
          </cell>
        </row>
        <row r="321">
          <cell r="A321"/>
          <cell r="C321"/>
          <cell r="D321"/>
          <cell r="E321"/>
          <cell r="F321"/>
          <cell r="G321"/>
          <cell r="I321"/>
          <cell r="J321"/>
          <cell r="K321"/>
          <cell r="L321"/>
          <cell r="M321"/>
          <cell r="O321"/>
          <cell r="P321"/>
          <cell r="Q321"/>
          <cell r="R321"/>
          <cell r="S321"/>
          <cell r="U321"/>
          <cell r="V321"/>
          <cell r="W321"/>
          <cell r="X321"/>
          <cell r="Y321"/>
          <cell r="AA321"/>
          <cell r="AB321"/>
          <cell r="AC321"/>
          <cell r="AD321"/>
          <cell r="AE321"/>
          <cell r="AG321"/>
          <cell r="AH321"/>
          <cell r="AI321"/>
          <cell r="AJ321"/>
          <cell r="AK321"/>
          <cell r="AM321"/>
          <cell r="AN321"/>
          <cell r="AO321"/>
          <cell r="AP321"/>
          <cell r="AQ321"/>
          <cell r="AS321"/>
          <cell r="AT321"/>
          <cell r="AU321"/>
          <cell r="AV321"/>
          <cell r="AW321"/>
          <cell r="AY321"/>
          <cell r="AZ321"/>
          <cell r="BA321"/>
          <cell r="BB321"/>
          <cell r="BC321"/>
          <cell r="BE321"/>
          <cell r="BF321"/>
          <cell r="BG321"/>
          <cell r="BH321"/>
          <cell r="BI321"/>
          <cell r="BK321"/>
          <cell r="BL321"/>
          <cell r="BM321"/>
          <cell r="BN321"/>
          <cell r="BO321"/>
          <cell r="BQ321"/>
          <cell r="BR321"/>
          <cell r="BS321"/>
          <cell r="BT321"/>
          <cell r="BU321"/>
          <cell r="BW321"/>
          <cell r="BX321"/>
          <cell r="BY321"/>
          <cell r="BZ321"/>
          <cell r="CA321"/>
          <cell r="CC321"/>
          <cell r="CD321"/>
          <cell r="CE321"/>
          <cell r="CF321"/>
          <cell r="CG321"/>
        </row>
        <row r="322">
          <cell r="A322" t="str">
            <v>Sales and marketing</v>
          </cell>
          <cell r="B322"/>
          <cell r="C322"/>
          <cell r="D322"/>
          <cell r="E322"/>
          <cell r="F322"/>
          <cell r="G322"/>
          <cell r="H322"/>
          <cell r="I322"/>
          <cell r="J322"/>
          <cell r="K322"/>
          <cell r="L322"/>
          <cell r="M322"/>
          <cell r="N322"/>
          <cell r="O322"/>
          <cell r="P322"/>
          <cell r="Q322"/>
          <cell r="R322"/>
          <cell r="S322"/>
          <cell r="T322"/>
          <cell r="U322"/>
          <cell r="V322"/>
          <cell r="W322"/>
          <cell r="X322"/>
          <cell r="Y322">
            <v>0</v>
          </cell>
          <cell r="Z322"/>
          <cell r="AA322">
            <v>0</v>
          </cell>
          <cell r="AB322">
            <v>0</v>
          </cell>
          <cell r="AC322">
            <v>0</v>
          </cell>
          <cell r="AD322">
            <v>0</v>
          </cell>
          <cell r="AE322">
            <v>0</v>
          </cell>
          <cell r="AF322"/>
          <cell r="AG322">
            <v>0</v>
          </cell>
          <cell r="AH322">
            <v>0</v>
          </cell>
          <cell r="AI322">
            <v>0</v>
          </cell>
          <cell r="AJ322">
            <v>0</v>
          </cell>
          <cell r="AK322">
            <v>0</v>
          </cell>
          <cell r="AL322"/>
          <cell r="AM322">
            <v>0</v>
          </cell>
          <cell r="AN322">
            <v>0</v>
          </cell>
          <cell r="AO322">
            <v>0</v>
          </cell>
          <cell r="AP322">
            <v>0</v>
          </cell>
          <cell r="AQ322">
            <v>0</v>
          </cell>
          <cell r="AR322"/>
          <cell r="AS322">
            <v>0</v>
          </cell>
          <cell r="AT322">
            <v>0</v>
          </cell>
          <cell r="AU322">
            <v>0</v>
          </cell>
          <cell r="AV322">
            <v>0</v>
          </cell>
          <cell r="AW322">
            <v>0</v>
          </cell>
          <cell r="AX322"/>
          <cell r="AY322">
            <v>0</v>
          </cell>
          <cell r="AZ322">
            <v>0</v>
          </cell>
          <cell r="BA322">
            <v>0</v>
          </cell>
          <cell r="BB322">
            <v>0</v>
          </cell>
          <cell r="BC322">
            <v>0</v>
          </cell>
          <cell r="BD322"/>
          <cell r="BE322">
            <v>0</v>
          </cell>
          <cell r="BF322">
            <v>0</v>
          </cell>
          <cell r="BG322">
            <v>0</v>
          </cell>
          <cell r="BH322">
            <v>0</v>
          </cell>
          <cell r="BI322">
            <v>0</v>
          </cell>
          <cell r="BJ322"/>
          <cell r="BK322">
            <v>0</v>
          </cell>
          <cell r="BL322">
            <v>0</v>
          </cell>
          <cell r="BM322">
            <v>0</v>
          </cell>
          <cell r="BN322">
            <v>0</v>
          </cell>
          <cell r="BO322">
            <v>0</v>
          </cell>
          <cell r="BP322"/>
          <cell r="BQ322">
            <v>0</v>
          </cell>
          <cell r="BR322">
            <v>0</v>
          </cell>
          <cell r="BS322">
            <v>0</v>
          </cell>
          <cell r="BT322">
            <v>0</v>
          </cell>
          <cell r="BU322">
            <v>0</v>
          </cell>
          <cell r="BV322"/>
          <cell r="BW322" t="str">
            <v>NA</v>
          </cell>
          <cell r="BX322" t="str">
            <v>NA</v>
          </cell>
          <cell r="BY322" t="str">
            <v>NA</v>
          </cell>
          <cell r="BZ322" t="str">
            <v>NA</v>
          </cell>
          <cell r="CA322">
            <v>0</v>
          </cell>
          <cell r="CB322"/>
          <cell r="CC322" t="str">
            <v>NA</v>
          </cell>
          <cell r="CD322" t="str">
            <v>NA</v>
          </cell>
          <cell r="CE322" t="str">
            <v>NA</v>
          </cell>
          <cell r="CF322" t="str">
            <v>NA</v>
          </cell>
          <cell r="CG322">
            <v>0</v>
          </cell>
          <cell r="CH322"/>
        </row>
        <row r="323">
          <cell r="A323" t="str">
            <v>% total revenue</v>
          </cell>
          <cell r="C323"/>
          <cell r="D323"/>
          <cell r="E323"/>
          <cell r="F323"/>
          <cell r="G323"/>
          <cell r="I323"/>
          <cell r="J323"/>
          <cell r="K323"/>
          <cell r="L323"/>
          <cell r="M323"/>
          <cell r="O323"/>
          <cell r="P323"/>
          <cell r="Q323"/>
          <cell r="R323"/>
          <cell r="S323"/>
          <cell r="U323"/>
          <cell r="V323"/>
          <cell r="W323"/>
          <cell r="X323"/>
          <cell r="Y323">
            <v>0</v>
          </cell>
          <cell r="AA323">
            <v>0</v>
          </cell>
          <cell r="AB323">
            <v>0</v>
          </cell>
          <cell r="AC323">
            <v>0</v>
          </cell>
          <cell r="AD323">
            <v>0</v>
          </cell>
          <cell r="AE323">
            <v>0</v>
          </cell>
          <cell r="AG323">
            <v>0</v>
          </cell>
          <cell r="AH323">
            <v>0</v>
          </cell>
          <cell r="AI323">
            <v>0</v>
          </cell>
          <cell r="AJ323">
            <v>0</v>
          </cell>
          <cell r="AK323">
            <v>0</v>
          </cell>
          <cell r="AM323">
            <v>0</v>
          </cell>
          <cell r="AN323">
            <v>0</v>
          </cell>
          <cell r="AO323">
            <v>0</v>
          </cell>
          <cell r="AP323">
            <v>0</v>
          </cell>
          <cell r="AQ323">
            <v>0</v>
          </cell>
          <cell r="AS323">
            <v>0</v>
          </cell>
          <cell r="AT323">
            <v>0</v>
          </cell>
          <cell r="AU323">
            <v>0</v>
          </cell>
          <cell r="AV323">
            <v>0</v>
          </cell>
          <cell r="AW323">
            <v>0</v>
          </cell>
          <cell r="AY323">
            <v>0</v>
          </cell>
          <cell r="AZ323">
            <v>0</v>
          </cell>
          <cell r="BA323">
            <v>0</v>
          </cell>
          <cell r="BB323">
            <v>0</v>
          </cell>
          <cell r="BC323">
            <v>0</v>
          </cell>
          <cell r="BE323">
            <v>0</v>
          </cell>
          <cell r="BF323">
            <v>0</v>
          </cell>
          <cell r="BG323">
            <v>0</v>
          </cell>
          <cell r="BH323">
            <v>0</v>
          </cell>
          <cell r="BI323">
            <v>0</v>
          </cell>
          <cell r="BK323">
            <v>0</v>
          </cell>
          <cell r="BL323">
            <v>0</v>
          </cell>
          <cell r="BM323">
            <v>0</v>
          </cell>
          <cell r="BN323">
            <v>0</v>
          </cell>
          <cell r="BO323">
            <v>0</v>
          </cell>
          <cell r="BQ323">
            <v>0</v>
          </cell>
          <cell r="BR323">
            <v>0</v>
          </cell>
          <cell r="BS323">
            <v>0</v>
          </cell>
          <cell r="BT323">
            <v>0</v>
          </cell>
          <cell r="BU323" t="str">
            <v>NA</v>
          </cell>
          <cell r="BW323">
            <v>0</v>
          </cell>
          <cell r="BX323">
            <v>0</v>
          </cell>
          <cell r="BY323">
            <v>0</v>
          </cell>
          <cell r="BZ323">
            <v>0</v>
          </cell>
          <cell r="CA323" t="str">
            <v>NA</v>
          </cell>
          <cell r="CC323">
            <v>0</v>
          </cell>
          <cell r="CD323">
            <v>0</v>
          </cell>
          <cell r="CE323">
            <v>0</v>
          </cell>
          <cell r="CF323">
            <v>0</v>
          </cell>
          <cell r="CG323" t="str">
            <v>NA</v>
          </cell>
        </row>
        <row r="324">
          <cell r="A324"/>
          <cell r="C324"/>
          <cell r="D324"/>
          <cell r="E324"/>
          <cell r="F324"/>
          <cell r="G324"/>
          <cell r="I324"/>
          <cell r="J324"/>
          <cell r="K324"/>
          <cell r="L324"/>
          <cell r="M324"/>
          <cell r="O324"/>
          <cell r="P324"/>
          <cell r="Q324"/>
          <cell r="R324"/>
          <cell r="S324"/>
          <cell r="U324"/>
          <cell r="V324"/>
          <cell r="W324"/>
          <cell r="X324"/>
          <cell r="Y324"/>
          <cell r="AA324"/>
          <cell r="AB324"/>
          <cell r="AC324"/>
          <cell r="AD324"/>
          <cell r="AE324"/>
          <cell r="AG324"/>
          <cell r="AH324"/>
          <cell r="AI324"/>
          <cell r="AJ324"/>
          <cell r="AK324"/>
          <cell r="AM324"/>
          <cell r="AN324"/>
          <cell r="AO324"/>
          <cell r="AP324"/>
          <cell r="AQ324"/>
          <cell r="AS324"/>
          <cell r="AT324"/>
          <cell r="AU324"/>
          <cell r="AV324"/>
          <cell r="AW324"/>
          <cell r="AY324"/>
          <cell r="AZ324"/>
          <cell r="BA324"/>
          <cell r="BB324"/>
          <cell r="BC324"/>
          <cell r="BE324"/>
          <cell r="BF324"/>
          <cell r="BG324"/>
          <cell r="BH324"/>
          <cell r="BI324"/>
          <cell r="BK324"/>
          <cell r="BL324"/>
          <cell r="BM324"/>
          <cell r="BN324"/>
          <cell r="BO324"/>
          <cell r="BQ324"/>
          <cell r="BR324"/>
          <cell r="BS324"/>
          <cell r="BT324"/>
          <cell r="BU324"/>
          <cell r="BW324"/>
          <cell r="BX324"/>
          <cell r="BY324"/>
          <cell r="BZ324"/>
          <cell r="CA324"/>
          <cell r="CC324"/>
          <cell r="CD324"/>
          <cell r="CE324"/>
          <cell r="CF324"/>
          <cell r="CG324"/>
        </row>
        <row r="325">
          <cell r="A325" t="str">
            <v>Research and development</v>
          </cell>
          <cell r="B325"/>
          <cell r="C325"/>
          <cell r="D325"/>
          <cell r="E325"/>
          <cell r="F325"/>
          <cell r="G325"/>
          <cell r="H325"/>
          <cell r="I325"/>
          <cell r="J325"/>
          <cell r="K325"/>
          <cell r="L325"/>
          <cell r="M325"/>
          <cell r="N325"/>
          <cell r="O325"/>
          <cell r="P325"/>
          <cell r="Q325"/>
          <cell r="R325"/>
          <cell r="S325"/>
          <cell r="T325"/>
          <cell r="U325"/>
          <cell r="V325"/>
          <cell r="W325"/>
          <cell r="X325"/>
          <cell r="Y325">
            <v>0</v>
          </cell>
          <cell r="Z325"/>
          <cell r="AA325">
            <v>0</v>
          </cell>
          <cell r="AB325">
            <v>0</v>
          </cell>
          <cell r="AC325">
            <v>0</v>
          </cell>
          <cell r="AD325">
            <v>0</v>
          </cell>
          <cell r="AE325">
            <v>0</v>
          </cell>
          <cell r="AF325"/>
          <cell r="AG325">
            <v>0</v>
          </cell>
          <cell r="AH325">
            <v>0</v>
          </cell>
          <cell r="AI325">
            <v>0</v>
          </cell>
          <cell r="AJ325">
            <v>0</v>
          </cell>
          <cell r="AK325">
            <v>0</v>
          </cell>
          <cell r="AL325"/>
          <cell r="AM325">
            <v>0</v>
          </cell>
          <cell r="AN325">
            <v>0</v>
          </cell>
          <cell r="AO325">
            <v>0</v>
          </cell>
          <cell r="AP325">
            <v>0</v>
          </cell>
          <cell r="AQ325">
            <v>0</v>
          </cell>
          <cell r="AR325"/>
          <cell r="AS325">
            <v>0</v>
          </cell>
          <cell r="AT325">
            <v>0</v>
          </cell>
          <cell r="AU325">
            <v>0</v>
          </cell>
          <cell r="AV325">
            <v>0</v>
          </cell>
          <cell r="AW325">
            <v>0</v>
          </cell>
          <cell r="AX325"/>
          <cell r="AY325">
            <v>0</v>
          </cell>
          <cell r="AZ325">
            <v>0</v>
          </cell>
          <cell r="BA325">
            <v>0</v>
          </cell>
          <cell r="BB325">
            <v>0</v>
          </cell>
          <cell r="BC325">
            <v>0</v>
          </cell>
          <cell r="BD325"/>
          <cell r="BE325">
            <v>0</v>
          </cell>
          <cell r="BF325">
            <v>0</v>
          </cell>
          <cell r="BG325">
            <v>0</v>
          </cell>
          <cell r="BH325">
            <v>0</v>
          </cell>
          <cell r="BI325">
            <v>0</v>
          </cell>
          <cell r="BJ325"/>
          <cell r="BK325">
            <v>0</v>
          </cell>
          <cell r="BL325">
            <v>0</v>
          </cell>
          <cell r="BM325">
            <v>0</v>
          </cell>
          <cell r="BN325">
            <v>0</v>
          </cell>
          <cell r="BO325">
            <v>0</v>
          </cell>
          <cell r="BP325"/>
          <cell r="BQ325">
            <v>0</v>
          </cell>
          <cell r="BR325">
            <v>0</v>
          </cell>
          <cell r="BS325">
            <v>0</v>
          </cell>
          <cell r="BT325">
            <v>0</v>
          </cell>
          <cell r="BU325">
            <v>0</v>
          </cell>
          <cell r="BV325"/>
          <cell r="BW325" t="str">
            <v>NA</v>
          </cell>
          <cell r="BX325" t="str">
            <v>NA</v>
          </cell>
          <cell r="BY325" t="str">
            <v>NA</v>
          </cell>
          <cell r="BZ325" t="str">
            <v>NA</v>
          </cell>
          <cell r="CA325">
            <v>0</v>
          </cell>
          <cell r="CB325"/>
          <cell r="CC325" t="str">
            <v>NA</v>
          </cell>
          <cell r="CD325" t="str">
            <v>NA</v>
          </cell>
          <cell r="CE325" t="str">
            <v>NA</v>
          </cell>
          <cell r="CF325" t="str">
            <v>NA</v>
          </cell>
          <cell r="CG325">
            <v>0</v>
          </cell>
          <cell r="CH325"/>
        </row>
        <row r="326">
          <cell r="A326" t="str">
            <v>% total revenue</v>
          </cell>
          <cell r="C326"/>
          <cell r="D326"/>
          <cell r="E326"/>
          <cell r="F326"/>
          <cell r="G326"/>
          <cell r="I326"/>
          <cell r="J326"/>
          <cell r="K326"/>
          <cell r="L326"/>
          <cell r="M326"/>
          <cell r="O326"/>
          <cell r="P326"/>
          <cell r="Q326"/>
          <cell r="R326"/>
          <cell r="S326"/>
          <cell r="U326"/>
          <cell r="V326"/>
          <cell r="W326"/>
          <cell r="X326"/>
          <cell r="Y326">
            <v>0</v>
          </cell>
          <cell r="AA326">
            <v>0</v>
          </cell>
          <cell r="AB326">
            <v>0</v>
          </cell>
          <cell r="AC326">
            <v>0</v>
          </cell>
          <cell r="AD326">
            <v>0</v>
          </cell>
          <cell r="AE326">
            <v>0</v>
          </cell>
          <cell r="AG326">
            <v>0</v>
          </cell>
          <cell r="AH326">
            <v>0</v>
          </cell>
          <cell r="AI326">
            <v>0</v>
          </cell>
          <cell r="AJ326">
            <v>0</v>
          </cell>
          <cell r="AK326">
            <v>0</v>
          </cell>
          <cell r="AM326">
            <v>0</v>
          </cell>
          <cell r="AN326">
            <v>0</v>
          </cell>
          <cell r="AO326">
            <v>0</v>
          </cell>
          <cell r="AP326">
            <v>0</v>
          </cell>
          <cell r="AQ326">
            <v>0</v>
          </cell>
          <cell r="AS326">
            <v>0</v>
          </cell>
          <cell r="AT326">
            <v>0</v>
          </cell>
          <cell r="AU326">
            <v>0</v>
          </cell>
          <cell r="AV326">
            <v>0</v>
          </cell>
          <cell r="AW326">
            <v>0</v>
          </cell>
          <cell r="AY326">
            <v>0</v>
          </cell>
          <cell r="AZ326">
            <v>0</v>
          </cell>
          <cell r="BA326">
            <v>0</v>
          </cell>
          <cell r="BB326">
            <v>0</v>
          </cell>
          <cell r="BC326">
            <v>0</v>
          </cell>
          <cell r="BE326">
            <v>0</v>
          </cell>
          <cell r="BF326">
            <v>0</v>
          </cell>
          <cell r="BG326">
            <v>0</v>
          </cell>
          <cell r="BH326">
            <v>0</v>
          </cell>
          <cell r="BI326">
            <v>0</v>
          </cell>
          <cell r="BK326">
            <v>0</v>
          </cell>
          <cell r="BL326">
            <v>0</v>
          </cell>
          <cell r="BM326">
            <v>0</v>
          </cell>
          <cell r="BN326">
            <v>0</v>
          </cell>
          <cell r="BO326">
            <v>0</v>
          </cell>
          <cell r="BQ326">
            <v>0</v>
          </cell>
          <cell r="BR326">
            <v>0</v>
          </cell>
          <cell r="BS326">
            <v>0</v>
          </cell>
          <cell r="BT326">
            <v>0</v>
          </cell>
          <cell r="BU326" t="str">
            <v>NA</v>
          </cell>
          <cell r="BW326">
            <v>0</v>
          </cell>
          <cell r="BX326">
            <v>0</v>
          </cell>
          <cell r="BY326">
            <v>0</v>
          </cell>
          <cell r="BZ326">
            <v>0</v>
          </cell>
          <cell r="CA326" t="str">
            <v>NA</v>
          </cell>
          <cell r="CC326">
            <v>0</v>
          </cell>
          <cell r="CD326">
            <v>0</v>
          </cell>
          <cell r="CE326">
            <v>0</v>
          </cell>
          <cell r="CF326">
            <v>0</v>
          </cell>
          <cell r="CG326" t="str">
            <v>NA</v>
          </cell>
        </row>
        <row r="327">
          <cell r="A327"/>
          <cell r="C327"/>
          <cell r="D327"/>
          <cell r="E327"/>
          <cell r="F327"/>
          <cell r="G327"/>
          <cell r="I327"/>
          <cell r="J327"/>
          <cell r="K327"/>
          <cell r="L327"/>
          <cell r="M327"/>
          <cell r="O327"/>
          <cell r="P327"/>
          <cell r="Q327"/>
          <cell r="R327"/>
          <cell r="S327"/>
          <cell r="U327"/>
          <cell r="V327"/>
          <cell r="W327"/>
          <cell r="X327"/>
          <cell r="Y327"/>
          <cell r="AA327"/>
          <cell r="AB327"/>
          <cell r="AC327"/>
          <cell r="AD327"/>
          <cell r="AE327"/>
          <cell r="AG327"/>
          <cell r="AH327"/>
          <cell r="AI327"/>
          <cell r="AJ327"/>
          <cell r="AK327"/>
          <cell r="AM327"/>
          <cell r="AN327"/>
          <cell r="AO327"/>
          <cell r="AP327"/>
          <cell r="AQ327"/>
          <cell r="AS327"/>
          <cell r="AT327"/>
          <cell r="AU327"/>
          <cell r="AV327"/>
          <cell r="AW327"/>
          <cell r="AY327"/>
          <cell r="AZ327"/>
          <cell r="BA327"/>
          <cell r="BB327"/>
          <cell r="BC327"/>
          <cell r="BE327"/>
          <cell r="BF327"/>
          <cell r="BG327"/>
          <cell r="BH327"/>
          <cell r="BI327"/>
          <cell r="BK327"/>
          <cell r="BL327"/>
          <cell r="BM327"/>
          <cell r="BN327"/>
          <cell r="BO327"/>
          <cell r="BQ327"/>
          <cell r="BR327"/>
          <cell r="BS327"/>
          <cell r="BT327"/>
          <cell r="BU327"/>
          <cell r="BW327"/>
          <cell r="BX327"/>
          <cell r="BY327"/>
          <cell r="BZ327"/>
          <cell r="CA327"/>
          <cell r="CC327"/>
          <cell r="CD327"/>
          <cell r="CE327"/>
          <cell r="CF327"/>
          <cell r="CG327"/>
        </row>
        <row r="328">
          <cell r="A328" t="str">
            <v>General and administrative</v>
          </cell>
          <cell r="B328"/>
          <cell r="C328"/>
          <cell r="D328"/>
          <cell r="E328"/>
          <cell r="F328"/>
          <cell r="G328"/>
          <cell r="H328"/>
          <cell r="I328"/>
          <cell r="J328"/>
          <cell r="K328"/>
          <cell r="L328"/>
          <cell r="M328"/>
          <cell r="N328"/>
          <cell r="O328"/>
          <cell r="P328"/>
          <cell r="Q328"/>
          <cell r="R328"/>
          <cell r="S328"/>
          <cell r="T328"/>
          <cell r="U328"/>
          <cell r="V328"/>
          <cell r="W328"/>
          <cell r="X328"/>
          <cell r="Y328">
            <v>0</v>
          </cell>
          <cell r="Z328"/>
          <cell r="AA328">
            <v>0</v>
          </cell>
          <cell r="AB328">
            <v>0</v>
          </cell>
          <cell r="AC328">
            <v>0</v>
          </cell>
          <cell r="AD328">
            <v>0</v>
          </cell>
          <cell r="AE328">
            <v>0</v>
          </cell>
          <cell r="AF328"/>
          <cell r="AG328">
            <v>0</v>
          </cell>
          <cell r="AH328">
            <v>0</v>
          </cell>
          <cell r="AI328">
            <v>0</v>
          </cell>
          <cell r="AJ328">
            <v>0</v>
          </cell>
          <cell r="AK328">
            <v>0</v>
          </cell>
          <cell r="AL328"/>
          <cell r="AM328">
            <v>0</v>
          </cell>
          <cell r="AN328">
            <v>0</v>
          </cell>
          <cell r="AO328">
            <v>0</v>
          </cell>
          <cell r="AP328">
            <v>0</v>
          </cell>
          <cell r="AQ328">
            <v>0</v>
          </cell>
          <cell r="AR328"/>
          <cell r="AS328">
            <v>0.29299999999999998</v>
          </cell>
          <cell r="AT328">
            <v>0.16200000000000001</v>
          </cell>
          <cell r="AU328">
            <v>0</v>
          </cell>
          <cell r="AV328">
            <v>0.16900000000000001</v>
          </cell>
          <cell r="AW328">
            <v>0.624</v>
          </cell>
          <cell r="AX328"/>
          <cell r="AY328">
            <v>0</v>
          </cell>
          <cell r="AZ328">
            <v>-7.4999999999999997E-2</v>
          </cell>
          <cell r="BA328">
            <v>0</v>
          </cell>
          <cell r="BB328">
            <v>0</v>
          </cell>
          <cell r="BC328">
            <v>-7.4999999999999997E-2</v>
          </cell>
          <cell r="BD328"/>
          <cell r="BE328">
            <v>2.0249999999999999</v>
          </cell>
          <cell r="BF328">
            <v>0</v>
          </cell>
          <cell r="BG328">
            <v>0</v>
          </cell>
          <cell r="BH328">
            <v>0</v>
          </cell>
          <cell r="BI328">
            <v>2.0249999999999999</v>
          </cell>
          <cell r="BJ328"/>
          <cell r="BK328">
            <v>0</v>
          </cell>
          <cell r="BL328">
            <v>0</v>
          </cell>
          <cell r="BM328">
            <v>0</v>
          </cell>
          <cell r="BN328">
            <v>0</v>
          </cell>
          <cell r="BO328">
            <v>0</v>
          </cell>
          <cell r="BP328"/>
          <cell r="BQ328">
            <v>0</v>
          </cell>
          <cell r="BR328">
            <v>0</v>
          </cell>
          <cell r="BS328">
            <v>0</v>
          </cell>
          <cell r="BT328">
            <v>0</v>
          </cell>
          <cell r="BU328">
            <v>0</v>
          </cell>
          <cell r="BV328"/>
          <cell r="BW328" t="str">
            <v>NA</v>
          </cell>
          <cell r="BX328" t="str">
            <v>NA</v>
          </cell>
          <cell r="BY328" t="str">
            <v>NA</v>
          </cell>
          <cell r="BZ328" t="str">
            <v>NA</v>
          </cell>
          <cell r="CA328">
            <v>0</v>
          </cell>
          <cell r="CB328"/>
          <cell r="CC328" t="str">
            <v>NA</v>
          </cell>
          <cell r="CD328" t="str">
            <v>NA</v>
          </cell>
          <cell r="CE328" t="str">
            <v>NA</v>
          </cell>
          <cell r="CF328" t="str">
            <v>NA</v>
          </cell>
          <cell r="CG328">
            <v>0</v>
          </cell>
          <cell r="CH328"/>
        </row>
        <row r="329">
          <cell r="A329" t="str">
            <v>% total revenue</v>
          </cell>
          <cell r="C329"/>
          <cell r="D329"/>
          <cell r="E329"/>
          <cell r="F329"/>
          <cell r="G329"/>
          <cell r="I329"/>
          <cell r="J329"/>
          <cell r="K329"/>
          <cell r="L329"/>
          <cell r="M329"/>
          <cell r="O329"/>
          <cell r="P329"/>
          <cell r="Q329"/>
          <cell r="R329"/>
          <cell r="S329"/>
          <cell r="U329"/>
          <cell r="V329"/>
          <cell r="W329"/>
          <cell r="X329"/>
          <cell r="Y329">
            <v>0</v>
          </cell>
          <cell r="AA329">
            <v>0</v>
          </cell>
          <cell r="AB329">
            <v>0</v>
          </cell>
          <cell r="AC329">
            <v>0</v>
          </cell>
          <cell r="AD329">
            <v>0</v>
          </cell>
          <cell r="AE329">
            <v>0</v>
          </cell>
          <cell r="AG329">
            <v>0</v>
          </cell>
          <cell r="AH329">
            <v>0</v>
          </cell>
          <cell r="AI329">
            <v>0</v>
          </cell>
          <cell r="AJ329">
            <v>0</v>
          </cell>
          <cell r="AK329">
            <v>0</v>
          </cell>
          <cell r="AM329">
            <v>0</v>
          </cell>
          <cell r="AN329">
            <v>0</v>
          </cell>
          <cell r="AO329">
            <v>0</v>
          </cell>
          <cell r="AP329">
            <v>0</v>
          </cell>
          <cell r="AQ329">
            <v>0</v>
          </cell>
          <cell r="AS329">
            <v>5.8216932583599907E-3</v>
          </cell>
          <cell r="AT329">
            <v>3.1455089122752514E-3</v>
          </cell>
          <cell r="AU329">
            <v>0</v>
          </cell>
          <cell r="AV329">
            <v>1.8956814357823893E-3</v>
          </cell>
          <cell r="AW329">
            <v>2.4608589344165318E-3</v>
          </cell>
          <cell r="AY329">
            <v>0</v>
          </cell>
          <cell r="AZ329">
            <v>-9.1415477249734889E-4</v>
          </cell>
          <cell r="BA329">
            <v>0</v>
          </cell>
          <cell r="BB329">
            <v>0</v>
          </cell>
          <cell r="BC329">
            <v>-1.79464477997655E-4</v>
          </cell>
          <cell r="BE329">
            <v>1.8606830774319814E-2</v>
          </cell>
          <cell r="BF329">
            <v>0</v>
          </cell>
          <cell r="BG329">
            <v>0</v>
          </cell>
          <cell r="BH329">
            <v>0</v>
          </cell>
          <cell r="BI329">
            <v>4.3797633097266333E-3</v>
          </cell>
          <cell r="BK329">
            <v>0</v>
          </cell>
          <cell r="BL329">
            <v>0</v>
          </cell>
          <cell r="BM329">
            <v>0</v>
          </cell>
          <cell r="BN329">
            <v>0</v>
          </cell>
          <cell r="BO329">
            <v>0</v>
          </cell>
          <cell r="BQ329">
            <v>0</v>
          </cell>
          <cell r="BR329">
            <v>0</v>
          </cell>
          <cell r="BS329">
            <v>0</v>
          </cell>
          <cell r="BT329">
            <v>0</v>
          </cell>
          <cell r="BU329" t="str">
            <v>NA</v>
          </cell>
          <cell r="BW329">
            <v>0</v>
          </cell>
          <cell r="BX329">
            <v>0</v>
          </cell>
          <cell r="BY329">
            <v>0</v>
          </cell>
          <cell r="BZ329">
            <v>0</v>
          </cell>
          <cell r="CA329" t="str">
            <v>NA</v>
          </cell>
          <cell r="CC329">
            <v>0</v>
          </cell>
          <cell r="CD329">
            <v>0</v>
          </cell>
          <cell r="CE329">
            <v>0</v>
          </cell>
          <cell r="CF329">
            <v>0</v>
          </cell>
          <cell r="CG329" t="str">
            <v>NA</v>
          </cell>
        </row>
        <row r="330">
          <cell r="A330"/>
          <cell r="C330"/>
          <cell r="D330"/>
          <cell r="E330"/>
          <cell r="F330"/>
          <cell r="G330"/>
          <cell r="I330"/>
          <cell r="J330"/>
          <cell r="K330"/>
          <cell r="L330"/>
          <cell r="M330"/>
          <cell r="O330"/>
          <cell r="P330"/>
          <cell r="Q330"/>
          <cell r="R330"/>
          <cell r="S330"/>
          <cell r="U330"/>
          <cell r="V330"/>
          <cell r="W330"/>
          <cell r="X330"/>
          <cell r="Y330"/>
          <cell r="AA330"/>
          <cell r="AB330"/>
          <cell r="AC330"/>
          <cell r="AD330"/>
          <cell r="AE330"/>
          <cell r="AG330"/>
          <cell r="AH330"/>
          <cell r="AI330"/>
          <cell r="AJ330"/>
          <cell r="AK330"/>
          <cell r="AM330"/>
          <cell r="AN330"/>
          <cell r="AO330"/>
          <cell r="AP330"/>
          <cell r="AQ330"/>
          <cell r="AS330"/>
          <cell r="AT330"/>
          <cell r="AU330"/>
          <cell r="AV330"/>
          <cell r="AW330"/>
          <cell r="AY330"/>
          <cell r="AZ330"/>
          <cell r="BA330"/>
          <cell r="BB330"/>
          <cell r="BC330"/>
          <cell r="BE330"/>
          <cell r="BF330"/>
          <cell r="BG330"/>
          <cell r="BH330"/>
          <cell r="BI330"/>
          <cell r="BK330"/>
          <cell r="BL330"/>
          <cell r="BM330"/>
          <cell r="BN330"/>
          <cell r="BO330"/>
          <cell r="BQ330"/>
          <cell r="BR330"/>
          <cell r="BS330"/>
          <cell r="BT330"/>
          <cell r="BU330"/>
          <cell r="BW330"/>
          <cell r="BX330"/>
          <cell r="BY330"/>
          <cell r="BZ330"/>
          <cell r="CA330"/>
          <cell r="CC330"/>
          <cell r="CD330"/>
          <cell r="CE330"/>
          <cell r="CF330"/>
          <cell r="CG330"/>
        </row>
        <row r="331">
          <cell r="A331" t="str">
            <v>Other operating expenses</v>
          </cell>
          <cell r="B331"/>
          <cell r="C331"/>
          <cell r="D331"/>
          <cell r="E331"/>
          <cell r="F331"/>
          <cell r="G331"/>
          <cell r="H331"/>
          <cell r="I331"/>
          <cell r="J331"/>
          <cell r="K331"/>
          <cell r="L331"/>
          <cell r="M331"/>
          <cell r="N331"/>
          <cell r="O331"/>
          <cell r="P331"/>
          <cell r="Q331"/>
          <cell r="R331"/>
          <cell r="S331"/>
          <cell r="T331"/>
          <cell r="U331"/>
          <cell r="V331"/>
          <cell r="W331"/>
          <cell r="X331"/>
          <cell r="Y331">
            <v>0</v>
          </cell>
          <cell r="Z331"/>
          <cell r="AA331">
            <v>0</v>
          </cell>
          <cell r="AB331">
            <v>0</v>
          </cell>
          <cell r="AC331">
            <v>0</v>
          </cell>
          <cell r="AD331">
            <v>0</v>
          </cell>
          <cell r="AE331">
            <v>0</v>
          </cell>
          <cell r="AF331"/>
          <cell r="AG331">
            <v>0</v>
          </cell>
          <cell r="AH331">
            <v>0</v>
          </cell>
          <cell r="AI331">
            <v>0</v>
          </cell>
          <cell r="AJ331">
            <v>0</v>
          </cell>
          <cell r="AK331">
            <v>0</v>
          </cell>
          <cell r="AL331"/>
          <cell r="AM331">
            <v>0</v>
          </cell>
          <cell r="AN331">
            <v>0</v>
          </cell>
          <cell r="AO331">
            <v>0</v>
          </cell>
          <cell r="AP331">
            <v>0</v>
          </cell>
          <cell r="AQ331">
            <v>0</v>
          </cell>
          <cell r="AR331"/>
          <cell r="AS331">
            <v>0</v>
          </cell>
          <cell r="AT331">
            <v>0</v>
          </cell>
          <cell r="AU331">
            <v>0</v>
          </cell>
          <cell r="AV331">
            <v>0</v>
          </cell>
          <cell r="AW331">
            <v>0</v>
          </cell>
          <cell r="AX331"/>
          <cell r="AY331">
            <v>0</v>
          </cell>
          <cell r="AZ331">
            <v>0</v>
          </cell>
          <cell r="BA331">
            <v>0</v>
          </cell>
          <cell r="BB331">
            <v>0</v>
          </cell>
          <cell r="BC331">
            <v>0</v>
          </cell>
          <cell r="BD331"/>
          <cell r="BE331">
            <v>0</v>
          </cell>
          <cell r="BF331">
            <v>0</v>
          </cell>
          <cell r="BG331">
            <v>0</v>
          </cell>
          <cell r="BH331">
            <v>0</v>
          </cell>
          <cell r="BI331">
            <v>0</v>
          </cell>
          <cell r="BJ331"/>
          <cell r="BK331">
            <v>0</v>
          </cell>
          <cell r="BL331">
            <v>0</v>
          </cell>
          <cell r="BM331">
            <v>0</v>
          </cell>
          <cell r="BN331">
            <v>0</v>
          </cell>
          <cell r="BO331">
            <v>0</v>
          </cell>
          <cell r="BP331"/>
          <cell r="BQ331">
            <v>0</v>
          </cell>
          <cell r="BR331">
            <v>0</v>
          </cell>
          <cell r="BS331">
            <v>0</v>
          </cell>
          <cell r="BT331">
            <v>0</v>
          </cell>
          <cell r="BU331">
            <v>0</v>
          </cell>
          <cell r="BV331"/>
          <cell r="BW331" t="str">
            <v>NA</v>
          </cell>
          <cell r="BX331" t="str">
            <v>NA</v>
          </cell>
          <cell r="BY331" t="str">
            <v>NA</v>
          </cell>
          <cell r="BZ331" t="str">
            <v>NA</v>
          </cell>
          <cell r="CA331">
            <v>0</v>
          </cell>
          <cell r="CB331"/>
          <cell r="CC331" t="str">
            <v>NA</v>
          </cell>
          <cell r="CD331" t="str">
            <v>NA</v>
          </cell>
          <cell r="CE331" t="str">
            <v>NA</v>
          </cell>
          <cell r="CF331" t="str">
            <v>NA</v>
          </cell>
          <cell r="CG331">
            <v>0</v>
          </cell>
          <cell r="CH331"/>
        </row>
        <row r="332">
          <cell r="A332" t="str">
            <v>% total revenue</v>
          </cell>
          <cell r="C332"/>
          <cell r="D332"/>
          <cell r="E332"/>
          <cell r="F332"/>
          <cell r="G332"/>
          <cell r="I332"/>
          <cell r="J332"/>
          <cell r="K332"/>
          <cell r="L332"/>
          <cell r="M332"/>
          <cell r="O332"/>
          <cell r="P332"/>
          <cell r="Q332"/>
          <cell r="R332"/>
          <cell r="S332"/>
          <cell r="U332"/>
          <cell r="V332"/>
          <cell r="W332"/>
          <cell r="X332"/>
          <cell r="Y332">
            <v>0</v>
          </cell>
          <cell r="AA332">
            <v>0</v>
          </cell>
          <cell r="AB332">
            <v>0</v>
          </cell>
          <cell r="AC332">
            <v>0</v>
          </cell>
          <cell r="AD332">
            <v>0</v>
          </cell>
          <cell r="AE332">
            <v>0</v>
          </cell>
          <cell r="AG332">
            <v>0</v>
          </cell>
          <cell r="AH332">
            <v>0</v>
          </cell>
          <cell r="AI332">
            <v>0</v>
          </cell>
          <cell r="AJ332">
            <v>0</v>
          </cell>
          <cell r="AK332">
            <v>0</v>
          </cell>
          <cell r="AM332">
            <v>0</v>
          </cell>
          <cell r="AN332">
            <v>0</v>
          </cell>
          <cell r="AO332">
            <v>0</v>
          </cell>
          <cell r="AP332">
            <v>0</v>
          </cell>
          <cell r="AQ332">
            <v>0</v>
          </cell>
          <cell r="AS332">
            <v>0</v>
          </cell>
          <cell r="AT332">
            <v>0</v>
          </cell>
          <cell r="AU332">
            <v>0</v>
          </cell>
          <cell r="AV332">
            <v>0</v>
          </cell>
          <cell r="AW332">
            <v>0</v>
          </cell>
          <cell r="AY332">
            <v>0</v>
          </cell>
          <cell r="AZ332">
            <v>0</v>
          </cell>
          <cell r="BA332">
            <v>0</v>
          </cell>
          <cell r="BB332">
            <v>0</v>
          </cell>
          <cell r="BC332">
            <v>0</v>
          </cell>
          <cell r="BE332">
            <v>0</v>
          </cell>
          <cell r="BF332">
            <v>0</v>
          </cell>
          <cell r="BG332">
            <v>0</v>
          </cell>
          <cell r="BH332">
            <v>0</v>
          </cell>
          <cell r="BI332">
            <v>0</v>
          </cell>
          <cell r="BK332">
            <v>0</v>
          </cell>
          <cell r="BL332">
            <v>0</v>
          </cell>
          <cell r="BM332">
            <v>0</v>
          </cell>
          <cell r="BN332">
            <v>0</v>
          </cell>
          <cell r="BO332">
            <v>0</v>
          </cell>
          <cell r="BQ332">
            <v>0</v>
          </cell>
          <cell r="BR332">
            <v>0</v>
          </cell>
          <cell r="BS332">
            <v>0</v>
          </cell>
          <cell r="BT332">
            <v>0</v>
          </cell>
          <cell r="BU332" t="str">
            <v>NA</v>
          </cell>
          <cell r="BW332">
            <v>0</v>
          </cell>
          <cell r="BX332">
            <v>0</v>
          </cell>
          <cell r="BY332">
            <v>0</v>
          </cell>
          <cell r="BZ332">
            <v>0</v>
          </cell>
          <cell r="CA332" t="str">
            <v>NA</v>
          </cell>
          <cell r="CC332">
            <v>0</v>
          </cell>
          <cell r="CD332">
            <v>0</v>
          </cell>
          <cell r="CE332">
            <v>0</v>
          </cell>
          <cell r="CF332">
            <v>0</v>
          </cell>
          <cell r="CG332" t="str">
            <v>NA</v>
          </cell>
        </row>
        <row r="333">
          <cell r="A333"/>
          <cell r="C333"/>
          <cell r="D333"/>
          <cell r="E333"/>
          <cell r="F333"/>
          <cell r="G333"/>
          <cell r="I333"/>
          <cell r="J333"/>
          <cell r="K333"/>
          <cell r="L333"/>
          <cell r="M333"/>
          <cell r="O333"/>
          <cell r="P333"/>
          <cell r="Q333"/>
          <cell r="R333"/>
          <cell r="S333"/>
          <cell r="U333"/>
          <cell r="V333"/>
          <cell r="W333"/>
          <cell r="X333"/>
          <cell r="Y333"/>
          <cell r="AA333"/>
          <cell r="AB333"/>
          <cell r="AC333"/>
          <cell r="AD333"/>
          <cell r="AE333"/>
          <cell r="AG333"/>
          <cell r="AH333"/>
          <cell r="AI333"/>
          <cell r="AJ333"/>
          <cell r="AK333"/>
          <cell r="AM333"/>
          <cell r="AN333"/>
          <cell r="AO333"/>
          <cell r="AP333"/>
          <cell r="AQ333"/>
          <cell r="AS333"/>
          <cell r="AT333"/>
          <cell r="AU333"/>
          <cell r="AV333"/>
          <cell r="AW333"/>
          <cell r="AY333"/>
          <cell r="AZ333"/>
          <cell r="BA333"/>
          <cell r="BB333"/>
          <cell r="BC333"/>
          <cell r="BE333"/>
          <cell r="BF333"/>
          <cell r="BG333"/>
          <cell r="BH333"/>
          <cell r="BI333"/>
          <cell r="BK333"/>
          <cell r="BL333"/>
          <cell r="BM333"/>
          <cell r="BN333"/>
          <cell r="BO333"/>
          <cell r="BQ333"/>
          <cell r="BR333"/>
          <cell r="BS333"/>
          <cell r="BT333"/>
          <cell r="BU333"/>
          <cell r="BW333"/>
          <cell r="BX333"/>
          <cell r="BY333"/>
          <cell r="BZ333"/>
          <cell r="CA333"/>
          <cell r="CC333"/>
          <cell r="CD333"/>
          <cell r="CE333"/>
          <cell r="CF333"/>
          <cell r="CG333"/>
        </row>
        <row r="334">
          <cell r="A334" t="str">
            <v>Total operating expenses</v>
          </cell>
          <cell r="B334"/>
          <cell r="C334"/>
          <cell r="D334"/>
          <cell r="E334"/>
          <cell r="F334"/>
          <cell r="G334"/>
          <cell r="H334"/>
          <cell r="I334"/>
          <cell r="J334"/>
          <cell r="K334"/>
          <cell r="L334"/>
          <cell r="M334"/>
          <cell r="N334"/>
          <cell r="O334"/>
          <cell r="P334"/>
          <cell r="Q334"/>
          <cell r="R334"/>
          <cell r="S334"/>
          <cell r="T334"/>
          <cell r="U334"/>
          <cell r="V334"/>
          <cell r="W334"/>
          <cell r="X334"/>
          <cell r="Y334">
            <v>0</v>
          </cell>
          <cell r="Z334"/>
          <cell r="AA334">
            <v>0</v>
          </cell>
          <cell r="AB334">
            <v>0</v>
          </cell>
          <cell r="AC334">
            <v>0</v>
          </cell>
          <cell r="AD334">
            <v>0</v>
          </cell>
          <cell r="AE334">
            <v>0</v>
          </cell>
          <cell r="AF334"/>
          <cell r="AG334">
            <v>0</v>
          </cell>
          <cell r="AH334">
            <v>0</v>
          </cell>
          <cell r="AI334">
            <v>0</v>
          </cell>
          <cell r="AJ334">
            <v>0</v>
          </cell>
          <cell r="AK334">
            <v>0</v>
          </cell>
          <cell r="AL334"/>
          <cell r="AM334">
            <v>0</v>
          </cell>
          <cell r="AN334">
            <v>0.16</v>
          </cell>
          <cell r="AO334">
            <v>0.71300000000000008</v>
          </cell>
          <cell r="AP334">
            <v>5.0000000000000044E-3</v>
          </cell>
          <cell r="AQ334">
            <v>0.87800000000000011</v>
          </cell>
          <cell r="AR334"/>
          <cell r="AS334">
            <v>0</v>
          </cell>
          <cell r="AT334">
            <v>0</v>
          </cell>
          <cell r="AU334">
            <v>0</v>
          </cell>
          <cell r="AV334">
            <v>0</v>
          </cell>
          <cell r="AW334">
            <v>0</v>
          </cell>
          <cell r="AX334"/>
          <cell r="AY334">
            <v>0</v>
          </cell>
          <cell r="AZ334">
            <v>0</v>
          </cell>
          <cell r="BA334">
            <v>0</v>
          </cell>
          <cell r="BB334">
            <v>0</v>
          </cell>
          <cell r="BC334">
            <v>0</v>
          </cell>
          <cell r="BD334"/>
          <cell r="BE334">
            <v>0</v>
          </cell>
          <cell r="BF334">
            <v>0</v>
          </cell>
          <cell r="BG334">
            <v>0</v>
          </cell>
          <cell r="BH334">
            <v>0</v>
          </cell>
          <cell r="BI334">
            <v>0</v>
          </cell>
          <cell r="BJ334"/>
          <cell r="BK334">
            <v>0</v>
          </cell>
          <cell r="BL334">
            <v>0</v>
          </cell>
          <cell r="BM334">
            <v>0</v>
          </cell>
          <cell r="BN334">
            <v>0</v>
          </cell>
          <cell r="BO334">
            <v>0</v>
          </cell>
          <cell r="BP334"/>
          <cell r="BQ334">
            <v>0</v>
          </cell>
          <cell r="BR334">
            <v>0</v>
          </cell>
          <cell r="BS334">
            <v>0</v>
          </cell>
          <cell r="BT334">
            <v>0</v>
          </cell>
          <cell r="BU334">
            <v>0</v>
          </cell>
          <cell r="BV334"/>
          <cell r="BW334" t="str">
            <v>NA</v>
          </cell>
          <cell r="BX334" t="str">
            <v>NA</v>
          </cell>
          <cell r="BY334" t="str">
            <v>NA</v>
          </cell>
          <cell r="BZ334" t="str">
            <v>NA</v>
          </cell>
          <cell r="CA334">
            <v>0</v>
          </cell>
          <cell r="CB334"/>
          <cell r="CC334" t="str">
            <v>NA</v>
          </cell>
          <cell r="CD334" t="str">
            <v>NA</v>
          </cell>
          <cell r="CE334" t="str">
            <v>NA</v>
          </cell>
          <cell r="CF334" t="str">
            <v>NA</v>
          </cell>
          <cell r="CG334">
            <v>0</v>
          </cell>
          <cell r="CH334"/>
        </row>
        <row r="335">
          <cell r="A335" t="str">
            <v>% total revenue</v>
          </cell>
          <cell r="C335"/>
          <cell r="D335"/>
          <cell r="E335"/>
          <cell r="F335"/>
          <cell r="G335"/>
          <cell r="I335"/>
          <cell r="J335"/>
          <cell r="K335"/>
          <cell r="L335"/>
          <cell r="M335"/>
          <cell r="O335"/>
          <cell r="P335"/>
          <cell r="Q335"/>
          <cell r="R335"/>
          <cell r="S335"/>
          <cell r="U335"/>
          <cell r="V335"/>
          <cell r="W335"/>
          <cell r="X335"/>
          <cell r="Y335">
            <v>0</v>
          </cell>
          <cell r="AA335">
            <v>0</v>
          </cell>
          <cell r="AB335">
            <v>0</v>
          </cell>
          <cell r="AC335">
            <v>0</v>
          </cell>
          <cell r="AD335">
            <v>0</v>
          </cell>
          <cell r="AE335">
            <v>0</v>
          </cell>
          <cell r="AG335">
            <v>0</v>
          </cell>
          <cell r="AH335">
            <v>0</v>
          </cell>
          <cell r="AI335">
            <v>0</v>
          </cell>
          <cell r="AJ335">
            <v>0</v>
          </cell>
          <cell r="AK335">
            <v>0</v>
          </cell>
          <cell r="AM335">
            <v>0</v>
          </cell>
          <cell r="AN335">
            <v>5.2772189056367299E-3</v>
          </cell>
          <cell r="AO335">
            <v>2.0875420875420877E-2</v>
          </cell>
          <cell r="AP335">
            <v>1.2957396081683437E-4</v>
          </cell>
          <cell r="AQ335">
            <v>6.6713776622824026E-3</v>
          </cell>
          <cell r="AS335">
            <v>0</v>
          </cell>
          <cell r="AT335">
            <v>0</v>
          </cell>
          <cell r="AU335">
            <v>0</v>
          </cell>
          <cell r="AV335">
            <v>0</v>
          </cell>
          <cell r="AW335">
            <v>0</v>
          </cell>
          <cell r="AY335">
            <v>0</v>
          </cell>
          <cell r="AZ335">
            <v>0</v>
          </cell>
          <cell r="BA335">
            <v>0</v>
          </cell>
          <cell r="BB335">
            <v>0</v>
          </cell>
          <cell r="BC335">
            <v>0</v>
          </cell>
          <cell r="BE335">
            <v>0</v>
          </cell>
          <cell r="BF335">
            <v>0</v>
          </cell>
          <cell r="BG335">
            <v>0</v>
          </cell>
          <cell r="BH335">
            <v>0</v>
          </cell>
          <cell r="BI335">
            <v>0</v>
          </cell>
          <cell r="BK335">
            <v>0</v>
          </cell>
          <cell r="BL335">
            <v>0</v>
          </cell>
          <cell r="BM335">
            <v>0</v>
          </cell>
          <cell r="BN335">
            <v>0</v>
          </cell>
          <cell r="BO335">
            <v>0</v>
          </cell>
          <cell r="BQ335">
            <v>0</v>
          </cell>
          <cell r="BR335">
            <v>0</v>
          </cell>
          <cell r="BS335">
            <v>0</v>
          </cell>
          <cell r="BT335">
            <v>0</v>
          </cell>
          <cell r="BU335" t="str">
            <v>NA</v>
          </cell>
          <cell r="BW335">
            <v>0</v>
          </cell>
          <cell r="BX335">
            <v>0</v>
          </cell>
          <cell r="BY335">
            <v>0</v>
          </cell>
          <cell r="BZ335">
            <v>0</v>
          </cell>
          <cell r="CA335" t="str">
            <v>NA</v>
          </cell>
          <cell r="CC335">
            <v>0</v>
          </cell>
          <cell r="CD335">
            <v>0</v>
          </cell>
          <cell r="CE335">
            <v>0</v>
          </cell>
          <cell r="CF335">
            <v>0</v>
          </cell>
          <cell r="CG335" t="str">
            <v>NA</v>
          </cell>
        </row>
        <row r="336">
          <cell r="A336"/>
          <cell r="C336"/>
          <cell r="D336"/>
          <cell r="E336"/>
          <cell r="F336"/>
          <cell r="G336"/>
          <cell r="I336"/>
          <cell r="J336"/>
          <cell r="K336"/>
          <cell r="L336"/>
          <cell r="M336"/>
          <cell r="O336"/>
          <cell r="P336"/>
          <cell r="Q336"/>
          <cell r="R336"/>
          <cell r="S336"/>
          <cell r="U336"/>
          <cell r="V336"/>
          <cell r="W336"/>
          <cell r="X336"/>
          <cell r="Y336"/>
          <cell r="AA336"/>
          <cell r="AB336"/>
          <cell r="AC336"/>
          <cell r="AD336"/>
          <cell r="AE336"/>
          <cell r="AG336"/>
          <cell r="AH336"/>
          <cell r="AI336"/>
          <cell r="AJ336"/>
          <cell r="AK336"/>
          <cell r="AM336"/>
          <cell r="AN336"/>
          <cell r="AO336"/>
          <cell r="AP336"/>
          <cell r="AQ336"/>
          <cell r="AS336"/>
          <cell r="AT336"/>
          <cell r="AU336"/>
          <cell r="AV336"/>
          <cell r="AW336"/>
          <cell r="AY336"/>
          <cell r="AZ336"/>
          <cell r="BA336"/>
          <cell r="BB336"/>
          <cell r="BC336"/>
          <cell r="BE336"/>
          <cell r="BF336"/>
          <cell r="BG336"/>
          <cell r="BH336"/>
          <cell r="BI336"/>
          <cell r="BK336"/>
          <cell r="BL336"/>
          <cell r="BM336"/>
          <cell r="BN336"/>
          <cell r="BO336"/>
          <cell r="BQ336"/>
          <cell r="BR336"/>
          <cell r="BS336"/>
          <cell r="BT336"/>
          <cell r="BU336"/>
          <cell r="BW336"/>
          <cell r="BX336"/>
          <cell r="BY336"/>
          <cell r="BZ336"/>
          <cell r="CA336"/>
          <cell r="CC336"/>
          <cell r="CD336"/>
          <cell r="CE336"/>
          <cell r="CF336"/>
          <cell r="CG336"/>
        </row>
        <row r="337">
          <cell r="A337" t="str">
            <v>Interest (expense), net</v>
          </cell>
          <cell r="B337"/>
          <cell r="C337"/>
          <cell r="D337"/>
          <cell r="E337"/>
          <cell r="F337"/>
          <cell r="G337"/>
          <cell r="H337"/>
          <cell r="I337"/>
          <cell r="J337"/>
          <cell r="K337"/>
          <cell r="L337"/>
          <cell r="M337"/>
          <cell r="N337"/>
          <cell r="O337"/>
          <cell r="P337"/>
          <cell r="Q337"/>
          <cell r="R337"/>
          <cell r="S337"/>
          <cell r="T337"/>
          <cell r="U337"/>
          <cell r="V337"/>
          <cell r="W337"/>
          <cell r="X337"/>
          <cell r="Y337">
            <v>0</v>
          </cell>
          <cell r="Z337"/>
          <cell r="AA337">
            <v>0</v>
          </cell>
          <cell r="AB337">
            <v>0</v>
          </cell>
          <cell r="AC337">
            <v>0</v>
          </cell>
          <cell r="AD337">
            <v>0</v>
          </cell>
          <cell r="AE337">
            <v>0</v>
          </cell>
          <cell r="AF337"/>
          <cell r="AG337">
            <v>0</v>
          </cell>
          <cell r="AH337">
            <v>0</v>
          </cell>
          <cell r="AI337">
            <v>0</v>
          </cell>
          <cell r="AJ337">
            <v>0</v>
          </cell>
          <cell r="AK337">
            <v>0</v>
          </cell>
          <cell r="AL337"/>
          <cell r="AM337">
            <v>0</v>
          </cell>
          <cell r="AN337">
            <v>0</v>
          </cell>
          <cell r="AO337">
            <v>0</v>
          </cell>
          <cell r="AP337">
            <v>0</v>
          </cell>
          <cell r="AQ337">
            <v>0</v>
          </cell>
          <cell r="AR337"/>
          <cell r="AS337">
            <v>0</v>
          </cell>
          <cell r="AT337">
            <v>0</v>
          </cell>
          <cell r="AU337">
            <v>0</v>
          </cell>
          <cell r="AV337">
            <v>0</v>
          </cell>
          <cell r="AW337">
            <v>0</v>
          </cell>
          <cell r="AX337"/>
          <cell r="AY337">
            <v>0</v>
          </cell>
          <cell r="AZ337">
            <v>0</v>
          </cell>
          <cell r="BA337">
            <v>0</v>
          </cell>
          <cell r="BB337">
            <v>0</v>
          </cell>
          <cell r="BC337">
            <v>0</v>
          </cell>
          <cell r="BD337"/>
          <cell r="BE337">
            <v>0</v>
          </cell>
          <cell r="BF337">
            <v>0</v>
          </cell>
          <cell r="BG337">
            <v>0</v>
          </cell>
          <cell r="BH337">
            <v>0</v>
          </cell>
          <cell r="BI337">
            <v>0</v>
          </cell>
          <cell r="BJ337"/>
          <cell r="BK337">
            <v>0</v>
          </cell>
          <cell r="BL337">
            <v>0</v>
          </cell>
          <cell r="BM337">
            <v>0</v>
          </cell>
          <cell r="BN337">
            <v>0</v>
          </cell>
          <cell r="BO337">
            <v>0</v>
          </cell>
          <cell r="BP337"/>
          <cell r="BQ337">
            <v>0</v>
          </cell>
          <cell r="BR337">
            <v>0</v>
          </cell>
          <cell r="BS337">
            <v>0</v>
          </cell>
          <cell r="BT337">
            <v>0</v>
          </cell>
          <cell r="BU337">
            <v>0</v>
          </cell>
          <cell r="BV337"/>
          <cell r="BW337" t="str">
            <v>NA</v>
          </cell>
          <cell r="BX337" t="str">
            <v>NA</v>
          </cell>
          <cell r="BY337" t="str">
            <v>NA</v>
          </cell>
          <cell r="BZ337" t="str">
            <v>NA</v>
          </cell>
          <cell r="CA337">
            <v>0</v>
          </cell>
          <cell r="CB337"/>
          <cell r="CC337" t="str">
            <v>NA</v>
          </cell>
          <cell r="CD337" t="str">
            <v>NA</v>
          </cell>
          <cell r="CE337" t="str">
            <v>NA</v>
          </cell>
          <cell r="CF337" t="str">
            <v>NA</v>
          </cell>
          <cell r="CG337">
            <v>0</v>
          </cell>
          <cell r="CH337"/>
        </row>
        <row r="338">
          <cell r="A338" t="str">
            <v>% total revenue</v>
          </cell>
          <cell r="C338"/>
          <cell r="D338"/>
          <cell r="E338"/>
          <cell r="F338"/>
          <cell r="G338"/>
          <cell r="I338"/>
          <cell r="J338"/>
          <cell r="K338"/>
          <cell r="L338"/>
          <cell r="M338"/>
          <cell r="O338"/>
          <cell r="P338"/>
          <cell r="Q338"/>
          <cell r="R338"/>
          <cell r="S338"/>
          <cell r="U338"/>
          <cell r="V338"/>
          <cell r="W338"/>
          <cell r="X338"/>
          <cell r="Y338">
            <v>0</v>
          </cell>
          <cell r="AA338">
            <v>0</v>
          </cell>
          <cell r="AB338">
            <v>0</v>
          </cell>
          <cell r="AC338">
            <v>0</v>
          </cell>
          <cell r="AD338">
            <v>0</v>
          </cell>
          <cell r="AE338">
            <v>0</v>
          </cell>
          <cell r="AG338">
            <v>0</v>
          </cell>
          <cell r="AH338">
            <v>0</v>
          </cell>
          <cell r="AI338">
            <v>0</v>
          </cell>
          <cell r="AJ338">
            <v>0</v>
          </cell>
          <cell r="AK338">
            <v>0</v>
          </cell>
          <cell r="AM338">
            <v>0</v>
          </cell>
          <cell r="AN338">
            <v>0</v>
          </cell>
          <cell r="AO338">
            <v>0</v>
          </cell>
          <cell r="AP338">
            <v>0</v>
          </cell>
          <cell r="AQ338">
            <v>0</v>
          </cell>
          <cell r="AS338">
            <v>0</v>
          </cell>
          <cell r="AT338">
            <v>0</v>
          </cell>
          <cell r="AU338">
            <v>0</v>
          </cell>
          <cell r="AV338">
            <v>0</v>
          </cell>
          <cell r="AW338">
            <v>0</v>
          </cell>
          <cell r="AY338">
            <v>0</v>
          </cell>
          <cell r="AZ338">
            <v>0</v>
          </cell>
          <cell r="BA338">
            <v>0</v>
          </cell>
          <cell r="BB338">
            <v>0</v>
          </cell>
          <cell r="BC338">
            <v>0</v>
          </cell>
          <cell r="BE338">
            <v>0</v>
          </cell>
          <cell r="BF338">
            <v>0</v>
          </cell>
          <cell r="BG338">
            <v>0</v>
          </cell>
          <cell r="BH338">
            <v>0</v>
          </cell>
          <cell r="BI338">
            <v>0</v>
          </cell>
          <cell r="BK338">
            <v>0</v>
          </cell>
          <cell r="BL338">
            <v>0</v>
          </cell>
          <cell r="BM338">
            <v>0</v>
          </cell>
          <cell r="BN338">
            <v>0</v>
          </cell>
          <cell r="BO338">
            <v>0</v>
          </cell>
          <cell r="BQ338">
            <v>0</v>
          </cell>
          <cell r="BR338">
            <v>0</v>
          </cell>
          <cell r="BS338">
            <v>0</v>
          </cell>
          <cell r="BT338">
            <v>0</v>
          </cell>
          <cell r="BU338" t="str">
            <v>NA</v>
          </cell>
          <cell r="BW338">
            <v>0</v>
          </cell>
          <cell r="BX338">
            <v>0</v>
          </cell>
          <cell r="BY338">
            <v>0</v>
          </cell>
          <cell r="BZ338">
            <v>0</v>
          </cell>
          <cell r="CA338" t="str">
            <v>NA</v>
          </cell>
          <cell r="CC338">
            <v>0</v>
          </cell>
          <cell r="CD338">
            <v>0</v>
          </cell>
          <cell r="CE338">
            <v>0</v>
          </cell>
          <cell r="CF338">
            <v>0</v>
          </cell>
          <cell r="CG338" t="str">
            <v>NA</v>
          </cell>
        </row>
        <row r="339">
          <cell r="A339"/>
          <cell r="C339"/>
          <cell r="D339"/>
          <cell r="E339"/>
          <cell r="F339"/>
          <cell r="G339"/>
          <cell r="I339"/>
          <cell r="J339"/>
          <cell r="K339"/>
          <cell r="L339"/>
          <cell r="M339"/>
          <cell r="O339"/>
          <cell r="P339"/>
          <cell r="Q339"/>
          <cell r="R339"/>
          <cell r="S339"/>
          <cell r="U339"/>
          <cell r="V339"/>
          <cell r="W339"/>
          <cell r="X339"/>
          <cell r="Y339"/>
          <cell r="AA339"/>
          <cell r="AB339"/>
          <cell r="AC339"/>
          <cell r="AD339"/>
          <cell r="AE339"/>
          <cell r="AG339"/>
          <cell r="AH339"/>
          <cell r="AI339"/>
          <cell r="AJ339"/>
          <cell r="AK339"/>
          <cell r="AM339"/>
          <cell r="AN339"/>
          <cell r="AO339"/>
          <cell r="AP339"/>
          <cell r="AQ339"/>
          <cell r="AS339"/>
          <cell r="AT339"/>
          <cell r="AU339"/>
          <cell r="AV339"/>
          <cell r="AW339"/>
          <cell r="AY339"/>
          <cell r="AZ339"/>
          <cell r="BA339"/>
          <cell r="BB339"/>
          <cell r="BC339"/>
          <cell r="BE339"/>
          <cell r="BF339"/>
          <cell r="BG339"/>
          <cell r="BH339"/>
          <cell r="BI339"/>
          <cell r="BK339"/>
          <cell r="BL339"/>
          <cell r="BM339"/>
          <cell r="BN339"/>
          <cell r="BO339"/>
          <cell r="BQ339"/>
          <cell r="BR339"/>
          <cell r="BS339"/>
          <cell r="BT339"/>
          <cell r="BU339"/>
          <cell r="BW339"/>
          <cell r="BX339"/>
          <cell r="BY339"/>
          <cell r="BZ339"/>
          <cell r="CA339"/>
          <cell r="CC339"/>
          <cell r="CD339"/>
          <cell r="CE339"/>
          <cell r="CF339"/>
          <cell r="CG339"/>
        </row>
        <row r="340">
          <cell r="A340" t="str">
            <v>Other income (expense), net</v>
          </cell>
          <cell r="B340"/>
          <cell r="C340"/>
          <cell r="D340"/>
          <cell r="E340"/>
          <cell r="F340"/>
          <cell r="G340"/>
          <cell r="H340"/>
          <cell r="I340"/>
          <cell r="J340"/>
          <cell r="K340"/>
          <cell r="L340"/>
          <cell r="M340"/>
          <cell r="N340"/>
          <cell r="O340"/>
          <cell r="P340"/>
          <cell r="Q340"/>
          <cell r="R340"/>
          <cell r="S340"/>
          <cell r="T340"/>
          <cell r="U340"/>
          <cell r="V340"/>
          <cell r="W340"/>
          <cell r="X340"/>
          <cell r="Y340">
            <v>0</v>
          </cell>
          <cell r="Z340"/>
          <cell r="AA340">
            <v>0</v>
          </cell>
          <cell r="AB340">
            <v>0</v>
          </cell>
          <cell r="AC340">
            <v>0</v>
          </cell>
          <cell r="AD340">
            <v>0</v>
          </cell>
          <cell r="AE340">
            <v>0</v>
          </cell>
          <cell r="AF340"/>
          <cell r="AG340">
            <v>0</v>
          </cell>
          <cell r="AH340">
            <v>0</v>
          </cell>
          <cell r="AI340">
            <v>0</v>
          </cell>
          <cell r="AJ340">
            <v>0</v>
          </cell>
          <cell r="AK340">
            <v>0</v>
          </cell>
          <cell r="AL340"/>
          <cell r="AM340">
            <v>0</v>
          </cell>
          <cell r="AN340">
            <v>0</v>
          </cell>
          <cell r="AO340">
            <v>1.05</v>
          </cell>
          <cell r="AP340">
            <v>0</v>
          </cell>
          <cell r="AQ340">
            <v>1.05</v>
          </cell>
          <cell r="AR340"/>
          <cell r="AS340">
            <v>0</v>
          </cell>
          <cell r="AT340">
            <v>1.1459999999999999</v>
          </cell>
          <cell r="AU340">
            <v>2.4279999999999999</v>
          </cell>
          <cell r="AV340">
            <v>2.4710000000000001</v>
          </cell>
          <cell r="AW340">
            <v>6.0449999999999999</v>
          </cell>
          <cell r="AX340"/>
          <cell r="AY340">
            <v>2.452</v>
          </cell>
          <cell r="AZ340">
            <v>2.5579999999999998</v>
          </cell>
          <cell r="BA340">
            <v>25.432000000000002</v>
          </cell>
          <cell r="BB340">
            <v>6.9470000000000001</v>
          </cell>
          <cell r="BC340">
            <v>37.389000000000003</v>
          </cell>
          <cell r="BD340"/>
          <cell r="BE340">
            <v>6.9470000000000001</v>
          </cell>
          <cell r="BF340">
            <v>7.1319999999999997</v>
          </cell>
          <cell r="BG340">
            <v>7.2360000000000007</v>
          </cell>
          <cell r="BH340">
            <v>0</v>
          </cell>
          <cell r="BI340">
            <v>21.315000000000001</v>
          </cell>
          <cell r="BJ340"/>
          <cell r="BK340">
            <v>0</v>
          </cell>
          <cell r="BL340">
            <v>0</v>
          </cell>
          <cell r="BM340">
            <v>0</v>
          </cell>
          <cell r="BN340">
            <v>0</v>
          </cell>
          <cell r="BO340">
            <v>0</v>
          </cell>
          <cell r="BP340"/>
          <cell r="BQ340">
            <v>2.5</v>
          </cell>
          <cell r="BR340">
            <v>2.5</v>
          </cell>
          <cell r="BS340">
            <v>2.5</v>
          </cell>
          <cell r="BT340">
            <v>2.5</v>
          </cell>
          <cell r="BU340">
            <v>10</v>
          </cell>
          <cell r="BV340"/>
          <cell r="BW340" t="str">
            <v>NA</v>
          </cell>
          <cell r="BX340" t="str">
            <v>NA</v>
          </cell>
          <cell r="BY340" t="str">
            <v>NA</v>
          </cell>
          <cell r="BZ340" t="str">
            <v>NA</v>
          </cell>
          <cell r="CA340">
            <v>0</v>
          </cell>
          <cell r="CB340"/>
          <cell r="CC340" t="str">
            <v>NA</v>
          </cell>
          <cell r="CD340" t="str">
            <v>NA</v>
          </cell>
          <cell r="CE340" t="str">
            <v>NA</v>
          </cell>
          <cell r="CF340" t="str">
            <v>NA</v>
          </cell>
          <cell r="CG340">
            <v>0</v>
          </cell>
          <cell r="CH340"/>
        </row>
        <row r="341">
          <cell r="A341" t="str">
            <v>% total revenue</v>
          </cell>
          <cell r="C341"/>
          <cell r="D341"/>
          <cell r="E341"/>
          <cell r="F341"/>
          <cell r="G341"/>
          <cell r="I341"/>
          <cell r="J341"/>
          <cell r="K341"/>
          <cell r="L341"/>
          <cell r="M341"/>
          <cell r="O341"/>
          <cell r="P341"/>
          <cell r="Q341"/>
          <cell r="R341"/>
          <cell r="S341"/>
          <cell r="U341"/>
          <cell r="V341"/>
          <cell r="W341"/>
          <cell r="X341"/>
          <cell r="Y341">
            <v>0</v>
          </cell>
          <cell r="AA341">
            <v>0</v>
          </cell>
          <cell r="AB341">
            <v>0</v>
          </cell>
          <cell r="AC341">
            <v>0</v>
          </cell>
          <cell r="AD341">
            <v>0</v>
          </cell>
          <cell r="AE341">
            <v>0</v>
          </cell>
          <cell r="AG341">
            <v>0</v>
          </cell>
          <cell r="AH341">
            <v>0</v>
          </cell>
          <cell r="AI341">
            <v>0</v>
          </cell>
          <cell r="AJ341">
            <v>0</v>
          </cell>
          <cell r="AK341">
            <v>0</v>
          </cell>
          <cell r="AM341">
            <v>0</v>
          </cell>
          <cell r="AN341">
            <v>0</v>
          </cell>
          <cell r="AO341">
            <v>3.0742204655248132E-2</v>
          </cell>
          <cell r="AP341">
            <v>0</v>
          </cell>
          <cell r="AQ341">
            <v>7.9782990266475187E-3</v>
          </cell>
          <cell r="AS341">
            <v>0</v>
          </cell>
          <cell r="AT341">
            <v>2.2251563046095293E-2</v>
          </cell>
          <cell r="AU341">
            <v>3.87927591110259E-2</v>
          </cell>
          <cell r="AV341">
            <v>2.7717330342120022E-2</v>
          </cell>
          <cell r="AW341">
            <v>2.3839570927160152E-2</v>
          </cell>
          <cell r="AY341">
            <v>3.2254669823730597E-2</v>
          </cell>
          <cell r="AZ341">
            <v>3.1178772107309578E-2</v>
          </cell>
          <cell r="BA341">
            <v>0.24596458311169569</v>
          </cell>
          <cell r="BB341">
            <v>4.4403962927452863E-2</v>
          </cell>
          <cell r="BC341">
            <v>8.9466631571390981E-2</v>
          </cell>
          <cell r="BE341">
            <v>6.3832915253925815E-2</v>
          </cell>
          <cell r="BF341">
            <v>7.411179117350597E-2</v>
          </cell>
          <cell r="BG341">
            <v>0</v>
          </cell>
          <cell r="BH341">
            <v>0</v>
          </cell>
          <cell r="BI341">
            <v>3.0450709944514209E-2</v>
          </cell>
          <cell r="BK341">
            <v>0</v>
          </cell>
          <cell r="BL341">
            <v>0</v>
          </cell>
          <cell r="BM341">
            <v>0</v>
          </cell>
          <cell r="BN341">
            <v>0</v>
          </cell>
          <cell r="BO341">
            <v>0</v>
          </cell>
          <cell r="BQ341" t="e">
            <v>#VALUE!</v>
          </cell>
          <cell r="BR341" t="e">
            <v>#VALUE!</v>
          </cell>
          <cell r="BS341" t="e">
            <v>#VALUE!</v>
          </cell>
          <cell r="BT341" t="e">
            <v>#VALUE!</v>
          </cell>
          <cell r="BU341" t="str">
            <v>NA</v>
          </cell>
          <cell r="BW341" t="e">
            <v>#VALUE!</v>
          </cell>
          <cell r="BX341" t="e">
            <v>#VALUE!</v>
          </cell>
          <cell r="BY341" t="e">
            <v>#VALUE!</v>
          </cell>
          <cell r="BZ341" t="e">
            <v>#VALUE!</v>
          </cell>
          <cell r="CA341" t="str">
            <v>NA</v>
          </cell>
          <cell r="CC341" t="e">
            <v>#VALUE!</v>
          </cell>
          <cell r="CD341" t="e">
            <v>#VALUE!</v>
          </cell>
          <cell r="CE341" t="e">
            <v>#VALUE!</v>
          </cell>
          <cell r="CF341" t="e">
            <v>#VALUE!</v>
          </cell>
          <cell r="CG341" t="str">
            <v>NA</v>
          </cell>
        </row>
        <row r="342">
          <cell r="A342"/>
          <cell r="C342"/>
          <cell r="D342"/>
          <cell r="E342"/>
          <cell r="F342"/>
          <cell r="G342"/>
          <cell r="I342"/>
          <cell r="J342"/>
          <cell r="K342"/>
          <cell r="L342"/>
          <cell r="M342"/>
          <cell r="O342"/>
          <cell r="P342"/>
          <cell r="Q342"/>
          <cell r="R342"/>
          <cell r="S342"/>
          <cell r="U342"/>
          <cell r="V342"/>
          <cell r="W342"/>
          <cell r="X342"/>
          <cell r="Y342"/>
          <cell r="AA342"/>
          <cell r="AB342"/>
          <cell r="AC342"/>
          <cell r="AD342"/>
          <cell r="AE342"/>
          <cell r="AG342"/>
          <cell r="AH342"/>
          <cell r="AI342"/>
          <cell r="AJ342"/>
          <cell r="AK342"/>
          <cell r="AM342"/>
          <cell r="AN342"/>
          <cell r="AO342"/>
          <cell r="AP342"/>
          <cell r="AQ342"/>
          <cell r="AS342"/>
          <cell r="AT342"/>
          <cell r="AU342"/>
          <cell r="AV342"/>
          <cell r="AW342"/>
          <cell r="AY342"/>
          <cell r="AZ342"/>
          <cell r="BA342"/>
          <cell r="BB342"/>
          <cell r="BC342"/>
          <cell r="BE342"/>
          <cell r="BF342"/>
          <cell r="BG342"/>
          <cell r="BH342"/>
          <cell r="BI342"/>
          <cell r="BK342"/>
          <cell r="BL342"/>
          <cell r="BM342"/>
          <cell r="BN342"/>
          <cell r="BO342"/>
          <cell r="BQ342"/>
          <cell r="BR342"/>
          <cell r="BS342"/>
          <cell r="BT342"/>
          <cell r="BU342"/>
          <cell r="BW342"/>
          <cell r="BX342"/>
          <cell r="BY342"/>
          <cell r="BZ342"/>
          <cell r="CA342"/>
          <cell r="CC342"/>
          <cell r="CD342"/>
          <cell r="CE342"/>
          <cell r="CF342"/>
          <cell r="CG342"/>
        </row>
        <row r="343">
          <cell r="A343" t="str">
            <v>Total</v>
          </cell>
          <cell r="B343"/>
          <cell r="C343"/>
          <cell r="D343"/>
          <cell r="E343"/>
          <cell r="F343"/>
          <cell r="G343"/>
          <cell r="I343"/>
          <cell r="J343"/>
          <cell r="K343"/>
          <cell r="L343"/>
          <cell r="M343"/>
          <cell r="O343"/>
          <cell r="P343"/>
          <cell r="Q343"/>
          <cell r="R343"/>
          <cell r="S343"/>
          <cell r="U343"/>
          <cell r="V343"/>
          <cell r="W343"/>
          <cell r="X343"/>
          <cell r="Y343">
            <v>0</v>
          </cell>
          <cell r="AA343">
            <v>0</v>
          </cell>
          <cell r="AB343">
            <v>0</v>
          </cell>
          <cell r="AC343">
            <v>0</v>
          </cell>
          <cell r="AD343">
            <v>0</v>
          </cell>
          <cell r="AE343">
            <v>0</v>
          </cell>
          <cell r="AG343">
            <v>0</v>
          </cell>
          <cell r="AH343">
            <v>0</v>
          </cell>
          <cell r="AI343">
            <v>0</v>
          </cell>
          <cell r="AJ343">
            <v>0</v>
          </cell>
          <cell r="AK343">
            <v>0</v>
          </cell>
          <cell r="AL343"/>
          <cell r="AM343">
            <v>0</v>
          </cell>
          <cell r="AN343">
            <v>0.16</v>
          </cell>
          <cell r="AO343">
            <v>1.7630000000000001</v>
          </cell>
          <cell r="AP343">
            <v>5.0000000000000044E-3</v>
          </cell>
          <cell r="AQ343">
            <v>1.9280000000000002</v>
          </cell>
          <cell r="AS343">
            <v>0.29299999999999998</v>
          </cell>
          <cell r="AT343">
            <v>1.3079999999999998</v>
          </cell>
          <cell r="AU343">
            <v>2.4279999999999999</v>
          </cell>
          <cell r="AV343">
            <v>2.64</v>
          </cell>
          <cell r="AW343">
            <v>6.6689999999999996</v>
          </cell>
          <cell r="AY343">
            <v>2.452</v>
          </cell>
          <cell r="AZ343">
            <v>2.4829999999999997</v>
          </cell>
          <cell r="BA343">
            <v>25.432000000000002</v>
          </cell>
          <cell r="BB343">
            <v>6.9470000000000001</v>
          </cell>
          <cell r="BC343">
            <v>37.314</v>
          </cell>
          <cell r="BE343">
            <v>8.9719999999999995</v>
          </cell>
          <cell r="BF343">
            <v>7.1319999999999997</v>
          </cell>
          <cell r="BG343">
            <v>0</v>
          </cell>
          <cell r="BH343">
            <v>0</v>
          </cell>
          <cell r="BI343">
            <v>16.103999999999999</v>
          </cell>
          <cell r="BK343">
            <v>0</v>
          </cell>
          <cell r="BL343">
            <v>0</v>
          </cell>
          <cell r="BM343">
            <v>0</v>
          </cell>
          <cell r="BN343">
            <v>0</v>
          </cell>
          <cell r="BO343">
            <v>0</v>
          </cell>
          <cell r="BQ343">
            <v>0</v>
          </cell>
          <cell r="BR343">
            <v>0</v>
          </cell>
          <cell r="BS343">
            <v>0</v>
          </cell>
          <cell r="BT343">
            <v>0</v>
          </cell>
          <cell r="BU343">
            <v>0</v>
          </cell>
          <cell r="BW343">
            <v>0</v>
          </cell>
          <cell r="BX343">
            <v>0</v>
          </cell>
          <cell r="BY343">
            <v>0</v>
          </cell>
          <cell r="BZ343">
            <v>0</v>
          </cell>
          <cell r="CA343">
            <v>0</v>
          </cell>
          <cell r="CC343">
            <v>0</v>
          </cell>
          <cell r="CD343">
            <v>0</v>
          </cell>
          <cell r="CE343">
            <v>0</v>
          </cell>
          <cell r="CF343">
            <v>0</v>
          </cell>
          <cell r="CG343">
            <v>0</v>
          </cell>
        </row>
        <row r="344">
          <cell r="A344" t="str">
            <v>q/q change</v>
          </cell>
          <cell r="B344"/>
          <cell r="C344"/>
          <cell r="D344"/>
          <cell r="E344"/>
          <cell r="F344"/>
          <cell r="G344"/>
          <cell r="I344"/>
          <cell r="J344"/>
          <cell r="K344"/>
          <cell r="L344"/>
          <cell r="M344"/>
          <cell r="O344"/>
          <cell r="P344"/>
          <cell r="Q344"/>
          <cell r="R344"/>
          <cell r="S344"/>
          <cell r="U344"/>
          <cell r="V344"/>
          <cell r="W344"/>
          <cell r="X344"/>
          <cell r="Y344" t="str">
            <v>NA</v>
          </cell>
          <cell r="AA344" t="str">
            <v>NA</v>
          </cell>
          <cell r="AB344" t="str">
            <v>NA</v>
          </cell>
          <cell r="AC344" t="str">
            <v>NA</v>
          </cell>
          <cell r="AD344" t="str">
            <v>NA</v>
          </cell>
          <cell r="AE344" t="str">
            <v>NA</v>
          </cell>
          <cell r="AG344" t="str">
            <v>NA</v>
          </cell>
          <cell r="AH344" t="str">
            <v>NA</v>
          </cell>
          <cell r="AI344" t="str">
            <v>NA</v>
          </cell>
          <cell r="AJ344" t="str">
            <v>NA</v>
          </cell>
          <cell r="AK344" t="str">
            <v>NA</v>
          </cell>
          <cell r="AL344"/>
          <cell r="AM344" t="str">
            <v>NA</v>
          </cell>
          <cell r="AN344" t="str">
            <v>NA</v>
          </cell>
          <cell r="AO344">
            <v>10.018750000000001</v>
          </cell>
          <cell r="AP344">
            <v>-0.99716392512762342</v>
          </cell>
          <cell r="AQ344" t="str">
            <v>NA</v>
          </cell>
          <cell r="AS344">
            <v>57.599999999999945</v>
          </cell>
          <cell r="AT344">
            <v>3.4641638225255971</v>
          </cell>
          <cell r="AU344">
            <v>0.85626911314984722</v>
          </cell>
          <cell r="AV344">
            <v>8.7314662273476173E-2</v>
          </cell>
          <cell r="AW344" t="str">
            <v>NA</v>
          </cell>
          <cell r="AY344">
            <v>-7.1212121212121282E-2</v>
          </cell>
          <cell r="AZ344">
            <v>1.2642740619901893E-2</v>
          </cell>
          <cell r="BA344">
            <v>9.242448650825617</v>
          </cell>
          <cell r="BB344">
            <v>-0.72684020132117022</v>
          </cell>
          <cell r="BC344" t="str">
            <v>NA</v>
          </cell>
          <cell r="BE344">
            <v>0.29149273067511139</v>
          </cell>
          <cell r="BF344">
            <v>-0.2050824788230049</v>
          </cell>
          <cell r="BG344">
            <v>-1</v>
          </cell>
          <cell r="BH344" t="str">
            <v>NA</v>
          </cell>
          <cell r="BI344" t="str">
            <v>NA</v>
          </cell>
          <cell r="BK344" t="str">
            <v>NA</v>
          </cell>
          <cell r="BL344" t="str">
            <v>NA</v>
          </cell>
          <cell r="BM344" t="str">
            <v>NA</v>
          </cell>
          <cell r="BN344" t="str">
            <v>NA</v>
          </cell>
          <cell r="BO344" t="str">
            <v>NA</v>
          </cell>
          <cell r="BQ344" t="str">
            <v>NA</v>
          </cell>
          <cell r="BR344" t="str">
            <v>NA</v>
          </cell>
          <cell r="BS344" t="str">
            <v>NA</v>
          </cell>
          <cell r="BT344" t="str">
            <v>NA</v>
          </cell>
          <cell r="BU344" t="str">
            <v>NA</v>
          </cell>
          <cell r="BW344" t="str">
            <v>NA</v>
          </cell>
          <cell r="BX344" t="str">
            <v>NA</v>
          </cell>
          <cell r="BY344" t="str">
            <v>NA</v>
          </cell>
          <cell r="BZ344" t="str">
            <v>NA</v>
          </cell>
          <cell r="CA344" t="str">
            <v>NA</v>
          </cell>
          <cell r="CC344" t="str">
            <v>NA</v>
          </cell>
          <cell r="CD344" t="str">
            <v>NA</v>
          </cell>
          <cell r="CE344" t="str">
            <v>NA</v>
          </cell>
          <cell r="CF344" t="str">
            <v>NA</v>
          </cell>
          <cell r="CG344" t="str">
            <v>NA</v>
          </cell>
        </row>
        <row r="345">
          <cell r="A345" t="str">
            <v>y/y change</v>
          </cell>
          <cell r="B345"/>
          <cell r="C345"/>
          <cell r="D345"/>
          <cell r="E345"/>
          <cell r="F345"/>
          <cell r="G345"/>
          <cell r="H345"/>
          <cell r="I345"/>
          <cell r="J345"/>
          <cell r="K345"/>
          <cell r="L345"/>
          <cell r="M345"/>
          <cell r="N345"/>
          <cell r="O345"/>
          <cell r="P345"/>
          <cell r="Q345"/>
          <cell r="R345"/>
          <cell r="S345"/>
          <cell r="T345"/>
          <cell r="U345"/>
          <cell r="V345"/>
          <cell r="W345"/>
          <cell r="X345"/>
          <cell r="Y345" t="str">
            <v>NA</v>
          </cell>
          <cell r="Z345"/>
          <cell r="AA345" t="str">
            <v>NA</v>
          </cell>
          <cell r="AB345" t="str">
            <v>NA</v>
          </cell>
          <cell r="AC345" t="str">
            <v>NA</v>
          </cell>
          <cell r="AD345" t="str">
            <v>NA</v>
          </cell>
          <cell r="AE345" t="str">
            <v>NA</v>
          </cell>
          <cell r="AF345"/>
          <cell r="AG345" t="str">
            <v>NA</v>
          </cell>
          <cell r="AH345" t="str">
            <v>NA</v>
          </cell>
          <cell r="AI345" t="str">
            <v>NA</v>
          </cell>
          <cell r="AJ345" t="str">
            <v>NA</v>
          </cell>
          <cell r="AK345" t="str">
            <v>NA</v>
          </cell>
          <cell r="AL345"/>
          <cell r="AM345" t="str">
            <v>NA</v>
          </cell>
          <cell r="AN345" t="str">
            <v>NA</v>
          </cell>
          <cell r="AO345" t="str">
            <v>NA</v>
          </cell>
          <cell r="AP345" t="str">
            <v>NA</v>
          </cell>
          <cell r="AQ345" t="str">
            <v>NA</v>
          </cell>
          <cell r="AR345"/>
          <cell r="AS345" t="str">
            <v>NA</v>
          </cell>
          <cell r="AT345">
            <v>7.1749999999999989</v>
          </cell>
          <cell r="AU345">
            <v>0.3771979580260918</v>
          </cell>
          <cell r="AV345">
            <v>526.99999999999955</v>
          </cell>
          <cell r="AW345">
            <v>2.4590248962655599</v>
          </cell>
          <cell r="AX345"/>
          <cell r="AY345">
            <v>7.3686006825938577</v>
          </cell>
          <cell r="AZ345">
            <v>0.89831804281345562</v>
          </cell>
          <cell r="BA345">
            <v>9.474464579901154</v>
          </cell>
          <cell r="BB345">
            <v>1.6314393939393939</v>
          </cell>
          <cell r="BC345">
            <v>4.5951417004048585</v>
          </cell>
          <cell r="BD345"/>
          <cell r="BE345">
            <v>2.6590538336052201</v>
          </cell>
          <cell r="BF345">
            <v>1.8723318566250504</v>
          </cell>
          <cell r="BG345">
            <v>-0.71547656495753387</v>
          </cell>
          <cell r="BH345">
            <v>-1</v>
          </cell>
          <cell r="BI345">
            <v>-0.37449750763788392</v>
          </cell>
          <cell r="BJ345"/>
          <cell r="BK345">
            <v>-1</v>
          </cell>
          <cell r="BL345">
            <v>-1</v>
          </cell>
          <cell r="BM345">
            <v>-1</v>
          </cell>
          <cell r="BN345" t="str">
            <v>NA</v>
          </cell>
          <cell r="BO345">
            <v>-1</v>
          </cell>
          <cell r="BP345"/>
          <cell r="BQ345" t="str">
            <v>NA</v>
          </cell>
          <cell r="BR345" t="str">
            <v>NA</v>
          </cell>
          <cell r="BS345" t="str">
            <v>NA</v>
          </cell>
          <cell r="BT345" t="str">
            <v>NA</v>
          </cell>
          <cell r="BU345" t="str">
            <v>NA</v>
          </cell>
          <cell r="BV345"/>
          <cell r="BW345" t="str">
            <v>NA</v>
          </cell>
          <cell r="BX345" t="str">
            <v>NA</v>
          </cell>
          <cell r="BY345" t="str">
            <v>NA</v>
          </cell>
          <cell r="BZ345" t="str">
            <v>NA</v>
          </cell>
          <cell r="CA345" t="str">
            <v>NA</v>
          </cell>
          <cell r="CB345"/>
          <cell r="CC345" t="str">
            <v>NA</v>
          </cell>
          <cell r="CD345" t="str">
            <v>NA</v>
          </cell>
          <cell r="CE345" t="str">
            <v>NA</v>
          </cell>
          <cell r="CF345" t="str">
            <v>NA</v>
          </cell>
          <cell r="CG345" t="str">
            <v>NA</v>
          </cell>
        </row>
        <row r="346">
          <cell r="A346" t="str">
            <v>% seasonality</v>
          </cell>
          <cell r="B346"/>
          <cell r="C346"/>
          <cell r="D346"/>
          <cell r="E346"/>
          <cell r="F346"/>
          <cell r="G346"/>
          <cell r="H346"/>
          <cell r="I346"/>
          <cell r="J346"/>
          <cell r="K346"/>
          <cell r="L346"/>
          <cell r="M346"/>
          <cell r="N346"/>
          <cell r="O346"/>
          <cell r="P346"/>
          <cell r="Q346"/>
          <cell r="R346"/>
          <cell r="S346"/>
          <cell r="T346"/>
          <cell r="U346"/>
          <cell r="V346"/>
          <cell r="W346"/>
          <cell r="X346"/>
          <cell r="Y346">
            <v>0</v>
          </cell>
          <cell r="Z346"/>
          <cell r="AA346" t="str">
            <v>NA</v>
          </cell>
          <cell r="AB346" t="str">
            <v>NA</v>
          </cell>
          <cell r="AC346" t="str">
            <v>NA</v>
          </cell>
          <cell r="AD346" t="str">
            <v>NA</v>
          </cell>
          <cell r="AE346">
            <v>0</v>
          </cell>
          <cell r="AF346"/>
          <cell r="AG346" t="str">
            <v>NA</v>
          </cell>
          <cell r="AH346" t="str">
            <v>NA</v>
          </cell>
          <cell r="AI346" t="str">
            <v>NA</v>
          </cell>
          <cell r="AJ346" t="str">
            <v>NA</v>
          </cell>
          <cell r="AK346">
            <v>0</v>
          </cell>
          <cell r="AL346"/>
          <cell r="AM346">
            <v>0</v>
          </cell>
          <cell r="AN346">
            <v>8.2987551867219914E-2</v>
          </cell>
          <cell r="AO346">
            <v>0.91441908713692943</v>
          </cell>
          <cell r="AP346">
            <v>2.5933609958506245E-3</v>
          </cell>
          <cell r="AQ346">
            <v>1</v>
          </cell>
          <cell r="AR346"/>
          <cell r="AS346">
            <v>4.3934622881991306E-2</v>
          </cell>
          <cell r="AT346">
            <v>0.19613135402609086</v>
          </cell>
          <cell r="AU346">
            <v>0.36407257459889042</v>
          </cell>
          <cell r="AV346">
            <v>0.39586144849302746</v>
          </cell>
          <cell r="AW346">
            <v>1</v>
          </cell>
          <cell r="AX346"/>
          <cell r="AY346">
            <v>6.571260116846224E-2</v>
          </cell>
          <cell r="AZ346">
            <v>6.6543388540494172E-2</v>
          </cell>
          <cell r="BA346">
            <v>0.68156724017794934</v>
          </cell>
          <cell r="BB346">
            <v>0.18617677011309428</v>
          </cell>
          <cell r="BC346">
            <v>1</v>
          </cell>
          <cell r="BD346"/>
          <cell r="BE346">
            <v>0.38440445586975147</v>
          </cell>
          <cell r="BF346">
            <v>0.30556983718937447</v>
          </cell>
          <cell r="BG346">
            <v>0.31002570694087406</v>
          </cell>
          <cell r="BH346">
            <v>0</v>
          </cell>
          <cell r="BI346">
            <v>1</v>
          </cell>
          <cell r="BJ346"/>
          <cell r="BK346" t="str">
            <v>NA</v>
          </cell>
          <cell r="BL346" t="str">
            <v>NA</v>
          </cell>
          <cell r="BM346" t="str">
            <v>NA</v>
          </cell>
          <cell r="BN346" t="str">
            <v>NA</v>
          </cell>
          <cell r="BO346">
            <v>0</v>
          </cell>
          <cell r="BP346"/>
          <cell r="BQ346">
            <v>0.25</v>
          </cell>
          <cell r="BR346">
            <v>0.25</v>
          </cell>
          <cell r="BS346">
            <v>0.25</v>
          </cell>
          <cell r="BT346">
            <v>0.25</v>
          </cell>
          <cell r="BU346">
            <v>1</v>
          </cell>
          <cell r="BV346"/>
          <cell r="BW346" t="str">
            <v>NA</v>
          </cell>
          <cell r="BX346" t="str">
            <v>NA</v>
          </cell>
          <cell r="BY346" t="str">
            <v>NA</v>
          </cell>
          <cell r="BZ346" t="str">
            <v>NA</v>
          </cell>
          <cell r="CA346">
            <v>0</v>
          </cell>
          <cell r="CB346"/>
          <cell r="CC346" t="str">
            <v>NA</v>
          </cell>
          <cell r="CD346" t="str">
            <v>NA</v>
          </cell>
          <cell r="CE346" t="str">
            <v>NA</v>
          </cell>
          <cell r="CF346" t="str">
            <v>NA</v>
          </cell>
          <cell r="CG346">
            <v>0</v>
          </cell>
        </row>
        <row r="347">
          <cell r="A347" t="str">
            <v>% total revenue</v>
          </cell>
          <cell r="C347"/>
          <cell r="D347"/>
          <cell r="E347"/>
          <cell r="F347"/>
          <cell r="G347"/>
          <cell r="I347"/>
          <cell r="J347"/>
          <cell r="K347"/>
          <cell r="L347"/>
          <cell r="M347"/>
          <cell r="O347"/>
          <cell r="P347"/>
          <cell r="Q347"/>
          <cell r="R347"/>
          <cell r="S347"/>
          <cell r="U347"/>
          <cell r="V347"/>
          <cell r="W347"/>
          <cell r="X347"/>
          <cell r="Y347">
            <v>0</v>
          </cell>
          <cell r="AA347">
            <v>0</v>
          </cell>
          <cell r="AB347">
            <v>0</v>
          </cell>
          <cell r="AC347">
            <v>0</v>
          </cell>
          <cell r="AD347">
            <v>0</v>
          </cell>
          <cell r="AE347">
            <v>0</v>
          </cell>
          <cell r="AG347">
            <v>0</v>
          </cell>
          <cell r="AH347">
            <v>0</v>
          </cell>
          <cell r="AI347">
            <v>0</v>
          </cell>
          <cell r="AJ347">
            <v>0</v>
          </cell>
          <cell r="AK347">
            <v>0</v>
          </cell>
          <cell r="AM347">
            <v>0</v>
          </cell>
          <cell r="AN347">
            <v>5.2772189056367299E-3</v>
          </cell>
          <cell r="AO347">
            <v>5.1617625530669009E-2</v>
          </cell>
          <cell r="AP347">
            <v>1.2957396081683437E-4</v>
          </cell>
          <cell r="AQ347">
            <v>1.4649676688929922E-2</v>
          </cell>
          <cell r="AS347">
            <v>5.8216932583599907E-3</v>
          </cell>
          <cell r="AT347">
            <v>2.5397071958370543E-2</v>
          </cell>
          <cell r="AU347">
            <v>3.87927591110259E-2</v>
          </cell>
          <cell r="AV347">
            <v>2.9613011777902411E-2</v>
          </cell>
          <cell r="AW347">
            <v>2.6300429861576682E-2</v>
          </cell>
          <cell r="AY347">
            <v>3.2254669823730597E-2</v>
          </cell>
          <cell r="AZ347">
            <v>3.0264617334812227E-2</v>
          </cell>
          <cell r="BA347">
            <v>0.24596458311169569</v>
          </cell>
          <cell r="BB347">
            <v>4.4403962927452863E-2</v>
          </cell>
          <cell r="BC347">
            <v>8.9287167093393321E-2</v>
          </cell>
          <cell r="BE347">
            <v>8.2439746028245622E-2</v>
          </cell>
          <cell r="BF347">
            <v>7.411179117350597E-2</v>
          </cell>
          <cell r="BG347">
            <v>0</v>
          </cell>
          <cell r="BH347">
            <v>0</v>
          </cell>
          <cell r="BI347">
            <v>3.4830473254240837E-2</v>
          </cell>
          <cell r="BK347">
            <v>0</v>
          </cell>
          <cell r="BL347">
            <v>0</v>
          </cell>
          <cell r="BM347">
            <v>0</v>
          </cell>
          <cell r="BN347">
            <v>0</v>
          </cell>
          <cell r="BO347">
            <v>0</v>
          </cell>
          <cell r="BQ347" t="str">
            <v>NA</v>
          </cell>
          <cell r="BR347" t="str">
            <v>NA</v>
          </cell>
          <cell r="BS347" t="str">
            <v>NA</v>
          </cell>
          <cell r="BT347" t="str">
            <v>NA</v>
          </cell>
          <cell r="BU347" t="str">
            <v>NA</v>
          </cell>
          <cell r="BW347" t="str">
            <v>NA</v>
          </cell>
          <cell r="BX347" t="str">
            <v>NA</v>
          </cell>
          <cell r="BY347" t="str">
            <v>NA</v>
          </cell>
          <cell r="BZ347" t="str">
            <v>NA</v>
          </cell>
          <cell r="CA347" t="str">
            <v>NA</v>
          </cell>
          <cell r="CC347" t="str">
            <v>NA</v>
          </cell>
          <cell r="CD347" t="str">
            <v>NA</v>
          </cell>
          <cell r="CE347" t="str">
            <v>NA</v>
          </cell>
          <cell r="CF347" t="str">
            <v>NA</v>
          </cell>
          <cell r="CG347" t="str">
            <v>NA</v>
          </cell>
        </row>
        <row r="348">
          <cell r="A348"/>
          <cell r="C348"/>
          <cell r="D348"/>
          <cell r="E348"/>
          <cell r="F348"/>
          <cell r="G348"/>
          <cell r="I348"/>
          <cell r="J348"/>
          <cell r="K348"/>
          <cell r="L348"/>
          <cell r="M348"/>
          <cell r="O348"/>
          <cell r="P348"/>
          <cell r="Q348"/>
          <cell r="R348"/>
          <cell r="S348"/>
          <cell r="U348"/>
          <cell r="V348"/>
          <cell r="W348"/>
          <cell r="X348"/>
          <cell r="Y348"/>
          <cell r="AA348"/>
          <cell r="AB348"/>
          <cell r="AC348"/>
          <cell r="AD348"/>
          <cell r="AE348"/>
          <cell r="AG348"/>
          <cell r="AH348"/>
          <cell r="AI348"/>
          <cell r="AJ348"/>
          <cell r="AK348"/>
          <cell r="AM348"/>
          <cell r="AN348"/>
          <cell r="AO348"/>
          <cell r="AP348"/>
          <cell r="AQ348"/>
          <cell r="AS348"/>
          <cell r="AT348"/>
          <cell r="AU348"/>
          <cell r="AV348"/>
          <cell r="AW348"/>
          <cell r="AY348"/>
          <cell r="AZ348"/>
          <cell r="BA348"/>
          <cell r="BB348"/>
          <cell r="BC348"/>
          <cell r="BE348"/>
          <cell r="BF348"/>
          <cell r="BG348"/>
          <cell r="BH348"/>
          <cell r="BI348"/>
          <cell r="BK348"/>
          <cell r="BL348"/>
          <cell r="BM348"/>
          <cell r="BN348"/>
          <cell r="BO348"/>
          <cell r="BQ348"/>
          <cell r="BR348"/>
          <cell r="BS348"/>
          <cell r="BT348"/>
          <cell r="BU348"/>
          <cell r="BW348"/>
          <cell r="BX348"/>
          <cell r="BY348"/>
          <cell r="BZ348"/>
          <cell r="CA348"/>
          <cell r="CC348"/>
          <cell r="CD348"/>
          <cell r="CE348"/>
          <cell r="CF348"/>
          <cell r="CG348"/>
        </row>
        <row r="349">
          <cell r="A349"/>
          <cell r="C349"/>
          <cell r="D349"/>
          <cell r="E349"/>
          <cell r="F349"/>
          <cell r="G349"/>
          <cell r="I349"/>
          <cell r="J349"/>
          <cell r="K349"/>
          <cell r="L349"/>
          <cell r="M349"/>
          <cell r="O349"/>
          <cell r="P349"/>
          <cell r="Q349"/>
          <cell r="R349"/>
          <cell r="S349"/>
          <cell r="U349"/>
          <cell r="V349"/>
          <cell r="W349"/>
          <cell r="X349"/>
          <cell r="Y349"/>
          <cell r="AA349"/>
          <cell r="AB349"/>
          <cell r="AC349"/>
          <cell r="AD349"/>
          <cell r="AE349"/>
          <cell r="AG349"/>
          <cell r="AH349"/>
          <cell r="AI349"/>
          <cell r="AJ349"/>
          <cell r="AK349"/>
          <cell r="AM349"/>
          <cell r="AN349"/>
          <cell r="AO349"/>
          <cell r="AP349"/>
          <cell r="AQ349"/>
          <cell r="AS349"/>
          <cell r="AT349"/>
          <cell r="AU349"/>
          <cell r="AV349"/>
          <cell r="AW349"/>
          <cell r="AY349"/>
          <cell r="AZ349"/>
          <cell r="BA349"/>
          <cell r="BB349"/>
          <cell r="BC349"/>
          <cell r="BE349"/>
          <cell r="BF349"/>
          <cell r="BG349"/>
          <cell r="BH349"/>
          <cell r="BI349"/>
          <cell r="BK349"/>
          <cell r="BL349"/>
          <cell r="BM349"/>
          <cell r="BN349"/>
          <cell r="BO349"/>
          <cell r="BQ349"/>
          <cell r="BR349"/>
          <cell r="BS349"/>
          <cell r="BT349"/>
          <cell r="BU349"/>
          <cell r="BW349"/>
          <cell r="BX349"/>
          <cell r="BY349"/>
          <cell r="BZ349"/>
          <cell r="CA349"/>
          <cell r="CC349"/>
          <cell r="CD349"/>
          <cell r="CE349"/>
          <cell r="CF349"/>
          <cell r="CG349"/>
        </row>
        <row r="350">
          <cell r="A350" t="str">
            <v>INCOME TAX ADJUSTMENTS</v>
          </cell>
          <cell r="C350"/>
          <cell r="D350"/>
          <cell r="E350"/>
          <cell r="F350"/>
          <cell r="G350"/>
          <cell r="I350"/>
          <cell r="J350"/>
          <cell r="K350"/>
          <cell r="L350"/>
          <cell r="M350"/>
          <cell r="O350"/>
          <cell r="P350"/>
          <cell r="Q350"/>
          <cell r="R350"/>
          <cell r="S350"/>
          <cell r="U350"/>
          <cell r="V350"/>
          <cell r="W350"/>
          <cell r="X350"/>
          <cell r="Y350"/>
          <cell r="AA350"/>
          <cell r="AB350"/>
          <cell r="AC350"/>
          <cell r="AD350"/>
          <cell r="AE350"/>
          <cell r="AG350"/>
          <cell r="AH350"/>
          <cell r="AI350"/>
          <cell r="AJ350"/>
          <cell r="AK350"/>
          <cell r="AM350"/>
          <cell r="AN350"/>
          <cell r="AO350"/>
          <cell r="AP350"/>
          <cell r="AQ350"/>
          <cell r="AS350"/>
          <cell r="AT350"/>
          <cell r="AU350"/>
          <cell r="AV350"/>
          <cell r="AW350"/>
          <cell r="AY350"/>
          <cell r="AZ350"/>
          <cell r="BA350"/>
          <cell r="BB350"/>
          <cell r="BC350"/>
          <cell r="BE350"/>
          <cell r="BF350"/>
          <cell r="BG350"/>
          <cell r="BH350"/>
          <cell r="BI350"/>
          <cell r="BK350"/>
          <cell r="BL350"/>
          <cell r="BM350"/>
          <cell r="BN350"/>
          <cell r="BO350"/>
          <cell r="BQ350"/>
          <cell r="BR350"/>
          <cell r="BS350"/>
          <cell r="BT350"/>
          <cell r="BU350"/>
          <cell r="BW350"/>
          <cell r="BX350"/>
          <cell r="BY350"/>
          <cell r="BZ350"/>
          <cell r="CA350"/>
          <cell r="CC350"/>
          <cell r="CD350"/>
          <cell r="CE350"/>
          <cell r="CF350"/>
          <cell r="CG350"/>
        </row>
        <row r="351">
          <cell r="A351"/>
          <cell r="C351"/>
          <cell r="D351"/>
          <cell r="E351"/>
          <cell r="F351"/>
          <cell r="G351"/>
          <cell r="I351"/>
          <cell r="J351"/>
          <cell r="K351"/>
          <cell r="L351"/>
          <cell r="M351"/>
          <cell r="O351"/>
          <cell r="P351"/>
          <cell r="Q351"/>
          <cell r="R351"/>
          <cell r="S351"/>
          <cell r="U351"/>
          <cell r="V351"/>
          <cell r="W351"/>
          <cell r="X351"/>
          <cell r="Y351"/>
          <cell r="AA351"/>
          <cell r="AB351"/>
          <cell r="AC351"/>
          <cell r="AD351"/>
          <cell r="AE351"/>
          <cell r="AG351"/>
          <cell r="AH351"/>
          <cell r="AI351"/>
          <cell r="AJ351"/>
          <cell r="AK351"/>
          <cell r="AM351"/>
          <cell r="AN351"/>
          <cell r="AO351"/>
          <cell r="AP351"/>
          <cell r="AQ351"/>
          <cell r="AS351"/>
          <cell r="AT351"/>
          <cell r="AU351"/>
          <cell r="AV351"/>
          <cell r="AW351"/>
          <cell r="AY351"/>
          <cell r="AZ351"/>
          <cell r="BA351"/>
          <cell r="BB351"/>
          <cell r="BC351"/>
          <cell r="BE351"/>
          <cell r="BF351"/>
          <cell r="BG351"/>
          <cell r="BH351"/>
          <cell r="BI351"/>
          <cell r="BK351"/>
          <cell r="BL351"/>
          <cell r="BM351"/>
          <cell r="BN351"/>
          <cell r="BO351"/>
          <cell r="BQ351"/>
          <cell r="BR351"/>
          <cell r="BS351"/>
          <cell r="BT351"/>
          <cell r="BU351"/>
          <cell r="BW351"/>
          <cell r="BX351"/>
          <cell r="BY351"/>
          <cell r="BZ351"/>
          <cell r="CA351"/>
          <cell r="CC351"/>
          <cell r="CD351"/>
          <cell r="CE351"/>
          <cell r="CF351"/>
          <cell r="CG351"/>
        </row>
        <row r="352">
          <cell r="A352" t="str">
            <v>Stock based compensation</v>
          </cell>
          <cell r="B352"/>
          <cell r="C352"/>
          <cell r="D352"/>
          <cell r="E352"/>
          <cell r="F352"/>
          <cell r="G352"/>
          <cell r="H352"/>
          <cell r="I352"/>
          <cell r="J352"/>
          <cell r="K352"/>
          <cell r="L352"/>
          <cell r="M352"/>
          <cell r="N352"/>
          <cell r="O352"/>
          <cell r="P352"/>
          <cell r="Q352"/>
          <cell r="R352"/>
          <cell r="S352"/>
          <cell r="T352"/>
          <cell r="U352"/>
          <cell r="V352"/>
          <cell r="W352"/>
          <cell r="X352"/>
          <cell r="Y352">
            <v>0</v>
          </cell>
          <cell r="Z352"/>
          <cell r="AA352">
            <v>0</v>
          </cell>
          <cell r="AB352">
            <v>0</v>
          </cell>
          <cell r="AC352">
            <v>0</v>
          </cell>
          <cell r="AD352">
            <v>0</v>
          </cell>
          <cell r="AE352">
            <v>0</v>
          </cell>
          <cell r="AF352"/>
          <cell r="AG352">
            <v>0</v>
          </cell>
          <cell r="AH352">
            <v>0</v>
          </cell>
          <cell r="AI352">
            <v>0</v>
          </cell>
          <cell r="AJ352">
            <v>0</v>
          </cell>
          <cell r="AK352">
            <v>0</v>
          </cell>
          <cell r="AL352"/>
          <cell r="AM352">
            <v>0</v>
          </cell>
          <cell r="AN352">
            <v>0</v>
          </cell>
          <cell r="AO352">
            <v>0</v>
          </cell>
          <cell r="AP352">
            <v>0</v>
          </cell>
          <cell r="AQ352">
            <v>0</v>
          </cell>
          <cell r="AR352"/>
          <cell r="AS352">
            <v>0</v>
          </cell>
          <cell r="AT352">
            <v>0</v>
          </cell>
          <cell r="AU352">
            <v>0</v>
          </cell>
          <cell r="AV352">
            <v>0</v>
          </cell>
          <cell r="AW352">
            <v>0</v>
          </cell>
          <cell r="AX352"/>
          <cell r="AY352">
            <v>0</v>
          </cell>
          <cell r="AZ352">
            <v>0</v>
          </cell>
          <cell r="BA352">
            <v>0</v>
          </cell>
          <cell r="BB352">
            <v>0</v>
          </cell>
          <cell r="BC352">
            <v>0</v>
          </cell>
          <cell r="BD352"/>
          <cell r="BE352">
            <v>0</v>
          </cell>
          <cell r="BF352">
            <v>0</v>
          </cell>
          <cell r="BG352">
            <v>0</v>
          </cell>
          <cell r="BH352">
            <v>0</v>
          </cell>
          <cell r="BI352">
            <v>0</v>
          </cell>
          <cell r="BJ352"/>
          <cell r="BK352">
            <v>0</v>
          </cell>
          <cell r="BL352">
            <v>0</v>
          </cell>
          <cell r="BM352">
            <v>0</v>
          </cell>
          <cell r="BN352">
            <v>0</v>
          </cell>
          <cell r="BO352">
            <v>0</v>
          </cell>
          <cell r="BP352"/>
          <cell r="BQ352"/>
          <cell r="BR352"/>
          <cell r="BS352"/>
          <cell r="BT352"/>
          <cell r="BU352">
            <v>0</v>
          </cell>
          <cell r="BV352"/>
          <cell r="BW352"/>
          <cell r="BX352"/>
          <cell r="BY352"/>
          <cell r="BZ352"/>
          <cell r="CA352">
            <v>0</v>
          </cell>
          <cell r="CB352"/>
          <cell r="CC352"/>
          <cell r="CD352"/>
          <cell r="CE352"/>
          <cell r="CF352"/>
          <cell r="CG352">
            <v>0</v>
          </cell>
          <cell r="CH352"/>
        </row>
        <row r="353">
          <cell r="A353" t="str">
            <v>% total</v>
          </cell>
          <cell r="C353"/>
          <cell r="D353"/>
          <cell r="E353"/>
          <cell r="F353"/>
          <cell r="G353"/>
          <cell r="I353"/>
          <cell r="J353"/>
          <cell r="K353"/>
          <cell r="L353"/>
          <cell r="M353"/>
          <cell r="O353"/>
          <cell r="P353"/>
          <cell r="Q353"/>
          <cell r="R353"/>
          <cell r="S353"/>
          <cell r="U353"/>
          <cell r="V353"/>
          <cell r="W353"/>
          <cell r="X353"/>
          <cell r="Y353">
            <v>0</v>
          </cell>
          <cell r="AA353">
            <v>0</v>
          </cell>
          <cell r="AB353">
            <v>0</v>
          </cell>
          <cell r="AC353">
            <v>0</v>
          </cell>
          <cell r="AD353">
            <v>0</v>
          </cell>
          <cell r="AE353">
            <v>0</v>
          </cell>
          <cell r="AG353">
            <v>0</v>
          </cell>
          <cell r="AH353">
            <v>0</v>
          </cell>
          <cell r="AI353">
            <v>0</v>
          </cell>
          <cell r="AJ353">
            <v>0</v>
          </cell>
          <cell r="AK353">
            <v>0</v>
          </cell>
          <cell r="AM353">
            <v>0</v>
          </cell>
          <cell r="AN353">
            <v>0</v>
          </cell>
          <cell r="AO353">
            <v>0</v>
          </cell>
          <cell r="AP353">
            <v>0</v>
          </cell>
          <cell r="AQ353">
            <v>0</v>
          </cell>
          <cell r="AS353">
            <v>0</v>
          </cell>
          <cell r="AT353">
            <v>0</v>
          </cell>
          <cell r="AU353">
            <v>0</v>
          </cell>
          <cell r="AV353">
            <v>0</v>
          </cell>
          <cell r="AW353">
            <v>0</v>
          </cell>
          <cell r="AY353">
            <v>0</v>
          </cell>
          <cell r="AZ353">
            <v>0</v>
          </cell>
          <cell r="BA353">
            <v>0</v>
          </cell>
          <cell r="BB353">
            <v>0</v>
          </cell>
          <cell r="BC353">
            <v>0</v>
          </cell>
          <cell r="BE353">
            <v>0</v>
          </cell>
          <cell r="BF353">
            <v>0</v>
          </cell>
          <cell r="BG353">
            <v>0</v>
          </cell>
          <cell r="BH353">
            <v>0</v>
          </cell>
          <cell r="BI353">
            <v>0</v>
          </cell>
          <cell r="BK353">
            <v>0</v>
          </cell>
          <cell r="BL353">
            <v>0</v>
          </cell>
          <cell r="BM353">
            <v>0</v>
          </cell>
          <cell r="BN353">
            <v>0</v>
          </cell>
          <cell r="BO353">
            <v>0</v>
          </cell>
          <cell r="BQ353" t="str">
            <v>NA</v>
          </cell>
          <cell r="BR353" t="str">
            <v>NA</v>
          </cell>
          <cell r="BS353" t="str">
            <v>NA</v>
          </cell>
          <cell r="BT353" t="str">
            <v>NA</v>
          </cell>
          <cell r="BU353" t="str">
            <v>NA</v>
          </cell>
          <cell r="BW353" t="str">
            <v>NA</v>
          </cell>
          <cell r="BX353" t="str">
            <v>NA</v>
          </cell>
          <cell r="BY353" t="str">
            <v>NA</v>
          </cell>
          <cell r="BZ353" t="str">
            <v>NA</v>
          </cell>
          <cell r="CA353" t="str">
            <v>NA</v>
          </cell>
          <cell r="CC353" t="str">
            <v>NA</v>
          </cell>
          <cell r="CD353" t="str">
            <v>NA</v>
          </cell>
          <cell r="CE353" t="str">
            <v>NA</v>
          </cell>
          <cell r="CF353" t="str">
            <v>NA</v>
          </cell>
          <cell r="CG353" t="str">
            <v>NA</v>
          </cell>
        </row>
        <row r="354">
          <cell r="A354"/>
          <cell r="C354"/>
          <cell r="D354"/>
          <cell r="E354"/>
          <cell r="F354"/>
          <cell r="G354"/>
          <cell r="I354"/>
          <cell r="J354"/>
          <cell r="K354"/>
          <cell r="L354"/>
          <cell r="M354"/>
          <cell r="O354"/>
          <cell r="P354"/>
          <cell r="Q354"/>
          <cell r="R354"/>
          <cell r="S354"/>
          <cell r="U354"/>
          <cell r="V354"/>
          <cell r="W354"/>
          <cell r="X354"/>
          <cell r="Y354"/>
          <cell r="AA354"/>
          <cell r="AB354"/>
          <cell r="AC354"/>
          <cell r="AD354"/>
          <cell r="AE354"/>
          <cell r="AG354"/>
          <cell r="AH354"/>
          <cell r="AI354"/>
          <cell r="AJ354"/>
          <cell r="AK354"/>
          <cell r="AM354"/>
          <cell r="AN354"/>
          <cell r="AO354"/>
          <cell r="AP354"/>
          <cell r="AQ354"/>
          <cell r="AS354"/>
          <cell r="AT354"/>
          <cell r="AU354"/>
          <cell r="AV354"/>
          <cell r="AW354"/>
          <cell r="AY354"/>
          <cell r="AZ354"/>
          <cell r="BA354"/>
          <cell r="BB354"/>
          <cell r="BC354"/>
          <cell r="BE354"/>
          <cell r="BF354"/>
          <cell r="BG354"/>
          <cell r="BH354"/>
          <cell r="BI354"/>
          <cell r="BK354"/>
          <cell r="BL354"/>
          <cell r="BM354"/>
          <cell r="BN354"/>
          <cell r="BO354"/>
          <cell r="BQ354"/>
          <cell r="BR354"/>
          <cell r="BS354"/>
          <cell r="BT354"/>
          <cell r="BU354"/>
          <cell r="BW354"/>
          <cell r="BX354"/>
          <cell r="BY354"/>
          <cell r="BZ354"/>
          <cell r="CA354"/>
          <cell r="CC354"/>
          <cell r="CD354"/>
          <cell r="CE354"/>
          <cell r="CF354"/>
          <cell r="CG354"/>
        </row>
        <row r="355">
          <cell r="A355" t="str">
            <v>Payroll tax on stock based comp</v>
          </cell>
          <cell r="B355"/>
          <cell r="C355"/>
          <cell r="D355"/>
          <cell r="E355"/>
          <cell r="F355"/>
          <cell r="G355"/>
          <cell r="H355"/>
          <cell r="I355"/>
          <cell r="J355"/>
          <cell r="K355"/>
          <cell r="L355"/>
          <cell r="M355"/>
          <cell r="N355"/>
          <cell r="O355"/>
          <cell r="P355"/>
          <cell r="Q355"/>
          <cell r="R355"/>
          <cell r="S355"/>
          <cell r="T355"/>
          <cell r="U355"/>
          <cell r="V355"/>
          <cell r="W355"/>
          <cell r="X355"/>
          <cell r="Y355">
            <v>0</v>
          </cell>
          <cell r="Z355"/>
          <cell r="AA355">
            <v>0</v>
          </cell>
          <cell r="AB355">
            <v>0</v>
          </cell>
          <cell r="AC355">
            <v>0</v>
          </cell>
          <cell r="AD355">
            <v>0</v>
          </cell>
          <cell r="AE355">
            <v>0</v>
          </cell>
          <cell r="AF355"/>
          <cell r="AG355">
            <v>0</v>
          </cell>
          <cell r="AH355">
            <v>0</v>
          </cell>
          <cell r="AI355">
            <v>0</v>
          </cell>
          <cell r="AJ355">
            <v>0</v>
          </cell>
          <cell r="AK355">
            <v>0</v>
          </cell>
          <cell r="AL355"/>
          <cell r="AM355">
            <v>0</v>
          </cell>
          <cell r="AN355">
            <v>0</v>
          </cell>
          <cell r="AO355">
            <v>0</v>
          </cell>
          <cell r="AP355">
            <v>0</v>
          </cell>
          <cell r="AQ355">
            <v>0</v>
          </cell>
          <cell r="AR355"/>
          <cell r="AS355">
            <v>0</v>
          </cell>
          <cell r="AT355">
            <v>0</v>
          </cell>
          <cell r="AU355">
            <v>0</v>
          </cell>
          <cell r="AV355">
            <v>0</v>
          </cell>
          <cell r="AW355">
            <v>0</v>
          </cell>
          <cell r="AX355"/>
          <cell r="AY355">
            <v>0</v>
          </cell>
          <cell r="AZ355">
            <v>0</v>
          </cell>
          <cell r="BA355">
            <v>0</v>
          </cell>
          <cell r="BB355">
            <v>0</v>
          </cell>
          <cell r="BC355">
            <v>0</v>
          </cell>
          <cell r="BD355"/>
          <cell r="BE355">
            <v>0</v>
          </cell>
          <cell r="BF355">
            <v>0</v>
          </cell>
          <cell r="BG355">
            <v>0</v>
          </cell>
          <cell r="BH355">
            <v>0</v>
          </cell>
          <cell r="BI355">
            <v>0</v>
          </cell>
          <cell r="BJ355"/>
          <cell r="BK355">
            <v>0</v>
          </cell>
          <cell r="BL355">
            <v>0</v>
          </cell>
          <cell r="BM355">
            <v>0</v>
          </cell>
          <cell r="BN355">
            <v>0</v>
          </cell>
          <cell r="BO355">
            <v>0</v>
          </cell>
          <cell r="BP355"/>
          <cell r="BQ355"/>
          <cell r="BR355"/>
          <cell r="BS355"/>
          <cell r="BT355"/>
          <cell r="BU355">
            <v>0</v>
          </cell>
          <cell r="BV355"/>
          <cell r="BW355"/>
          <cell r="BX355"/>
          <cell r="BY355"/>
          <cell r="BZ355"/>
          <cell r="CA355">
            <v>0</v>
          </cell>
          <cell r="CB355"/>
          <cell r="CC355"/>
          <cell r="CD355"/>
          <cell r="CE355"/>
          <cell r="CF355"/>
          <cell r="CG355">
            <v>0</v>
          </cell>
          <cell r="CH355"/>
        </row>
        <row r="356">
          <cell r="A356" t="str">
            <v>% total</v>
          </cell>
          <cell r="C356"/>
          <cell r="D356"/>
          <cell r="E356"/>
          <cell r="F356"/>
          <cell r="G356"/>
          <cell r="I356"/>
          <cell r="J356"/>
          <cell r="K356"/>
          <cell r="L356"/>
          <cell r="M356"/>
          <cell r="O356"/>
          <cell r="P356"/>
          <cell r="Q356"/>
          <cell r="R356"/>
          <cell r="S356"/>
          <cell r="U356"/>
          <cell r="V356"/>
          <cell r="W356"/>
          <cell r="X356"/>
          <cell r="Y356" t="str">
            <v>NA</v>
          </cell>
          <cell r="AA356" t="str">
            <v>NA</v>
          </cell>
          <cell r="AB356" t="str">
            <v>NA</v>
          </cell>
          <cell r="AC356" t="str">
            <v>NA</v>
          </cell>
          <cell r="AD356" t="str">
            <v>NA</v>
          </cell>
          <cell r="AE356" t="str">
            <v>NA</v>
          </cell>
          <cell r="AG356" t="str">
            <v>NA</v>
          </cell>
          <cell r="AH356" t="str">
            <v>NA</v>
          </cell>
          <cell r="AI356" t="str">
            <v>NA</v>
          </cell>
          <cell r="AJ356" t="str">
            <v>NA</v>
          </cell>
          <cell r="AK356" t="str">
            <v>NA</v>
          </cell>
          <cell r="AM356" t="str">
            <v>NA</v>
          </cell>
          <cell r="AN356" t="str">
            <v>NA</v>
          </cell>
          <cell r="AO356" t="str">
            <v>NA</v>
          </cell>
          <cell r="AP356" t="str">
            <v>NA</v>
          </cell>
          <cell r="AQ356" t="str">
            <v>NA</v>
          </cell>
          <cell r="AS356" t="str">
            <v>NA</v>
          </cell>
          <cell r="AT356" t="str">
            <v>NA</v>
          </cell>
          <cell r="AU356" t="str">
            <v>NA</v>
          </cell>
          <cell r="AV356" t="str">
            <v>NA</v>
          </cell>
          <cell r="AW356" t="str">
            <v>NA</v>
          </cell>
          <cell r="AY356" t="str">
            <v>NA</v>
          </cell>
          <cell r="AZ356" t="str">
            <v>NA</v>
          </cell>
          <cell r="BA356" t="str">
            <v>NA</v>
          </cell>
          <cell r="BB356" t="str">
            <v>NA</v>
          </cell>
          <cell r="BC356" t="str">
            <v>NA</v>
          </cell>
          <cell r="BE356" t="str">
            <v>NA</v>
          </cell>
          <cell r="BF356" t="str">
            <v>NA</v>
          </cell>
          <cell r="BG356" t="str">
            <v>NA</v>
          </cell>
          <cell r="BH356" t="str">
            <v>NA</v>
          </cell>
          <cell r="BI356" t="str">
            <v>NA</v>
          </cell>
          <cell r="BK356" t="str">
            <v>NA</v>
          </cell>
          <cell r="BL356" t="str">
            <v>NA</v>
          </cell>
          <cell r="BM356" t="str">
            <v>NA</v>
          </cell>
          <cell r="BN356" t="str">
            <v>NA</v>
          </cell>
          <cell r="BO356" t="str">
            <v>NA</v>
          </cell>
          <cell r="BQ356" t="str">
            <v>NA</v>
          </cell>
          <cell r="BR356" t="str">
            <v>NA</v>
          </cell>
          <cell r="BS356" t="str">
            <v>NA</v>
          </cell>
          <cell r="BT356" t="str">
            <v>NA</v>
          </cell>
          <cell r="BU356" t="str">
            <v>NA</v>
          </cell>
          <cell r="BW356" t="str">
            <v>NA</v>
          </cell>
          <cell r="BX356" t="str">
            <v>NA</v>
          </cell>
          <cell r="BY356" t="str">
            <v>NA</v>
          </cell>
          <cell r="BZ356" t="str">
            <v>NA</v>
          </cell>
          <cell r="CA356" t="str">
            <v>NA</v>
          </cell>
          <cell r="CC356" t="str">
            <v>NA</v>
          </cell>
          <cell r="CD356" t="str">
            <v>NA</v>
          </cell>
          <cell r="CE356" t="str">
            <v>NA</v>
          </cell>
          <cell r="CF356" t="str">
            <v>NA</v>
          </cell>
          <cell r="CG356" t="str">
            <v>NA</v>
          </cell>
        </row>
        <row r="357">
          <cell r="A357"/>
          <cell r="C357"/>
          <cell r="D357"/>
          <cell r="E357"/>
          <cell r="F357"/>
          <cell r="G357"/>
          <cell r="I357"/>
          <cell r="J357"/>
          <cell r="K357"/>
          <cell r="L357"/>
          <cell r="M357"/>
          <cell r="O357"/>
          <cell r="P357"/>
          <cell r="Q357"/>
          <cell r="R357"/>
          <cell r="S357"/>
          <cell r="U357"/>
          <cell r="V357"/>
          <cell r="W357"/>
          <cell r="X357"/>
          <cell r="Y357"/>
          <cell r="AA357"/>
          <cell r="AB357"/>
          <cell r="AC357"/>
          <cell r="AD357"/>
          <cell r="AE357"/>
          <cell r="AG357"/>
          <cell r="AH357"/>
          <cell r="AI357"/>
          <cell r="AJ357"/>
          <cell r="AK357"/>
          <cell r="AM357"/>
          <cell r="AN357"/>
          <cell r="AO357"/>
          <cell r="AP357"/>
          <cell r="AQ357"/>
          <cell r="AS357"/>
          <cell r="AT357"/>
          <cell r="AU357"/>
          <cell r="AV357"/>
          <cell r="AW357"/>
          <cell r="AY357"/>
          <cell r="AZ357"/>
          <cell r="BA357"/>
          <cell r="BB357"/>
          <cell r="BC357"/>
          <cell r="BE357"/>
          <cell r="BF357"/>
          <cell r="BG357"/>
          <cell r="BH357"/>
          <cell r="BI357"/>
          <cell r="BK357"/>
          <cell r="BL357"/>
          <cell r="BM357"/>
          <cell r="BN357"/>
          <cell r="BO357"/>
          <cell r="BQ357"/>
          <cell r="BR357"/>
          <cell r="BS357"/>
          <cell r="BT357"/>
          <cell r="BU357"/>
          <cell r="BW357"/>
          <cell r="BX357"/>
          <cell r="BY357"/>
          <cell r="BZ357"/>
          <cell r="CA357"/>
          <cell r="CC357"/>
          <cell r="CD357"/>
          <cell r="CE357"/>
          <cell r="CF357"/>
          <cell r="CG357"/>
        </row>
        <row r="358">
          <cell r="A358" t="str">
            <v xml:space="preserve">Amortization of intangibles </v>
          </cell>
          <cell r="B358"/>
          <cell r="C358"/>
          <cell r="D358"/>
          <cell r="E358"/>
          <cell r="F358"/>
          <cell r="G358"/>
          <cell r="H358"/>
          <cell r="I358"/>
          <cell r="J358"/>
          <cell r="K358"/>
          <cell r="L358"/>
          <cell r="M358"/>
          <cell r="N358"/>
          <cell r="O358"/>
          <cell r="P358"/>
          <cell r="Q358"/>
          <cell r="R358"/>
          <cell r="S358"/>
          <cell r="T358"/>
          <cell r="U358"/>
          <cell r="V358"/>
          <cell r="W358"/>
          <cell r="X358"/>
          <cell r="Y358">
            <v>0</v>
          </cell>
          <cell r="Z358"/>
          <cell r="AA358">
            <v>0</v>
          </cell>
          <cell r="AB358">
            <v>0</v>
          </cell>
          <cell r="AC358">
            <v>0</v>
          </cell>
          <cell r="AD358">
            <v>0</v>
          </cell>
          <cell r="AE358">
            <v>0</v>
          </cell>
          <cell r="AF358"/>
          <cell r="AG358">
            <v>0</v>
          </cell>
          <cell r="AH358">
            <v>0</v>
          </cell>
          <cell r="AI358">
            <v>0</v>
          </cell>
          <cell r="AJ358">
            <v>0</v>
          </cell>
          <cell r="AK358">
            <v>0</v>
          </cell>
          <cell r="AL358"/>
          <cell r="AM358">
            <v>0</v>
          </cell>
          <cell r="AN358">
            <v>0</v>
          </cell>
          <cell r="AO358">
            <v>0</v>
          </cell>
          <cell r="AP358">
            <v>0</v>
          </cell>
          <cell r="AQ358">
            <v>0</v>
          </cell>
          <cell r="AR358"/>
          <cell r="AS358">
            <v>0</v>
          </cell>
          <cell r="AT358">
            <v>0</v>
          </cell>
          <cell r="AU358">
            <v>0</v>
          </cell>
          <cell r="AV358">
            <v>0</v>
          </cell>
          <cell r="AW358">
            <v>0</v>
          </cell>
          <cell r="AX358"/>
          <cell r="AY358">
            <v>0</v>
          </cell>
          <cell r="AZ358">
            <v>0</v>
          </cell>
          <cell r="BA358">
            <v>0</v>
          </cell>
          <cell r="BB358">
            <v>0</v>
          </cell>
          <cell r="BC358">
            <v>0</v>
          </cell>
          <cell r="BD358"/>
          <cell r="BE358">
            <v>0</v>
          </cell>
          <cell r="BF358">
            <v>0</v>
          </cell>
          <cell r="BG358">
            <v>0</v>
          </cell>
          <cell r="BH358">
            <v>0</v>
          </cell>
          <cell r="BI358">
            <v>0</v>
          </cell>
          <cell r="BJ358"/>
          <cell r="BK358">
            <v>0</v>
          </cell>
          <cell r="BL358">
            <v>0</v>
          </cell>
          <cell r="BM358">
            <v>0</v>
          </cell>
          <cell r="BN358">
            <v>0</v>
          </cell>
          <cell r="BO358">
            <v>0</v>
          </cell>
          <cell r="BP358"/>
          <cell r="BQ358"/>
          <cell r="BR358"/>
          <cell r="BS358"/>
          <cell r="BT358"/>
          <cell r="BU358">
            <v>0</v>
          </cell>
          <cell r="BV358"/>
          <cell r="BW358"/>
          <cell r="BX358"/>
          <cell r="BY358"/>
          <cell r="BZ358"/>
          <cell r="CA358">
            <v>0</v>
          </cell>
          <cell r="CB358"/>
          <cell r="CC358"/>
          <cell r="CD358"/>
          <cell r="CE358"/>
          <cell r="CF358"/>
          <cell r="CG358">
            <v>0</v>
          </cell>
          <cell r="CH358"/>
        </row>
        <row r="359">
          <cell r="A359" t="str">
            <v>% total</v>
          </cell>
          <cell r="C359"/>
          <cell r="D359"/>
          <cell r="E359"/>
          <cell r="F359"/>
          <cell r="G359"/>
          <cell r="I359"/>
          <cell r="J359"/>
          <cell r="K359"/>
          <cell r="L359"/>
          <cell r="M359"/>
          <cell r="O359"/>
          <cell r="P359"/>
          <cell r="Q359"/>
          <cell r="R359"/>
          <cell r="S359"/>
          <cell r="U359"/>
          <cell r="V359"/>
          <cell r="W359"/>
          <cell r="X359"/>
          <cell r="Y359" t="str">
            <v>NA</v>
          </cell>
          <cell r="AA359" t="str">
            <v>NA</v>
          </cell>
          <cell r="AB359" t="str">
            <v>NA</v>
          </cell>
          <cell r="AC359" t="str">
            <v>NA</v>
          </cell>
          <cell r="AD359" t="str">
            <v>NA</v>
          </cell>
          <cell r="AE359" t="str">
            <v>NA</v>
          </cell>
          <cell r="AG359" t="str">
            <v>NA</v>
          </cell>
          <cell r="AH359" t="str">
            <v>NA</v>
          </cell>
          <cell r="AI359" t="str">
            <v>NA</v>
          </cell>
          <cell r="AJ359" t="str">
            <v>NA</v>
          </cell>
          <cell r="AK359" t="str">
            <v>NA</v>
          </cell>
          <cell r="AM359">
            <v>0</v>
          </cell>
          <cell r="AN359">
            <v>0</v>
          </cell>
          <cell r="AO359">
            <v>0</v>
          </cell>
          <cell r="AP359">
            <v>0</v>
          </cell>
          <cell r="AQ359">
            <v>0</v>
          </cell>
          <cell r="AS359">
            <v>0</v>
          </cell>
          <cell r="AT359">
            <v>0</v>
          </cell>
          <cell r="AU359">
            <v>0</v>
          </cell>
          <cell r="AV359">
            <v>0</v>
          </cell>
          <cell r="AW359">
            <v>0</v>
          </cell>
          <cell r="AY359">
            <v>0</v>
          </cell>
          <cell r="AZ359">
            <v>0</v>
          </cell>
          <cell r="BA359">
            <v>0</v>
          </cell>
          <cell r="BB359">
            <v>0</v>
          </cell>
          <cell r="BC359">
            <v>0</v>
          </cell>
          <cell r="BE359">
            <v>0</v>
          </cell>
          <cell r="BF359">
            <v>0</v>
          </cell>
          <cell r="BG359">
            <v>0</v>
          </cell>
          <cell r="BH359">
            <v>0</v>
          </cell>
          <cell r="BI359">
            <v>0</v>
          </cell>
          <cell r="BK359">
            <v>0</v>
          </cell>
          <cell r="BL359">
            <v>0</v>
          </cell>
          <cell r="BM359">
            <v>0</v>
          </cell>
          <cell r="BN359">
            <v>0</v>
          </cell>
          <cell r="BO359">
            <v>0</v>
          </cell>
          <cell r="BQ359" t="str">
            <v>NA</v>
          </cell>
          <cell r="BR359" t="str">
            <v>NA</v>
          </cell>
          <cell r="BS359" t="str">
            <v>NA</v>
          </cell>
          <cell r="BT359" t="str">
            <v>NA</v>
          </cell>
          <cell r="BU359" t="str">
            <v>NA</v>
          </cell>
          <cell r="BW359" t="str">
            <v>NA</v>
          </cell>
          <cell r="BX359" t="str">
            <v>NA</v>
          </cell>
          <cell r="BY359" t="str">
            <v>NA</v>
          </cell>
          <cell r="BZ359" t="str">
            <v>NA</v>
          </cell>
          <cell r="CA359" t="str">
            <v>NA</v>
          </cell>
          <cell r="CC359" t="str">
            <v>NA</v>
          </cell>
          <cell r="CD359" t="str">
            <v>NA</v>
          </cell>
          <cell r="CE359" t="str">
            <v>NA</v>
          </cell>
          <cell r="CF359" t="str">
            <v>NA</v>
          </cell>
          <cell r="CG359" t="str">
            <v>NA</v>
          </cell>
        </row>
        <row r="360">
          <cell r="A360"/>
          <cell r="C360"/>
          <cell r="D360"/>
          <cell r="E360"/>
          <cell r="F360"/>
          <cell r="G360"/>
          <cell r="I360"/>
          <cell r="J360"/>
          <cell r="K360"/>
          <cell r="L360"/>
          <cell r="M360"/>
          <cell r="O360"/>
          <cell r="P360"/>
          <cell r="Q360"/>
          <cell r="R360"/>
          <cell r="S360"/>
          <cell r="U360"/>
          <cell r="V360"/>
          <cell r="W360"/>
          <cell r="X360"/>
          <cell r="Y360"/>
          <cell r="AA360"/>
          <cell r="AB360"/>
          <cell r="AC360"/>
          <cell r="AD360"/>
          <cell r="AE360"/>
          <cell r="AG360"/>
          <cell r="AH360"/>
          <cell r="AI360"/>
          <cell r="AJ360"/>
          <cell r="AK360"/>
          <cell r="AM360"/>
          <cell r="AN360"/>
          <cell r="AO360"/>
          <cell r="AP360"/>
          <cell r="AQ360"/>
          <cell r="AS360"/>
          <cell r="AT360"/>
          <cell r="AU360"/>
          <cell r="AV360"/>
          <cell r="AW360"/>
          <cell r="AY360"/>
          <cell r="AZ360"/>
          <cell r="BA360"/>
          <cell r="BB360"/>
          <cell r="BC360"/>
          <cell r="BE360"/>
          <cell r="BF360"/>
          <cell r="BG360"/>
          <cell r="BH360"/>
          <cell r="BI360"/>
          <cell r="BK360"/>
          <cell r="BL360"/>
          <cell r="BM360"/>
          <cell r="BN360"/>
          <cell r="BO360"/>
          <cell r="BQ360"/>
          <cell r="BR360"/>
          <cell r="BS360"/>
          <cell r="BT360"/>
          <cell r="BU360"/>
          <cell r="BW360"/>
          <cell r="BX360"/>
          <cell r="BY360"/>
          <cell r="BZ360"/>
          <cell r="CA360"/>
          <cell r="CC360"/>
          <cell r="CD360"/>
          <cell r="CE360"/>
          <cell r="CF360"/>
          <cell r="CG360"/>
        </row>
        <row r="361">
          <cell r="A361" t="str">
            <v>Acquisition related expenses</v>
          </cell>
          <cell r="B361"/>
          <cell r="C361"/>
          <cell r="D361"/>
          <cell r="E361"/>
          <cell r="F361"/>
          <cell r="G361"/>
          <cell r="H361"/>
          <cell r="I361"/>
          <cell r="J361"/>
          <cell r="K361"/>
          <cell r="L361"/>
          <cell r="M361"/>
          <cell r="N361"/>
          <cell r="O361"/>
          <cell r="P361"/>
          <cell r="Q361"/>
          <cell r="R361"/>
          <cell r="S361"/>
          <cell r="T361"/>
          <cell r="U361"/>
          <cell r="V361"/>
          <cell r="W361"/>
          <cell r="X361"/>
          <cell r="Y361">
            <v>0</v>
          </cell>
          <cell r="Z361"/>
          <cell r="AA361">
            <v>0</v>
          </cell>
          <cell r="AB361">
            <v>0</v>
          </cell>
          <cell r="AC361">
            <v>0</v>
          </cell>
          <cell r="AD361">
            <v>0</v>
          </cell>
          <cell r="AE361">
            <v>0</v>
          </cell>
          <cell r="AF361"/>
          <cell r="AG361">
            <v>0</v>
          </cell>
          <cell r="AH361">
            <v>0</v>
          </cell>
          <cell r="AI361">
            <v>0</v>
          </cell>
          <cell r="AJ361">
            <v>0</v>
          </cell>
          <cell r="AK361">
            <v>0</v>
          </cell>
          <cell r="AL361"/>
          <cell r="AM361">
            <v>0</v>
          </cell>
          <cell r="AN361">
            <v>0</v>
          </cell>
          <cell r="AO361">
            <v>0</v>
          </cell>
          <cell r="AP361">
            <v>0</v>
          </cell>
          <cell r="AQ361">
            <v>0</v>
          </cell>
          <cell r="AR361"/>
          <cell r="AS361">
            <v>0</v>
          </cell>
          <cell r="AT361">
            <v>0</v>
          </cell>
          <cell r="AU361">
            <v>0</v>
          </cell>
          <cell r="AV361">
            <v>0</v>
          </cell>
          <cell r="AW361">
            <v>0</v>
          </cell>
          <cell r="AX361"/>
          <cell r="AY361">
            <v>0</v>
          </cell>
          <cell r="AZ361">
            <v>0</v>
          </cell>
          <cell r="BA361">
            <v>0</v>
          </cell>
          <cell r="BB361">
            <v>0</v>
          </cell>
          <cell r="BC361">
            <v>0</v>
          </cell>
          <cell r="BD361"/>
          <cell r="BE361">
            <v>0</v>
          </cell>
          <cell r="BF361">
            <v>0</v>
          </cell>
          <cell r="BG361">
            <v>0</v>
          </cell>
          <cell r="BH361">
            <v>0</v>
          </cell>
          <cell r="BI361">
            <v>0</v>
          </cell>
          <cell r="BJ361"/>
          <cell r="BK361">
            <v>0</v>
          </cell>
          <cell r="BL361">
            <v>0</v>
          </cell>
          <cell r="BM361">
            <v>0</v>
          </cell>
          <cell r="BN361">
            <v>0</v>
          </cell>
          <cell r="BO361">
            <v>0</v>
          </cell>
          <cell r="BP361"/>
          <cell r="BQ361"/>
          <cell r="BR361"/>
          <cell r="BS361"/>
          <cell r="BT361"/>
          <cell r="BU361">
            <v>0</v>
          </cell>
          <cell r="BV361"/>
          <cell r="BW361"/>
          <cell r="BX361"/>
          <cell r="BY361"/>
          <cell r="BZ361"/>
          <cell r="CA361">
            <v>0</v>
          </cell>
          <cell r="CB361"/>
          <cell r="CC361"/>
          <cell r="CD361"/>
          <cell r="CE361"/>
          <cell r="CF361"/>
          <cell r="CG361">
            <v>0</v>
          </cell>
          <cell r="CH361"/>
        </row>
        <row r="362">
          <cell r="A362" t="str">
            <v>% total</v>
          </cell>
          <cell r="C362"/>
          <cell r="D362"/>
          <cell r="E362"/>
          <cell r="F362"/>
          <cell r="G362"/>
          <cell r="I362"/>
          <cell r="J362"/>
          <cell r="K362"/>
          <cell r="L362"/>
          <cell r="M362"/>
          <cell r="O362"/>
          <cell r="P362"/>
          <cell r="Q362"/>
          <cell r="R362"/>
          <cell r="S362"/>
          <cell r="U362"/>
          <cell r="V362"/>
          <cell r="W362"/>
          <cell r="X362"/>
          <cell r="Y362" t="str">
            <v>NA</v>
          </cell>
          <cell r="AA362" t="str">
            <v>NA</v>
          </cell>
          <cell r="AB362" t="str">
            <v>NA</v>
          </cell>
          <cell r="AC362" t="str">
            <v>NA</v>
          </cell>
          <cell r="AD362" t="str">
            <v>NA</v>
          </cell>
          <cell r="AE362" t="str">
            <v>NA</v>
          </cell>
          <cell r="AG362" t="str">
            <v>NA</v>
          </cell>
          <cell r="AH362" t="str">
            <v>NA</v>
          </cell>
          <cell r="AI362" t="str">
            <v>NA</v>
          </cell>
          <cell r="AJ362" t="str">
            <v>NA</v>
          </cell>
          <cell r="AK362" t="str">
            <v>NA</v>
          </cell>
          <cell r="AM362" t="str">
            <v>NA</v>
          </cell>
          <cell r="AN362" t="str">
            <v>NA</v>
          </cell>
          <cell r="AO362" t="str">
            <v>NA</v>
          </cell>
          <cell r="AP362" t="str">
            <v>NA</v>
          </cell>
          <cell r="AQ362" t="str">
            <v>NA</v>
          </cell>
          <cell r="AS362" t="str">
            <v>NA</v>
          </cell>
          <cell r="AT362" t="str">
            <v>NA</v>
          </cell>
          <cell r="AU362" t="str">
            <v>NA</v>
          </cell>
          <cell r="AV362" t="str">
            <v>NA</v>
          </cell>
          <cell r="AW362" t="str">
            <v>NA</v>
          </cell>
          <cell r="AY362" t="str">
            <v>NA</v>
          </cell>
          <cell r="AZ362" t="str">
            <v>NA</v>
          </cell>
          <cell r="BA362" t="str">
            <v>NA</v>
          </cell>
          <cell r="BB362">
            <v>0</v>
          </cell>
          <cell r="BC362">
            <v>0</v>
          </cell>
          <cell r="BE362" t="str">
            <v>NA</v>
          </cell>
          <cell r="BF362" t="str">
            <v>NA</v>
          </cell>
          <cell r="BG362" t="str">
            <v>NA</v>
          </cell>
          <cell r="BH362" t="str">
            <v>NA</v>
          </cell>
          <cell r="BI362" t="str">
            <v>NA</v>
          </cell>
          <cell r="BK362" t="str">
            <v>NA</v>
          </cell>
          <cell r="BL362" t="str">
            <v>NA</v>
          </cell>
          <cell r="BM362" t="str">
            <v>NA</v>
          </cell>
          <cell r="BN362" t="str">
            <v>NA</v>
          </cell>
          <cell r="BO362" t="str">
            <v>NA</v>
          </cell>
          <cell r="BQ362" t="str">
            <v>NA</v>
          </cell>
          <cell r="BR362" t="str">
            <v>NA</v>
          </cell>
          <cell r="BS362" t="str">
            <v>NA</v>
          </cell>
          <cell r="BT362" t="str">
            <v>NA</v>
          </cell>
          <cell r="BU362" t="str">
            <v>NA</v>
          </cell>
          <cell r="BW362" t="str">
            <v>NA</v>
          </cell>
          <cell r="BX362" t="str">
            <v>NA</v>
          </cell>
          <cell r="BY362" t="str">
            <v>NA</v>
          </cell>
          <cell r="BZ362" t="str">
            <v>NA</v>
          </cell>
          <cell r="CA362" t="str">
            <v>NA</v>
          </cell>
          <cell r="CC362" t="str">
            <v>NA</v>
          </cell>
          <cell r="CD362" t="str">
            <v>NA</v>
          </cell>
          <cell r="CE362" t="str">
            <v>NA</v>
          </cell>
          <cell r="CF362" t="str">
            <v>NA</v>
          </cell>
          <cell r="CG362" t="str">
            <v>NA</v>
          </cell>
        </row>
        <row r="363">
          <cell r="A363"/>
          <cell r="C363"/>
          <cell r="D363"/>
          <cell r="E363"/>
          <cell r="F363"/>
          <cell r="G363"/>
          <cell r="I363"/>
          <cell r="J363"/>
          <cell r="K363"/>
          <cell r="L363"/>
          <cell r="M363"/>
          <cell r="O363"/>
          <cell r="P363"/>
          <cell r="Q363"/>
          <cell r="R363"/>
          <cell r="S363"/>
          <cell r="U363"/>
          <cell r="V363"/>
          <cell r="W363"/>
          <cell r="X363"/>
          <cell r="Y363"/>
          <cell r="AA363"/>
          <cell r="AB363"/>
          <cell r="AC363"/>
          <cell r="AD363"/>
          <cell r="AE363"/>
          <cell r="AG363"/>
          <cell r="AH363"/>
          <cell r="AI363"/>
          <cell r="AJ363"/>
          <cell r="AK363"/>
          <cell r="AM363"/>
          <cell r="AN363"/>
          <cell r="AO363"/>
          <cell r="AP363"/>
          <cell r="AQ363"/>
          <cell r="AS363"/>
          <cell r="AT363"/>
          <cell r="AU363"/>
          <cell r="AV363"/>
          <cell r="AW363"/>
          <cell r="AY363"/>
          <cell r="AZ363"/>
          <cell r="BA363"/>
          <cell r="BB363"/>
          <cell r="BC363"/>
          <cell r="BE363"/>
          <cell r="BF363"/>
          <cell r="BG363"/>
          <cell r="BH363"/>
          <cell r="BI363"/>
          <cell r="BK363"/>
          <cell r="BL363"/>
          <cell r="BM363"/>
          <cell r="BN363"/>
          <cell r="BO363"/>
          <cell r="BQ363"/>
          <cell r="BR363"/>
          <cell r="BS363"/>
          <cell r="BT363"/>
          <cell r="BU363"/>
          <cell r="BW363"/>
          <cell r="BX363"/>
          <cell r="BY363"/>
          <cell r="BZ363"/>
          <cell r="CA363"/>
          <cell r="CC363"/>
          <cell r="CD363"/>
          <cell r="CE363"/>
          <cell r="CF363"/>
          <cell r="CG363"/>
        </row>
        <row r="364">
          <cell r="A364" t="str">
            <v>Other non-recurring items</v>
          </cell>
          <cell r="B364"/>
          <cell r="C364"/>
          <cell r="D364"/>
          <cell r="E364"/>
          <cell r="F364"/>
          <cell r="G364"/>
          <cell r="H364"/>
          <cell r="I364"/>
          <cell r="J364"/>
          <cell r="K364"/>
          <cell r="L364"/>
          <cell r="M364"/>
          <cell r="N364"/>
          <cell r="O364"/>
          <cell r="P364"/>
          <cell r="Q364"/>
          <cell r="R364"/>
          <cell r="S364"/>
          <cell r="T364"/>
          <cell r="U364"/>
          <cell r="V364"/>
          <cell r="W364"/>
          <cell r="X364"/>
          <cell r="Y364">
            <v>0</v>
          </cell>
          <cell r="Z364"/>
          <cell r="AA364">
            <v>0</v>
          </cell>
          <cell r="AB364">
            <v>0</v>
          </cell>
          <cell r="AC364">
            <v>0</v>
          </cell>
          <cell r="AD364">
            <v>0</v>
          </cell>
          <cell r="AE364">
            <v>0</v>
          </cell>
          <cell r="AF364"/>
          <cell r="AG364">
            <v>0</v>
          </cell>
          <cell r="AH364">
            <v>0</v>
          </cell>
          <cell r="AI364">
            <v>0</v>
          </cell>
          <cell r="AJ364">
            <v>0</v>
          </cell>
          <cell r="AK364">
            <v>0</v>
          </cell>
          <cell r="AL364"/>
          <cell r="AM364">
            <v>0</v>
          </cell>
          <cell r="AN364">
            <v>0</v>
          </cell>
          <cell r="AO364">
            <v>0</v>
          </cell>
          <cell r="AP364">
            <v>0</v>
          </cell>
          <cell r="AQ364">
            <v>0</v>
          </cell>
          <cell r="AR364"/>
          <cell r="AS364">
            <v>0</v>
          </cell>
          <cell r="AT364">
            <v>0</v>
          </cell>
          <cell r="AU364">
            <v>0</v>
          </cell>
          <cell r="AV364">
            <v>0</v>
          </cell>
          <cell r="AW364">
            <v>0</v>
          </cell>
          <cell r="AX364"/>
          <cell r="AY364">
            <v>0</v>
          </cell>
          <cell r="AZ364">
            <v>0</v>
          </cell>
          <cell r="BA364">
            <v>0</v>
          </cell>
          <cell r="BB364">
            <v>0</v>
          </cell>
          <cell r="BC364">
            <v>0</v>
          </cell>
          <cell r="BD364"/>
          <cell r="BE364">
            <v>0</v>
          </cell>
          <cell r="BF364">
            <v>0</v>
          </cell>
          <cell r="BG364">
            <v>0</v>
          </cell>
          <cell r="BH364">
            <v>0</v>
          </cell>
          <cell r="BI364">
            <v>0</v>
          </cell>
          <cell r="BJ364"/>
          <cell r="BK364">
            <v>0</v>
          </cell>
          <cell r="BL364">
            <v>0</v>
          </cell>
          <cell r="BM364">
            <v>0</v>
          </cell>
          <cell r="BN364">
            <v>0</v>
          </cell>
          <cell r="BO364">
            <v>0</v>
          </cell>
          <cell r="BP364"/>
          <cell r="BQ364"/>
          <cell r="BR364"/>
          <cell r="BS364"/>
          <cell r="BT364"/>
          <cell r="BU364">
            <v>0</v>
          </cell>
          <cell r="BV364"/>
          <cell r="BW364"/>
          <cell r="BX364"/>
          <cell r="BY364"/>
          <cell r="BZ364"/>
          <cell r="CA364">
            <v>0</v>
          </cell>
          <cell r="CB364"/>
          <cell r="CC364"/>
          <cell r="CD364"/>
          <cell r="CE364"/>
          <cell r="CF364"/>
          <cell r="CG364">
            <v>0</v>
          </cell>
          <cell r="CH364"/>
        </row>
        <row r="365">
          <cell r="A365" t="str">
            <v>% total</v>
          </cell>
          <cell r="C365"/>
          <cell r="D365"/>
          <cell r="E365"/>
          <cell r="F365"/>
          <cell r="G365"/>
          <cell r="I365"/>
          <cell r="J365"/>
          <cell r="K365"/>
          <cell r="L365"/>
          <cell r="M365"/>
          <cell r="O365"/>
          <cell r="P365"/>
          <cell r="Q365"/>
          <cell r="R365"/>
          <cell r="S365"/>
          <cell r="U365"/>
          <cell r="V365"/>
          <cell r="W365"/>
          <cell r="X365"/>
          <cell r="Y365" t="str">
            <v>NA</v>
          </cell>
          <cell r="AA365" t="str">
            <v>NA</v>
          </cell>
          <cell r="AB365" t="str">
            <v>NA</v>
          </cell>
          <cell r="AC365" t="str">
            <v>NA</v>
          </cell>
          <cell r="AD365" t="str">
            <v>NA</v>
          </cell>
          <cell r="AE365" t="str">
            <v>NA</v>
          </cell>
          <cell r="AG365" t="str">
            <v>NA</v>
          </cell>
          <cell r="AH365" t="str">
            <v>NA</v>
          </cell>
          <cell r="AI365" t="str">
            <v>NA</v>
          </cell>
          <cell r="AJ365" t="str">
            <v>NA</v>
          </cell>
          <cell r="AK365" t="str">
            <v>NA</v>
          </cell>
          <cell r="AM365" t="str">
            <v>NA</v>
          </cell>
          <cell r="AN365">
            <v>0</v>
          </cell>
          <cell r="AO365">
            <v>0</v>
          </cell>
          <cell r="AP365">
            <v>0</v>
          </cell>
          <cell r="AQ365">
            <v>0</v>
          </cell>
          <cell r="AS365">
            <v>0</v>
          </cell>
          <cell r="AT365">
            <v>0</v>
          </cell>
          <cell r="AU365">
            <v>0</v>
          </cell>
          <cell r="AV365">
            <v>0</v>
          </cell>
          <cell r="AW365">
            <v>0</v>
          </cell>
          <cell r="AY365">
            <v>0</v>
          </cell>
          <cell r="AZ365">
            <v>0</v>
          </cell>
          <cell r="BA365">
            <v>0</v>
          </cell>
          <cell r="BB365">
            <v>0</v>
          </cell>
          <cell r="BC365">
            <v>0</v>
          </cell>
          <cell r="BE365">
            <v>0</v>
          </cell>
          <cell r="BF365">
            <v>0</v>
          </cell>
          <cell r="BG365" t="str">
            <v>NA</v>
          </cell>
          <cell r="BH365" t="str">
            <v>NA</v>
          </cell>
          <cell r="BI365">
            <v>0</v>
          </cell>
          <cell r="BK365" t="str">
            <v>NA</v>
          </cell>
          <cell r="BL365" t="str">
            <v>NA</v>
          </cell>
          <cell r="BM365" t="str">
            <v>NA</v>
          </cell>
          <cell r="BN365" t="str">
            <v>NA</v>
          </cell>
          <cell r="BO365" t="str">
            <v>NA</v>
          </cell>
          <cell r="BQ365" t="str">
            <v>NA</v>
          </cell>
          <cell r="BR365" t="str">
            <v>NA</v>
          </cell>
          <cell r="BS365" t="str">
            <v>NA</v>
          </cell>
          <cell r="BT365" t="str">
            <v>NA</v>
          </cell>
          <cell r="BU365" t="str">
            <v>NA</v>
          </cell>
          <cell r="BW365" t="str">
            <v>NA</v>
          </cell>
          <cell r="BX365" t="str">
            <v>NA</v>
          </cell>
          <cell r="BY365" t="str">
            <v>NA</v>
          </cell>
          <cell r="BZ365" t="str">
            <v>NA</v>
          </cell>
          <cell r="CA365" t="str">
            <v>NA</v>
          </cell>
          <cell r="CC365" t="str">
            <v>NA</v>
          </cell>
          <cell r="CD365" t="str">
            <v>NA</v>
          </cell>
          <cell r="CE365" t="str">
            <v>NA</v>
          </cell>
          <cell r="CF365" t="str">
            <v>NA</v>
          </cell>
          <cell r="CG365" t="str">
            <v>NA</v>
          </cell>
        </row>
        <row r="366">
          <cell r="A366"/>
          <cell r="C366"/>
          <cell r="D366"/>
          <cell r="E366"/>
          <cell r="F366"/>
          <cell r="G366"/>
          <cell r="I366"/>
          <cell r="J366"/>
          <cell r="K366"/>
          <cell r="L366"/>
          <cell r="M366"/>
          <cell r="O366"/>
          <cell r="P366"/>
          <cell r="Q366"/>
          <cell r="R366"/>
          <cell r="S366"/>
          <cell r="U366"/>
          <cell r="V366"/>
          <cell r="W366"/>
          <cell r="X366"/>
          <cell r="Y366"/>
          <cell r="AA366"/>
          <cell r="AB366"/>
          <cell r="AC366"/>
          <cell r="AD366"/>
          <cell r="AE366"/>
          <cell r="AG366"/>
          <cell r="AH366"/>
          <cell r="AI366"/>
          <cell r="AJ366"/>
          <cell r="AK366"/>
          <cell r="AM366"/>
          <cell r="AN366"/>
          <cell r="AO366"/>
          <cell r="AP366"/>
          <cell r="AQ366"/>
          <cell r="AS366"/>
          <cell r="AT366"/>
          <cell r="AU366"/>
          <cell r="AV366"/>
          <cell r="AW366"/>
          <cell r="AY366"/>
          <cell r="AZ366"/>
          <cell r="BA366"/>
          <cell r="BB366"/>
          <cell r="BC366"/>
          <cell r="BE366"/>
          <cell r="BF366"/>
          <cell r="BG366"/>
          <cell r="BH366"/>
          <cell r="BI366"/>
          <cell r="BK366"/>
          <cell r="BL366"/>
          <cell r="BM366"/>
          <cell r="BN366"/>
          <cell r="BO366"/>
          <cell r="BQ366"/>
          <cell r="BR366"/>
          <cell r="BS366"/>
          <cell r="BT366"/>
          <cell r="BU366"/>
          <cell r="BW366"/>
          <cell r="BX366"/>
          <cell r="BY366"/>
          <cell r="BZ366"/>
          <cell r="CA366"/>
          <cell r="CC366"/>
          <cell r="CD366"/>
          <cell r="CE366"/>
          <cell r="CF366"/>
          <cell r="CG366"/>
        </row>
        <row r="367">
          <cell r="A367" t="str">
            <v>Other</v>
          </cell>
          <cell r="B367"/>
          <cell r="C367"/>
          <cell r="D367"/>
          <cell r="E367"/>
          <cell r="F367"/>
          <cell r="G367"/>
          <cell r="H367"/>
          <cell r="I367"/>
          <cell r="J367"/>
          <cell r="K367"/>
          <cell r="L367"/>
          <cell r="M367"/>
          <cell r="N367"/>
          <cell r="O367"/>
          <cell r="P367"/>
          <cell r="Q367"/>
          <cell r="R367"/>
          <cell r="S367"/>
          <cell r="T367"/>
          <cell r="U367"/>
          <cell r="V367"/>
          <cell r="W367"/>
          <cell r="X367"/>
          <cell r="Y367">
            <v>0</v>
          </cell>
          <cell r="Z367"/>
          <cell r="AA367">
            <v>0</v>
          </cell>
          <cell r="AB367">
            <v>0</v>
          </cell>
          <cell r="AC367">
            <v>0</v>
          </cell>
          <cell r="AD367">
            <v>0</v>
          </cell>
          <cell r="AE367">
            <v>0</v>
          </cell>
          <cell r="AF367"/>
          <cell r="AG367">
            <v>0</v>
          </cell>
          <cell r="AH367">
            <v>0</v>
          </cell>
          <cell r="AI367">
            <v>0</v>
          </cell>
          <cell r="AJ367">
            <v>0</v>
          </cell>
          <cell r="AK367">
            <v>0</v>
          </cell>
          <cell r="AL367"/>
          <cell r="AM367">
            <v>0</v>
          </cell>
          <cell r="AN367">
            <v>-0.998</v>
          </cell>
          <cell r="AO367">
            <v>0</v>
          </cell>
          <cell r="AP367">
            <v>0</v>
          </cell>
          <cell r="AQ367">
            <v>-0.998</v>
          </cell>
          <cell r="AR367"/>
          <cell r="AS367">
            <v>0</v>
          </cell>
          <cell r="AT367">
            <v>-6.0460000000000003</v>
          </cell>
          <cell r="AU367">
            <v>-1.873</v>
          </cell>
          <cell r="AV367">
            <v>-1.1779999999999999</v>
          </cell>
          <cell r="AW367">
            <v>-9.0970000000000013</v>
          </cell>
          <cell r="AX367"/>
          <cell r="AY367">
            <v>-11.22</v>
          </cell>
          <cell r="AZ367">
            <v>-7.5439999999999996</v>
          </cell>
          <cell r="BA367">
            <v>-12.772</v>
          </cell>
          <cell r="BB367">
            <v>-5.6829999999999998</v>
          </cell>
          <cell r="BC367">
            <v>-37.219000000000001</v>
          </cell>
          <cell r="BD367"/>
          <cell r="BE367">
            <v>-14.784000000000001</v>
          </cell>
          <cell r="BF367">
            <v>12.11</v>
          </cell>
          <cell r="BG367">
            <v>-5.9790000000000001</v>
          </cell>
          <cell r="BH367">
            <v>-1.5</v>
          </cell>
          <cell r="BI367">
            <v>-8.6530000000000022</v>
          </cell>
          <cell r="BJ367"/>
          <cell r="BK367"/>
          <cell r="BL367"/>
          <cell r="BM367"/>
          <cell r="BN367"/>
          <cell r="BO367">
            <v>0</v>
          </cell>
          <cell r="BP367"/>
          <cell r="BQ367"/>
          <cell r="BR367"/>
          <cell r="BS367"/>
          <cell r="BT367"/>
          <cell r="BU367">
            <v>0</v>
          </cell>
          <cell r="BV367"/>
          <cell r="BW367"/>
          <cell r="BX367"/>
          <cell r="BY367"/>
          <cell r="BZ367"/>
          <cell r="CA367">
            <v>0</v>
          </cell>
          <cell r="CB367"/>
          <cell r="CC367"/>
          <cell r="CD367"/>
          <cell r="CE367"/>
          <cell r="CF367"/>
          <cell r="CG367">
            <v>0</v>
          </cell>
          <cell r="CH367"/>
        </row>
        <row r="368">
          <cell r="A368" t="str">
            <v>% total adjustments</v>
          </cell>
          <cell r="C368"/>
          <cell r="D368"/>
          <cell r="E368"/>
          <cell r="F368"/>
          <cell r="G368"/>
          <cell r="I368"/>
          <cell r="J368"/>
          <cell r="K368"/>
          <cell r="L368"/>
          <cell r="M368"/>
          <cell r="O368"/>
          <cell r="P368"/>
          <cell r="Q368"/>
          <cell r="R368"/>
          <cell r="S368"/>
          <cell r="U368"/>
          <cell r="V368"/>
          <cell r="W368"/>
          <cell r="X368"/>
          <cell r="Y368">
            <v>0</v>
          </cell>
          <cell r="AA368">
            <v>0</v>
          </cell>
          <cell r="AB368">
            <v>0</v>
          </cell>
          <cell r="AC368">
            <v>0</v>
          </cell>
          <cell r="AD368">
            <v>0</v>
          </cell>
          <cell r="AE368">
            <v>0</v>
          </cell>
          <cell r="AG368">
            <v>0</v>
          </cell>
          <cell r="AH368">
            <v>0</v>
          </cell>
          <cell r="AI368">
            <v>0</v>
          </cell>
          <cell r="AJ368">
            <v>0</v>
          </cell>
          <cell r="AK368">
            <v>0</v>
          </cell>
          <cell r="AM368">
            <v>0</v>
          </cell>
          <cell r="AN368">
            <v>-0.5919335705812574</v>
          </cell>
          <cell r="AO368">
            <v>0</v>
          </cell>
          <cell r="AP368">
            <v>0</v>
          </cell>
          <cell r="AQ368">
            <v>-9.0039696860339219E-2</v>
          </cell>
          <cell r="AS368">
            <v>0</v>
          </cell>
          <cell r="AT368">
            <v>18.432926829268276</v>
          </cell>
          <cell r="AU368">
            <v>-0.34329178885630501</v>
          </cell>
          <cell r="AV368">
            <v>-0.17954580094497788</v>
          </cell>
          <cell r="AW368">
            <v>-0.55988429345150192</v>
          </cell>
          <cell r="AY368">
            <v>3.8319672131147531</v>
          </cell>
          <cell r="AZ368">
            <v>-1.8332928311057102</v>
          </cell>
          <cell r="BA368">
            <v>-0.56321382898972527</v>
          </cell>
          <cell r="BB368">
            <v>-0.41931675643768912</v>
          </cell>
          <cell r="BC368">
            <v>-0.9947082876767247</v>
          </cell>
          <cell r="BE368">
            <v>-1.639024390243903</v>
          </cell>
          <cell r="BF368">
            <v>0.327500878924737</v>
          </cell>
          <cell r="BG368">
            <v>0</v>
          </cell>
          <cell r="BH368">
            <v>0</v>
          </cell>
          <cell r="BI368">
            <v>-3.7183167250316597E-2</v>
          </cell>
          <cell r="BK368">
            <v>0</v>
          </cell>
          <cell r="BL368">
            <v>0</v>
          </cell>
          <cell r="BM368">
            <v>0</v>
          </cell>
          <cell r="BN368">
            <v>0</v>
          </cell>
          <cell r="BO368">
            <v>0</v>
          </cell>
          <cell r="BQ368" t="str">
            <v>NA</v>
          </cell>
          <cell r="BR368" t="str">
            <v>NA</v>
          </cell>
          <cell r="BS368" t="str">
            <v>NA</v>
          </cell>
          <cell r="BT368" t="str">
            <v>NA</v>
          </cell>
          <cell r="BU368" t="str">
            <v>NA</v>
          </cell>
          <cell r="BW368" t="str">
            <v>NA</v>
          </cell>
          <cell r="BX368" t="str">
            <v>NA</v>
          </cell>
          <cell r="BY368" t="str">
            <v>NA</v>
          </cell>
          <cell r="BZ368" t="str">
            <v>NA</v>
          </cell>
          <cell r="CA368" t="str">
            <v>NA</v>
          </cell>
          <cell r="CC368" t="str">
            <v>NA</v>
          </cell>
          <cell r="CD368" t="str">
            <v>NA</v>
          </cell>
          <cell r="CE368" t="str">
            <v>NA</v>
          </cell>
          <cell r="CF368" t="str">
            <v>NA</v>
          </cell>
          <cell r="CG368" t="str">
            <v>NA</v>
          </cell>
        </row>
        <row r="369">
          <cell r="A369"/>
          <cell r="C369"/>
          <cell r="D369"/>
          <cell r="E369"/>
          <cell r="F369"/>
          <cell r="G369"/>
          <cell r="I369"/>
          <cell r="J369"/>
          <cell r="K369"/>
          <cell r="L369"/>
          <cell r="M369"/>
          <cell r="O369"/>
          <cell r="P369"/>
          <cell r="Q369"/>
          <cell r="R369"/>
          <cell r="S369"/>
          <cell r="U369"/>
          <cell r="V369"/>
          <cell r="W369"/>
          <cell r="X369"/>
          <cell r="Y369"/>
          <cell r="AA369"/>
          <cell r="AB369"/>
          <cell r="AC369"/>
          <cell r="AD369"/>
          <cell r="AE369"/>
          <cell r="AG369"/>
          <cell r="AH369"/>
          <cell r="AI369"/>
          <cell r="AJ369"/>
          <cell r="AK369"/>
          <cell r="AM369"/>
          <cell r="AN369"/>
          <cell r="AO369"/>
          <cell r="AP369"/>
          <cell r="AQ369"/>
          <cell r="AS369"/>
          <cell r="AT369"/>
          <cell r="AU369"/>
          <cell r="AV369"/>
          <cell r="AW369"/>
          <cell r="AY369"/>
          <cell r="AZ369"/>
          <cell r="BA369"/>
          <cell r="BB369"/>
          <cell r="BC369"/>
          <cell r="BE369"/>
          <cell r="BF369"/>
          <cell r="BG369"/>
          <cell r="BH369"/>
          <cell r="BI369"/>
          <cell r="BK369"/>
          <cell r="BL369"/>
          <cell r="BM369"/>
          <cell r="BN369"/>
          <cell r="BO369"/>
          <cell r="BQ369"/>
          <cell r="BR369"/>
          <cell r="BS369"/>
          <cell r="BT369"/>
          <cell r="BU369"/>
          <cell r="BW369"/>
          <cell r="BX369"/>
          <cell r="BY369"/>
          <cell r="BZ369"/>
          <cell r="CA369"/>
          <cell r="CC369"/>
          <cell r="CD369"/>
          <cell r="CE369"/>
          <cell r="CF369"/>
          <cell r="CG369"/>
        </row>
        <row r="370">
          <cell r="A370" t="str">
            <v>Total</v>
          </cell>
          <cell r="B370"/>
          <cell r="C370"/>
          <cell r="D370"/>
          <cell r="E370"/>
          <cell r="F370"/>
          <cell r="G370"/>
          <cell r="I370"/>
          <cell r="J370"/>
          <cell r="K370"/>
          <cell r="L370"/>
          <cell r="M370"/>
          <cell r="O370"/>
          <cell r="P370"/>
          <cell r="Q370"/>
          <cell r="R370"/>
          <cell r="S370"/>
          <cell r="U370"/>
          <cell r="V370"/>
          <cell r="W370"/>
          <cell r="X370"/>
          <cell r="Y370">
            <v>0</v>
          </cell>
          <cell r="AA370">
            <v>0</v>
          </cell>
          <cell r="AB370">
            <v>0</v>
          </cell>
          <cell r="AC370">
            <v>0</v>
          </cell>
          <cell r="AD370">
            <v>0</v>
          </cell>
          <cell r="AE370">
            <v>0</v>
          </cell>
          <cell r="AG370">
            <v>0</v>
          </cell>
          <cell r="AH370">
            <v>0</v>
          </cell>
          <cell r="AI370">
            <v>0</v>
          </cell>
          <cell r="AJ370">
            <v>0</v>
          </cell>
          <cell r="AK370">
            <v>0</v>
          </cell>
          <cell r="AL370"/>
          <cell r="AM370">
            <v>0</v>
          </cell>
          <cell r="AN370">
            <v>-0.998</v>
          </cell>
          <cell r="AO370">
            <v>0</v>
          </cell>
          <cell r="AP370">
            <v>0</v>
          </cell>
          <cell r="AQ370">
            <v>-0.998</v>
          </cell>
          <cell r="AS370">
            <v>0</v>
          </cell>
          <cell r="AT370">
            <v>-6.0460000000000003</v>
          </cell>
          <cell r="AU370">
            <v>-1.873</v>
          </cell>
          <cell r="AV370">
            <v>-1.1779999999999999</v>
          </cell>
          <cell r="AW370">
            <v>-9.0970000000000013</v>
          </cell>
          <cell r="AY370">
            <v>-11.22</v>
          </cell>
          <cell r="AZ370">
            <v>-7.5439999999999996</v>
          </cell>
          <cell r="BA370">
            <v>-12.772</v>
          </cell>
          <cell r="BB370">
            <v>-5.6829999999999998</v>
          </cell>
          <cell r="BC370">
            <v>-37.219000000000001</v>
          </cell>
          <cell r="BE370">
            <v>-14.784000000000001</v>
          </cell>
          <cell r="BF370">
            <v>12.11</v>
          </cell>
          <cell r="BG370">
            <v>0</v>
          </cell>
          <cell r="BH370">
            <v>0</v>
          </cell>
          <cell r="BI370">
            <v>-2.6740000000000013</v>
          </cell>
          <cell r="BK370">
            <v>0</v>
          </cell>
          <cell r="BL370">
            <v>0</v>
          </cell>
          <cell r="BM370">
            <v>0</v>
          </cell>
          <cell r="BN370">
            <v>0</v>
          </cell>
          <cell r="BO370">
            <v>0</v>
          </cell>
          <cell r="BQ370">
            <v>0</v>
          </cell>
          <cell r="BR370">
            <v>0</v>
          </cell>
          <cell r="BS370">
            <v>0</v>
          </cell>
          <cell r="BT370">
            <v>0</v>
          </cell>
          <cell r="BU370">
            <v>0</v>
          </cell>
          <cell r="BW370">
            <v>0</v>
          </cell>
          <cell r="BX370">
            <v>0</v>
          </cell>
          <cell r="BY370">
            <v>0</v>
          </cell>
          <cell r="BZ370">
            <v>0</v>
          </cell>
          <cell r="CA370">
            <v>0</v>
          </cell>
          <cell r="CC370">
            <v>0</v>
          </cell>
          <cell r="CD370">
            <v>0</v>
          </cell>
          <cell r="CE370">
            <v>0</v>
          </cell>
          <cell r="CF370">
            <v>0</v>
          </cell>
          <cell r="CG370">
            <v>0</v>
          </cell>
        </row>
        <row r="371">
          <cell r="A371" t="str">
            <v>q/q change</v>
          </cell>
          <cell r="B371"/>
          <cell r="C371"/>
          <cell r="D371"/>
          <cell r="E371"/>
          <cell r="F371"/>
          <cell r="G371"/>
          <cell r="I371"/>
          <cell r="J371"/>
          <cell r="K371"/>
          <cell r="L371"/>
          <cell r="M371"/>
          <cell r="O371"/>
          <cell r="P371"/>
          <cell r="Q371"/>
          <cell r="R371"/>
          <cell r="S371"/>
          <cell r="U371"/>
          <cell r="V371"/>
          <cell r="W371"/>
          <cell r="X371"/>
          <cell r="Y371" t="str">
            <v>NA</v>
          </cell>
          <cell r="AA371" t="str">
            <v>NA</v>
          </cell>
          <cell r="AB371" t="str">
            <v>NA</v>
          </cell>
          <cell r="AC371" t="str">
            <v>NA</v>
          </cell>
          <cell r="AD371" t="str">
            <v>NA</v>
          </cell>
          <cell r="AE371" t="str">
            <v>NA</v>
          </cell>
          <cell r="AG371" t="str">
            <v>NA</v>
          </cell>
          <cell r="AH371" t="str">
            <v>NA</v>
          </cell>
          <cell r="AI371" t="str">
            <v>NA</v>
          </cell>
          <cell r="AJ371" t="str">
            <v>NA</v>
          </cell>
          <cell r="AK371" t="str">
            <v>NA</v>
          </cell>
          <cell r="AL371"/>
          <cell r="AM371" t="str">
            <v>NA</v>
          </cell>
          <cell r="AN371" t="str">
            <v>NM</v>
          </cell>
          <cell r="AO371" t="str">
            <v>NM</v>
          </cell>
          <cell r="AP371" t="str">
            <v>NA</v>
          </cell>
          <cell r="AQ371" t="str">
            <v>NA</v>
          </cell>
          <cell r="AS371" t="str">
            <v>NA</v>
          </cell>
          <cell r="AT371" t="str">
            <v>NM</v>
          </cell>
          <cell r="AU371" t="str">
            <v>NM</v>
          </cell>
          <cell r="AV371" t="str">
            <v>NM</v>
          </cell>
          <cell r="AW371" t="str">
            <v>NA</v>
          </cell>
          <cell r="AY371" t="str">
            <v>NM</v>
          </cell>
          <cell r="AZ371" t="str">
            <v>NM</v>
          </cell>
          <cell r="BA371" t="str">
            <v>NM</v>
          </cell>
          <cell r="BB371" t="str">
            <v>NM</v>
          </cell>
          <cell r="BC371" t="str">
            <v>NA</v>
          </cell>
          <cell r="BE371" t="str">
            <v>NM</v>
          </cell>
          <cell r="BF371" t="str">
            <v>NM</v>
          </cell>
          <cell r="BG371">
            <v>-1</v>
          </cell>
          <cell r="BH371" t="str">
            <v>NA</v>
          </cell>
          <cell r="BI371" t="str">
            <v>NA</v>
          </cell>
          <cell r="BK371" t="str">
            <v>NA</v>
          </cell>
          <cell r="BL371" t="str">
            <v>NA</v>
          </cell>
          <cell r="BM371" t="str">
            <v>NA</v>
          </cell>
          <cell r="BN371" t="str">
            <v>NA</v>
          </cell>
          <cell r="BO371" t="str">
            <v>NA</v>
          </cell>
          <cell r="BQ371" t="str">
            <v>NA</v>
          </cell>
          <cell r="BR371" t="str">
            <v>NA</v>
          </cell>
          <cell r="BS371" t="str">
            <v>NA</v>
          </cell>
          <cell r="BT371" t="str">
            <v>NA</v>
          </cell>
          <cell r="BU371" t="str">
            <v>NA</v>
          </cell>
          <cell r="BW371" t="str">
            <v>NA</v>
          </cell>
          <cell r="BX371" t="str">
            <v>NA</v>
          </cell>
          <cell r="BY371" t="str">
            <v>NA</v>
          </cell>
          <cell r="BZ371" t="str">
            <v>NA</v>
          </cell>
          <cell r="CA371" t="str">
            <v>NA</v>
          </cell>
          <cell r="CC371" t="str">
            <v>NA</v>
          </cell>
          <cell r="CD371" t="str">
            <v>NA</v>
          </cell>
          <cell r="CE371" t="str">
            <v>NA</v>
          </cell>
          <cell r="CF371" t="str">
            <v>NA</v>
          </cell>
          <cell r="CG371" t="str">
            <v>NA</v>
          </cell>
        </row>
        <row r="372">
          <cell r="A372" t="str">
            <v>y/y change</v>
          </cell>
          <cell r="B372"/>
          <cell r="C372"/>
          <cell r="D372"/>
          <cell r="E372"/>
          <cell r="F372"/>
          <cell r="G372"/>
          <cell r="H372"/>
          <cell r="I372"/>
          <cell r="J372"/>
          <cell r="K372"/>
          <cell r="L372"/>
          <cell r="M372"/>
          <cell r="N372"/>
          <cell r="O372"/>
          <cell r="P372"/>
          <cell r="Q372"/>
          <cell r="R372"/>
          <cell r="S372"/>
          <cell r="T372"/>
          <cell r="U372"/>
          <cell r="V372"/>
          <cell r="W372"/>
          <cell r="X372"/>
          <cell r="Y372" t="str">
            <v>NA</v>
          </cell>
          <cell r="Z372"/>
          <cell r="AA372" t="str">
            <v>NA</v>
          </cell>
          <cell r="AB372" t="str">
            <v>NA</v>
          </cell>
          <cell r="AC372" t="str">
            <v>NA</v>
          </cell>
          <cell r="AD372" t="str">
            <v>NA</v>
          </cell>
          <cell r="AE372" t="str">
            <v>NA</v>
          </cell>
          <cell r="AF372"/>
          <cell r="AG372" t="str">
            <v>NA</v>
          </cell>
          <cell r="AH372" t="str">
            <v>NA</v>
          </cell>
          <cell r="AI372" t="str">
            <v>NA</v>
          </cell>
          <cell r="AJ372" t="str">
            <v>NA</v>
          </cell>
          <cell r="AK372" t="str">
            <v>NA</v>
          </cell>
          <cell r="AL372"/>
          <cell r="AM372" t="str">
            <v>NA</v>
          </cell>
          <cell r="AN372" t="str">
            <v>NA</v>
          </cell>
          <cell r="AO372" t="str">
            <v>NA</v>
          </cell>
          <cell r="AP372" t="str">
            <v>NA</v>
          </cell>
          <cell r="AQ372" t="str">
            <v>NA</v>
          </cell>
          <cell r="AR372"/>
          <cell r="AS372" t="str">
            <v>NA</v>
          </cell>
          <cell r="AT372" t="str">
            <v>NM</v>
          </cell>
          <cell r="AU372" t="str">
            <v>NM</v>
          </cell>
          <cell r="AV372" t="str">
            <v>NM</v>
          </cell>
          <cell r="AW372" t="str">
            <v>NM</v>
          </cell>
          <cell r="AX372"/>
          <cell r="AY372" t="str">
            <v>NM</v>
          </cell>
          <cell r="AZ372" t="str">
            <v>NM</v>
          </cell>
          <cell r="BA372" t="str">
            <v>NM</v>
          </cell>
          <cell r="BB372" t="str">
            <v>NM</v>
          </cell>
          <cell r="BC372" t="str">
            <v>NM</v>
          </cell>
          <cell r="BD372"/>
          <cell r="BE372" t="str">
            <v>NM</v>
          </cell>
          <cell r="BF372" t="str">
            <v>NM</v>
          </cell>
          <cell r="BG372" t="str">
            <v>NM</v>
          </cell>
          <cell r="BH372" t="str">
            <v>NM</v>
          </cell>
          <cell r="BI372" t="str">
            <v>NM</v>
          </cell>
          <cell r="BJ372"/>
          <cell r="BK372" t="str">
            <v>NM</v>
          </cell>
          <cell r="BL372">
            <v>-1</v>
          </cell>
          <cell r="BM372" t="str">
            <v>NM</v>
          </cell>
          <cell r="BN372" t="str">
            <v>NA</v>
          </cell>
          <cell r="BO372" t="str">
            <v>NM</v>
          </cell>
          <cell r="BP372"/>
          <cell r="BQ372" t="str">
            <v>NA</v>
          </cell>
          <cell r="BR372" t="str">
            <v>NA</v>
          </cell>
          <cell r="BS372" t="str">
            <v>NA</v>
          </cell>
          <cell r="BT372" t="str">
            <v>NA</v>
          </cell>
          <cell r="BU372" t="str">
            <v>NA</v>
          </cell>
          <cell r="BV372"/>
          <cell r="BW372" t="str">
            <v>NA</v>
          </cell>
          <cell r="BX372" t="str">
            <v>NA</v>
          </cell>
          <cell r="BY372" t="str">
            <v>NA</v>
          </cell>
          <cell r="BZ372" t="str">
            <v>NA</v>
          </cell>
          <cell r="CA372" t="str">
            <v>NA</v>
          </cell>
          <cell r="CB372"/>
          <cell r="CC372" t="str">
            <v>NA</v>
          </cell>
          <cell r="CD372" t="str">
            <v>NA</v>
          </cell>
          <cell r="CE372" t="str">
            <v>NA</v>
          </cell>
          <cell r="CF372" t="str">
            <v>NA</v>
          </cell>
          <cell r="CG372" t="str">
            <v>NA</v>
          </cell>
        </row>
        <row r="373">
          <cell r="A373" t="str">
            <v>% seasonality</v>
          </cell>
          <cell r="B373"/>
          <cell r="C373"/>
          <cell r="D373"/>
          <cell r="E373"/>
          <cell r="F373"/>
          <cell r="G373"/>
          <cell r="H373"/>
          <cell r="I373"/>
          <cell r="J373"/>
          <cell r="K373"/>
          <cell r="L373"/>
          <cell r="M373"/>
          <cell r="N373"/>
          <cell r="O373"/>
          <cell r="P373"/>
          <cell r="Q373"/>
          <cell r="R373"/>
          <cell r="S373"/>
          <cell r="T373"/>
          <cell r="U373"/>
          <cell r="V373"/>
          <cell r="W373"/>
          <cell r="X373"/>
          <cell r="Y373">
            <v>0</v>
          </cell>
          <cell r="Z373"/>
          <cell r="AA373" t="str">
            <v>NA</v>
          </cell>
          <cell r="AB373" t="str">
            <v>NA</v>
          </cell>
          <cell r="AC373" t="str">
            <v>NA</v>
          </cell>
          <cell r="AD373" t="str">
            <v>NA</v>
          </cell>
          <cell r="AE373">
            <v>0</v>
          </cell>
          <cell r="AF373"/>
          <cell r="AG373" t="str">
            <v>NA</v>
          </cell>
          <cell r="AH373" t="str">
            <v>NA</v>
          </cell>
          <cell r="AI373" t="str">
            <v>NA</v>
          </cell>
          <cell r="AJ373" t="str">
            <v>NA</v>
          </cell>
          <cell r="AK373">
            <v>0</v>
          </cell>
          <cell r="AL373"/>
          <cell r="AM373">
            <v>0</v>
          </cell>
          <cell r="AN373">
            <v>1</v>
          </cell>
          <cell r="AO373">
            <v>0</v>
          </cell>
          <cell r="AP373">
            <v>0</v>
          </cell>
          <cell r="AQ373">
            <v>1</v>
          </cell>
          <cell r="AR373"/>
          <cell r="AS373">
            <v>0</v>
          </cell>
          <cell r="AT373">
            <v>0.66461470814554247</v>
          </cell>
          <cell r="AU373">
            <v>0.20589205232494226</v>
          </cell>
          <cell r="AV373">
            <v>0.12949323952951519</v>
          </cell>
          <cell r="AW373">
            <v>0.99999999999999989</v>
          </cell>
          <cell r="AX373"/>
          <cell r="AY373">
            <v>0.30145893226577825</v>
          </cell>
          <cell r="AZ373">
            <v>0.20269217335232004</v>
          </cell>
          <cell r="BA373">
            <v>0.34315806442945807</v>
          </cell>
          <cell r="BB373">
            <v>0.15269082995244362</v>
          </cell>
          <cell r="BC373">
            <v>1</v>
          </cell>
          <cell r="BD373"/>
          <cell r="BE373">
            <v>1.7085403906159711</v>
          </cell>
          <cell r="BF373">
            <v>-1.399514619207211</v>
          </cell>
          <cell r="BG373">
            <v>0.69097422859123991</v>
          </cell>
          <cell r="BH373">
            <v>0</v>
          </cell>
          <cell r="BI373">
            <v>1</v>
          </cell>
          <cell r="BJ373"/>
          <cell r="BK373" t="str">
            <v>NA</v>
          </cell>
          <cell r="BL373" t="str">
            <v>NA</v>
          </cell>
          <cell r="BM373" t="str">
            <v>NA</v>
          </cell>
          <cell r="BN373" t="str">
            <v>NA</v>
          </cell>
          <cell r="BO373">
            <v>0</v>
          </cell>
          <cell r="BP373"/>
          <cell r="BQ373" t="str">
            <v>NA</v>
          </cell>
          <cell r="BR373" t="str">
            <v>NA</v>
          </cell>
          <cell r="BS373" t="str">
            <v>NA</v>
          </cell>
          <cell r="BT373" t="str">
            <v>NA</v>
          </cell>
          <cell r="BU373">
            <v>0</v>
          </cell>
          <cell r="BV373"/>
          <cell r="BW373" t="str">
            <v>NA</v>
          </cell>
          <cell r="BX373" t="str">
            <v>NA</v>
          </cell>
          <cell r="BY373" t="str">
            <v>NA</v>
          </cell>
          <cell r="BZ373" t="str">
            <v>NA</v>
          </cell>
          <cell r="CA373">
            <v>0</v>
          </cell>
          <cell r="CB373"/>
          <cell r="CC373" t="str">
            <v>NA</v>
          </cell>
          <cell r="CD373" t="str">
            <v>NA</v>
          </cell>
          <cell r="CE373" t="str">
            <v>NA</v>
          </cell>
          <cell r="CF373" t="str">
            <v>NA</v>
          </cell>
          <cell r="CG373">
            <v>0</v>
          </cell>
        </row>
        <row r="374">
          <cell r="A374" t="str">
            <v>% balance check</v>
          </cell>
          <cell r="C374"/>
          <cell r="D374"/>
          <cell r="E374"/>
          <cell r="F374"/>
          <cell r="G374"/>
          <cell r="I374"/>
          <cell r="J374"/>
          <cell r="K374"/>
          <cell r="L374"/>
          <cell r="M374"/>
          <cell r="O374"/>
          <cell r="P374"/>
          <cell r="Q374"/>
          <cell r="R374"/>
          <cell r="S374"/>
          <cell r="U374"/>
          <cell r="V374"/>
          <cell r="W374"/>
          <cell r="X374"/>
          <cell r="Y374" t="str">
            <v>NA</v>
          </cell>
          <cell r="AA374" t="str">
            <v>NA</v>
          </cell>
          <cell r="AB374" t="str">
            <v>NA</v>
          </cell>
          <cell r="AC374" t="str">
            <v>NA</v>
          </cell>
          <cell r="AD374" t="str">
            <v>NA</v>
          </cell>
          <cell r="AE374" t="str">
            <v>NA</v>
          </cell>
          <cell r="AG374" t="str">
            <v>NA</v>
          </cell>
          <cell r="AH374" t="str">
            <v>NA</v>
          </cell>
          <cell r="AI374" t="str">
            <v>NA</v>
          </cell>
          <cell r="AJ374" t="str">
            <v>NA</v>
          </cell>
          <cell r="AK374" t="str">
            <v>NA</v>
          </cell>
          <cell r="AM374" t="str">
            <v>NA</v>
          </cell>
          <cell r="AN374" t="str">
            <v>NA</v>
          </cell>
          <cell r="AO374" t="str">
            <v>NA</v>
          </cell>
          <cell r="AP374" t="str">
            <v>NA</v>
          </cell>
          <cell r="AQ374" t="str">
            <v>NA</v>
          </cell>
          <cell r="AS374" t="str">
            <v>NA</v>
          </cell>
          <cell r="AT374" t="str">
            <v>NA</v>
          </cell>
          <cell r="AU374" t="str">
            <v>NA</v>
          </cell>
          <cell r="AV374" t="str">
            <v>NA</v>
          </cell>
          <cell r="AW374" t="str">
            <v>NA</v>
          </cell>
          <cell r="AY374" t="str">
            <v>NA</v>
          </cell>
          <cell r="AZ374" t="str">
            <v>NA</v>
          </cell>
          <cell r="BA374" t="str">
            <v>NA</v>
          </cell>
          <cell r="BB374" t="str">
            <v>NA</v>
          </cell>
          <cell r="BC374" t="str">
            <v>NA</v>
          </cell>
          <cell r="BE374" t="str">
            <v>NA</v>
          </cell>
          <cell r="BF374" t="str">
            <v>NA</v>
          </cell>
          <cell r="BG374" t="str">
            <v>NA</v>
          </cell>
          <cell r="BH374" t="str">
            <v>NA</v>
          </cell>
          <cell r="BI374" t="str">
            <v>NA</v>
          </cell>
          <cell r="BK374" t="str">
            <v>NA</v>
          </cell>
          <cell r="BL374" t="str">
            <v>NA</v>
          </cell>
          <cell r="BM374" t="str">
            <v>NA</v>
          </cell>
          <cell r="BN374" t="str">
            <v>NA</v>
          </cell>
          <cell r="BO374" t="str">
            <v>NA</v>
          </cell>
          <cell r="BQ374" t="str">
            <v>NA</v>
          </cell>
          <cell r="BR374" t="str">
            <v>NA</v>
          </cell>
          <cell r="BS374" t="str">
            <v>NA</v>
          </cell>
          <cell r="BT374" t="str">
            <v>NA</v>
          </cell>
          <cell r="BU374" t="str">
            <v>NA</v>
          </cell>
          <cell r="BW374" t="str">
            <v>NA</v>
          </cell>
          <cell r="BX374" t="str">
            <v>NA</v>
          </cell>
          <cell r="BY374" t="str">
            <v>NA</v>
          </cell>
          <cell r="BZ374" t="str">
            <v>NA</v>
          </cell>
          <cell r="CA374" t="str">
            <v>NA</v>
          </cell>
          <cell r="CC374" t="str">
            <v>NA</v>
          </cell>
          <cell r="CD374" t="str">
            <v>NA</v>
          </cell>
          <cell r="CE374" t="str">
            <v>NA</v>
          </cell>
          <cell r="CF374" t="str">
            <v>NA</v>
          </cell>
          <cell r="CG374" t="str">
            <v>NA</v>
          </cell>
        </row>
        <row r="375">
          <cell r="A375" t="str">
            <v>% GAAP taxes</v>
          </cell>
          <cell r="C375"/>
          <cell r="D375"/>
          <cell r="E375"/>
          <cell r="F375"/>
          <cell r="G375"/>
          <cell r="I375"/>
          <cell r="J375"/>
          <cell r="K375"/>
          <cell r="L375"/>
          <cell r="M375"/>
          <cell r="O375"/>
          <cell r="P375"/>
          <cell r="Q375"/>
          <cell r="R375"/>
          <cell r="S375"/>
          <cell r="U375"/>
          <cell r="V375"/>
          <cell r="W375"/>
          <cell r="X375"/>
          <cell r="Y375">
            <v>0</v>
          </cell>
          <cell r="AA375">
            <v>0</v>
          </cell>
          <cell r="AB375">
            <v>0</v>
          </cell>
          <cell r="AC375">
            <v>0</v>
          </cell>
          <cell r="AD375">
            <v>0</v>
          </cell>
          <cell r="AE375">
            <v>0</v>
          </cell>
          <cell r="AG375">
            <v>0</v>
          </cell>
          <cell r="AH375">
            <v>0</v>
          </cell>
          <cell r="AI375">
            <v>0</v>
          </cell>
          <cell r="AJ375">
            <v>0</v>
          </cell>
          <cell r="AK375">
            <v>0</v>
          </cell>
          <cell r="AM375">
            <v>0</v>
          </cell>
          <cell r="AN375">
            <v>1.2366790582403964</v>
          </cell>
          <cell r="AO375">
            <v>0</v>
          </cell>
          <cell r="AP375">
            <v>0</v>
          </cell>
          <cell r="AQ375">
            <v>1.1027624309392265</v>
          </cell>
          <cell r="AS375">
            <v>0</v>
          </cell>
          <cell r="AT375">
            <v>4.2637517630465451</v>
          </cell>
          <cell r="AU375">
            <v>0.70866439651910718</v>
          </cell>
          <cell r="AV375">
            <v>-0.40328654570352618</v>
          </cell>
          <cell r="AW375">
            <v>3.5177880897138443</v>
          </cell>
          <cell r="AY375">
            <v>1.0713262675451161</v>
          </cell>
          <cell r="AZ375">
            <v>1.0306010928961749</v>
          </cell>
          <cell r="BA375">
            <v>1.4743160567932587</v>
          </cell>
          <cell r="BB375">
            <v>-1.0569090570950344</v>
          </cell>
          <cell r="BC375">
            <v>1.765690972057498</v>
          </cell>
          <cell r="BE375">
            <v>0.90162834664877733</v>
          </cell>
          <cell r="BF375">
            <v>0.96624910236974382</v>
          </cell>
          <cell r="BG375">
            <v>0</v>
          </cell>
          <cell r="BH375">
            <v>0</v>
          </cell>
          <cell r="BI375">
            <v>-2.1410322146952323</v>
          </cell>
          <cell r="BK375">
            <v>0</v>
          </cell>
          <cell r="BL375">
            <v>0</v>
          </cell>
          <cell r="BM375">
            <v>0</v>
          </cell>
          <cell r="BN375">
            <v>0</v>
          </cell>
          <cell r="BO375">
            <v>0</v>
          </cell>
          <cell r="BQ375" t="str">
            <v>NA</v>
          </cell>
          <cell r="BR375" t="str">
            <v>NA</v>
          </cell>
          <cell r="BS375" t="str">
            <v>NA</v>
          </cell>
          <cell r="BT375" t="str">
            <v>NA</v>
          </cell>
          <cell r="BU375" t="str">
            <v>NA</v>
          </cell>
          <cell r="BW375" t="str">
            <v>NA</v>
          </cell>
          <cell r="BX375" t="str">
            <v>NA</v>
          </cell>
          <cell r="BY375" t="str">
            <v>NA</v>
          </cell>
          <cell r="BZ375" t="str">
            <v>NA</v>
          </cell>
          <cell r="CA375" t="str">
            <v>NA</v>
          </cell>
          <cell r="CC375" t="str">
            <v>NA</v>
          </cell>
          <cell r="CD375" t="str">
            <v>NA</v>
          </cell>
          <cell r="CE375" t="str">
            <v>NA</v>
          </cell>
          <cell r="CF375" t="str">
            <v>NA</v>
          </cell>
          <cell r="CG375" t="str">
            <v>NA</v>
          </cell>
        </row>
        <row r="376">
          <cell r="A376"/>
          <cell r="C376"/>
          <cell r="D376"/>
          <cell r="E376"/>
          <cell r="F376"/>
          <cell r="G376"/>
          <cell r="I376"/>
          <cell r="J376"/>
          <cell r="K376"/>
          <cell r="L376"/>
          <cell r="M376"/>
          <cell r="O376"/>
          <cell r="P376"/>
          <cell r="Q376"/>
          <cell r="R376"/>
          <cell r="S376"/>
          <cell r="U376"/>
          <cell r="V376"/>
          <cell r="W376"/>
          <cell r="X376"/>
          <cell r="Y376"/>
          <cell r="AA376"/>
          <cell r="AB376"/>
          <cell r="AC376"/>
          <cell r="AD376"/>
          <cell r="AE376"/>
          <cell r="AG376"/>
          <cell r="AH376"/>
          <cell r="AI376"/>
          <cell r="AJ376"/>
          <cell r="AK376"/>
          <cell r="AM376"/>
          <cell r="AN376"/>
          <cell r="AO376"/>
          <cell r="AP376"/>
          <cell r="AQ376"/>
          <cell r="AS376"/>
          <cell r="AT376"/>
          <cell r="AU376"/>
          <cell r="AV376"/>
          <cell r="AW376"/>
          <cell r="AY376"/>
          <cell r="AZ376"/>
          <cell r="BA376"/>
          <cell r="BB376"/>
          <cell r="BC376"/>
          <cell r="BE376"/>
          <cell r="BF376"/>
          <cell r="BG376"/>
          <cell r="BH376"/>
          <cell r="BI376"/>
          <cell r="BK376"/>
          <cell r="BL376"/>
          <cell r="BM376"/>
          <cell r="BN376"/>
          <cell r="BO376"/>
          <cell r="BQ376"/>
          <cell r="BR376"/>
          <cell r="BS376"/>
          <cell r="BT376"/>
          <cell r="BU376"/>
          <cell r="BW376"/>
          <cell r="BX376"/>
          <cell r="BY376"/>
          <cell r="BZ376"/>
          <cell r="CA376"/>
          <cell r="CC376"/>
          <cell r="CD376"/>
          <cell r="CE376"/>
          <cell r="CF376"/>
          <cell r="CG376"/>
        </row>
        <row r="377">
          <cell r="A377"/>
          <cell r="C377"/>
          <cell r="D377"/>
          <cell r="E377"/>
          <cell r="F377"/>
          <cell r="G377"/>
          <cell r="I377"/>
          <cell r="J377"/>
          <cell r="K377"/>
          <cell r="L377"/>
          <cell r="M377"/>
          <cell r="O377"/>
          <cell r="P377"/>
          <cell r="Q377"/>
          <cell r="R377"/>
          <cell r="S377"/>
          <cell r="U377"/>
          <cell r="V377"/>
          <cell r="W377"/>
          <cell r="X377"/>
          <cell r="Y377"/>
          <cell r="AA377"/>
          <cell r="AB377"/>
          <cell r="AC377"/>
          <cell r="AD377"/>
          <cell r="AE377"/>
          <cell r="AG377"/>
          <cell r="AH377"/>
          <cell r="AI377"/>
          <cell r="AJ377"/>
          <cell r="AK377"/>
          <cell r="AM377"/>
          <cell r="AN377"/>
          <cell r="AO377"/>
          <cell r="AP377"/>
          <cell r="AQ377"/>
          <cell r="AS377"/>
          <cell r="AT377"/>
          <cell r="AU377"/>
          <cell r="AV377"/>
          <cell r="AW377"/>
          <cell r="AY377"/>
          <cell r="AZ377"/>
          <cell r="BA377"/>
          <cell r="BB377"/>
          <cell r="BC377"/>
          <cell r="BE377"/>
          <cell r="BF377"/>
          <cell r="BG377"/>
          <cell r="BH377"/>
          <cell r="BI377"/>
          <cell r="BK377"/>
          <cell r="BL377"/>
          <cell r="BM377"/>
          <cell r="BN377"/>
          <cell r="BO377"/>
          <cell r="BQ377"/>
          <cell r="BR377"/>
          <cell r="BS377"/>
          <cell r="BT377"/>
          <cell r="BU377"/>
          <cell r="BW377"/>
          <cell r="BX377"/>
          <cell r="BY377"/>
          <cell r="BZ377"/>
          <cell r="CA377"/>
          <cell r="CC377"/>
          <cell r="CD377"/>
          <cell r="CE377"/>
          <cell r="CF377"/>
          <cell r="CG377"/>
        </row>
        <row r="378">
          <cell r="A378" t="str">
            <v>LINE ITEM SUMMARY</v>
          </cell>
          <cell r="C378"/>
          <cell r="D378"/>
          <cell r="E378"/>
          <cell r="F378"/>
          <cell r="G378"/>
          <cell r="I378"/>
          <cell r="J378"/>
          <cell r="K378"/>
          <cell r="L378"/>
          <cell r="M378"/>
          <cell r="O378"/>
          <cell r="P378"/>
          <cell r="Q378"/>
          <cell r="R378"/>
          <cell r="S378"/>
          <cell r="U378"/>
          <cell r="V378"/>
          <cell r="W378"/>
          <cell r="X378"/>
          <cell r="Y378"/>
          <cell r="AA378"/>
          <cell r="AB378"/>
          <cell r="AC378"/>
          <cell r="AD378"/>
          <cell r="AE378"/>
          <cell r="AG378"/>
          <cell r="AH378"/>
          <cell r="AI378"/>
          <cell r="AJ378"/>
          <cell r="AK378"/>
          <cell r="AM378"/>
          <cell r="AN378"/>
          <cell r="AO378"/>
          <cell r="AP378"/>
          <cell r="AQ378"/>
          <cell r="AS378"/>
          <cell r="AT378"/>
          <cell r="AU378"/>
          <cell r="AV378"/>
          <cell r="AW378"/>
          <cell r="AY378"/>
          <cell r="AZ378"/>
          <cell r="BA378"/>
          <cell r="BB378"/>
          <cell r="BC378"/>
          <cell r="BE378"/>
          <cell r="BF378"/>
          <cell r="BG378"/>
          <cell r="BH378"/>
          <cell r="BI378"/>
          <cell r="BK378"/>
          <cell r="BL378"/>
          <cell r="BM378"/>
          <cell r="BN378"/>
          <cell r="BO378"/>
          <cell r="BQ378"/>
          <cell r="BR378"/>
          <cell r="BS378"/>
          <cell r="BT378"/>
          <cell r="BU378"/>
          <cell r="BW378"/>
          <cell r="BX378"/>
          <cell r="BY378"/>
          <cell r="BZ378"/>
          <cell r="CA378"/>
          <cell r="CC378"/>
          <cell r="CD378"/>
          <cell r="CE378"/>
          <cell r="CF378"/>
          <cell r="CG378"/>
        </row>
        <row r="379">
          <cell r="A379"/>
          <cell r="C379"/>
          <cell r="D379"/>
          <cell r="E379"/>
          <cell r="F379"/>
          <cell r="G379"/>
          <cell r="I379"/>
          <cell r="J379"/>
          <cell r="K379"/>
          <cell r="L379"/>
          <cell r="M379"/>
          <cell r="O379"/>
          <cell r="P379"/>
          <cell r="Q379"/>
          <cell r="R379"/>
          <cell r="S379"/>
          <cell r="U379"/>
          <cell r="V379"/>
          <cell r="W379"/>
          <cell r="X379"/>
          <cell r="Y379"/>
          <cell r="AA379"/>
          <cell r="AB379"/>
          <cell r="AC379"/>
          <cell r="AD379"/>
          <cell r="AE379"/>
          <cell r="AG379"/>
          <cell r="AH379"/>
          <cell r="AI379"/>
          <cell r="AJ379"/>
          <cell r="AK379"/>
          <cell r="AM379"/>
          <cell r="AN379"/>
          <cell r="AO379"/>
          <cell r="AP379"/>
          <cell r="AQ379"/>
          <cell r="AS379"/>
          <cell r="AT379"/>
          <cell r="AU379"/>
          <cell r="AV379"/>
          <cell r="AW379"/>
          <cell r="AY379"/>
          <cell r="AZ379"/>
          <cell r="BA379"/>
          <cell r="BB379"/>
          <cell r="BC379"/>
          <cell r="BE379"/>
          <cell r="BF379"/>
          <cell r="BG379"/>
          <cell r="BH379"/>
          <cell r="BI379"/>
          <cell r="BK379"/>
          <cell r="BL379"/>
          <cell r="BM379"/>
          <cell r="BN379"/>
          <cell r="BO379"/>
          <cell r="BQ379"/>
          <cell r="BR379"/>
          <cell r="BS379"/>
          <cell r="BT379"/>
          <cell r="BU379"/>
          <cell r="BW379"/>
          <cell r="BX379"/>
          <cell r="BY379"/>
          <cell r="BZ379"/>
          <cell r="CA379"/>
          <cell r="CC379"/>
          <cell r="CD379"/>
          <cell r="CE379"/>
          <cell r="CF379"/>
          <cell r="CG379"/>
        </row>
        <row r="380">
          <cell r="A380" t="str">
            <v>Cost of license revenue</v>
          </cell>
          <cell r="C380">
            <v>0</v>
          </cell>
          <cell r="D380">
            <v>0</v>
          </cell>
          <cell r="E380">
            <v>0</v>
          </cell>
          <cell r="F380">
            <v>0</v>
          </cell>
          <cell r="G380">
            <v>0</v>
          </cell>
          <cell r="I380">
            <v>0</v>
          </cell>
          <cell r="J380">
            <v>0</v>
          </cell>
          <cell r="K380">
            <v>0</v>
          </cell>
          <cell r="L380">
            <v>0</v>
          </cell>
          <cell r="M380">
            <v>0</v>
          </cell>
          <cell r="O380">
            <v>0</v>
          </cell>
          <cell r="P380">
            <v>0</v>
          </cell>
          <cell r="Q380">
            <v>0</v>
          </cell>
          <cell r="R380">
            <v>0</v>
          </cell>
          <cell r="S380">
            <v>0</v>
          </cell>
          <cell r="U380">
            <v>0</v>
          </cell>
          <cell r="V380">
            <v>0</v>
          </cell>
          <cell r="W380">
            <v>0</v>
          </cell>
          <cell r="X380">
            <v>0</v>
          </cell>
          <cell r="Y380">
            <v>0</v>
          </cell>
          <cell r="AA380">
            <v>0</v>
          </cell>
          <cell r="AB380">
            <v>0</v>
          </cell>
          <cell r="AC380">
            <v>0</v>
          </cell>
          <cell r="AD380">
            <v>0</v>
          </cell>
          <cell r="AE380">
            <v>0</v>
          </cell>
          <cell r="AG380">
            <v>0</v>
          </cell>
          <cell r="AH380">
            <v>0</v>
          </cell>
          <cell r="AI380">
            <v>0</v>
          </cell>
          <cell r="AJ380">
            <v>0</v>
          </cell>
          <cell r="AK380">
            <v>0</v>
          </cell>
          <cell r="AM380">
            <v>0</v>
          </cell>
          <cell r="AN380">
            <v>0</v>
          </cell>
          <cell r="AO380">
            <v>0</v>
          </cell>
          <cell r="AP380">
            <v>0</v>
          </cell>
          <cell r="AQ380">
            <v>0</v>
          </cell>
          <cell r="AS380">
            <v>0</v>
          </cell>
          <cell r="AT380">
            <v>0</v>
          </cell>
          <cell r="AU380">
            <v>0</v>
          </cell>
          <cell r="AV380">
            <v>0</v>
          </cell>
          <cell r="AW380">
            <v>0</v>
          </cell>
          <cell r="AY380">
            <v>0</v>
          </cell>
          <cell r="AZ380">
            <v>0</v>
          </cell>
          <cell r="BA380">
            <v>0</v>
          </cell>
          <cell r="BB380">
            <v>0</v>
          </cell>
          <cell r="BC380">
            <v>0</v>
          </cell>
          <cell r="BE380">
            <v>0</v>
          </cell>
          <cell r="BF380">
            <v>0</v>
          </cell>
          <cell r="BG380">
            <v>0</v>
          </cell>
          <cell r="BH380">
            <v>0</v>
          </cell>
          <cell r="BI380">
            <v>0</v>
          </cell>
          <cell r="BK380">
            <v>0</v>
          </cell>
          <cell r="BL380">
            <v>0</v>
          </cell>
          <cell r="BM380">
            <v>0</v>
          </cell>
          <cell r="BN380">
            <v>0</v>
          </cell>
          <cell r="BO380">
            <v>0</v>
          </cell>
          <cell r="BQ380" t="e">
            <v>#VALUE!</v>
          </cell>
          <cell r="BR380" t="e">
            <v>#VALUE!</v>
          </cell>
          <cell r="BS380" t="e">
            <v>#VALUE!</v>
          </cell>
          <cell r="BT380" t="e">
            <v>#VALUE!</v>
          </cell>
          <cell r="BU380" t="e">
            <v>#VALUE!</v>
          </cell>
          <cell r="BW380" t="e">
            <v>#VALUE!</v>
          </cell>
          <cell r="BX380" t="e">
            <v>#VALUE!</v>
          </cell>
          <cell r="BY380" t="e">
            <v>#VALUE!</v>
          </cell>
          <cell r="BZ380" t="e">
            <v>#VALUE!</v>
          </cell>
          <cell r="CA380" t="e">
            <v>#VALUE!</v>
          </cell>
          <cell r="CC380" t="e">
            <v>#VALUE!</v>
          </cell>
          <cell r="CD380" t="e">
            <v>#VALUE!</v>
          </cell>
          <cell r="CE380" t="e">
            <v>#VALUE!</v>
          </cell>
          <cell r="CF380" t="e">
            <v>#VALUE!</v>
          </cell>
          <cell r="CG380" t="e">
            <v>#VALUE!</v>
          </cell>
        </row>
        <row r="381">
          <cell r="A381" t="str">
            <v>Cost of maintenance and services revenue</v>
          </cell>
          <cell r="C381">
            <v>0</v>
          </cell>
          <cell r="D381">
            <v>0</v>
          </cell>
          <cell r="E381">
            <v>0</v>
          </cell>
          <cell r="F381">
            <v>0</v>
          </cell>
          <cell r="G381">
            <v>0</v>
          </cell>
          <cell r="I381">
            <v>0</v>
          </cell>
          <cell r="J381">
            <v>0</v>
          </cell>
          <cell r="K381">
            <v>0</v>
          </cell>
          <cell r="L381">
            <v>0</v>
          </cell>
          <cell r="M381">
            <v>0</v>
          </cell>
          <cell r="O381">
            <v>0</v>
          </cell>
          <cell r="P381">
            <v>0</v>
          </cell>
          <cell r="Q381">
            <v>0</v>
          </cell>
          <cell r="R381">
            <v>0</v>
          </cell>
          <cell r="S381">
            <v>0</v>
          </cell>
          <cell r="U381">
            <v>0</v>
          </cell>
          <cell r="V381">
            <v>0</v>
          </cell>
          <cell r="W381">
            <v>0</v>
          </cell>
          <cell r="X381">
            <v>0</v>
          </cell>
          <cell r="Y381">
            <v>0</v>
          </cell>
          <cell r="AA381">
            <v>0</v>
          </cell>
          <cell r="AB381">
            <v>0</v>
          </cell>
          <cell r="AC381">
            <v>0</v>
          </cell>
          <cell r="AD381">
            <v>0</v>
          </cell>
          <cell r="AE381">
            <v>0</v>
          </cell>
          <cell r="AG381">
            <v>0</v>
          </cell>
          <cell r="AH381">
            <v>0</v>
          </cell>
          <cell r="AI381">
            <v>0</v>
          </cell>
          <cell r="AJ381">
            <v>0</v>
          </cell>
          <cell r="AK381">
            <v>0</v>
          </cell>
          <cell r="AM381">
            <v>0</v>
          </cell>
          <cell r="AN381">
            <v>0</v>
          </cell>
          <cell r="AO381">
            <v>0</v>
          </cell>
          <cell r="AP381">
            <v>0</v>
          </cell>
          <cell r="AQ381">
            <v>0</v>
          </cell>
          <cell r="AS381">
            <v>0</v>
          </cell>
          <cell r="AT381">
            <v>0</v>
          </cell>
          <cell r="AU381">
            <v>0</v>
          </cell>
          <cell r="AV381">
            <v>0</v>
          </cell>
          <cell r="AW381">
            <v>0</v>
          </cell>
          <cell r="AY381">
            <v>0</v>
          </cell>
          <cell r="AZ381">
            <v>0</v>
          </cell>
          <cell r="BA381">
            <v>0</v>
          </cell>
          <cell r="BB381">
            <v>0</v>
          </cell>
          <cell r="BC381">
            <v>0</v>
          </cell>
          <cell r="BE381">
            <v>0</v>
          </cell>
          <cell r="BF381">
            <v>0</v>
          </cell>
          <cell r="BG381">
            <v>0</v>
          </cell>
          <cell r="BH381">
            <v>0</v>
          </cell>
          <cell r="BI381">
            <v>0</v>
          </cell>
          <cell r="BK381">
            <v>0</v>
          </cell>
          <cell r="BL381">
            <v>0</v>
          </cell>
          <cell r="BM381">
            <v>0</v>
          </cell>
          <cell r="BN381">
            <v>0</v>
          </cell>
          <cell r="BO381">
            <v>0</v>
          </cell>
          <cell r="BQ381" t="e">
            <v>#VALUE!</v>
          </cell>
          <cell r="BR381" t="e">
            <v>#VALUE!</v>
          </cell>
          <cell r="BS381" t="e">
            <v>#VALUE!</v>
          </cell>
          <cell r="BT381" t="e">
            <v>#VALUE!</v>
          </cell>
          <cell r="BU381" t="e">
            <v>#VALUE!</v>
          </cell>
          <cell r="BW381" t="e">
            <v>#VALUE!</v>
          </cell>
          <cell r="BX381" t="e">
            <v>#VALUE!</v>
          </cell>
          <cell r="BY381" t="e">
            <v>#VALUE!</v>
          </cell>
          <cell r="BZ381" t="e">
            <v>#VALUE!</v>
          </cell>
          <cell r="CA381" t="e">
            <v>#VALUE!</v>
          </cell>
          <cell r="CC381" t="e">
            <v>#VALUE!</v>
          </cell>
          <cell r="CD381" t="e">
            <v>#VALUE!</v>
          </cell>
          <cell r="CE381" t="e">
            <v>#VALUE!</v>
          </cell>
          <cell r="CF381" t="e">
            <v>#VALUE!</v>
          </cell>
          <cell r="CG381" t="e">
            <v>#VALUE!</v>
          </cell>
        </row>
        <row r="382">
          <cell r="A382" t="str">
            <v>Total cost of revenue</v>
          </cell>
          <cell r="C382">
            <v>0</v>
          </cell>
          <cell r="D382">
            <v>0</v>
          </cell>
          <cell r="E382">
            <v>0</v>
          </cell>
          <cell r="F382">
            <v>0</v>
          </cell>
          <cell r="G382">
            <v>0</v>
          </cell>
          <cell r="I382">
            <v>0</v>
          </cell>
          <cell r="J382">
            <v>0</v>
          </cell>
          <cell r="K382">
            <v>0</v>
          </cell>
          <cell r="L382">
            <v>0</v>
          </cell>
          <cell r="M382">
            <v>0</v>
          </cell>
          <cell r="O382">
            <v>0</v>
          </cell>
          <cell r="P382">
            <v>0</v>
          </cell>
          <cell r="Q382">
            <v>0</v>
          </cell>
          <cell r="R382">
            <v>0</v>
          </cell>
          <cell r="S382">
            <v>0</v>
          </cell>
          <cell r="U382">
            <v>0</v>
          </cell>
          <cell r="V382">
            <v>0</v>
          </cell>
          <cell r="W382">
            <v>0</v>
          </cell>
          <cell r="X382">
            <v>0</v>
          </cell>
          <cell r="Y382">
            <v>3.4000000000000002E-2</v>
          </cell>
          <cell r="AA382">
            <v>6.0000000000000001E-3</v>
          </cell>
          <cell r="AB382">
            <v>7.0000000000000001E-3</v>
          </cell>
          <cell r="AC382">
            <v>7.0000000000000001E-3</v>
          </cell>
          <cell r="AD382">
            <v>1.4E-2</v>
          </cell>
          <cell r="AE382">
            <v>3.4000000000000002E-2</v>
          </cell>
          <cell r="AG382">
            <v>2.5579952540914407E-2</v>
          </cell>
          <cell r="AH382">
            <v>2.2207253461530258E-2</v>
          </cell>
          <cell r="AI382">
            <v>2.3859323558555693E-2</v>
          </cell>
          <cell r="AJ382">
            <v>3.4000000000000002E-2</v>
          </cell>
          <cell r="AK382">
            <v>0.10564652956100036</v>
          </cell>
          <cell r="AM382">
            <v>0.186</v>
          </cell>
          <cell r="AN382">
            <v>0.36</v>
          </cell>
          <cell r="AO382">
            <v>0.57899999999999996</v>
          </cell>
          <cell r="AP382">
            <v>0.57300000000000006</v>
          </cell>
          <cell r="AQ382">
            <v>1.698</v>
          </cell>
          <cell r="AS382">
            <v>0.58499999999999996</v>
          </cell>
          <cell r="AT382">
            <v>0.65700000000000003</v>
          </cell>
          <cell r="AU382">
            <v>0.68200000000000005</v>
          </cell>
          <cell r="AV382">
            <v>0.68200000000000005</v>
          </cell>
          <cell r="AW382">
            <v>2.6059999999999999</v>
          </cell>
          <cell r="AY382">
            <v>0.753</v>
          </cell>
          <cell r="AZ382">
            <v>1.506</v>
          </cell>
          <cell r="BA382">
            <v>1.5589999999999999</v>
          </cell>
          <cell r="BB382">
            <v>1.617</v>
          </cell>
          <cell r="BC382">
            <v>5.4350000000000005</v>
          </cell>
          <cell r="BE382">
            <v>1.554</v>
          </cell>
          <cell r="BF382">
            <v>1.359</v>
          </cell>
          <cell r="BG382">
            <v>1.4449629476596453</v>
          </cell>
          <cell r="BH382">
            <v>1.4529038485745831</v>
          </cell>
          <cell r="BI382">
            <v>5.8108667962342277</v>
          </cell>
          <cell r="BK382">
            <v>1.0899835537040032</v>
          </cell>
          <cell r="BL382">
            <v>0.95143499367866813</v>
          </cell>
          <cell r="BM382">
            <v>1.0429245440338386</v>
          </cell>
          <cell r="BN382">
            <v>1.4925430147089718</v>
          </cell>
          <cell r="BO382">
            <v>4.5768861061254817</v>
          </cell>
          <cell r="BQ382" t="e">
            <v>#VALUE!</v>
          </cell>
          <cell r="BR382" t="e">
            <v>#VALUE!</v>
          </cell>
          <cell r="BS382" t="e">
            <v>#VALUE!</v>
          </cell>
          <cell r="BT382" t="e">
            <v>#VALUE!</v>
          </cell>
          <cell r="BU382" t="e">
            <v>#VALUE!</v>
          </cell>
          <cell r="BW382" t="e">
            <v>#VALUE!</v>
          </cell>
          <cell r="BX382" t="e">
            <v>#VALUE!</v>
          </cell>
          <cell r="BY382" t="e">
            <v>#VALUE!</v>
          </cell>
          <cell r="BZ382" t="e">
            <v>#VALUE!</v>
          </cell>
          <cell r="CA382" t="e">
            <v>#VALUE!</v>
          </cell>
          <cell r="CC382" t="e">
            <v>#VALUE!</v>
          </cell>
          <cell r="CD382" t="e">
            <v>#VALUE!</v>
          </cell>
          <cell r="CE382" t="e">
            <v>#VALUE!</v>
          </cell>
          <cell r="CF382" t="e">
            <v>#VALUE!</v>
          </cell>
          <cell r="CG382" t="e">
            <v>#VALUE!</v>
          </cell>
        </row>
        <row r="383">
          <cell r="A383" t="str">
            <v>Sales and marketing</v>
          </cell>
          <cell r="C383">
            <v>0</v>
          </cell>
          <cell r="D383">
            <v>0</v>
          </cell>
          <cell r="E383">
            <v>0</v>
          </cell>
          <cell r="F383">
            <v>0</v>
          </cell>
          <cell r="G383">
            <v>0</v>
          </cell>
          <cell r="I383">
            <v>0</v>
          </cell>
          <cell r="J383">
            <v>0</v>
          </cell>
          <cell r="K383">
            <v>0</v>
          </cell>
          <cell r="L383">
            <v>0</v>
          </cell>
          <cell r="M383">
            <v>0</v>
          </cell>
          <cell r="O383">
            <v>0</v>
          </cell>
          <cell r="P383">
            <v>0</v>
          </cell>
          <cell r="Q383">
            <v>0</v>
          </cell>
          <cell r="R383">
            <v>0</v>
          </cell>
          <cell r="S383">
            <v>0</v>
          </cell>
          <cell r="U383">
            <v>0</v>
          </cell>
          <cell r="V383">
            <v>0</v>
          </cell>
          <cell r="W383">
            <v>0</v>
          </cell>
          <cell r="X383">
            <v>0</v>
          </cell>
          <cell r="Y383">
            <v>0.183</v>
          </cell>
          <cell r="AA383">
            <v>0.11700000000000001</v>
          </cell>
          <cell r="AB383">
            <v>0.185</v>
          </cell>
          <cell r="AC383">
            <v>0.185</v>
          </cell>
          <cell r="AD383">
            <v>0.313</v>
          </cell>
          <cell r="AE383">
            <v>0.8</v>
          </cell>
          <cell r="AG383">
            <v>0.31017123213975095</v>
          </cell>
          <cell r="AH383">
            <v>0.32352726765613199</v>
          </cell>
          <cell r="AI383">
            <v>0.308</v>
          </cell>
          <cell r="AJ383">
            <v>0.33900000000000002</v>
          </cell>
          <cell r="AK383">
            <v>1.280698499795883</v>
          </cell>
          <cell r="AM383">
            <v>0.65900000000000003</v>
          </cell>
          <cell r="AN383">
            <v>0.52400000000000002</v>
          </cell>
          <cell r="AO383">
            <v>0.45900000000000002</v>
          </cell>
          <cell r="AP383">
            <v>0.66</v>
          </cell>
          <cell r="AQ383">
            <v>2.302</v>
          </cell>
          <cell r="AS383">
            <v>1.1879999999999999</v>
          </cell>
          <cell r="AT383">
            <v>1.6779999999999999</v>
          </cell>
          <cell r="AU383">
            <v>1.704</v>
          </cell>
          <cell r="AV383">
            <v>1.8029999999999999</v>
          </cell>
          <cell r="AW383">
            <v>6.3729999999999993</v>
          </cell>
          <cell r="AY383">
            <v>2.258</v>
          </cell>
          <cell r="AZ383">
            <v>3.2080000000000002</v>
          </cell>
          <cell r="BA383">
            <v>3.524</v>
          </cell>
          <cell r="BB383">
            <v>3.89</v>
          </cell>
          <cell r="BC383">
            <v>12.879999999999999</v>
          </cell>
          <cell r="BE383">
            <v>5.1989999999999998</v>
          </cell>
          <cell r="BF383">
            <v>7.66</v>
          </cell>
          <cell r="BG383">
            <v>4.8964023818553111</v>
          </cell>
          <cell r="BH383">
            <v>5.9057744890400938</v>
          </cell>
          <cell r="BI383">
            <v>23.661176870895403</v>
          </cell>
          <cell r="BK383">
            <v>6.9184632954058207</v>
          </cell>
          <cell r="BL383">
            <v>5.3853395940264033</v>
          </cell>
          <cell r="BM383">
            <v>5.7445896082521122</v>
          </cell>
          <cell r="BN383">
            <v>7.9842257265420367</v>
          </cell>
          <cell r="BO383">
            <v>26.032618224226372</v>
          </cell>
          <cell r="BQ383" t="e">
            <v>#VALUE!</v>
          </cell>
          <cell r="BR383" t="e">
            <v>#VALUE!</v>
          </cell>
          <cell r="BS383" t="e">
            <v>#VALUE!</v>
          </cell>
          <cell r="BT383" t="e">
            <v>#VALUE!</v>
          </cell>
          <cell r="BU383" t="e">
            <v>#VALUE!</v>
          </cell>
          <cell r="BW383" t="e">
            <v>#VALUE!</v>
          </cell>
          <cell r="BX383" t="e">
            <v>#VALUE!</v>
          </cell>
          <cell r="BY383" t="e">
            <v>#VALUE!</v>
          </cell>
          <cell r="BZ383" t="e">
            <v>#VALUE!</v>
          </cell>
          <cell r="CA383" t="e">
            <v>#VALUE!</v>
          </cell>
          <cell r="CC383" t="e">
            <v>#VALUE!</v>
          </cell>
          <cell r="CD383" t="e">
            <v>#VALUE!</v>
          </cell>
          <cell r="CE383" t="e">
            <v>#VALUE!</v>
          </cell>
          <cell r="CF383" t="e">
            <v>#VALUE!</v>
          </cell>
          <cell r="CG383" t="e">
            <v>#VALUE!</v>
          </cell>
        </row>
        <row r="384">
          <cell r="A384" t="str">
            <v>Research and development</v>
          </cell>
          <cell r="C384">
            <v>0</v>
          </cell>
          <cell r="D384">
            <v>0</v>
          </cell>
          <cell r="E384">
            <v>0</v>
          </cell>
          <cell r="F384">
            <v>0</v>
          </cell>
          <cell r="G384">
            <v>0</v>
          </cell>
          <cell r="I384">
            <v>0</v>
          </cell>
          <cell r="J384">
            <v>0</v>
          </cell>
          <cell r="K384">
            <v>0</v>
          </cell>
          <cell r="L384">
            <v>0</v>
          </cell>
          <cell r="M384">
            <v>0</v>
          </cell>
          <cell r="O384">
            <v>0</v>
          </cell>
          <cell r="P384">
            <v>0</v>
          </cell>
          <cell r="Q384">
            <v>0</v>
          </cell>
          <cell r="R384">
            <v>0</v>
          </cell>
          <cell r="S384">
            <v>0</v>
          </cell>
          <cell r="U384">
            <v>0</v>
          </cell>
          <cell r="V384">
            <v>0</v>
          </cell>
          <cell r="W384">
            <v>0</v>
          </cell>
          <cell r="X384">
            <v>0</v>
          </cell>
          <cell r="Y384">
            <v>1.081</v>
          </cell>
          <cell r="AA384">
            <v>3.5000000000000003E-2</v>
          </cell>
          <cell r="AB384">
            <v>2.8000000000000001E-2</v>
          </cell>
          <cell r="AC384">
            <v>3.4000000000000002E-2</v>
          </cell>
          <cell r="AD384">
            <v>0.14199999999999999</v>
          </cell>
          <cell r="AE384">
            <v>0.23899999999999999</v>
          </cell>
          <cell r="AG384">
            <v>7.279989000000002E-2</v>
          </cell>
          <cell r="AH384">
            <v>7.1042859999999999E-2</v>
          </cell>
          <cell r="AI384">
            <v>9.9082940000000008E-2</v>
          </cell>
          <cell r="AJ384">
            <v>9.5000000000000001E-2</v>
          </cell>
          <cell r="AK384">
            <v>0.33792569000000006</v>
          </cell>
          <cell r="AM384">
            <v>0.23599999999999999</v>
          </cell>
          <cell r="AN384">
            <v>0.46300000000000002</v>
          </cell>
          <cell r="AO384">
            <v>0.45800000000000002</v>
          </cell>
          <cell r="AP384">
            <v>0.47799999999999998</v>
          </cell>
          <cell r="AQ384">
            <v>1.635</v>
          </cell>
          <cell r="AS384">
            <v>1.2330000000000001</v>
          </cell>
          <cell r="AT384">
            <v>0.72099999999999997</v>
          </cell>
          <cell r="AU384">
            <v>0.82799999999999996</v>
          </cell>
          <cell r="AV384">
            <v>0.91700000000000004</v>
          </cell>
          <cell r="AW384">
            <v>3.6989999999999998</v>
          </cell>
          <cell r="AY384">
            <v>0.83899999999999997</v>
          </cell>
          <cell r="AZ384">
            <v>1.516</v>
          </cell>
          <cell r="BA384">
            <v>1.659</v>
          </cell>
          <cell r="BB384">
            <v>2.94</v>
          </cell>
          <cell r="BC384">
            <v>6.9540000000000006</v>
          </cell>
          <cell r="BE384">
            <v>3.6269999999999998</v>
          </cell>
          <cell r="BF384">
            <v>2.992</v>
          </cell>
          <cell r="BG384">
            <v>1.8975936638657449</v>
          </cell>
          <cell r="BH384">
            <v>2.2962928330210954</v>
          </cell>
          <cell r="BI384">
            <v>10.81288649688684</v>
          </cell>
          <cell r="BK384">
            <v>2.7059198784904051</v>
          </cell>
          <cell r="BL384">
            <v>2.1036203354714691</v>
          </cell>
          <cell r="BM384">
            <v>2.2432238882200739</v>
          </cell>
          <cell r="BN384">
            <v>3.1166713877599692</v>
          </cell>
          <cell r="BO384">
            <v>10.169435489941918</v>
          </cell>
          <cell r="BQ384" t="e">
            <v>#VALUE!</v>
          </cell>
          <cell r="BR384" t="e">
            <v>#VALUE!</v>
          </cell>
          <cell r="BS384" t="e">
            <v>#VALUE!</v>
          </cell>
          <cell r="BT384" t="e">
            <v>#VALUE!</v>
          </cell>
          <cell r="BU384" t="e">
            <v>#VALUE!</v>
          </cell>
          <cell r="BW384" t="e">
            <v>#VALUE!</v>
          </cell>
          <cell r="BX384" t="e">
            <v>#VALUE!</v>
          </cell>
          <cell r="BY384" t="e">
            <v>#VALUE!</v>
          </cell>
          <cell r="BZ384" t="e">
            <v>#VALUE!</v>
          </cell>
          <cell r="CA384" t="e">
            <v>#VALUE!</v>
          </cell>
          <cell r="CC384" t="e">
            <v>#VALUE!</v>
          </cell>
          <cell r="CD384" t="e">
            <v>#VALUE!</v>
          </cell>
          <cell r="CE384" t="e">
            <v>#VALUE!</v>
          </cell>
          <cell r="CF384" t="e">
            <v>#VALUE!</v>
          </cell>
          <cell r="CG384" t="e">
            <v>#VALUE!</v>
          </cell>
        </row>
        <row r="385">
          <cell r="A385" t="str">
            <v xml:space="preserve">General and administrative </v>
          </cell>
          <cell r="C385">
            <v>0</v>
          </cell>
          <cell r="D385">
            <v>0</v>
          </cell>
          <cell r="E385">
            <v>0</v>
          </cell>
          <cell r="F385">
            <v>0</v>
          </cell>
          <cell r="G385">
            <v>0</v>
          </cell>
          <cell r="I385">
            <v>0</v>
          </cell>
          <cell r="J385">
            <v>0</v>
          </cell>
          <cell r="K385">
            <v>0</v>
          </cell>
          <cell r="L385">
            <v>0</v>
          </cell>
          <cell r="M385">
            <v>0</v>
          </cell>
          <cell r="O385">
            <v>0</v>
          </cell>
          <cell r="P385">
            <v>0</v>
          </cell>
          <cell r="Q385">
            <v>0</v>
          </cell>
          <cell r="R385">
            <v>0</v>
          </cell>
          <cell r="S385">
            <v>0</v>
          </cell>
          <cell r="U385">
            <v>0</v>
          </cell>
          <cell r="V385">
            <v>0</v>
          </cell>
          <cell r="W385">
            <v>0</v>
          </cell>
          <cell r="X385">
            <v>0</v>
          </cell>
          <cell r="Y385">
            <v>9.3789999999999996</v>
          </cell>
          <cell r="AA385">
            <v>7.1999999999999995E-2</v>
          </cell>
          <cell r="AB385">
            <v>7.8E-2</v>
          </cell>
          <cell r="AC385">
            <v>8.5000000000000006E-2</v>
          </cell>
          <cell r="AD385">
            <v>0.17399999999999999</v>
          </cell>
          <cell r="AE385">
            <v>0.40899999999999997</v>
          </cell>
          <cell r="AG385">
            <v>0.22808942999999998</v>
          </cell>
          <cell r="AH385">
            <v>0.3743412533085469</v>
          </cell>
          <cell r="AI385">
            <v>0.47499999999999998</v>
          </cell>
          <cell r="AJ385">
            <v>0.48199999999999998</v>
          </cell>
          <cell r="AK385">
            <v>1.5594306833085467</v>
          </cell>
          <cell r="AM385">
            <v>0.92600000000000005</v>
          </cell>
          <cell r="AN385">
            <v>1.177</v>
          </cell>
          <cell r="AO385">
            <v>1.2390000000000001</v>
          </cell>
          <cell r="AP385">
            <v>1.177</v>
          </cell>
          <cell r="AQ385">
            <v>4.5190000000000001</v>
          </cell>
          <cell r="AS385">
            <v>1.5529999999999999</v>
          </cell>
          <cell r="AT385">
            <v>1.516</v>
          </cell>
          <cell r="AU385">
            <v>1.6870000000000001</v>
          </cell>
          <cell r="AV385">
            <v>1.8660000000000001</v>
          </cell>
          <cell r="AW385">
            <v>6.6219999999999999</v>
          </cell>
          <cell r="AY385">
            <v>1.99</v>
          </cell>
          <cell r="AZ385">
            <v>2.871</v>
          </cell>
          <cell r="BA385">
            <v>3.2749999999999999</v>
          </cell>
          <cell r="BB385">
            <v>3.8419999999999996</v>
          </cell>
          <cell r="BC385">
            <v>11.978000000000002</v>
          </cell>
          <cell r="BE385">
            <v>6.4770000000000003</v>
          </cell>
          <cell r="BF385">
            <v>5.7240000000000002</v>
          </cell>
          <cell r="BG385">
            <v>3.6302894826094678</v>
          </cell>
          <cell r="BH385">
            <v>4.3930415027449046</v>
          </cell>
          <cell r="BI385">
            <v>20.224330985354371</v>
          </cell>
          <cell r="BK385">
            <v>5.1766996605879294</v>
          </cell>
          <cell r="BL385">
            <v>4.0244394385824513</v>
          </cell>
          <cell r="BM385">
            <v>4.2915152193087263</v>
          </cell>
          <cell r="BN385">
            <v>5.962509031931174</v>
          </cell>
          <cell r="BO385">
            <v>19.455163350410281</v>
          </cell>
          <cell r="BQ385" t="e">
            <v>#VALUE!</v>
          </cell>
          <cell r="BR385" t="e">
            <v>#VALUE!</v>
          </cell>
          <cell r="BS385" t="e">
            <v>#VALUE!</v>
          </cell>
          <cell r="BT385" t="e">
            <v>#VALUE!</v>
          </cell>
          <cell r="BU385" t="e">
            <v>#VALUE!</v>
          </cell>
          <cell r="BW385" t="e">
            <v>#VALUE!</v>
          </cell>
          <cell r="BX385" t="e">
            <v>#VALUE!</v>
          </cell>
          <cell r="BY385" t="e">
            <v>#VALUE!</v>
          </cell>
          <cell r="BZ385" t="e">
            <v>#VALUE!</v>
          </cell>
          <cell r="CA385" t="e">
            <v>#VALUE!</v>
          </cell>
          <cell r="CC385" t="e">
            <v>#VALUE!</v>
          </cell>
          <cell r="CD385" t="e">
            <v>#VALUE!</v>
          </cell>
          <cell r="CE385" t="e">
            <v>#VALUE!</v>
          </cell>
          <cell r="CF385" t="e">
            <v>#VALUE!</v>
          </cell>
          <cell r="CG385" t="e">
            <v>#VALUE!</v>
          </cell>
        </row>
        <row r="386">
          <cell r="A386" t="str">
            <v>Other operating expenses</v>
          </cell>
          <cell r="C386">
            <v>0</v>
          </cell>
          <cell r="D386">
            <v>0</v>
          </cell>
          <cell r="E386">
            <v>0</v>
          </cell>
          <cell r="F386">
            <v>0</v>
          </cell>
          <cell r="G386">
            <v>0</v>
          </cell>
          <cell r="I386">
            <v>0</v>
          </cell>
          <cell r="J386">
            <v>0</v>
          </cell>
          <cell r="K386">
            <v>0</v>
          </cell>
          <cell r="L386">
            <v>0</v>
          </cell>
          <cell r="M386">
            <v>0</v>
          </cell>
          <cell r="O386">
            <v>0</v>
          </cell>
          <cell r="P386">
            <v>0</v>
          </cell>
          <cell r="Q386">
            <v>0</v>
          </cell>
          <cell r="R386">
            <v>0</v>
          </cell>
          <cell r="S386">
            <v>0</v>
          </cell>
          <cell r="U386">
            <v>0</v>
          </cell>
          <cell r="V386">
            <v>0</v>
          </cell>
          <cell r="W386">
            <v>0</v>
          </cell>
          <cell r="X386">
            <v>0</v>
          </cell>
          <cell r="Y386">
            <v>0</v>
          </cell>
          <cell r="AA386">
            <v>0</v>
          </cell>
          <cell r="AB386">
            <v>0</v>
          </cell>
          <cell r="AC386">
            <v>0</v>
          </cell>
          <cell r="AD386">
            <v>0</v>
          </cell>
          <cell r="AE386">
            <v>0</v>
          </cell>
          <cell r="AG386">
            <v>0</v>
          </cell>
          <cell r="AH386">
            <v>0</v>
          </cell>
          <cell r="AI386">
            <v>0</v>
          </cell>
          <cell r="AJ386">
            <v>0</v>
          </cell>
          <cell r="AK386">
            <v>0</v>
          </cell>
          <cell r="AM386">
            <v>0</v>
          </cell>
          <cell r="AN386">
            <v>0</v>
          </cell>
          <cell r="AO386">
            <v>0</v>
          </cell>
          <cell r="AP386">
            <v>0</v>
          </cell>
          <cell r="AQ386">
            <v>0</v>
          </cell>
          <cell r="AS386">
            <v>0</v>
          </cell>
          <cell r="AT386">
            <v>0</v>
          </cell>
          <cell r="AU386">
            <v>0</v>
          </cell>
          <cell r="AV386">
            <v>0</v>
          </cell>
          <cell r="AW386">
            <v>0</v>
          </cell>
          <cell r="AY386">
            <v>0</v>
          </cell>
          <cell r="AZ386">
            <v>0</v>
          </cell>
          <cell r="BA386">
            <v>0</v>
          </cell>
          <cell r="BB386">
            <v>0</v>
          </cell>
          <cell r="BC386">
            <v>0</v>
          </cell>
          <cell r="BE386">
            <v>0</v>
          </cell>
          <cell r="BF386">
            <v>0</v>
          </cell>
          <cell r="BG386">
            <v>0</v>
          </cell>
          <cell r="BH386">
            <v>0</v>
          </cell>
          <cell r="BI386">
            <v>0</v>
          </cell>
          <cell r="BK386">
            <v>0</v>
          </cell>
          <cell r="BL386">
            <v>0</v>
          </cell>
          <cell r="BM386">
            <v>0</v>
          </cell>
          <cell r="BN386">
            <v>0</v>
          </cell>
          <cell r="BO386">
            <v>0</v>
          </cell>
          <cell r="BQ386" t="e">
            <v>#VALUE!</v>
          </cell>
          <cell r="BR386" t="e">
            <v>#VALUE!</v>
          </cell>
          <cell r="BS386" t="e">
            <v>#VALUE!</v>
          </cell>
          <cell r="BT386" t="e">
            <v>#VALUE!</v>
          </cell>
          <cell r="BU386" t="e">
            <v>#VALUE!</v>
          </cell>
          <cell r="BW386" t="e">
            <v>#VALUE!</v>
          </cell>
          <cell r="BX386" t="e">
            <v>#VALUE!</v>
          </cell>
          <cell r="BY386" t="e">
            <v>#VALUE!</v>
          </cell>
          <cell r="BZ386" t="e">
            <v>#VALUE!</v>
          </cell>
          <cell r="CA386" t="e">
            <v>#VALUE!</v>
          </cell>
          <cell r="CC386" t="e">
            <v>#VALUE!</v>
          </cell>
          <cell r="CD386" t="e">
            <v>#VALUE!</v>
          </cell>
          <cell r="CE386" t="e">
            <v>#VALUE!</v>
          </cell>
          <cell r="CF386" t="e">
            <v>#VALUE!</v>
          </cell>
          <cell r="CG386" t="e">
            <v>#VALUE!</v>
          </cell>
        </row>
        <row r="387">
          <cell r="A387" t="str">
            <v>Total operating expenses</v>
          </cell>
          <cell r="C387">
            <v>0</v>
          </cell>
          <cell r="D387">
            <v>0</v>
          </cell>
          <cell r="E387">
            <v>0</v>
          </cell>
          <cell r="F387">
            <v>0</v>
          </cell>
          <cell r="G387">
            <v>0</v>
          </cell>
          <cell r="I387">
            <v>0</v>
          </cell>
          <cell r="J387">
            <v>0</v>
          </cell>
          <cell r="K387">
            <v>0</v>
          </cell>
          <cell r="L387">
            <v>0</v>
          </cell>
          <cell r="M387">
            <v>0</v>
          </cell>
          <cell r="O387">
            <v>0</v>
          </cell>
          <cell r="P387">
            <v>0</v>
          </cell>
          <cell r="Q387">
            <v>0</v>
          </cell>
          <cell r="R387">
            <v>0</v>
          </cell>
          <cell r="S387">
            <v>0</v>
          </cell>
          <cell r="U387">
            <v>0</v>
          </cell>
          <cell r="V387">
            <v>0</v>
          </cell>
          <cell r="W387">
            <v>0</v>
          </cell>
          <cell r="X387">
            <v>0</v>
          </cell>
          <cell r="Y387">
            <v>0</v>
          </cell>
          <cell r="AA387">
            <v>0</v>
          </cell>
          <cell r="AB387">
            <v>0</v>
          </cell>
          <cell r="AC387">
            <v>0</v>
          </cell>
          <cell r="AD387">
            <v>0</v>
          </cell>
          <cell r="AE387">
            <v>0</v>
          </cell>
          <cell r="AG387">
            <v>0</v>
          </cell>
          <cell r="AH387">
            <v>0</v>
          </cell>
          <cell r="AI387">
            <v>0</v>
          </cell>
          <cell r="AJ387">
            <v>0</v>
          </cell>
          <cell r="AK387">
            <v>0</v>
          </cell>
          <cell r="AM387">
            <v>0</v>
          </cell>
          <cell r="AN387">
            <v>0.16</v>
          </cell>
          <cell r="AO387">
            <v>0.71300000000000008</v>
          </cell>
          <cell r="AP387">
            <v>5.0000000000000044E-3</v>
          </cell>
          <cell r="AQ387">
            <v>0.87800000000000011</v>
          </cell>
          <cell r="AS387">
            <v>0</v>
          </cell>
          <cell r="AT387">
            <v>0</v>
          </cell>
          <cell r="AU387">
            <v>0</v>
          </cell>
          <cell r="AV387">
            <v>0</v>
          </cell>
          <cell r="AW387">
            <v>0</v>
          </cell>
          <cell r="AY387">
            <v>0</v>
          </cell>
          <cell r="AZ387">
            <v>0</v>
          </cell>
          <cell r="BA387">
            <v>0</v>
          </cell>
          <cell r="BB387">
            <v>0</v>
          </cell>
          <cell r="BC387">
            <v>0</v>
          </cell>
          <cell r="BE387">
            <v>0</v>
          </cell>
          <cell r="BF387">
            <v>0</v>
          </cell>
          <cell r="BG387">
            <v>0</v>
          </cell>
          <cell r="BH387">
            <v>0</v>
          </cell>
          <cell r="BI387">
            <v>0</v>
          </cell>
          <cell r="BK387">
            <v>0</v>
          </cell>
          <cell r="BL387">
            <v>0</v>
          </cell>
          <cell r="BM387">
            <v>0</v>
          </cell>
          <cell r="BN387">
            <v>0</v>
          </cell>
          <cell r="BO387">
            <v>0</v>
          </cell>
          <cell r="BQ387" t="e">
            <v>#VALUE!</v>
          </cell>
          <cell r="BR387" t="e">
            <v>#VALUE!</v>
          </cell>
          <cell r="BS387" t="e">
            <v>#VALUE!</v>
          </cell>
          <cell r="BT387" t="e">
            <v>#VALUE!</v>
          </cell>
          <cell r="BU387" t="e">
            <v>#VALUE!</v>
          </cell>
          <cell r="BW387" t="e">
            <v>#VALUE!</v>
          </cell>
          <cell r="BX387" t="e">
            <v>#VALUE!</v>
          </cell>
          <cell r="BY387" t="e">
            <v>#VALUE!</v>
          </cell>
          <cell r="BZ387" t="e">
            <v>#VALUE!</v>
          </cell>
          <cell r="CA387" t="e">
            <v>#VALUE!</v>
          </cell>
          <cell r="CC387" t="e">
            <v>#VALUE!</v>
          </cell>
          <cell r="CD387" t="e">
            <v>#VALUE!</v>
          </cell>
          <cell r="CE387" t="e">
            <v>#VALUE!</v>
          </cell>
          <cell r="CF387" t="e">
            <v>#VALUE!</v>
          </cell>
          <cell r="CG387" t="e">
            <v>#VALUE!</v>
          </cell>
        </row>
        <row r="388">
          <cell r="A388" t="str">
            <v>Interest (expense), net</v>
          </cell>
          <cell r="C388">
            <v>0</v>
          </cell>
          <cell r="D388">
            <v>0</v>
          </cell>
          <cell r="E388">
            <v>0</v>
          </cell>
          <cell r="F388">
            <v>0</v>
          </cell>
          <cell r="G388">
            <v>0</v>
          </cell>
          <cell r="I388">
            <v>0</v>
          </cell>
          <cell r="J388">
            <v>0</v>
          </cell>
          <cell r="K388">
            <v>0</v>
          </cell>
          <cell r="L388">
            <v>0</v>
          </cell>
          <cell r="M388">
            <v>0</v>
          </cell>
          <cell r="O388">
            <v>0</v>
          </cell>
          <cell r="P388">
            <v>0</v>
          </cell>
          <cell r="Q388">
            <v>0</v>
          </cell>
          <cell r="R388">
            <v>0</v>
          </cell>
          <cell r="S388">
            <v>0</v>
          </cell>
          <cell r="U388">
            <v>0</v>
          </cell>
          <cell r="V388">
            <v>0</v>
          </cell>
          <cell r="W388">
            <v>0</v>
          </cell>
          <cell r="X388">
            <v>0</v>
          </cell>
          <cell r="Y388">
            <v>0</v>
          </cell>
          <cell r="AA388">
            <v>0</v>
          </cell>
          <cell r="AB388">
            <v>0</v>
          </cell>
          <cell r="AC388">
            <v>0</v>
          </cell>
          <cell r="AD388">
            <v>0</v>
          </cell>
          <cell r="AE388">
            <v>0</v>
          </cell>
          <cell r="AG388">
            <v>0</v>
          </cell>
          <cell r="AH388">
            <v>0</v>
          </cell>
          <cell r="AI388">
            <v>0</v>
          </cell>
          <cell r="AJ388">
            <v>0</v>
          </cell>
          <cell r="AK388">
            <v>0</v>
          </cell>
          <cell r="AM388">
            <v>0</v>
          </cell>
          <cell r="AN388">
            <v>0</v>
          </cell>
          <cell r="AO388">
            <v>0</v>
          </cell>
          <cell r="AP388">
            <v>0</v>
          </cell>
          <cell r="AQ388">
            <v>0</v>
          </cell>
          <cell r="AS388">
            <v>0</v>
          </cell>
          <cell r="AT388">
            <v>0</v>
          </cell>
          <cell r="AU388">
            <v>0</v>
          </cell>
          <cell r="AV388">
            <v>0</v>
          </cell>
          <cell r="AW388">
            <v>0</v>
          </cell>
          <cell r="AY388">
            <v>0</v>
          </cell>
          <cell r="AZ388">
            <v>0</v>
          </cell>
          <cell r="BA388">
            <v>0</v>
          </cell>
          <cell r="BB388">
            <v>0</v>
          </cell>
          <cell r="BC388">
            <v>0</v>
          </cell>
          <cell r="BE388">
            <v>0</v>
          </cell>
          <cell r="BF388">
            <v>0</v>
          </cell>
          <cell r="BG388">
            <v>0</v>
          </cell>
          <cell r="BH388">
            <v>0</v>
          </cell>
          <cell r="BI388">
            <v>0</v>
          </cell>
          <cell r="BK388">
            <v>0</v>
          </cell>
          <cell r="BL388">
            <v>0</v>
          </cell>
          <cell r="BM388">
            <v>0</v>
          </cell>
          <cell r="BN388">
            <v>0</v>
          </cell>
          <cell r="BO388">
            <v>0</v>
          </cell>
          <cell r="BQ388" t="str">
            <v>NA</v>
          </cell>
          <cell r="BR388" t="str">
            <v>NA</v>
          </cell>
          <cell r="BS388" t="str">
            <v>NA</v>
          </cell>
          <cell r="BT388" t="str">
            <v>NA</v>
          </cell>
          <cell r="BU388">
            <v>0</v>
          </cell>
          <cell r="BW388" t="str">
            <v>NA</v>
          </cell>
          <cell r="BX388" t="str">
            <v>NA</v>
          </cell>
          <cell r="BY388" t="str">
            <v>NA</v>
          </cell>
          <cell r="BZ388" t="str">
            <v>NA</v>
          </cell>
          <cell r="CA388">
            <v>0</v>
          </cell>
          <cell r="CC388" t="str">
            <v>NA</v>
          </cell>
          <cell r="CD388" t="str">
            <v>NA</v>
          </cell>
          <cell r="CE388" t="str">
            <v>NA</v>
          </cell>
          <cell r="CF388" t="str">
            <v>NA</v>
          </cell>
          <cell r="CG388">
            <v>0</v>
          </cell>
        </row>
        <row r="389">
          <cell r="A389" t="str">
            <v>Other income (expense), net</v>
          </cell>
          <cell r="C389">
            <v>0</v>
          </cell>
          <cell r="D389">
            <v>0</v>
          </cell>
          <cell r="E389">
            <v>0</v>
          </cell>
          <cell r="F389">
            <v>0</v>
          </cell>
          <cell r="G389">
            <v>0</v>
          </cell>
          <cell r="I389">
            <v>0</v>
          </cell>
          <cell r="J389">
            <v>0</v>
          </cell>
          <cell r="K389">
            <v>0</v>
          </cell>
          <cell r="L389">
            <v>0</v>
          </cell>
          <cell r="M389">
            <v>0</v>
          </cell>
          <cell r="O389">
            <v>0</v>
          </cell>
          <cell r="P389">
            <v>0</v>
          </cell>
          <cell r="Q389">
            <v>0</v>
          </cell>
          <cell r="R389">
            <v>0</v>
          </cell>
          <cell r="S389">
            <v>0</v>
          </cell>
          <cell r="U389">
            <v>0</v>
          </cell>
          <cell r="V389">
            <v>0</v>
          </cell>
          <cell r="W389">
            <v>0</v>
          </cell>
          <cell r="X389">
            <v>0</v>
          </cell>
          <cell r="Y389">
            <v>0</v>
          </cell>
          <cell r="AA389">
            <v>0</v>
          </cell>
          <cell r="AB389">
            <v>0</v>
          </cell>
          <cell r="AC389">
            <v>0</v>
          </cell>
          <cell r="AD389">
            <v>0</v>
          </cell>
          <cell r="AE389">
            <v>0</v>
          </cell>
          <cell r="AG389">
            <v>0</v>
          </cell>
          <cell r="AH389">
            <v>0</v>
          </cell>
          <cell r="AI389">
            <v>0</v>
          </cell>
          <cell r="AJ389">
            <v>0</v>
          </cell>
          <cell r="AK389">
            <v>0</v>
          </cell>
          <cell r="AM389">
            <v>0</v>
          </cell>
          <cell r="AN389">
            <v>0</v>
          </cell>
          <cell r="AO389">
            <v>1.05</v>
          </cell>
          <cell r="AP389">
            <v>0</v>
          </cell>
          <cell r="AQ389">
            <v>1.05</v>
          </cell>
          <cell r="AS389">
            <v>0</v>
          </cell>
          <cell r="AT389">
            <v>1.1459999999999999</v>
          </cell>
          <cell r="AU389">
            <v>2.4279999999999999</v>
          </cell>
          <cell r="AV389">
            <v>2.4710000000000001</v>
          </cell>
          <cell r="AW389">
            <v>6.0449999999999999</v>
          </cell>
          <cell r="AY389">
            <v>2.452</v>
          </cell>
          <cell r="AZ389">
            <v>2.5579999999999998</v>
          </cell>
          <cell r="BA389">
            <v>25.432000000000002</v>
          </cell>
          <cell r="BB389">
            <v>6.9470000000000001</v>
          </cell>
          <cell r="BC389">
            <v>37.389000000000003</v>
          </cell>
          <cell r="BE389">
            <v>6.9470000000000001</v>
          </cell>
          <cell r="BF389">
            <v>7.1319999999999997</v>
          </cell>
          <cell r="BG389">
            <v>0</v>
          </cell>
          <cell r="BH389">
            <v>0</v>
          </cell>
          <cell r="BI389">
            <v>14.079000000000001</v>
          </cell>
          <cell r="BK389">
            <v>0</v>
          </cell>
          <cell r="BL389">
            <v>0</v>
          </cell>
          <cell r="BM389">
            <v>0</v>
          </cell>
          <cell r="BN389">
            <v>0</v>
          </cell>
          <cell r="BO389">
            <v>0</v>
          </cell>
          <cell r="BQ389" t="e">
            <v>#VALUE!</v>
          </cell>
          <cell r="BR389" t="e">
            <v>#VALUE!</v>
          </cell>
          <cell r="BS389" t="e">
            <v>#VALUE!</v>
          </cell>
          <cell r="BT389" t="e">
            <v>#VALUE!</v>
          </cell>
          <cell r="BU389" t="e">
            <v>#VALUE!</v>
          </cell>
          <cell r="BW389" t="e">
            <v>#VALUE!</v>
          </cell>
          <cell r="BX389" t="e">
            <v>#VALUE!</v>
          </cell>
          <cell r="BY389" t="e">
            <v>#VALUE!</v>
          </cell>
          <cell r="BZ389" t="e">
            <v>#VALUE!</v>
          </cell>
          <cell r="CA389" t="e">
            <v>#VALUE!</v>
          </cell>
          <cell r="CC389" t="e">
            <v>#VALUE!</v>
          </cell>
          <cell r="CD389" t="e">
            <v>#VALUE!</v>
          </cell>
          <cell r="CE389" t="e">
            <v>#VALUE!</v>
          </cell>
          <cell r="CF389" t="e">
            <v>#VALUE!</v>
          </cell>
          <cell r="CG389" t="e">
            <v>#VALUE!</v>
          </cell>
        </row>
        <row r="390">
          <cell r="A390" t="str">
            <v>Provision for income taxes</v>
          </cell>
          <cell r="C390">
            <v>0</v>
          </cell>
          <cell r="D390">
            <v>0</v>
          </cell>
          <cell r="E390">
            <v>0</v>
          </cell>
          <cell r="F390">
            <v>0</v>
          </cell>
          <cell r="G390">
            <v>0</v>
          </cell>
          <cell r="I390">
            <v>0</v>
          </cell>
          <cell r="J390">
            <v>0</v>
          </cell>
          <cell r="K390">
            <v>0</v>
          </cell>
          <cell r="L390">
            <v>0</v>
          </cell>
          <cell r="M390">
            <v>0</v>
          </cell>
          <cell r="O390">
            <v>0</v>
          </cell>
          <cell r="P390">
            <v>0</v>
          </cell>
          <cell r="Q390">
            <v>0</v>
          </cell>
          <cell r="R390">
            <v>0</v>
          </cell>
          <cell r="S390">
            <v>0</v>
          </cell>
          <cell r="U390">
            <v>0</v>
          </cell>
          <cell r="V390">
            <v>0</v>
          </cell>
          <cell r="W390">
            <v>0</v>
          </cell>
          <cell r="X390">
            <v>0</v>
          </cell>
          <cell r="Y390">
            <v>0</v>
          </cell>
          <cell r="AA390">
            <v>0</v>
          </cell>
          <cell r="AB390">
            <v>0</v>
          </cell>
          <cell r="AC390">
            <v>0</v>
          </cell>
          <cell r="AD390">
            <v>0</v>
          </cell>
          <cell r="AE390">
            <v>0</v>
          </cell>
          <cell r="AG390">
            <v>0</v>
          </cell>
          <cell r="AH390">
            <v>0</v>
          </cell>
          <cell r="AI390">
            <v>0</v>
          </cell>
          <cell r="AJ390">
            <v>0</v>
          </cell>
          <cell r="AK390">
            <v>0</v>
          </cell>
          <cell r="AM390">
            <v>0</v>
          </cell>
          <cell r="AN390">
            <v>-0.998</v>
          </cell>
          <cell r="AO390">
            <v>0</v>
          </cell>
          <cell r="AP390">
            <v>0</v>
          </cell>
          <cell r="AQ390">
            <v>-0.998</v>
          </cell>
          <cell r="AS390">
            <v>0</v>
          </cell>
          <cell r="AT390">
            <v>-6.0460000000000003</v>
          </cell>
          <cell r="AU390">
            <v>-1.873</v>
          </cell>
          <cell r="AV390">
            <v>-1.1779999999999999</v>
          </cell>
          <cell r="AW390">
            <v>-9.0970000000000013</v>
          </cell>
          <cell r="AY390">
            <v>-11.22</v>
          </cell>
          <cell r="AZ390">
            <v>-7.5439999999999996</v>
          </cell>
          <cell r="BA390">
            <v>-12.772</v>
          </cell>
          <cell r="BB390">
            <v>-5.6829999999999998</v>
          </cell>
          <cell r="BC390">
            <v>-37.219000000000001</v>
          </cell>
          <cell r="BE390">
            <v>-14.784000000000001</v>
          </cell>
          <cell r="BF390">
            <v>12.11</v>
          </cell>
          <cell r="BG390">
            <v>0</v>
          </cell>
          <cell r="BH390">
            <v>0</v>
          </cell>
          <cell r="BI390">
            <v>-2.6740000000000013</v>
          </cell>
          <cell r="BK390">
            <v>0</v>
          </cell>
          <cell r="BL390">
            <v>0</v>
          </cell>
          <cell r="BM390">
            <v>0</v>
          </cell>
          <cell r="BN390">
            <v>0</v>
          </cell>
          <cell r="BO390">
            <v>0</v>
          </cell>
          <cell r="BQ390">
            <v>0</v>
          </cell>
          <cell r="BR390">
            <v>0</v>
          </cell>
          <cell r="BS390">
            <v>0</v>
          </cell>
          <cell r="BT390">
            <v>0</v>
          </cell>
          <cell r="BU390">
            <v>0</v>
          </cell>
          <cell r="BW390">
            <v>0</v>
          </cell>
          <cell r="BX390">
            <v>0</v>
          </cell>
          <cell r="BY390">
            <v>0</v>
          </cell>
          <cell r="BZ390">
            <v>0</v>
          </cell>
          <cell r="CA390">
            <v>0</v>
          </cell>
          <cell r="CC390">
            <v>0</v>
          </cell>
          <cell r="CD390">
            <v>0</v>
          </cell>
          <cell r="CE390">
            <v>0</v>
          </cell>
          <cell r="CF390">
            <v>0</v>
          </cell>
          <cell r="CG390">
            <v>0</v>
          </cell>
        </row>
        <row r="391">
          <cell r="A391"/>
          <cell r="B391"/>
          <cell r="C391"/>
          <cell r="D391"/>
          <cell r="E391"/>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cell r="AP391"/>
          <cell r="AQ391"/>
          <cell r="AR391"/>
          <cell r="AS391"/>
          <cell r="AT391"/>
          <cell r="AU391"/>
          <cell r="AV391"/>
          <cell r="AW391"/>
          <cell r="AX391"/>
          <cell r="AY391"/>
          <cell r="AZ391"/>
          <cell r="BA391"/>
          <cell r="BB391"/>
          <cell r="BC391"/>
          <cell r="BD391"/>
          <cell r="BE391"/>
          <cell r="BF391"/>
          <cell r="BG391"/>
          <cell r="BH391"/>
          <cell r="BI391"/>
          <cell r="BJ391"/>
          <cell r="BK391"/>
          <cell r="BL391"/>
          <cell r="BM391"/>
          <cell r="BN391"/>
          <cell r="BO391"/>
          <cell r="BP391"/>
          <cell r="BQ391"/>
          <cell r="BR391"/>
          <cell r="BS391"/>
          <cell r="BT391"/>
          <cell r="BU391"/>
          <cell r="BV391"/>
          <cell r="BW391"/>
          <cell r="BX391"/>
          <cell r="BY391"/>
          <cell r="BZ391"/>
          <cell r="CA391"/>
          <cell r="CB391"/>
          <cell r="CC391"/>
          <cell r="CD391"/>
          <cell r="CE391"/>
          <cell r="CF391"/>
          <cell r="CG391"/>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mportantDisclosures"/>
      <sheetName val="OtherDisclosures"/>
      <sheetName val="FLEX"/>
      <sheetName val="Exhibits"/>
      <sheetName val="Debt"/>
      <sheetName val="Acquisitions"/>
      <sheetName val="Facilities-new"/>
      <sheetName val="IndexInformation"/>
      <sheetName val="mStartup"/>
      <sheetName val="Residual"/>
    </sheetNames>
    <sheetDataSet>
      <sheetData sheetId="0" refreshError="1"/>
      <sheetData sheetId="1" refreshError="1"/>
      <sheetData sheetId="2" refreshError="1"/>
      <sheetData sheetId="3" refreshError="1">
        <row r="8">
          <cell r="CT8" t="str">
            <v>F1998 Restated for JIT</v>
          </cell>
          <cell r="CY8" t="str">
            <v>F1999 Restated for JIT</v>
          </cell>
          <cell r="DD8" t="str">
            <v>F2000 Restated for JIT</v>
          </cell>
          <cell r="DI8" t="str">
            <v>F2001 Restated for JIT</v>
          </cell>
          <cell r="DN8" t="str">
            <v>F2002</v>
          </cell>
          <cell r="DS8" t="str">
            <v>F2003</v>
          </cell>
          <cell r="DX8" t="str">
            <v>F2004E</v>
          </cell>
        </row>
        <row r="9">
          <cell r="CT9" t="str">
            <v>6/97</v>
          </cell>
          <cell r="CU9" t="str">
            <v>9/97</v>
          </cell>
          <cell r="CV9" t="str">
            <v xml:space="preserve"> 12/97</v>
          </cell>
          <cell r="CW9" t="str">
            <v xml:space="preserve"> 3/98</v>
          </cell>
          <cell r="CY9" t="str">
            <v>6/98</v>
          </cell>
          <cell r="CZ9" t="str">
            <v>9/98</v>
          </cell>
          <cell r="DA9" t="str">
            <v xml:space="preserve"> 12/98</v>
          </cell>
          <cell r="DB9" t="str">
            <v xml:space="preserve"> 3/99</v>
          </cell>
          <cell r="DD9" t="str">
            <v>6/99</v>
          </cell>
          <cell r="DE9" t="str">
            <v>9/99</v>
          </cell>
          <cell r="DF9" t="str">
            <v xml:space="preserve"> 12/99</v>
          </cell>
          <cell r="DG9" t="str">
            <v xml:space="preserve"> 3/00</v>
          </cell>
          <cell r="DI9" t="str">
            <v>6/00</v>
          </cell>
          <cell r="DJ9" t="str">
            <v>9/00</v>
          </cell>
          <cell r="DK9" t="str">
            <v xml:space="preserve"> 12/00</v>
          </cell>
          <cell r="DL9" t="str">
            <v xml:space="preserve"> 3/01</v>
          </cell>
          <cell r="DN9" t="str">
            <v>6/01</v>
          </cell>
          <cell r="DO9" t="str">
            <v>9/01</v>
          </cell>
          <cell r="DP9" t="str">
            <v xml:space="preserve"> 12/01</v>
          </cell>
          <cell r="DQ9" t="str">
            <v xml:space="preserve"> 3/02</v>
          </cell>
          <cell r="DS9" t="str">
            <v>6/02</v>
          </cell>
          <cell r="DT9" t="str">
            <v>9/02</v>
          </cell>
          <cell r="DU9" t="str">
            <v xml:space="preserve"> 12/02</v>
          </cell>
          <cell r="DV9" t="str">
            <v xml:space="preserve"> 3/03</v>
          </cell>
          <cell r="DX9" t="str">
            <v>6/03</v>
          </cell>
          <cell r="DY9" t="str">
            <v>9/03</v>
          </cell>
          <cell r="DZ9" t="str">
            <v xml:space="preserve"> 12/03</v>
          </cell>
          <cell r="EA9" t="str">
            <v xml:space="preserve"> 3/04E</v>
          </cell>
          <cell r="FV9" t="str">
            <v>F1999</v>
          </cell>
          <cell r="FW9" t="str">
            <v>F2000</v>
          </cell>
          <cell r="FX9" t="str">
            <v>F2001</v>
          </cell>
          <cell r="FY9" t="str">
            <v>F2002</v>
          </cell>
          <cell r="FZ9" t="str">
            <v>F2003</v>
          </cell>
          <cell r="GA9" t="str">
            <v>F2004E</v>
          </cell>
          <cell r="GE9" t="str">
            <v>C1998</v>
          </cell>
          <cell r="GF9" t="str">
            <v>C1999</v>
          </cell>
          <cell r="GG9" t="str">
            <v>C2000</v>
          </cell>
          <cell r="GH9" t="str">
            <v>C2001</v>
          </cell>
          <cell r="GI9" t="str">
            <v>C2002</v>
          </cell>
          <cell r="GJ9" t="str">
            <v>C2003</v>
          </cell>
          <cell r="GL9">
            <v>2003</v>
          </cell>
          <cell r="GM9">
            <v>2004</v>
          </cell>
          <cell r="GN9">
            <v>2005</v>
          </cell>
          <cell r="GO9">
            <v>2006</v>
          </cell>
          <cell r="GP9">
            <v>2007</v>
          </cell>
          <cell r="GQ9">
            <v>2008</v>
          </cell>
          <cell r="GR9">
            <v>2009</v>
          </cell>
          <cell r="GS9">
            <v>2010</v>
          </cell>
          <cell r="GT9">
            <v>2011</v>
          </cell>
          <cell r="GU9">
            <v>2012</v>
          </cell>
          <cell r="GV9">
            <v>2013</v>
          </cell>
          <cell r="GW9">
            <v>2014</v>
          </cell>
          <cell r="GX9">
            <v>2015</v>
          </cell>
          <cell r="GY9">
            <v>2016</v>
          </cell>
          <cell r="GZ9">
            <v>2017</v>
          </cell>
        </row>
        <row r="11">
          <cell r="D11">
            <v>24.288</v>
          </cell>
          <cell r="E11">
            <v>28.422999999999998</v>
          </cell>
          <cell r="F11">
            <v>32.6</v>
          </cell>
          <cell r="G11">
            <v>39.939</v>
          </cell>
          <cell r="I11">
            <v>51.143000000000001</v>
          </cell>
          <cell r="J11">
            <v>55.713999999999999</v>
          </cell>
          <cell r="K11">
            <v>64.016000000000005</v>
          </cell>
          <cell r="L11">
            <v>66.513000000000005</v>
          </cell>
          <cell r="N11">
            <v>86.013999999999996</v>
          </cell>
          <cell r="O11">
            <v>104.816</v>
          </cell>
          <cell r="P11">
            <v>131.816</v>
          </cell>
          <cell r="Q11">
            <v>125.70099999999999</v>
          </cell>
          <cell r="S11">
            <v>149.78200000000001</v>
          </cell>
          <cell r="T11">
            <v>156.75700000000001</v>
          </cell>
          <cell r="U11">
            <v>161.24799999999999</v>
          </cell>
          <cell r="V11">
            <v>172.22</v>
          </cell>
          <cell r="X11">
            <v>235.547</v>
          </cell>
          <cell r="Y11">
            <v>251.46799999999999</v>
          </cell>
          <cell r="Z11">
            <v>295</v>
          </cell>
          <cell r="AA11">
            <v>331.05799999999999</v>
          </cell>
          <cell r="AC11">
            <v>376.07900000000001</v>
          </cell>
          <cell r="AD11">
            <v>422.94799999999998</v>
          </cell>
          <cell r="AE11">
            <v>499.9</v>
          </cell>
          <cell r="AF11">
            <v>508.7</v>
          </cell>
          <cell r="AH11">
            <v>529.79999999999995</v>
          </cell>
          <cell r="AJ11">
            <v>397.274</v>
          </cell>
          <cell r="AK11">
            <v>470.88900000000001</v>
          </cell>
          <cell r="AL11">
            <v>580.39499999999998</v>
          </cell>
          <cell r="AM11">
            <v>594.81600000000003</v>
          </cell>
          <cell r="AO11">
            <v>427.50099999999998</v>
          </cell>
          <cell r="AP11">
            <v>515.39400000000001</v>
          </cell>
          <cell r="AQ11">
            <v>631.93200000000002</v>
          </cell>
          <cell r="AR11">
            <v>658.38099999999997</v>
          </cell>
          <cell r="AT11">
            <v>685.64099999999996</v>
          </cell>
          <cell r="AU11">
            <v>941.76</v>
          </cell>
          <cell r="AV11">
            <v>1251.681</v>
          </cell>
          <cell r="AW11">
            <v>1428.1110000000001</v>
          </cell>
          <cell r="AY11">
            <v>632.27300000000002</v>
          </cell>
          <cell r="AZ11">
            <v>692.56200000000001</v>
          </cell>
          <cell r="BA11">
            <v>785.96</v>
          </cell>
          <cell r="BB11">
            <v>856.87699999999995</v>
          </cell>
          <cell r="BD11">
            <v>685.65800000000002</v>
          </cell>
          <cell r="BE11">
            <v>762.50900000000001</v>
          </cell>
          <cell r="BF11">
            <v>862.98099999999999</v>
          </cell>
          <cell r="BG11">
            <v>941.87699999999995</v>
          </cell>
          <cell r="BI11">
            <v>611.27</v>
          </cell>
          <cell r="BJ11">
            <v>870.82</v>
          </cell>
          <cell r="BK11">
            <v>1179.4880000000001</v>
          </cell>
          <cell r="BL11">
            <v>1896.7449999999999</v>
          </cell>
          <cell r="BN11">
            <v>858.40800000000002</v>
          </cell>
          <cell r="BO11">
            <v>1150.0940000000001</v>
          </cell>
          <cell r="BP11">
            <v>1543.662</v>
          </cell>
          <cell r="BQ11">
            <v>1896.7449999999999</v>
          </cell>
          <cell r="BS11">
            <v>956.36699999999996</v>
          </cell>
          <cell r="BT11">
            <v>1247.7650000000001</v>
          </cell>
          <cell r="BU11">
            <v>1638.8579999999999</v>
          </cell>
          <cell r="BV11">
            <v>1896.7449999999999</v>
          </cell>
          <cell r="BX11">
            <v>2285.732</v>
          </cell>
          <cell r="BZ11">
            <v>479.94099999999997</v>
          </cell>
          <cell r="CA11">
            <v>549.36300000000006</v>
          </cell>
          <cell r="CB11">
            <v>601.49</v>
          </cell>
          <cell r="CC11">
            <v>691.35699999999997</v>
          </cell>
          <cell r="CE11">
            <v>756.85500000000002</v>
          </cell>
          <cell r="CF11">
            <v>830.625</v>
          </cell>
          <cell r="CG11">
            <v>945.56600000000003</v>
          </cell>
          <cell r="CH11">
            <v>1051.511</v>
          </cell>
          <cell r="CJ11">
            <v>1103.4259999999999</v>
          </cell>
          <cell r="CK11">
            <v>1391.472</v>
          </cell>
          <cell r="CL11">
            <v>1815.068</v>
          </cell>
          <cell r="CM11">
            <v>2076.0239999999999</v>
          </cell>
          <cell r="CO11">
            <v>2524.6460000000002</v>
          </cell>
          <cell r="CP11">
            <v>2947.125</v>
          </cell>
          <cell r="CQ11">
            <v>3100</v>
          </cell>
          <cell r="CR11">
            <v>3220</v>
          </cell>
          <cell r="CT11">
            <v>543.88499999999999</v>
          </cell>
          <cell r="CU11">
            <v>613.30700000000002</v>
          </cell>
          <cell r="CV11">
            <v>665.43399999999997</v>
          </cell>
          <cell r="CW11">
            <v>755.3</v>
          </cell>
          <cell r="CY11">
            <v>840.07299999999998</v>
          </cell>
          <cell r="CZ11">
            <v>913.84299999999996</v>
          </cell>
          <cell r="DA11">
            <v>1046.463</v>
          </cell>
          <cell r="DB11">
            <v>1152.4069999999999</v>
          </cell>
          <cell r="DD11">
            <v>1237.32</v>
          </cell>
          <cell r="DE11">
            <v>1525.366</v>
          </cell>
          <cell r="DF11">
            <v>1967.74</v>
          </cell>
          <cell r="DG11">
            <v>2228.6959999999999</v>
          </cell>
          <cell r="DI11">
            <v>2676.9740000000002</v>
          </cell>
          <cell r="DJ11">
            <v>3078.998</v>
          </cell>
          <cell r="DK11">
            <v>3239.2930000000001</v>
          </cell>
          <cell r="DL11">
            <v>3114.4340000000002</v>
          </cell>
          <cell r="DN11">
            <v>3110.598</v>
          </cell>
          <cell r="DO11">
            <v>3244.9180000000001</v>
          </cell>
          <cell r="DP11">
            <v>3453.0390000000002</v>
          </cell>
          <cell r="DQ11">
            <v>3296.3</v>
          </cell>
          <cell r="DS11">
            <v>3127.027</v>
          </cell>
          <cell r="DT11">
            <v>3340.6129999999998</v>
          </cell>
          <cell r="DU11">
            <v>3851.4940000000001</v>
          </cell>
          <cell r="DV11">
            <v>3059.5650000000001</v>
          </cell>
          <cell r="DX11">
            <v>3106.6770000000001</v>
          </cell>
          <cell r="DY11">
            <v>3503.2420000000002</v>
          </cell>
          <cell r="DZ11">
            <v>4152.3440000000001</v>
          </cell>
          <cell r="EA11">
            <v>3549.0084168000003</v>
          </cell>
          <cell r="EC11">
            <v>3778.4627938960007</v>
          </cell>
          <cell r="ED11">
            <v>4067.1679225671205</v>
          </cell>
          <cell r="EE11">
            <v>4625.250584438284</v>
          </cell>
          <cell r="EF11">
            <v>4085.6404563372457</v>
          </cell>
          <cell r="EH11">
            <v>4413.6745623832448</v>
          </cell>
          <cell r="EI11">
            <v>4755.5268774947654</v>
          </cell>
          <cell r="EJ11">
            <v>5423.8092516371498</v>
          </cell>
          <cell r="EK11">
            <v>4775.115895111765</v>
          </cell>
          <cell r="EM11">
            <v>131.345</v>
          </cell>
          <cell r="EN11">
            <v>237.386</v>
          </cell>
          <cell r="EO11">
            <v>448.34699999999998</v>
          </cell>
          <cell r="EP11">
            <v>490.58499999999998</v>
          </cell>
          <cell r="EQ11">
            <v>292.149</v>
          </cell>
          <cell r="ER11">
            <v>572.04499999999996</v>
          </cell>
          <cell r="ES11">
            <v>640.00699999999995</v>
          </cell>
          <cell r="ET11">
            <v>1113.0729999999999</v>
          </cell>
          <cell r="EU11">
            <v>1807.6270000000002</v>
          </cell>
          <cell r="EW11">
            <v>1191.194</v>
          </cell>
          <cell r="EX11">
            <v>2043.374</v>
          </cell>
          <cell r="EZ11">
            <v>840.45</v>
          </cell>
          <cell r="FA11">
            <v>902.10400000000004</v>
          </cell>
          <cell r="FB11">
            <v>1335.7619999999999</v>
          </cell>
          <cell r="FC11">
            <v>2233.2080000000001</v>
          </cell>
          <cell r="FD11">
            <v>4307.1930000000002</v>
          </cell>
          <cell r="FF11">
            <v>2967.672</v>
          </cell>
          <cell r="FH11">
            <v>1291.5409999999999</v>
          </cell>
          <cell r="FI11">
            <v>1435.3620000000001</v>
          </cell>
          <cell r="FJ11">
            <v>2202.451</v>
          </cell>
          <cell r="FK11">
            <v>3253.0250000000001</v>
          </cell>
          <cell r="FL11">
            <v>5739.7349999999997</v>
          </cell>
          <cell r="FN11">
            <v>1291.5409999999999</v>
          </cell>
          <cell r="FO11">
            <v>1498.3320000000001</v>
          </cell>
          <cell r="FP11">
            <v>2322.1509999999998</v>
          </cell>
          <cell r="FQ11">
            <v>3584.5570000000002</v>
          </cell>
          <cell r="FR11">
            <v>6385.99</v>
          </cell>
          <cell r="FT11">
            <v>1498.3320000000001</v>
          </cell>
          <cell r="FU11">
            <v>2577.9259999999999</v>
          </cell>
          <cell r="FV11">
            <v>3952.7860000000001</v>
          </cell>
          <cell r="FW11">
            <v>6959.1219999999994</v>
          </cell>
          <cell r="FX11">
            <v>12109.699000000001</v>
          </cell>
          <cell r="FY11">
            <v>13104.855</v>
          </cell>
          <cell r="FZ11">
            <v>13378.699000000001</v>
          </cell>
          <cell r="GA11">
            <v>14311.271416799998</v>
          </cell>
          <cell r="GB11">
            <v>16556.52175723865</v>
          </cell>
          <cell r="GC11">
            <v>19368.126586626924</v>
          </cell>
          <cell r="GE11">
            <v>3555.6790000000001</v>
          </cell>
          <cell r="GF11">
            <v>5882.8329999999996</v>
          </cell>
          <cell r="GG11">
            <v>11223.960999999999</v>
          </cell>
          <cell r="GH11">
            <v>12922.989000000001</v>
          </cell>
          <cell r="GI11">
            <v>13615.434000000001</v>
          </cell>
          <cell r="GJ11">
            <v>13821.828000000001</v>
          </cell>
          <cell r="GL11">
            <v>13378.699000000001</v>
          </cell>
          <cell r="GM11">
            <v>14311.271416799998</v>
          </cell>
          <cell r="GN11">
            <v>16556.52175723865</v>
          </cell>
          <cell r="GO11">
            <v>19368.126586626924</v>
          </cell>
          <cell r="GP11">
            <v>23435.433169818578</v>
          </cell>
          <cell r="GQ11">
            <v>27419.456808687733</v>
          </cell>
          <cell r="GR11">
            <v>27419.456808687733</v>
          </cell>
          <cell r="GS11">
            <v>29613.013353382754</v>
          </cell>
          <cell r="GT11">
            <v>34647.225623457824</v>
          </cell>
          <cell r="GU11">
            <v>43655.504285556861</v>
          </cell>
          <cell r="GV11">
            <v>49767.274885534825</v>
          </cell>
          <cell r="GW11">
            <v>42302.183652704603</v>
          </cell>
          <cell r="GX11">
            <v>44417.292835339838</v>
          </cell>
          <cell r="GY11">
            <v>49747.367975580622</v>
          </cell>
          <cell r="GZ11">
            <v>55219.578452894493</v>
          </cell>
          <cell r="HA11">
            <v>60741.53629818395</v>
          </cell>
          <cell r="HB11">
            <v>66208.274565020503</v>
          </cell>
          <cell r="HC11">
            <v>71504.936530222141</v>
          </cell>
          <cell r="HD11">
            <v>76510.282087337691</v>
          </cell>
          <cell r="HE11">
            <v>81100.899012577953</v>
          </cell>
          <cell r="HF11">
            <v>85155.943963206853</v>
          </cell>
          <cell r="HG11">
            <v>89413.741161367201</v>
          </cell>
          <cell r="HH11">
            <v>93884.428219435562</v>
          </cell>
          <cell r="HI11">
            <v>98578.649630407337</v>
          </cell>
        </row>
        <row r="12">
          <cell r="DN12">
            <v>749.65411799999993</v>
          </cell>
          <cell r="DO12">
            <v>600.30983000000003</v>
          </cell>
          <cell r="DP12">
            <v>441.98899200000005</v>
          </cell>
          <cell r="DQ12">
            <v>527.40800000000002</v>
          </cell>
          <cell r="DS12">
            <v>500.32432</v>
          </cell>
          <cell r="DT12">
            <v>501.09194999999994</v>
          </cell>
          <cell r="DU12">
            <v>539.20916000000011</v>
          </cell>
          <cell r="DV12">
            <v>458.93475000000001</v>
          </cell>
          <cell r="DX12">
            <v>466.00155000000001</v>
          </cell>
          <cell r="DY12">
            <v>490.45388000000008</v>
          </cell>
          <cell r="DZ12">
            <v>581.32816000000003</v>
          </cell>
          <cell r="EA12">
            <v>534.82190720000006</v>
          </cell>
          <cell r="FX12" t="str">
            <v>--</v>
          </cell>
          <cell r="FY12">
            <v>2319.36094</v>
          </cell>
          <cell r="FZ12">
            <v>1999.5601799999999</v>
          </cell>
          <cell r="GA12">
            <v>2072.6054972000002</v>
          </cell>
          <cell r="GI12">
            <v>2068.0334300000004</v>
          </cell>
          <cell r="GJ12">
            <v>1996.7183400000001</v>
          </cell>
        </row>
        <row r="13">
          <cell r="DG13">
            <v>6959.1219999999994</v>
          </cell>
          <cell r="DL13">
            <v>12109.699000000001</v>
          </cell>
          <cell r="DN13">
            <v>842.97205800000006</v>
          </cell>
          <cell r="DO13">
            <v>1184.39507</v>
          </cell>
          <cell r="DP13">
            <v>1322.5139370000002</v>
          </cell>
          <cell r="DQ13">
            <v>1071.2975000000001</v>
          </cell>
          <cell r="DS13">
            <v>969.37837000000002</v>
          </cell>
          <cell r="DT13">
            <v>968.77776999999992</v>
          </cell>
          <cell r="DU13">
            <v>1309.5079600000001</v>
          </cell>
          <cell r="DV13">
            <v>887.27384999999992</v>
          </cell>
          <cell r="DX13">
            <v>963.06987000000004</v>
          </cell>
          <cell r="DY13">
            <v>1050.9726000000001</v>
          </cell>
          <cell r="DZ13">
            <v>1411.7969600000001</v>
          </cell>
          <cell r="EA13">
            <v>1058.8477200000002</v>
          </cell>
          <cell r="FX13" t="str">
            <v>--</v>
          </cell>
          <cell r="FY13">
            <v>4421.1785650000002</v>
          </cell>
          <cell r="FZ13">
            <v>4134.9379499999995</v>
          </cell>
          <cell r="GA13">
            <v>4484.6871499999997</v>
          </cell>
          <cell r="GI13">
            <v>4318.9615999999996</v>
          </cell>
          <cell r="GJ13">
            <v>4313.1132799999996</v>
          </cell>
        </row>
        <row r="14">
          <cell r="DN14">
            <v>718.54813799999999</v>
          </cell>
          <cell r="DO14">
            <v>648.98360000000002</v>
          </cell>
          <cell r="DP14">
            <v>545.58016200000009</v>
          </cell>
          <cell r="DQ14">
            <v>395.55599999999998</v>
          </cell>
          <cell r="DS14">
            <v>250.16216</v>
          </cell>
          <cell r="DT14">
            <v>267.24903999999998</v>
          </cell>
          <cell r="DU14">
            <v>269.60458000000006</v>
          </cell>
          <cell r="DV14">
            <v>305.95650000000001</v>
          </cell>
          <cell r="DX14">
            <v>279.60093000000001</v>
          </cell>
          <cell r="DY14">
            <v>245.22694000000004</v>
          </cell>
          <cell r="DZ14">
            <v>290.66408000000001</v>
          </cell>
          <cell r="EA14">
            <v>281.94415759999998</v>
          </cell>
          <cell r="FX14" t="str">
            <v>--</v>
          </cell>
          <cell r="FY14">
            <v>2308.6679000000004</v>
          </cell>
          <cell r="FZ14">
            <v>1092.97228</v>
          </cell>
          <cell r="GA14">
            <v>1097.4361076</v>
          </cell>
          <cell r="GI14">
            <v>1182.5717800000002</v>
          </cell>
          <cell r="GJ14">
            <v>1121.4484500000001</v>
          </cell>
        </row>
        <row r="15">
          <cell r="DN15">
            <v>345.27637800000002</v>
          </cell>
          <cell r="DO15">
            <v>421.83934000000005</v>
          </cell>
          <cell r="DP15">
            <v>493.78457700000001</v>
          </cell>
          <cell r="DQ15">
            <v>692.22299999999996</v>
          </cell>
          <cell r="DS15">
            <v>844.29729000000009</v>
          </cell>
          <cell r="DT15">
            <v>1002.1838999999999</v>
          </cell>
          <cell r="DU15">
            <v>847.32868000000008</v>
          </cell>
          <cell r="DV15">
            <v>795.48689999999999</v>
          </cell>
          <cell r="DX15">
            <v>807.73602000000005</v>
          </cell>
          <cell r="DY15">
            <v>980.90776000000017</v>
          </cell>
          <cell r="DZ15">
            <v>1038.086</v>
          </cell>
          <cell r="EA15">
            <v>934.27740000000006</v>
          </cell>
          <cell r="FX15" t="str">
            <v>--</v>
          </cell>
          <cell r="FY15">
            <v>1953.1232949999999</v>
          </cell>
          <cell r="FZ15">
            <v>3489.2967699999999</v>
          </cell>
          <cell r="GA15">
            <v>3761.0071800000005</v>
          </cell>
          <cell r="GI15">
            <v>3386.03287</v>
          </cell>
          <cell r="GJ15">
            <v>3622.2166800000005</v>
          </cell>
        </row>
        <row r="16">
          <cell r="DN16">
            <v>283.06441799999999</v>
          </cell>
          <cell r="DO16">
            <v>194.69507999999999</v>
          </cell>
          <cell r="DP16">
            <v>155.38675499999999</v>
          </cell>
          <cell r="DQ16">
            <v>115.37050000000002</v>
          </cell>
          <cell r="DS16">
            <v>187.62162000000001</v>
          </cell>
          <cell r="DT16">
            <v>233.84291000000002</v>
          </cell>
          <cell r="DU16">
            <v>269.60458000000006</v>
          </cell>
          <cell r="DV16">
            <v>214.16955000000002</v>
          </cell>
          <cell r="DX16">
            <v>248.53416000000001</v>
          </cell>
          <cell r="DY16">
            <v>280.25936000000002</v>
          </cell>
          <cell r="DZ16">
            <v>373.71096</v>
          </cell>
          <cell r="EA16">
            <v>373.71096</v>
          </cell>
          <cell r="FX16" t="str">
            <v>--</v>
          </cell>
          <cell r="FY16">
            <v>748.51675299999999</v>
          </cell>
          <cell r="FZ16">
            <v>905.23866000000021</v>
          </cell>
          <cell r="GA16">
            <v>1276.2154399999999</v>
          </cell>
          <cell r="GI16">
            <v>806.43961000000002</v>
          </cell>
          <cell r="GJ16">
            <v>1116.6740300000001</v>
          </cell>
        </row>
        <row r="17">
          <cell r="DN17">
            <v>171.08288999999999</v>
          </cell>
          <cell r="DO17">
            <v>194.69507999999999</v>
          </cell>
          <cell r="DP17">
            <v>493.78457700000001</v>
          </cell>
          <cell r="DQ17">
            <v>494.44499999999999</v>
          </cell>
          <cell r="DS17">
            <v>375.24324000000001</v>
          </cell>
          <cell r="DT17">
            <v>367.46742999999998</v>
          </cell>
          <cell r="DU17">
            <v>616.23904000000005</v>
          </cell>
          <cell r="DV17">
            <v>397.74345</v>
          </cell>
          <cell r="DX17">
            <v>341.73447000000004</v>
          </cell>
          <cell r="DY17">
            <v>455.42146000000002</v>
          </cell>
          <cell r="DZ17">
            <v>456.75783999999999</v>
          </cell>
          <cell r="EA17">
            <v>365.406272</v>
          </cell>
          <cell r="FX17" t="str">
            <v>--</v>
          </cell>
          <cell r="FY17">
            <v>1354.0075469999999</v>
          </cell>
          <cell r="FZ17">
            <v>1756.6931599999998</v>
          </cell>
          <cell r="GA17">
            <v>1619.3200420000001</v>
          </cell>
          <cell r="GI17">
            <v>1853.39471</v>
          </cell>
          <cell r="GJ17">
            <v>1651.6572200000001</v>
          </cell>
        </row>
        <row r="19">
          <cell r="DS19">
            <v>-0.19821622723347732</v>
          </cell>
          <cell r="DT19">
            <v>-0.12459636884506797</v>
          </cell>
          <cell r="DU19">
            <v>-4.0412228185085719E-2</v>
          </cell>
          <cell r="DV19">
            <v>-0.14766101386402941</v>
          </cell>
          <cell r="DX19">
            <v>-6.0872515651447801E-2</v>
          </cell>
          <cell r="DY19">
            <v>3.7804438885917779E-3</v>
          </cell>
          <cell r="DZ19">
            <v>7.8112545417440504E-2</v>
          </cell>
          <cell r="EA19">
            <v>0.15997157007613838</v>
          </cell>
          <cell r="FV19">
            <v>0.41694757723844678</v>
          </cell>
          <cell r="FW19">
            <v>0.61737114025398787</v>
          </cell>
          <cell r="FX19">
            <v>0.57120380990590491</v>
          </cell>
          <cell r="FY19">
            <v>-0.15577711716864318</v>
          </cell>
          <cell r="FZ19">
            <v>-0.12569051698778799</v>
          </cell>
          <cell r="GA19">
            <v>4.5787143936790731E-2</v>
          </cell>
          <cell r="GE19" t="str">
            <v>--</v>
          </cell>
          <cell r="GF19">
            <v>0.57011726874107582</v>
          </cell>
          <cell r="GG19">
            <v>0.73049464433207612</v>
          </cell>
          <cell r="GH19">
            <v>-4.1326497837973375E-2</v>
          </cell>
          <cell r="GI19">
            <v>-0.15189984298524128</v>
          </cell>
          <cell r="GJ19">
            <v>-2.6705428559970934E-2</v>
          </cell>
        </row>
        <row r="20">
          <cell r="DS20">
            <v>-7.4105208870551831E-2</v>
          </cell>
          <cell r="DT20">
            <v>6.1907364407150833E-2</v>
          </cell>
          <cell r="DU20">
            <v>0.1140153019820016</v>
          </cell>
          <cell r="DV20">
            <v>-0.21080884456784821</v>
          </cell>
          <cell r="DX20">
            <v>1.5398267400758003E-2</v>
          </cell>
          <cell r="DY20">
            <v>0.12764925352716094</v>
          </cell>
          <cell r="DZ20">
            <v>0.18528608643079747</v>
          </cell>
          <cell r="EA20">
            <v>-0.14529999999999998</v>
          </cell>
        </row>
        <row r="21">
          <cell r="DS21">
            <v>-5.1352425446713035E-2</v>
          </cell>
          <cell r="DT21">
            <v>1.5342648144707205E-3</v>
          </cell>
          <cell r="DU21">
            <v>7.6068294451747231E-2</v>
          </cell>
          <cell r="DV21">
            <v>-0.14887434404860644</v>
          </cell>
          <cell r="DX21">
            <v>1.5398267400758003E-2</v>
          </cell>
          <cell r="DY21">
            <v>5.2472636625350511E-2</v>
          </cell>
          <cell r="DZ21">
            <v>0.18528608643079747</v>
          </cell>
          <cell r="EA21">
            <v>-0.08</v>
          </cell>
        </row>
        <row r="22">
          <cell r="DS22">
            <v>-9.5136159656864727E-2</v>
          </cell>
          <cell r="DT22">
            <v>-6.1957231416265302E-4</v>
          </cell>
          <cell r="DU22">
            <v>0.35171140436056891</v>
          </cell>
          <cell r="DV22">
            <v>-0.32243722290928278</v>
          </cell>
          <cell r="DX22">
            <v>8.5425734118051766E-2</v>
          </cell>
          <cell r="DY22">
            <v>9.1273471155317143E-2</v>
          </cell>
          <cell r="DZ22">
            <v>0.34332423128823719</v>
          </cell>
          <cell r="EA22">
            <v>-0.25</v>
          </cell>
        </row>
        <row r="23">
          <cell r="DS23">
            <v>-0.36756828363114191</v>
          </cell>
          <cell r="DT23">
            <v>6.8303215802101969E-2</v>
          </cell>
          <cell r="DU23">
            <v>8.8140260485130018E-3</v>
          </cell>
          <cell r="DV23">
            <v>0.13483420793519141</v>
          </cell>
          <cell r="DX23">
            <v>-8.6141559339317886E-2</v>
          </cell>
          <cell r="DY23">
            <v>-0.12293946947887469</v>
          </cell>
          <cell r="DZ23">
            <v>0.18528608643079747</v>
          </cell>
          <cell r="EA23">
            <v>-0.03</v>
          </cell>
        </row>
        <row r="24">
          <cell r="DS24">
            <v>0.11134315097880321</v>
          </cell>
          <cell r="DT24">
            <v>0.18700357311344651</v>
          </cell>
          <cell r="DU24">
            <v>-0.15451776864505584</v>
          </cell>
          <cell r="DV24">
            <v>-6.1182609799068866E-2</v>
          </cell>
          <cell r="DX24">
            <v>1.5398267400758003E-2</v>
          </cell>
          <cell r="DY24">
            <v>0.21439150379848115</v>
          </cell>
          <cell r="DZ24">
            <v>5.8291148598926146E-2</v>
          </cell>
          <cell r="EA24">
            <v>-0.1</v>
          </cell>
        </row>
        <row r="25">
          <cell r="DS25">
            <v>0.62625298494849169</v>
          </cell>
          <cell r="DT25">
            <v>0.24635375176911922</v>
          </cell>
          <cell r="DU25">
            <v>0.1529303154840147</v>
          </cell>
          <cell r="DV25">
            <v>-0.20561605444536601</v>
          </cell>
          <cell r="DX25">
            <v>0.1604551627437234</v>
          </cell>
          <cell r="DY25">
            <v>0.12764925352716094</v>
          </cell>
          <cell r="DZ25">
            <v>0.33344684723464724</v>
          </cell>
          <cell r="EA25">
            <v>0</v>
          </cell>
        </row>
        <row r="26">
          <cell r="DS26">
            <v>-0.24108194035737029</v>
          </cell>
          <cell r="DT26">
            <v>-7.4020813805999675E-2</v>
          </cell>
          <cell r="DU26">
            <v>0.32321669977663081</v>
          </cell>
          <cell r="DV26">
            <v>-0.3870179825023744</v>
          </cell>
          <cell r="DX26">
            <v>-0.140816850660897</v>
          </cell>
          <cell r="DY26">
            <v>0.3326763905320993</v>
          </cell>
          <cell r="DZ26">
            <v>2.9343808260593462E-3</v>
          </cell>
          <cell r="EA26">
            <v>-0.2</v>
          </cell>
        </row>
        <row r="28">
          <cell r="DN28">
            <v>-1.2316844730054788E-3</v>
          </cell>
          <cell r="DO28">
            <v>4.3181407562147278E-2</v>
          </cell>
          <cell r="DP28">
            <v>6.4137522119203094E-2</v>
          </cell>
          <cell r="DQ28">
            <v>-4.5391610115032011E-2</v>
          </cell>
          <cell r="DS28">
            <v>-5.1352425446713035E-2</v>
          </cell>
          <cell r="DT28">
            <v>6.8303215802101969E-2</v>
          </cell>
          <cell r="DU28">
            <v>0.15293031548401448</v>
          </cell>
          <cell r="DV28">
            <v>-0.2056160544453659</v>
          </cell>
          <cell r="DX28">
            <v>1.5398267400758003E-2</v>
          </cell>
          <cell r="DY28">
            <v>0.12764925352716094</v>
          </cell>
          <cell r="DZ28">
            <v>0.18528608643079747</v>
          </cell>
          <cell r="EA28">
            <v>-0.14529999999999998</v>
          </cell>
        </row>
        <row r="29">
          <cell r="DN29" t="str">
            <v>--</v>
          </cell>
          <cell r="DO29">
            <v>-0.19921759170540554</v>
          </cell>
          <cell r="DP29">
            <v>-0.26373187658779462</v>
          </cell>
          <cell r="DQ29">
            <v>0.19326048735620982</v>
          </cell>
          <cell r="DS29">
            <v>-5.1352425446713035E-2</v>
          </cell>
          <cell r="DT29">
            <v>1.5342648144707205E-3</v>
          </cell>
          <cell r="DU29">
            <v>7.6068294451747231E-2</v>
          </cell>
          <cell r="DV29">
            <v>-0.14887434404860644</v>
          </cell>
          <cell r="DX29">
            <v>1.5398267400758003E-2</v>
          </cell>
          <cell r="DY29">
            <v>5.2472636625350511E-2</v>
          </cell>
          <cell r="DZ29">
            <v>0.18528608643079747</v>
          </cell>
          <cell r="EA29">
            <v>-7.999999999999996E-2</v>
          </cell>
        </row>
        <row r="30">
          <cell r="DN30" t="str">
            <v>--</v>
          </cell>
          <cell r="DO30">
            <v>0.40502292900436787</v>
          </cell>
          <cell r="DP30">
            <v>0.11661553690864324</v>
          </cell>
          <cell r="DQ30">
            <v>-0.1899537161550533</v>
          </cell>
          <cell r="DS30">
            <v>-9.5136159656864727E-2</v>
          </cell>
          <cell r="DT30">
            <v>-6.1957231416265302E-4</v>
          </cell>
          <cell r="DU30">
            <v>0.35171140436056891</v>
          </cell>
          <cell r="DV30">
            <v>-0.32243722290928278</v>
          </cell>
          <cell r="DX30">
            <v>8.5425734118051766E-2</v>
          </cell>
          <cell r="DY30">
            <v>9.1273471155317143E-2</v>
          </cell>
          <cell r="DZ30">
            <v>0.34332423128823719</v>
          </cell>
          <cell r="EA30">
            <v>-0.24999999999999989</v>
          </cell>
        </row>
        <row r="31">
          <cell r="DN31" t="str">
            <v>--</v>
          </cell>
          <cell r="DO31">
            <v>-9.6812634145327037E-2</v>
          </cell>
          <cell r="DP31">
            <v>-0.1593313575258295</v>
          </cell>
          <cell r="DQ31">
            <v>-0.27498096970761943</v>
          </cell>
          <cell r="DS31">
            <v>-0.36756828363114191</v>
          </cell>
          <cell r="DT31">
            <v>6.8303215802101969E-2</v>
          </cell>
          <cell r="DU31">
            <v>8.8140260485130018E-3</v>
          </cell>
          <cell r="DV31">
            <v>0.13483420793519141</v>
          </cell>
          <cell r="DX31">
            <v>-8.6141559339317886E-2</v>
          </cell>
          <cell r="DY31">
            <v>-0.12293946947887469</v>
          </cell>
          <cell r="DZ31">
            <v>0.18528608643079747</v>
          </cell>
          <cell r="EA31">
            <v>-3.0000000000000138E-2</v>
          </cell>
        </row>
        <row r="32">
          <cell r="DN32" t="str">
            <v>--</v>
          </cell>
          <cell r="DO32">
            <v>0.22174399083855079</v>
          </cell>
          <cell r="DP32">
            <v>0.17055127433112327</v>
          </cell>
          <cell r="DQ32">
            <v>0.40187246067023263</v>
          </cell>
          <cell r="DS32">
            <v>0.21968973871136921</v>
          </cell>
          <cell r="DT32">
            <v>0.18700357311344651</v>
          </cell>
          <cell r="DU32">
            <v>-0.15451776864505584</v>
          </cell>
          <cell r="DV32">
            <v>-6.1182609799068866E-2</v>
          </cell>
          <cell r="DX32">
            <v>1.5398267400758003E-2</v>
          </cell>
          <cell r="DY32">
            <v>0.21439150379848115</v>
          </cell>
          <cell r="DZ32">
            <v>5.8291148598926146E-2</v>
          </cell>
          <cell r="EA32">
            <v>-9.9999999999999978E-2</v>
          </cell>
        </row>
        <row r="33">
          <cell r="DN33" t="str">
            <v>--</v>
          </cell>
          <cell r="DO33">
            <v>-0.31218808292605682</v>
          </cell>
          <cell r="DP33">
            <v>-0.20189685841059768</v>
          </cell>
          <cell r="DQ33">
            <v>-0.25752680786724691</v>
          </cell>
          <cell r="DS33">
            <v>0.62625298494849169</v>
          </cell>
          <cell r="DT33">
            <v>0.24635375176911922</v>
          </cell>
          <cell r="DU33">
            <v>0.1529303154840147</v>
          </cell>
          <cell r="DV33">
            <v>-0.20561605444536601</v>
          </cell>
          <cell r="DX33">
            <v>0.1604551627437234</v>
          </cell>
          <cell r="DY33">
            <v>0.12764925352716094</v>
          </cell>
          <cell r="DZ33">
            <v>0.33344684723464724</v>
          </cell>
          <cell r="EA33">
            <v>0</v>
          </cell>
        </row>
        <row r="34">
          <cell r="DN34" t="str">
            <v>--</v>
          </cell>
          <cell r="DO34">
            <v>0.13801608097688778</v>
          </cell>
          <cell r="DP34">
            <v>1.536194427717434</v>
          </cell>
          <cell r="DQ34">
            <v>1.3374719073091512E-3</v>
          </cell>
          <cell r="DS34">
            <v>-0.24108194035737029</v>
          </cell>
          <cell r="DT34">
            <v>-2.0722052181406436E-2</v>
          </cell>
          <cell r="DU34">
            <v>0.67698954979493031</v>
          </cell>
          <cell r="DV34">
            <v>-0.3545630442368598</v>
          </cell>
          <cell r="DX34">
            <v>-0.140816850660897</v>
          </cell>
          <cell r="DY34">
            <v>0.3326763905320993</v>
          </cell>
          <cell r="DZ34">
            <v>2.9343808260593462E-3</v>
          </cell>
          <cell r="EA34">
            <v>-0.19999999999999996</v>
          </cell>
        </row>
        <row r="36">
          <cell r="DS36">
            <v>5.2816210902213445E-3</v>
          </cell>
          <cell r="DT36">
            <v>2.9490729811970429E-2</v>
          </cell>
          <cell r="DU36">
            <v>0.11539255710694252</v>
          </cell>
          <cell r="DV36">
            <v>-7.1818402451233276E-2</v>
          </cell>
          <cell r="DX36">
            <v>-6.5077787943628174E-3</v>
          </cell>
          <cell r="DY36">
            <v>4.868238254476065E-2</v>
          </cell>
          <cell r="DZ36">
            <v>7.8112545417440504E-2</v>
          </cell>
          <cell r="EA36">
            <v>0.15997157007613838</v>
          </cell>
          <cell r="FV36">
            <v>0.53332019615768655</v>
          </cell>
          <cell r="FW36">
            <v>0.76056128512902021</v>
          </cell>
          <cell r="FX36">
            <v>0.74011879659531776</v>
          </cell>
          <cell r="FY36">
            <v>8.217842573956613E-2</v>
          </cell>
          <cell r="FZ36">
            <v>2.0896377716502768E-2</v>
          </cell>
          <cell r="GA36">
            <v>6.970576263058148E-2</v>
          </cell>
          <cell r="GF36">
            <v>0.65448933944824583</v>
          </cell>
          <cell r="GG36">
            <v>0.90791766483937253</v>
          </cell>
          <cell r="GH36">
            <v>0.15137508050856585</v>
          </cell>
          <cell r="GI36">
            <v>5.3582418123237607E-2</v>
          </cell>
          <cell r="GJ36">
            <v>1.5158826373070422E-2</v>
          </cell>
        </row>
        <row r="37">
          <cell r="DS37">
            <v>-0.33259311462889873</v>
          </cell>
          <cell r="DT37">
            <v>-0.16527778663894288</v>
          </cell>
          <cell r="DU37">
            <v>0.21996060933571848</v>
          </cell>
          <cell r="DV37">
            <v>-0.12982975229803118</v>
          </cell>
          <cell r="DX37">
            <v>-6.8601042619715114E-2</v>
          </cell>
          <cell r="DY37">
            <v>-2.1229776291556535E-2</v>
          </cell>
          <cell r="DZ37">
            <v>7.8112545417440504E-2</v>
          </cell>
          <cell r="EA37">
            <v>0.16535500351629517</v>
          </cell>
          <cell r="FZ37">
            <v>-0.13788313603315239</v>
          </cell>
          <cell r="GA37">
            <v>3.653069206449211E-2</v>
          </cell>
          <cell r="GJ37">
            <v>-3.4484495736609166E-2</v>
          </cell>
        </row>
        <row r="38">
          <cell r="DS38">
            <v>0.14995314589656306</v>
          </cell>
          <cell r="DT38">
            <v>-0.18204846124528373</v>
          </cell>
          <cell r="DU38">
            <v>-9.8342835081971502E-3</v>
          </cell>
          <cell r="DV38">
            <v>-0.17177642064879284</v>
          </cell>
          <cell r="DX38">
            <v>-6.5077787943628174E-3</v>
          </cell>
          <cell r="DY38">
            <v>8.4843844011821323E-2</v>
          </cell>
          <cell r="DZ38">
            <v>7.8112545417440504E-2</v>
          </cell>
          <cell r="EA38">
            <v>0.19337194486234477</v>
          </cell>
          <cell r="FZ38">
            <v>-6.4743056809785426E-2</v>
          </cell>
          <cell r="GA38">
            <v>8.4583905303826867E-2</v>
          </cell>
          <cell r="GJ38">
            <v>-1.3541032640809192E-3</v>
          </cell>
        </row>
        <row r="39">
          <cell r="DS39">
            <v>-0.65185052083455541</v>
          </cell>
          <cell r="DT39">
            <v>-0.58820370807521183</v>
          </cell>
          <cell r="DU39">
            <v>-0.50583874052224065</v>
          </cell>
          <cell r="DV39">
            <v>-0.22651533537602764</v>
          </cell>
          <cell r="DX39">
            <v>0.11767874885634177</v>
          </cell>
          <cell r="DY39">
            <v>-8.2402915273334321E-2</v>
          </cell>
          <cell r="DZ39">
            <v>7.8112545417440504E-2</v>
          </cell>
          <cell r="EA39">
            <v>-7.8482864067277558E-2</v>
          </cell>
          <cell r="FZ39">
            <v>-0.52657882062638817</v>
          </cell>
          <cell r="GA39">
            <v>4.0841178515524934E-3</v>
          </cell>
          <cell r="GJ39">
            <v>-5.1686782175708657E-2</v>
          </cell>
        </row>
        <row r="40">
          <cell r="DS40">
            <v>1.4452796188681059</v>
          </cell>
          <cell r="DT40">
            <v>1.3757478380276238</v>
          </cell>
          <cell r="DU40">
            <v>0.71598854939529644</v>
          </cell>
          <cell r="DV40">
            <v>0.14917721601275891</v>
          </cell>
          <cell r="DX40">
            <v>-4.3303786987164194E-2</v>
          </cell>
          <cell r="DY40">
            <v>-2.1229776291556535E-2</v>
          </cell>
          <cell r="DZ40">
            <v>0.2251278925198188</v>
          </cell>
          <cell r="EA40">
            <v>0.17447238917447927</v>
          </cell>
          <cell r="FZ40">
            <v>0.78652150580181379</v>
          </cell>
          <cell r="GA40">
            <v>7.7869676301566271E-2</v>
          </cell>
          <cell r="GJ40">
            <v>6.975236776127347E-2</v>
          </cell>
        </row>
        <row r="41">
          <cell r="DS41">
            <v>-0.33717695312732665</v>
          </cell>
          <cell r="DT41">
            <v>0.20107251811396587</v>
          </cell>
          <cell r="DU41">
            <v>0.73505508883302229</v>
          </cell>
          <cell r="DV41">
            <v>0.85636319509753345</v>
          </cell>
          <cell r="DX41">
            <v>0.32465629494084958</v>
          </cell>
          <cell r="DY41">
            <v>0.19849415147972627</v>
          </cell>
          <cell r="DZ41">
            <v>0.38614470125099487</v>
          </cell>
          <cell r="EA41">
            <v>0.74493040677351186</v>
          </cell>
          <cell r="FZ41">
            <v>0.20937661898931492</v>
          </cell>
          <cell r="GA41">
            <v>0.40981102154872584</v>
          </cell>
          <cell r="GJ41">
            <v>0.38469640646743541</v>
          </cell>
        </row>
        <row r="42">
          <cell r="DS42">
            <v>1.193341718742301</v>
          </cell>
          <cell r="DT42">
            <v>0.88739967132194608</v>
          </cell>
          <cell r="DU42">
            <v>0.2479916722874882</v>
          </cell>
          <cell r="DV42">
            <v>-0.19557594879106877</v>
          </cell>
          <cell r="DX42">
            <v>-8.9298797228165805E-2</v>
          </cell>
          <cell r="DY42">
            <v>0.2393519066438079</v>
          </cell>
          <cell r="DZ42">
            <v>-0.25879762502550963</v>
          </cell>
          <cell r="EA42">
            <v>-8.130159780129631E-2</v>
          </cell>
          <cell r="FZ42">
            <v>0.29740278323574221</v>
          </cell>
          <cell r="GA42">
            <v>-7.8199836561098524E-2</v>
          </cell>
          <cell r="GJ42">
            <v>-0.10884755897463416</v>
          </cell>
        </row>
        <row r="44">
          <cell r="D44">
            <v>22.524000000000001</v>
          </cell>
          <cell r="E44">
            <v>25.870999999999999</v>
          </cell>
          <cell r="F44">
            <v>29.28</v>
          </cell>
          <cell r="G44">
            <v>35.659999999999997</v>
          </cell>
          <cell r="I44">
            <v>45.728000000000002</v>
          </cell>
          <cell r="J44">
            <v>49.722000000000001</v>
          </cell>
          <cell r="K44">
            <v>58.805</v>
          </cell>
          <cell r="L44">
            <v>60.61</v>
          </cell>
          <cell r="N44">
            <v>78.906999999999996</v>
          </cell>
          <cell r="O44">
            <v>94.558000000000007</v>
          </cell>
          <cell r="P44">
            <v>119.996</v>
          </cell>
          <cell r="Q44">
            <v>112.996</v>
          </cell>
          <cell r="S44">
            <v>134.65600000000001</v>
          </cell>
          <cell r="T44">
            <v>138.661</v>
          </cell>
          <cell r="U44">
            <v>148.614</v>
          </cell>
          <cell r="V44">
            <v>153.21100000000001</v>
          </cell>
          <cell r="X44">
            <v>212.517</v>
          </cell>
          <cell r="Y44">
            <v>226.786</v>
          </cell>
          <cell r="Z44">
            <v>266.19200000000001</v>
          </cell>
          <cell r="AA44">
            <v>298.67500000000001</v>
          </cell>
          <cell r="AC44">
            <v>343.02300000000002</v>
          </cell>
          <cell r="AD44">
            <v>386.04199999999997</v>
          </cell>
          <cell r="AE44">
            <v>457.06799999999998</v>
          </cell>
          <cell r="AF44">
            <v>466.75799999999998</v>
          </cell>
          <cell r="AH44">
            <v>483.88400000000001</v>
          </cell>
          <cell r="AJ44">
            <v>363.29500000000002</v>
          </cell>
          <cell r="AK44">
            <v>431.89299999999997</v>
          </cell>
          <cell r="AL44">
            <v>534.053</v>
          </cell>
          <cell r="AM44">
            <v>549.11900000000003</v>
          </cell>
          <cell r="AO44">
            <v>391.09500000000003</v>
          </cell>
          <cell r="AP44">
            <v>472.80399999999997</v>
          </cell>
          <cell r="AQ44">
            <v>582.30600000000004</v>
          </cell>
          <cell r="AR44">
            <v>607.26599999999996</v>
          </cell>
          <cell r="AT44">
            <v>633.36</v>
          </cell>
          <cell r="AU44">
            <v>869.27599999999995</v>
          </cell>
          <cell r="AV44">
            <v>1164.498</v>
          </cell>
          <cell r="AW44">
            <v>1337.492</v>
          </cell>
          <cell r="AY44">
            <v>564.85199999999998</v>
          </cell>
          <cell r="AZ44">
            <v>620.42399999999998</v>
          </cell>
          <cell r="BA44">
            <v>707.596</v>
          </cell>
          <cell r="BB44">
            <v>770.85400000000004</v>
          </cell>
          <cell r="BD44">
            <v>610.25599999999997</v>
          </cell>
          <cell r="BE44">
            <v>680.15300000000002</v>
          </cell>
          <cell r="BF44">
            <v>774.57799999999997</v>
          </cell>
          <cell r="BG44">
            <v>845.36500000000001</v>
          </cell>
          <cell r="BI44">
            <v>561.74599999999998</v>
          </cell>
          <cell r="BJ44">
            <v>809.14599999999996</v>
          </cell>
          <cell r="BK44">
            <v>1098.587</v>
          </cell>
          <cell r="BL44">
            <v>1748.088</v>
          </cell>
          <cell r="BN44">
            <v>770.95500000000004</v>
          </cell>
          <cell r="BO44">
            <v>1046.1079999999999</v>
          </cell>
          <cell r="BP44">
            <v>1414.837</v>
          </cell>
          <cell r="BQ44">
            <v>1748.088</v>
          </cell>
          <cell r="BS44">
            <v>861.02300000000002</v>
          </cell>
          <cell r="BT44">
            <v>1127.7429999999999</v>
          </cell>
          <cell r="BU44">
            <v>1498.5519999999999</v>
          </cell>
          <cell r="BV44">
            <v>1748.088</v>
          </cell>
          <cell r="BX44">
            <v>2116.4670000000001</v>
          </cell>
          <cell r="BZ44">
            <v>415.05200000000002</v>
          </cell>
          <cell r="CA44">
            <v>474.404</v>
          </cell>
          <cell r="CB44">
            <v>522.10199999999998</v>
          </cell>
          <cell r="CC44">
            <v>600.31600000000003</v>
          </cell>
          <cell r="CE44">
            <v>664.13499999999999</v>
          </cell>
          <cell r="CF44">
            <v>732.39</v>
          </cell>
          <cell r="CG44">
            <v>838.58500000000004</v>
          </cell>
          <cell r="CH44">
            <v>935.55499999999995</v>
          </cell>
          <cell r="CJ44">
            <v>984.26</v>
          </cell>
          <cell r="CK44">
            <v>1255.55</v>
          </cell>
          <cell r="CL44">
            <v>1654.0840000000001</v>
          </cell>
          <cell r="CM44">
            <v>1897.7639999999999</v>
          </cell>
          <cell r="CO44">
            <v>2318.971</v>
          </cell>
          <cell r="CP44">
            <v>2698.6869999999999</v>
          </cell>
          <cell r="CQ44">
            <v>2836.5</v>
          </cell>
          <cell r="CR44">
            <v>2949.52</v>
          </cell>
          <cell r="CT44">
            <v>473.61700000000002</v>
          </cell>
          <cell r="CU44">
            <v>532.96900000000005</v>
          </cell>
          <cell r="CV44">
            <v>580.66700000000003</v>
          </cell>
          <cell r="CW44">
            <v>658.88199999999995</v>
          </cell>
          <cell r="CY44">
            <v>742.84500000000003</v>
          </cell>
          <cell r="CZ44">
            <v>811.1</v>
          </cell>
          <cell r="DA44">
            <v>930.65800000000002</v>
          </cell>
          <cell r="DB44">
            <v>1027.626</v>
          </cell>
          <cell r="DD44">
            <v>1112.4929999999999</v>
          </cell>
          <cell r="DE44">
            <v>1383.7829999999999</v>
          </cell>
          <cell r="DF44">
            <v>1797.643</v>
          </cell>
          <cell r="DG44">
            <v>2041.3230000000001</v>
          </cell>
          <cell r="DI44">
            <v>2470.4079999999999</v>
          </cell>
          <cell r="DJ44">
            <v>2829.4059999999999</v>
          </cell>
          <cell r="DK44">
            <v>2964.0340000000001</v>
          </cell>
          <cell r="DL44">
            <v>2864.0479999999998</v>
          </cell>
          <cell r="DN44">
            <v>2878.8029999999999</v>
          </cell>
          <cell r="DO44">
            <v>3036.1689999999999</v>
          </cell>
          <cell r="DP44">
            <v>3226.4609999999998</v>
          </cell>
          <cell r="DQ44">
            <v>3083.5360000000001</v>
          </cell>
          <cell r="DS44">
            <v>2959.93</v>
          </cell>
          <cell r="DT44">
            <v>3158.386</v>
          </cell>
          <cell r="DU44">
            <v>3638.5590000000002</v>
          </cell>
          <cell r="DV44">
            <v>2893.527</v>
          </cell>
          <cell r="DX44">
            <v>2941.636</v>
          </cell>
          <cell r="DY44">
            <v>3320.7719999999999</v>
          </cell>
          <cell r="DZ44">
            <v>3912.9119999999998</v>
          </cell>
          <cell r="EA44">
            <v>3345.2953336756805</v>
          </cell>
          <cell r="EC44">
            <v>3559.3119518500325</v>
          </cell>
          <cell r="ED44">
            <v>3823.1378472130932</v>
          </cell>
          <cell r="EE44">
            <v>4324.6092964497957</v>
          </cell>
          <cell r="EF44">
            <v>3828.2451075879994</v>
          </cell>
          <cell r="EH44">
            <v>4135.6130649531005</v>
          </cell>
          <cell r="EI44">
            <v>4446.4176304576058</v>
          </cell>
          <cell r="EJ44">
            <v>5044.1426040225497</v>
          </cell>
          <cell r="EK44">
            <v>4450.4080142441653</v>
          </cell>
          <cell r="EM44">
            <v>117.392</v>
          </cell>
          <cell r="EN44">
            <v>214.86500000000001</v>
          </cell>
          <cell r="EO44">
            <v>406.45699999999999</v>
          </cell>
          <cell r="EP44">
            <v>440.44799999999998</v>
          </cell>
          <cell r="EQ44">
            <v>265.42599999999999</v>
          </cell>
          <cell r="ER44">
            <v>517.73199999999997</v>
          </cell>
          <cell r="ES44">
            <v>575.14200000000005</v>
          </cell>
          <cell r="ET44">
            <v>1004.1700000000001</v>
          </cell>
          <cell r="EU44">
            <v>1652.8910000000001</v>
          </cell>
          <cell r="EW44">
            <v>1081.1890000000001</v>
          </cell>
          <cell r="EX44">
            <v>1878.3600000000001</v>
          </cell>
          <cell r="EZ44">
            <v>758.43799999999999</v>
          </cell>
          <cell r="FA44">
            <v>820.49699999999996</v>
          </cell>
          <cell r="FB44">
            <v>1216.588</v>
          </cell>
          <cell r="FC44">
            <v>2053.471</v>
          </cell>
          <cell r="FD44">
            <v>4004.6260000000002</v>
          </cell>
          <cell r="FF44">
            <v>2663.7259999999997</v>
          </cell>
          <cell r="FH44">
            <v>1116.1189999999999</v>
          </cell>
          <cell r="FI44">
            <v>1243.386</v>
          </cell>
          <cell r="FJ44">
            <v>1924.9010000000001</v>
          </cell>
          <cell r="FK44">
            <v>2910.3519999999999</v>
          </cell>
          <cell r="FL44">
            <v>5235.4059999999999</v>
          </cell>
          <cell r="FN44">
            <v>1116.1189999999999</v>
          </cell>
          <cell r="FO44">
            <v>1289.567</v>
          </cell>
          <cell r="FP44">
            <v>2011.874</v>
          </cell>
          <cell r="FQ44">
            <v>3170.665</v>
          </cell>
          <cell r="FR44">
            <v>5791.6580000000004</v>
          </cell>
          <cell r="FT44">
            <v>1289.567</v>
          </cell>
          <cell r="FU44">
            <v>2246.1350000000002</v>
          </cell>
          <cell r="FV44">
            <v>3512.2290000000003</v>
          </cell>
          <cell r="FW44">
            <v>6335.2420000000002</v>
          </cell>
          <cell r="FX44">
            <v>11127.896000000001</v>
          </cell>
          <cell r="FY44">
            <v>12224.968999999999</v>
          </cell>
          <cell r="FZ44">
            <v>12650.402</v>
          </cell>
          <cell r="GA44">
            <v>13520.61533367568</v>
          </cell>
          <cell r="GB44">
            <v>15535.304203100923</v>
          </cell>
          <cell r="GC44">
            <v>18076.581313677423</v>
          </cell>
          <cell r="GE44">
            <v>3143.4849999999997</v>
          </cell>
          <cell r="GF44">
            <v>5321.5450000000001</v>
          </cell>
          <cell r="GG44">
            <v>10305.171</v>
          </cell>
          <cell r="GH44">
            <v>12005.481</v>
          </cell>
          <cell r="GI44">
            <v>12840.411</v>
          </cell>
          <cell r="GJ44">
            <v>13068.847000000002</v>
          </cell>
          <cell r="GL44">
            <v>12650.402</v>
          </cell>
          <cell r="GM44">
            <v>13520.61533367568</v>
          </cell>
          <cell r="GN44">
            <v>15535.304203100923</v>
          </cell>
          <cell r="GO44">
            <v>18076.581313677423</v>
          </cell>
          <cell r="GP44">
            <v>21607.46938257273</v>
          </cell>
          <cell r="GQ44">
            <v>25362.997548036154</v>
          </cell>
          <cell r="GR44">
            <v>25774.289400166468</v>
          </cell>
          <cell r="GS44">
            <v>27332.811325172283</v>
          </cell>
          <cell r="GT44">
            <v>31806.153122334283</v>
          </cell>
          <cell r="GU44">
            <v>40075.752934141201</v>
          </cell>
          <cell r="GV44">
            <v>45885.427444463108</v>
          </cell>
          <cell r="GW44">
            <v>40229.37665372208</v>
          </cell>
          <cell r="GX44">
            <v>41308.082336866049</v>
          </cell>
          <cell r="GY44">
            <v>45668.083801583009</v>
          </cell>
          <cell r="GZ44">
            <v>50746.792598210042</v>
          </cell>
          <cell r="HA44">
            <v>55882.213394329236</v>
          </cell>
          <cell r="HB44">
            <v>60977.820874383884</v>
          </cell>
          <cell r="HC44">
            <v>65927.551480864815</v>
          </cell>
          <cell r="HD44">
            <v>70695.500648700021</v>
          </cell>
          <cell r="HE44">
            <v>75099.432485647179</v>
          </cell>
          <cell r="HF44">
            <v>79024.715997855965</v>
          </cell>
          <cell r="HG44">
            <v>83154.779280071496</v>
          </cell>
          <cell r="HH44">
            <v>87500.287100513946</v>
          </cell>
          <cell r="HI44">
            <v>91973.880105170043</v>
          </cell>
        </row>
        <row r="45">
          <cell r="FZ45" t="str">
            <v xml:space="preserve"> </v>
          </cell>
          <cell r="GA45" t="str">
            <v xml:space="preserve"> </v>
          </cell>
        </row>
        <row r="46">
          <cell r="D46">
            <v>1.7639999999999993</v>
          </cell>
          <cell r="E46">
            <v>2.5519999999999996</v>
          </cell>
          <cell r="F46">
            <v>3.3200000000000003</v>
          </cell>
          <cell r="G46">
            <v>4.2790000000000035</v>
          </cell>
          <cell r="I46">
            <v>5.4149999999999991</v>
          </cell>
          <cell r="J46">
            <v>5.9919999999999973</v>
          </cell>
          <cell r="K46">
            <v>5.2110000000000056</v>
          </cell>
          <cell r="L46">
            <v>5.9030000000000058</v>
          </cell>
          <cell r="N46">
            <v>7.1069999999999993</v>
          </cell>
          <cell r="O46">
            <v>10.257999999999996</v>
          </cell>
          <cell r="P46">
            <v>11.820000000000007</v>
          </cell>
          <cell r="Q46">
            <v>12.704999999999998</v>
          </cell>
          <cell r="S46">
            <v>15.126000000000005</v>
          </cell>
          <cell r="T46">
            <v>18.096000000000004</v>
          </cell>
          <cell r="U46">
            <v>12.633999999999986</v>
          </cell>
          <cell r="V46">
            <v>19.008999999999986</v>
          </cell>
          <cell r="X46">
            <v>23.03</v>
          </cell>
          <cell r="Y46">
            <v>24.681999999999988</v>
          </cell>
          <cell r="Z46">
            <v>28.807999999999993</v>
          </cell>
          <cell r="AA46">
            <v>32.382999999999981</v>
          </cell>
          <cell r="AC46">
            <v>33.055999999999983</v>
          </cell>
          <cell r="AD46">
            <v>36.906000000000006</v>
          </cell>
          <cell r="AE46">
            <v>42.831999999999994</v>
          </cell>
          <cell r="AF46">
            <v>41.942000000000007</v>
          </cell>
          <cell r="AH46">
            <v>45.91599999999994</v>
          </cell>
          <cell r="AJ46">
            <v>33.978999999999985</v>
          </cell>
          <cell r="AK46">
            <v>38.996000000000038</v>
          </cell>
          <cell r="AL46">
            <v>46.341999999999985</v>
          </cell>
          <cell r="AM46">
            <v>45.697000000000003</v>
          </cell>
          <cell r="AO46">
            <v>36.405999999999949</v>
          </cell>
          <cell r="AP46">
            <v>42.590000000000032</v>
          </cell>
          <cell r="AQ46">
            <v>49.625999999999976</v>
          </cell>
          <cell r="AR46">
            <v>51.115000000000009</v>
          </cell>
          <cell r="AT46">
            <v>52.280999999999949</v>
          </cell>
          <cell r="AU46">
            <v>72.484000000000037</v>
          </cell>
          <cell r="AV46">
            <v>87.182999999999993</v>
          </cell>
          <cell r="AW46">
            <v>90.619000000000142</v>
          </cell>
          <cell r="AY46">
            <v>67.421000000000049</v>
          </cell>
          <cell r="AZ46">
            <v>72.138000000000034</v>
          </cell>
          <cell r="BA46">
            <v>78.364000000000033</v>
          </cell>
          <cell r="BB46">
            <v>86.022999999999911</v>
          </cell>
          <cell r="BD46">
            <v>75.402000000000044</v>
          </cell>
          <cell r="BE46">
            <v>82.355999999999995</v>
          </cell>
          <cell r="BF46">
            <v>88.40300000000002</v>
          </cell>
          <cell r="BG46">
            <v>96.511999999999944</v>
          </cell>
          <cell r="BI46">
            <v>49.524000000000001</v>
          </cell>
          <cell r="BJ46">
            <v>61.673999999999999</v>
          </cell>
          <cell r="BK46">
            <v>80.901000000000067</v>
          </cell>
          <cell r="BL46">
            <v>148.65699999999993</v>
          </cell>
          <cell r="BN46">
            <v>87.452999999999975</v>
          </cell>
          <cell r="BO46">
            <v>103.9860000000001</v>
          </cell>
          <cell r="BP46">
            <v>128.82500000000005</v>
          </cell>
          <cell r="BQ46">
            <v>148.65699999999993</v>
          </cell>
          <cell r="BS46">
            <v>95.343999999999937</v>
          </cell>
          <cell r="BT46">
            <v>120.02200000000016</v>
          </cell>
          <cell r="BU46">
            <v>140.30600000000004</v>
          </cell>
          <cell r="BV46">
            <v>148.65699999999993</v>
          </cell>
          <cell r="BX46">
            <v>169.26499999999987</v>
          </cell>
          <cell r="BZ46">
            <v>64.888999999999953</v>
          </cell>
          <cell r="CA46">
            <v>74.95900000000006</v>
          </cell>
          <cell r="CB46">
            <v>79.388000000000034</v>
          </cell>
          <cell r="CC46">
            <v>91.04099999999994</v>
          </cell>
          <cell r="CE46">
            <v>92.720000000000027</v>
          </cell>
          <cell r="CF46">
            <v>98.235000000000014</v>
          </cell>
          <cell r="CG46">
            <v>106.98099999999999</v>
          </cell>
          <cell r="CH46">
            <v>115.95600000000002</v>
          </cell>
          <cell r="CJ46">
            <v>119.16599999999994</v>
          </cell>
          <cell r="CK46">
            <v>135.92200000000003</v>
          </cell>
          <cell r="CL46">
            <v>160.98399999999992</v>
          </cell>
          <cell r="CM46">
            <v>178.26</v>
          </cell>
          <cell r="CO46">
            <v>205.67500000000001</v>
          </cell>
          <cell r="CP46">
            <v>248.4380000000001</v>
          </cell>
          <cell r="CQ46">
            <v>263.5</v>
          </cell>
          <cell r="CR46">
            <v>270.48</v>
          </cell>
          <cell r="CT46">
            <v>70.267999999999972</v>
          </cell>
          <cell r="CU46">
            <v>80.337999999999965</v>
          </cell>
          <cell r="CV46">
            <v>84.766999999999939</v>
          </cell>
          <cell r="CW46">
            <v>96.418000000000006</v>
          </cell>
          <cell r="CY46">
            <v>97.227999999999952</v>
          </cell>
          <cell r="CZ46">
            <v>102.74299999999994</v>
          </cell>
          <cell r="DA46">
            <v>115.80499999999995</v>
          </cell>
          <cell r="DB46">
            <v>124.78099999999995</v>
          </cell>
          <cell r="DD46">
            <v>124.827</v>
          </cell>
          <cell r="DE46">
            <v>141.58300000000008</v>
          </cell>
          <cell r="DF46">
            <v>170.09699999999998</v>
          </cell>
          <cell r="DG46">
            <v>187.37299999999982</v>
          </cell>
          <cell r="DI46">
            <v>206.56600000000026</v>
          </cell>
          <cell r="DJ46">
            <v>249.5920000000001</v>
          </cell>
          <cell r="DK46">
            <v>275.25900000000001</v>
          </cell>
          <cell r="DL46">
            <v>250.38600000000042</v>
          </cell>
          <cell r="DN46">
            <v>231.79500000000007</v>
          </cell>
          <cell r="DO46">
            <v>208.74900000000025</v>
          </cell>
          <cell r="DP46">
            <v>226.57800000000043</v>
          </cell>
          <cell r="DQ46">
            <v>212.76400000000012</v>
          </cell>
          <cell r="DS46">
            <v>167.09700000000021</v>
          </cell>
          <cell r="DT46">
            <v>182.22699999999986</v>
          </cell>
          <cell r="DU46">
            <v>212.93499999999995</v>
          </cell>
          <cell r="DV46">
            <v>166.03800000000001</v>
          </cell>
          <cell r="DX46">
            <v>165.04100000000017</v>
          </cell>
          <cell r="DY46">
            <v>182.47000000000025</v>
          </cell>
          <cell r="DZ46">
            <v>239.43200000000024</v>
          </cell>
          <cell r="EA46">
            <v>203.71308312432001</v>
          </cell>
          <cell r="EC46">
            <v>219.15084204596803</v>
          </cell>
          <cell r="ED46">
            <v>244.03007535402722</v>
          </cell>
          <cell r="EE46">
            <v>300.6412879884885</v>
          </cell>
          <cell r="EF46">
            <v>257.39534874924647</v>
          </cell>
          <cell r="EH46">
            <v>278.06149743014441</v>
          </cell>
          <cell r="EI46">
            <v>309.10924703715978</v>
          </cell>
          <cell r="EJ46">
            <v>379.66664761460055</v>
          </cell>
          <cell r="EK46">
            <v>324.70788086760007</v>
          </cell>
          <cell r="EM46">
            <v>13.953000000000003</v>
          </cell>
          <cell r="EN46">
            <v>22.520999999999987</v>
          </cell>
          <cell r="EO46">
            <v>41.889999999999986</v>
          </cell>
          <cell r="EP46">
            <v>50.137</v>
          </cell>
          <cell r="EQ46">
            <v>26.723000000000013</v>
          </cell>
          <cell r="ER46">
            <v>54.312999999999988</v>
          </cell>
          <cell r="ES46">
            <v>64.864999999999895</v>
          </cell>
          <cell r="ET46">
            <v>108.90299999999979</v>
          </cell>
          <cell r="EU46">
            <v>154.7360000000001</v>
          </cell>
          <cell r="EW46">
            <v>110.00499999999988</v>
          </cell>
          <cell r="EX46">
            <v>165.01400000000001</v>
          </cell>
          <cell r="EZ46">
            <v>82.012000000000057</v>
          </cell>
          <cell r="FA46">
            <v>81.607000000000085</v>
          </cell>
          <cell r="FB46">
            <v>119.17399999999998</v>
          </cell>
          <cell r="FC46">
            <v>179.73700000000008</v>
          </cell>
          <cell r="FD46">
            <v>302.56700000000001</v>
          </cell>
          <cell r="FF46">
            <v>303.94600000000003</v>
          </cell>
          <cell r="FH46">
            <v>175.42200000000003</v>
          </cell>
          <cell r="FI46">
            <v>191.97600000000011</v>
          </cell>
          <cell r="FJ46">
            <v>277.54999999999995</v>
          </cell>
          <cell r="FK46">
            <v>342.67300000000023</v>
          </cell>
          <cell r="FL46">
            <v>504.32899999999972</v>
          </cell>
          <cell r="FN46">
            <v>175.42200000000003</v>
          </cell>
          <cell r="FO46">
            <v>208.7650000000001</v>
          </cell>
          <cell r="FP46">
            <v>310.27699999999999</v>
          </cell>
          <cell r="FQ46">
            <v>413.89200000000028</v>
          </cell>
          <cell r="FR46">
            <v>594.33199999999988</v>
          </cell>
          <cell r="FT46">
            <v>208.7650000000001</v>
          </cell>
          <cell r="FU46">
            <v>331.79099999999988</v>
          </cell>
          <cell r="FV46">
            <v>440.55699999999979</v>
          </cell>
          <cell r="FW46">
            <v>623.87999999999988</v>
          </cell>
          <cell r="FX46">
            <v>981.80300000000079</v>
          </cell>
          <cell r="FY46">
            <v>879.88600000000088</v>
          </cell>
          <cell r="FZ46">
            <v>728.29700000000003</v>
          </cell>
          <cell r="GA46">
            <v>790.65608312432073</v>
          </cell>
          <cell r="GB46">
            <v>1021.2175541377303</v>
          </cell>
          <cell r="GC46">
            <v>1291.5452729495048</v>
          </cell>
          <cell r="GE46">
            <v>412.19399999999985</v>
          </cell>
          <cell r="GF46">
            <v>561.28800000000001</v>
          </cell>
          <cell r="GG46">
            <v>918.79000000000019</v>
          </cell>
          <cell r="GH46">
            <v>917.50800000000118</v>
          </cell>
          <cell r="GI46">
            <v>775.02300000000014</v>
          </cell>
          <cell r="GJ46">
            <v>752.98100000000068</v>
          </cell>
          <cell r="GL46">
            <v>728.29700000000003</v>
          </cell>
          <cell r="GM46">
            <v>790.65608312432073</v>
          </cell>
          <cell r="GN46">
            <v>1021.2175541377303</v>
          </cell>
          <cell r="GO46">
            <v>1291.5452729495048</v>
          </cell>
          <cell r="GP46">
            <v>1827.9637872458491</v>
          </cell>
          <cell r="GQ46">
            <v>2056.4592606515803</v>
          </cell>
          <cell r="GR46">
            <v>1645.167408521264</v>
          </cell>
          <cell r="GS46">
            <v>2280.2020282104722</v>
          </cell>
          <cell r="GT46">
            <v>2841.0725011235413</v>
          </cell>
          <cell r="GU46">
            <v>3579.7513514156622</v>
          </cell>
          <cell r="GV46">
            <v>3881.8474410717158</v>
          </cell>
          <cell r="GW46">
            <v>2072.8069989825258</v>
          </cell>
          <cell r="GX46">
            <v>3109.2104984737884</v>
          </cell>
          <cell r="GY46">
            <v>4079.2841739976111</v>
          </cell>
          <cell r="GZ46">
            <v>4472.7858546844536</v>
          </cell>
          <cell r="HA46">
            <v>4859.3229038547161</v>
          </cell>
          <cell r="HB46">
            <v>5230.4536906366202</v>
          </cell>
          <cell r="HC46">
            <v>5577.3850493573273</v>
          </cell>
          <cell r="HD46">
            <v>5814.7814386376649</v>
          </cell>
          <cell r="HE46">
            <v>6001.4665269307689</v>
          </cell>
          <cell r="HF46">
            <v>6131.227965350894</v>
          </cell>
          <cell r="HG46">
            <v>6258.9618812957042</v>
          </cell>
          <cell r="HH46">
            <v>6384.1411189216178</v>
          </cell>
          <cell r="HI46">
            <v>6604.7695252372914</v>
          </cell>
        </row>
        <row r="47">
          <cell r="FY47" t="str">
            <v xml:space="preserve"> </v>
          </cell>
          <cell r="FZ47" t="str">
            <v xml:space="preserve"> </v>
          </cell>
          <cell r="GA47" t="str">
            <v xml:space="preserve"> </v>
          </cell>
        </row>
        <row r="48">
          <cell r="D48">
            <v>1.2929999999999999</v>
          </cell>
          <cell r="E48">
            <v>1.595</v>
          </cell>
          <cell r="F48">
            <v>1.534</v>
          </cell>
          <cell r="G48">
            <v>2.7909999999999999</v>
          </cell>
          <cell r="I48">
            <v>2.6930000000000001</v>
          </cell>
          <cell r="J48">
            <v>2.661</v>
          </cell>
          <cell r="K48">
            <v>3.6240000000000001</v>
          </cell>
          <cell r="L48">
            <v>2.581</v>
          </cell>
          <cell r="N48">
            <v>3.4049999999999998</v>
          </cell>
          <cell r="O48">
            <v>4.8609999999999998</v>
          </cell>
          <cell r="P48">
            <v>4.9889999999999999</v>
          </cell>
          <cell r="Q48">
            <v>5.3319999999999999</v>
          </cell>
          <cell r="S48">
            <v>8.218</v>
          </cell>
          <cell r="T48">
            <v>8.5500000000000007</v>
          </cell>
          <cell r="U48">
            <v>9.3330000000000002</v>
          </cell>
          <cell r="V48">
            <v>10.176</v>
          </cell>
          <cell r="X48">
            <v>12.569000000000001</v>
          </cell>
          <cell r="Y48">
            <v>11.805999999999999</v>
          </cell>
          <cell r="Z48">
            <v>13.773</v>
          </cell>
          <cell r="AA48">
            <v>15.552</v>
          </cell>
          <cell r="AC48">
            <v>14.355</v>
          </cell>
          <cell r="AD48">
            <v>16.555</v>
          </cell>
          <cell r="AE48">
            <v>17.396999999999998</v>
          </cell>
          <cell r="AF48">
            <v>19.814</v>
          </cell>
          <cell r="AH48">
            <v>21.073</v>
          </cell>
          <cell r="AJ48">
            <v>14.983000000000001</v>
          </cell>
          <cell r="AK48">
            <v>17.975999999999999</v>
          </cell>
          <cell r="AL48">
            <v>19.783000000000001</v>
          </cell>
          <cell r="AM48">
            <v>22.367000000000001</v>
          </cell>
          <cell r="AO48">
            <v>15.994</v>
          </cell>
          <cell r="AP48">
            <v>19.420000000000002</v>
          </cell>
          <cell r="AQ48">
            <v>21.527000000000001</v>
          </cell>
          <cell r="AR48">
            <v>24.655999999999999</v>
          </cell>
          <cell r="AT48">
            <v>25.859000000000002</v>
          </cell>
          <cell r="AU48">
            <v>29.802</v>
          </cell>
          <cell r="AV48">
            <v>37.076000000000001</v>
          </cell>
          <cell r="AW48">
            <v>42.802999999999997</v>
          </cell>
          <cell r="AY48">
            <v>34.158999999999999</v>
          </cell>
          <cell r="AZ48">
            <v>38.893999999999998</v>
          </cell>
          <cell r="BA48">
            <v>38.755000000000003</v>
          </cell>
          <cell r="BB48">
            <v>44.460999999999999</v>
          </cell>
          <cell r="BD48">
            <v>39.06</v>
          </cell>
          <cell r="BE48">
            <v>44.61</v>
          </cell>
          <cell r="BF48">
            <v>45.804000000000002</v>
          </cell>
          <cell r="BG48">
            <v>50.332999999999998</v>
          </cell>
          <cell r="BI48">
            <v>23.449000000000002</v>
          </cell>
          <cell r="BJ48">
            <v>27.504000000000001</v>
          </cell>
          <cell r="BK48">
            <v>34.700000000000003</v>
          </cell>
          <cell r="BL48">
            <v>70.477000000000004</v>
          </cell>
          <cell r="BN48">
            <v>43.558999999999997</v>
          </cell>
          <cell r="BO48">
            <v>48.19</v>
          </cell>
          <cell r="BP48">
            <v>57.768000000000001</v>
          </cell>
          <cell r="BQ48">
            <v>70.477000000000004</v>
          </cell>
          <cell r="BS48">
            <v>50.548999999999999</v>
          </cell>
          <cell r="BT48">
            <v>54.954000000000001</v>
          </cell>
          <cell r="BU48">
            <v>64.293999999999997</v>
          </cell>
          <cell r="BV48">
            <v>70.477000000000004</v>
          </cell>
          <cell r="BX48">
            <v>72.144999999999996</v>
          </cell>
          <cell r="BZ48">
            <v>37.140999999999998</v>
          </cell>
          <cell r="CA48">
            <v>39.045000000000002</v>
          </cell>
          <cell r="CB48">
            <v>39.634</v>
          </cell>
          <cell r="CC48">
            <v>46.128999999999998</v>
          </cell>
          <cell r="CE48">
            <v>48.905000000000001</v>
          </cell>
          <cell r="CF48">
            <v>54.984999999999999</v>
          </cell>
          <cell r="CG48">
            <v>57.610999999999997</v>
          </cell>
          <cell r="CH48">
            <v>66.058999999999997</v>
          </cell>
          <cell r="CJ48">
            <v>66.486000000000004</v>
          </cell>
          <cell r="CK48">
            <v>72.222999999999999</v>
          </cell>
          <cell r="CL48">
            <v>82.885000000000005</v>
          </cell>
          <cell r="CM48">
            <v>88.04</v>
          </cell>
          <cell r="CO48">
            <v>92.245000000000005</v>
          </cell>
          <cell r="CP48">
            <v>104.30500000000001</v>
          </cell>
          <cell r="CQ48">
            <v>110</v>
          </cell>
          <cell r="CR48">
            <v>112</v>
          </cell>
          <cell r="CT48">
            <v>39.049999999999997</v>
          </cell>
          <cell r="CU48">
            <v>40.954000000000001</v>
          </cell>
          <cell r="CV48">
            <v>41.542999999999999</v>
          </cell>
          <cell r="CW48">
            <v>48.039000000000001</v>
          </cell>
          <cell r="CY48">
            <v>50.179000000000002</v>
          </cell>
          <cell r="CZ48">
            <v>56.259</v>
          </cell>
          <cell r="DA48">
            <v>62.814999999999998</v>
          </cell>
          <cell r="DB48">
            <v>71.259</v>
          </cell>
          <cell r="DD48">
            <v>67.995999999999995</v>
          </cell>
          <cell r="DE48">
            <v>73.733000000000004</v>
          </cell>
          <cell r="DF48">
            <v>86.534000000000006</v>
          </cell>
          <cell r="DG48">
            <v>91.688999999999993</v>
          </cell>
          <cell r="DI48">
            <v>94.918000000000006</v>
          </cell>
          <cell r="DJ48">
            <v>107.931</v>
          </cell>
          <cell r="DK48">
            <v>113.736</v>
          </cell>
          <cell r="DL48">
            <v>113.524</v>
          </cell>
          <cell r="DN48">
            <v>108.816</v>
          </cell>
          <cell r="DO48">
            <v>105.488</v>
          </cell>
          <cell r="DP48">
            <v>109.34099999999999</v>
          </cell>
          <cell r="DQ48">
            <v>119.941</v>
          </cell>
          <cell r="DS48">
            <v>115.69999899999999</v>
          </cell>
          <cell r="DT48">
            <v>109.911</v>
          </cell>
          <cell r="DU48">
            <v>115.502</v>
          </cell>
          <cell r="DV48">
            <v>116.087</v>
          </cell>
          <cell r="DX48">
            <v>116.41500000000001</v>
          </cell>
          <cell r="DY48">
            <v>108.94</v>
          </cell>
          <cell r="DZ48">
            <v>121.59699999999999</v>
          </cell>
          <cell r="EA48">
            <v>124.21529458800002</v>
          </cell>
          <cell r="EC48">
            <v>124.68927219856803</v>
          </cell>
          <cell r="ED48">
            <v>126.08220559958073</v>
          </cell>
          <cell r="EE48">
            <v>129.50701636427195</v>
          </cell>
          <cell r="EF48">
            <v>130.74049460279187</v>
          </cell>
          <cell r="EH48">
            <v>136.8239114338806</v>
          </cell>
          <cell r="EI48">
            <v>142.66580632484295</v>
          </cell>
          <cell r="EJ48">
            <v>151.86665904584018</v>
          </cell>
          <cell r="EK48">
            <v>152.80370864357647</v>
          </cell>
          <cell r="EM48">
            <v>8.8689999999999998</v>
          </cell>
          <cell r="EN48">
            <v>11.558999999999999</v>
          </cell>
          <cell r="EO48">
            <v>18.587</v>
          </cell>
          <cell r="EP48">
            <v>28.884</v>
          </cell>
          <cell r="EQ48">
            <v>15.771000000000001</v>
          </cell>
          <cell r="ER48">
            <v>28.138000000000002</v>
          </cell>
          <cell r="ES48">
            <v>36.277000000000001</v>
          </cell>
          <cell r="ET48">
            <v>53.699999999999996</v>
          </cell>
          <cell r="EU48">
            <v>68.121000000000009</v>
          </cell>
          <cell r="EW48">
            <v>57.213999999999999</v>
          </cell>
          <cell r="EX48">
            <v>75.109000000000009</v>
          </cell>
          <cell r="EZ48">
            <v>37.255000000000003</v>
          </cell>
          <cell r="FA48">
            <v>41.784999999999997</v>
          </cell>
          <cell r="FB48">
            <v>62.26</v>
          </cell>
          <cell r="FC48">
            <v>81.597000000000008</v>
          </cell>
          <cell r="FD48">
            <v>135.54</v>
          </cell>
          <cell r="FF48">
            <v>156.26900000000001</v>
          </cell>
          <cell r="FH48">
            <v>83.457999999999998</v>
          </cell>
          <cell r="FI48">
            <v>103.46299999999999</v>
          </cell>
          <cell r="FJ48">
            <v>143.59700000000001</v>
          </cell>
          <cell r="FK48">
            <v>179.80699999999999</v>
          </cell>
          <cell r="FL48">
            <v>240.274</v>
          </cell>
          <cell r="FN48">
            <v>83.457999999999998</v>
          </cell>
          <cell r="FO48">
            <v>113.30800000000001</v>
          </cell>
          <cell r="FP48">
            <v>161.94900000000001</v>
          </cell>
          <cell r="FQ48">
            <v>227.56</v>
          </cell>
          <cell r="FR48">
            <v>309.63400000000001</v>
          </cell>
          <cell r="FT48">
            <v>113.30800000000001</v>
          </cell>
          <cell r="FU48">
            <v>169.58600000000001</v>
          </cell>
          <cell r="FV48">
            <v>240.512</v>
          </cell>
          <cell r="FW48">
            <v>319.952</v>
          </cell>
          <cell r="FX48">
            <v>430.10899999999998</v>
          </cell>
          <cell r="FY48">
            <v>443.58600000000001</v>
          </cell>
          <cell r="FZ48">
            <v>457.19999899999999</v>
          </cell>
          <cell r="GA48">
            <v>471.167294588</v>
          </cell>
          <cell r="GB48">
            <v>511.01898876521261</v>
          </cell>
          <cell r="GC48">
            <v>584.16008544814019</v>
          </cell>
          <cell r="GE48">
            <v>217.292</v>
          </cell>
          <cell r="GF48">
            <v>299.52199999999999</v>
          </cell>
          <cell r="GG48">
            <v>408.274</v>
          </cell>
          <cell r="GH48">
            <v>437.16899999999998</v>
          </cell>
          <cell r="GI48">
            <v>461.05399900000003</v>
          </cell>
          <cell r="GJ48">
            <v>463.03899999999999</v>
          </cell>
          <cell r="GL48">
            <v>457.19999899999999</v>
          </cell>
          <cell r="GM48">
            <v>471.167294588</v>
          </cell>
          <cell r="GN48">
            <v>511.01898876521261</v>
          </cell>
          <cell r="GO48">
            <v>584.16008544814019</v>
          </cell>
          <cell r="GP48">
            <v>726.498428264376</v>
          </cell>
          <cell r="GQ48">
            <v>932.261531495383</v>
          </cell>
          <cell r="GR48">
            <v>1096.7782723475093</v>
          </cell>
          <cell r="GS48">
            <v>1066.0684807217792</v>
          </cell>
          <cell r="GT48">
            <v>1178.005671197566</v>
          </cell>
          <cell r="GU48">
            <v>1396.9761371378197</v>
          </cell>
          <cell r="GV48">
            <v>1642.3200712226492</v>
          </cell>
          <cell r="GW48">
            <v>1607.4829788027748</v>
          </cell>
          <cell r="GX48">
            <v>1776.6917134135936</v>
          </cell>
          <cell r="GY48">
            <v>2089.3894549743864</v>
          </cell>
          <cell r="GZ48">
            <v>2264.0027165686743</v>
          </cell>
          <cell r="HA48">
            <v>2429.661451927358</v>
          </cell>
          <cell r="HB48">
            <v>2582.1227080357994</v>
          </cell>
          <cell r="HC48">
            <v>2717.1875881484411</v>
          </cell>
          <cell r="HD48">
            <v>2830.8804372314944</v>
          </cell>
          <cell r="HE48">
            <v>3000.7332634653844</v>
          </cell>
          <cell r="HF48">
            <v>3150.7699266386539</v>
          </cell>
          <cell r="HG48">
            <v>3308.3084229705869</v>
          </cell>
          <cell r="HH48">
            <v>3473.7238441191162</v>
          </cell>
          <cell r="HI48">
            <v>3647.4100363250718</v>
          </cell>
        </row>
        <row r="49">
          <cell r="D49">
            <v>9.7000000000000003E-2</v>
          </cell>
          <cell r="E49">
            <v>9.7000000000000003E-2</v>
          </cell>
          <cell r="F49">
            <v>9.7000000000000003E-2</v>
          </cell>
          <cell r="G49">
            <v>0.26700000000000002</v>
          </cell>
          <cell r="I49">
            <v>0.189</v>
          </cell>
          <cell r="J49">
            <v>0.189</v>
          </cell>
          <cell r="K49">
            <v>0.189</v>
          </cell>
          <cell r="L49">
            <v>0.188</v>
          </cell>
          <cell r="N49">
            <v>0.255</v>
          </cell>
          <cell r="O49">
            <v>0.26400000000000001</v>
          </cell>
          <cell r="P49">
            <v>0.26400000000000001</v>
          </cell>
          <cell r="Q49">
            <v>0.27800000000000002</v>
          </cell>
          <cell r="S49">
            <v>0.66200000000000003</v>
          </cell>
          <cell r="T49">
            <v>0.74099999999999999</v>
          </cell>
          <cell r="U49">
            <v>0.749</v>
          </cell>
          <cell r="V49">
            <v>0.496</v>
          </cell>
          <cell r="X49">
            <v>0.745</v>
          </cell>
          <cell r="Y49">
            <v>1.0089999999999999</v>
          </cell>
          <cell r="Z49">
            <v>0.95099999999999996</v>
          </cell>
          <cell r="AA49">
            <v>0.95499999999999996</v>
          </cell>
          <cell r="AC49">
            <v>0.88</v>
          </cell>
          <cell r="AD49">
            <v>0.88100000000000001</v>
          </cell>
          <cell r="AE49">
            <v>0.879</v>
          </cell>
          <cell r="AF49">
            <v>0.98199999999999998</v>
          </cell>
          <cell r="AH49">
            <v>1.4139999999999999</v>
          </cell>
          <cell r="AJ49">
            <v>0.88400000000000001</v>
          </cell>
          <cell r="AK49">
            <v>0.89</v>
          </cell>
          <cell r="AL49">
            <v>0.89300000000000002</v>
          </cell>
          <cell r="AM49">
            <v>0.997</v>
          </cell>
          <cell r="AO49">
            <v>0.88400000000000001</v>
          </cell>
          <cell r="AP49">
            <v>0.89</v>
          </cell>
          <cell r="AQ49">
            <v>0.89300000000000002</v>
          </cell>
          <cell r="AR49">
            <v>0.997</v>
          </cell>
          <cell r="AT49">
            <v>1.4139999999999999</v>
          </cell>
          <cell r="AU49">
            <v>1.46</v>
          </cell>
          <cell r="AV49">
            <v>1.4710000000000001</v>
          </cell>
          <cell r="AW49">
            <v>2.4369999999999998</v>
          </cell>
          <cell r="AY49">
            <v>2.0049999999999999</v>
          </cell>
          <cell r="AZ49">
            <v>1.964</v>
          </cell>
          <cell r="BA49">
            <v>2.0609999999999999</v>
          </cell>
          <cell r="BB49">
            <v>2.2749999999999999</v>
          </cell>
          <cell r="BD49">
            <v>2.2149999999999999</v>
          </cell>
          <cell r="BE49">
            <v>2.194</v>
          </cell>
          <cell r="BF49">
            <v>2.2709999999999999</v>
          </cell>
          <cell r="BG49">
            <v>2.4849999999999999</v>
          </cell>
          <cell r="BI49">
            <v>1.4139999999999999</v>
          </cell>
          <cell r="BJ49">
            <v>1.46</v>
          </cell>
          <cell r="BK49">
            <v>1.47</v>
          </cell>
          <cell r="BL49">
            <v>3.9319999999999999</v>
          </cell>
          <cell r="BN49">
            <v>2.7090000000000001</v>
          </cell>
          <cell r="BO49">
            <v>2.7669999999999999</v>
          </cell>
          <cell r="BP49">
            <v>2.7440000000000002</v>
          </cell>
          <cell r="BQ49">
            <v>3.9319999999999999</v>
          </cell>
          <cell r="BS49">
            <v>2.919</v>
          </cell>
          <cell r="BT49">
            <v>2.9769999999999999</v>
          </cell>
          <cell r="BU49">
            <v>2.9550000000000001</v>
          </cell>
          <cell r="BV49">
            <v>3.9319999999999999</v>
          </cell>
          <cell r="BX49">
            <v>4.93</v>
          </cell>
          <cell r="BZ49">
            <v>1.7549999999999999</v>
          </cell>
          <cell r="CA49">
            <v>2.149</v>
          </cell>
          <cell r="CB49">
            <v>2.1949999999999998</v>
          </cell>
          <cell r="CC49">
            <v>4.3879999999999999</v>
          </cell>
          <cell r="CE49">
            <v>6.4560000000000004</v>
          </cell>
          <cell r="CF49">
            <v>6.3689999999999998</v>
          </cell>
          <cell r="CG49">
            <v>6.7919999999999998</v>
          </cell>
          <cell r="CH49">
            <v>9.5389999999999997</v>
          </cell>
          <cell r="CJ49">
            <v>9.7539999999999996</v>
          </cell>
          <cell r="CK49">
            <v>8.7870000000000008</v>
          </cell>
          <cell r="CL49">
            <v>10.734999999999999</v>
          </cell>
          <cell r="CM49">
            <v>11.355</v>
          </cell>
          <cell r="CO49">
            <v>9.3699999999999992</v>
          </cell>
          <cell r="CP49">
            <v>12.505000000000001</v>
          </cell>
          <cell r="CQ49">
            <v>12.5</v>
          </cell>
          <cell r="CR49">
            <v>12.5</v>
          </cell>
          <cell r="CT49">
            <v>1.7549999999999999</v>
          </cell>
          <cell r="CU49">
            <v>2.149</v>
          </cell>
          <cell r="CV49">
            <v>2.1949999999999998</v>
          </cell>
          <cell r="CW49">
            <v>4.3879999999999999</v>
          </cell>
          <cell r="CY49">
            <v>6.4560000000000004</v>
          </cell>
          <cell r="CZ49">
            <v>6.3689999999999998</v>
          </cell>
          <cell r="DA49">
            <v>6.7919999999999998</v>
          </cell>
          <cell r="DB49">
            <v>9.5389999999999997</v>
          </cell>
          <cell r="DD49">
            <v>9.7539999999999996</v>
          </cell>
          <cell r="DE49">
            <v>8.7870000000000008</v>
          </cell>
          <cell r="DF49">
            <v>10.734999999999999</v>
          </cell>
          <cell r="DG49">
            <v>12.05</v>
          </cell>
          <cell r="DI49">
            <v>9.3699999999999992</v>
          </cell>
          <cell r="DJ49">
            <v>12.505000000000001</v>
          </cell>
          <cell r="DK49">
            <v>15.141</v>
          </cell>
          <cell r="DL49">
            <v>26.524999999999999</v>
          </cell>
          <cell r="DN49">
            <v>2.2559999999999998</v>
          </cell>
          <cell r="DO49">
            <v>3.802</v>
          </cell>
          <cell r="DP49">
            <v>3.0529999999999999</v>
          </cell>
          <cell r="DQ49">
            <v>3.504</v>
          </cell>
          <cell r="DS49">
            <v>3.5</v>
          </cell>
          <cell r="DT49">
            <v>5.9329999999999998</v>
          </cell>
          <cell r="DU49">
            <v>6.1470000000000002</v>
          </cell>
          <cell r="DV49">
            <v>6.8319999999999999</v>
          </cell>
          <cell r="DX49">
            <v>8.8170000000000002</v>
          </cell>
          <cell r="DY49">
            <v>8.5730000000000004</v>
          </cell>
          <cell r="DZ49">
            <v>0</v>
          </cell>
          <cell r="EA49">
            <v>8.5</v>
          </cell>
          <cell r="EC49">
            <v>4.25</v>
          </cell>
          <cell r="ED49">
            <v>4.25</v>
          </cell>
          <cell r="EE49">
            <v>4.25</v>
          </cell>
          <cell r="EF49">
            <v>4.25</v>
          </cell>
          <cell r="EH49">
            <v>1.875</v>
          </cell>
          <cell r="EI49">
            <v>1.875</v>
          </cell>
          <cell r="EJ49">
            <v>1.875</v>
          </cell>
          <cell r="EK49">
            <v>1.875</v>
          </cell>
          <cell r="EM49">
            <v>0.41899999999999998</v>
          </cell>
          <cell r="EN49">
            <v>0.75499999999999989</v>
          </cell>
          <cell r="EO49">
            <v>1.0609999999999999</v>
          </cell>
          <cell r="EP49">
            <v>2.6349999999999998</v>
          </cell>
          <cell r="EQ49">
            <v>0.76200000000000001</v>
          </cell>
          <cell r="ER49">
            <v>1.296</v>
          </cell>
          <cell r="ES49">
            <v>2.6480000000000001</v>
          </cell>
          <cell r="ET49">
            <v>3.66</v>
          </cell>
          <cell r="EU49">
            <v>3.6219999999999999</v>
          </cell>
          <cell r="EW49">
            <v>3.6629999999999998</v>
          </cell>
          <cell r="EX49">
            <v>3.6639999999999997</v>
          </cell>
          <cell r="EZ49">
            <v>1.296</v>
          </cell>
          <cell r="FA49">
            <v>2.6509999999999998</v>
          </cell>
          <cell r="FB49">
            <v>3.6629999999999998</v>
          </cell>
          <cell r="FC49">
            <v>3.6639999999999997</v>
          </cell>
          <cell r="FD49">
            <v>6.782</v>
          </cell>
          <cell r="FF49">
            <v>8.3049999999999997</v>
          </cell>
          <cell r="FH49">
            <v>3.7770000000000001</v>
          </cell>
          <cell r="FI49">
            <v>5.9790000000000001</v>
          </cell>
          <cell r="FJ49">
            <v>8.4710000000000001</v>
          </cell>
          <cell r="FK49">
            <v>9.1649999999999991</v>
          </cell>
          <cell r="FL49">
            <v>12.782999999999999</v>
          </cell>
          <cell r="FN49">
            <v>3.7770000000000001</v>
          </cell>
          <cell r="FO49">
            <v>5.9790000000000001</v>
          </cell>
          <cell r="FP49">
            <v>10.487</v>
          </cell>
          <cell r="FQ49">
            <v>29.155999999999999</v>
          </cell>
          <cell r="FR49">
            <v>40.631</v>
          </cell>
          <cell r="FT49">
            <v>5.9790000000000001</v>
          </cell>
          <cell r="FU49">
            <v>10.487</v>
          </cell>
          <cell r="FV49">
            <v>29.155999999999999</v>
          </cell>
          <cell r="FW49">
            <v>41.326000000000001</v>
          </cell>
          <cell r="FX49">
            <v>63.540999999999997</v>
          </cell>
          <cell r="FY49">
            <v>12.615</v>
          </cell>
          <cell r="FZ49">
            <v>22.411999999999999</v>
          </cell>
          <cell r="GA49">
            <v>25.89</v>
          </cell>
          <cell r="GB49">
            <v>17</v>
          </cell>
          <cell r="GC49">
            <v>7.5</v>
          </cell>
          <cell r="GE49">
            <v>24.005000000000003</v>
          </cell>
          <cell r="GF49">
            <v>38.814999999999998</v>
          </cell>
          <cell r="GG49">
            <v>49.066000000000003</v>
          </cell>
          <cell r="GH49">
            <v>35.635999999999996</v>
          </cell>
          <cell r="GI49">
            <v>19.084</v>
          </cell>
          <cell r="GJ49">
            <v>24.222000000000001</v>
          </cell>
          <cell r="GL49">
            <v>22.411999999999999</v>
          </cell>
          <cell r="GM49">
            <v>25.89</v>
          </cell>
          <cell r="GN49">
            <v>17</v>
          </cell>
          <cell r="GO49">
            <v>7.5</v>
          </cell>
          <cell r="GP49">
            <v>4.5</v>
          </cell>
          <cell r="GQ49">
            <v>4</v>
          </cell>
          <cell r="GR49">
            <v>2.6</v>
          </cell>
          <cell r="GS49">
            <v>2.6</v>
          </cell>
          <cell r="GT49">
            <v>2.6</v>
          </cell>
          <cell r="GU49">
            <v>2.6</v>
          </cell>
          <cell r="GV49">
            <v>1.8</v>
          </cell>
          <cell r="GW49">
            <v>0</v>
          </cell>
          <cell r="GX49">
            <v>0</v>
          </cell>
          <cell r="GY49">
            <v>0</v>
          </cell>
          <cell r="GZ49">
            <v>0</v>
          </cell>
          <cell r="HA49">
            <v>0</v>
          </cell>
          <cell r="HB49">
            <v>0</v>
          </cell>
          <cell r="HC49">
            <v>0</v>
          </cell>
          <cell r="HD49">
            <v>0</v>
          </cell>
          <cell r="HE49">
            <v>0</v>
          </cell>
          <cell r="HF49">
            <v>0</v>
          </cell>
          <cell r="HG49">
            <v>0</v>
          </cell>
          <cell r="HH49">
            <v>0</v>
          </cell>
          <cell r="HI49">
            <v>0</v>
          </cell>
        </row>
        <row r="50">
          <cell r="FY50" t="str">
            <v xml:space="preserve"> </v>
          </cell>
          <cell r="FZ50" t="str">
            <v xml:space="preserve"> </v>
          </cell>
          <cell r="GA50" t="str">
            <v xml:space="preserve"> </v>
          </cell>
        </row>
        <row r="51">
          <cell r="D51">
            <v>0.37399999999999944</v>
          </cell>
          <cell r="E51">
            <v>0.85999999999999965</v>
          </cell>
          <cell r="F51">
            <v>1.6890000000000003</v>
          </cell>
          <cell r="G51">
            <v>1.2210000000000036</v>
          </cell>
          <cell r="I51">
            <v>2.532999999999999</v>
          </cell>
          <cell r="J51">
            <v>3.1419999999999972</v>
          </cell>
          <cell r="K51">
            <v>1.3980000000000055</v>
          </cell>
          <cell r="L51">
            <v>3.1340000000000057</v>
          </cell>
          <cell r="N51">
            <v>3.4469999999999996</v>
          </cell>
          <cell r="O51">
            <v>5.1329999999999956</v>
          </cell>
          <cell r="P51">
            <v>6.5670000000000073</v>
          </cell>
          <cell r="Q51">
            <v>7.0949999999999989</v>
          </cell>
          <cell r="S51">
            <v>6.246000000000004</v>
          </cell>
          <cell r="T51">
            <v>8.8050000000000033</v>
          </cell>
          <cell r="U51">
            <v>2.5519999999999854</v>
          </cell>
          <cell r="V51">
            <v>8.3369999999999855</v>
          </cell>
          <cell r="X51">
            <v>9.7160000000000011</v>
          </cell>
          <cell r="Y51">
            <v>11.866999999999988</v>
          </cell>
          <cell r="Z51">
            <v>14.083999999999993</v>
          </cell>
          <cell r="AA51">
            <v>15.875999999999983</v>
          </cell>
          <cell r="AC51">
            <v>17.820999999999984</v>
          </cell>
          <cell r="AD51">
            <v>19.470000000000006</v>
          </cell>
          <cell r="AE51">
            <v>24.555999999999994</v>
          </cell>
          <cell r="AF51">
            <v>21.146000000000008</v>
          </cell>
          <cell r="AH51">
            <v>23.428999999999938</v>
          </cell>
          <cell r="AJ51">
            <v>18.111999999999984</v>
          </cell>
          <cell r="AK51">
            <v>20.130000000000038</v>
          </cell>
          <cell r="AL51">
            <v>25.665999999999983</v>
          </cell>
          <cell r="AM51">
            <v>22.333000000000002</v>
          </cell>
          <cell r="AO51">
            <v>19.527999999999949</v>
          </cell>
          <cell r="AP51">
            <v>22.28000000000003</v>
          </cell>
          <cell r="AQ51">
            <v>27.205999999999975</v>
          </cell>
          <cell r="AR51">
            <v>25.46200000000001</v>
          </cell>
          <cell r="AT51">
            <v>25.007999999999946</v>
          </cell>
          <cell r="AU51">
            <v>41.222000000000037</v>
          </cell>
          <cell r="AV51">
            <v>48.635999999999996</v>
          </cell>
          <cell r="AW51">
            <v>45.379000000000147</v>
          </cell>
          <cell r="AY51">
            <v>31.257000000000048</v>
          </cell>
          <cell r="AZ51">
            <v>31.280000000000037</v>
          </cell>
          <cell r="BA51">
            <v>37.54800000000003</v>
          </cell>
          <cell r="BB51">
            <v>39.286999999999914</v>
          </cell>
          <cell r="BD51">
            <v>34.127000000000038</v>
          </cell>
          <cell r="BE51">
            <v>35.551999999999992</v>
          </cell>
          <cell r="BF51">
            <v>40.328000000000017</v>
          </cell>
          <cell r="BG51">
            <v>43.693999999999946</v>
          </cell>
          <cell r="BI51">
            <v>24.660999999999998</v>
          </cell>
          <cell r="BJ51">
            <v>32.709999999999994</v>
          </cell>
          <cell r="BK51">
            <v>44.731000000000066</v>
          </cell>
          <cell r="BL51">
            <v>74.247999999999919</v>
          </cell>
          <cell r="BN51">
            <v>41.184999999999974</v>
          </cell>
          <cell r="BO51">
            <v>53.029000000000103</v>
          </cell>
          <cell r="BP51">
            <v>68.313000000000045</v>
          </cell>
          <cell r="BQ51">
            <v>74.247999999999919</v>
          </cell>
          <cell r="BS51">
            <v>41.875999999999941</v>
          </cell>
          <cell r="BT51">
            <v>62.091000000000165</v>
          </cell>
          <cell r="BU51">
            <v>73.057000000000045</v>
          </cell>
          <cell r="BV51">
            <v>74.247999999999919</v>
          </cell>
          <cell r="BX51">
            <v>92.189999999999884</v>
          </cell>
          <cell r="BZ51">
            <v>25.992999999999952</v>
          </cell>
          <cell r="CA51">
            <v>33.765000000000057</v>
          </cell>
          <cell r="CB51">
            <v>37.559000000000033</v>
          </cell>
          <cell r="CC51">
            <v>40.523999999999944</v>
          </cell>
          <cell r="CE51">
            <v>37.359000000000023</v>
          </cell>
          <cell r="CF51">
            <v>36.881000000000014</v>
          </cell>
          <cell r="CG51">
            <v>42.578000000000003</v>
          </cell>
          <cell r="CH51">
            <v>40.358000000000018</v>
          </cell>
          <cell r="CJ51">
            <v>42.925999999999931</v>
          </cell>
          <cell r="CK51">
            <v>54.91200000000002</v>
          </cell>
          <cell r="CL51">
            <v>67.363999999999919</v>
          </cell>
          <cell r="CM51">
            <v>78.864999999999981</v>
          </cell>
          <cell r="CO51">
            <v>104.06</v>
          </cell>
          <cell r="CP51">
            <v>131.6280000000001</v>
          </cell>
          <cell r="CQ51">
            <v>141</v>
          </cell>
          <cell r="CR51">
            <v>145.98000000000002</v>
          </cell>
          <cell r="CT51">
            <v>29.462999999999973</v>
          </cell>
          <cell r="CU51">
            <v>37.234999999999964</v>
          </cell>
          <cell r="CV51">
            <v>41.02899999999994</v>
          </cell>
          <cell r="CW51">
            <v>43.991000000000007</v>
          </cell>
          <cell r="CY51">
            <v>40.592999999999947</v>
          </cell>
          <cell r="CZ51">
            <v>40.114999999999938</v>
          </cell>
          <cell r="DA51">
            <v>46.197999999999951</v>
          </cell>
          <cell r="DB51">
            <v>43.982999999999947</v>
          </cell>
          <cell r="DD51">
            <v>47.076999999999998</v>
          </cell>
          <cell r="DE51">
            <v>59.063000000000073</v>
          </cell>
          <cell r="DF51">
            <v>72.827999999999975</v>
          </cell>
          <cell r="DG51">
            <v>83.63399999999983</v>
          </cell>
          <cell r="DI51">
            <v>102.27800000000025</v>
          </cell>
          <cell r="DJ51">
            <v>129.15600000000012</v>
          </cell>
          <cell r="DK51">
            <v>146.38200000000001</v>
          </cell>
          <cell r="DL51">
            <v>110.33700000000042</v>
          </cell>
          <cell r="DN51">
            <v>120.72300000000007</v>
          </cell>
          <cell r="DO51">
            <v>99.459000000000245</v>
          </cell>
          <cell r="DP51">
            <v>114.18400000000044</v>
          </cell>
          <cell r="DQ51">
            <v>89.319000000000116</v>
          </cell>
          <cell r="DS51">
            <v>47.897001000000216</v>
          </cell>
          <cell r="DT51">
            <v>66.382999999999868</v>
          </cell>
          <cell r="DU51">
            <v>91.285999999999945</v>
          </cell>
          <cell r="DV51">
            <v>43.119000000000014</v>
          </cell>
          <cell r="DX51">
            <v>39.809000000000168</v>
          </cell>
          <cell r="DY51">
            <v>64.957000000000249</v>
          </cell>
          <cell r="DZ51">
            <v>117.83500000000025</v>
          </cell>
          <cell r="EA51">
            <v>70.997788536320002</v>
          </cell>
          <cell r="EC51">
            <v>90.2115698474</v>
          </cell>
          <cell r="ED51">
            <v>113.69786975444649</v>
          </cell>
          <cell r="EE51">
            <v>166.88427162421655</v>
          </cell>
          <cell r="EF51">
            <v>122.4048541464546</v>
          </cell>
          <cell r="EH51">
            <v>139.36258599626382</v>
          </cell>
          <cell r="EI51">
            <v>164.56844071231683</v>
          </cell>
          <cell r="EJ51">
            <v>225.92498856876037</v>
          </cell>
          <cell r="EK51">
            <v>170.0291722240236</v>
          </cell>
          <cell r="EM51">
            <v>4.6650000000000036</v>
          </cell>
          <cell r="EN51">
            <v>10.206999999999987</v>
          </cell>
          <cell r="EO51">
            <v>22.241999999999987</v>
          </cell>
          <cell r="EP51">
            <v>18.618000000000002</v>
          </cell>
          <cell r="EQ51">
            <v>10.190000000000012</v>
          </cell>
          <cell r="ER51">
            <v>24.878999999999987</v>
          </cell>
          <cell r="ES51">
            <v>25.939999999999895</v>
          </cell>
          <cell r="ET51">
            <v>51.542999999999793</v>
          </cell>
          <cell r="EU51">
            <v>82.993000000000094</v>
          </cell>
          <cell r="EW51">
            <v>49.127999999999886</v>
          </cell>
          <cell r="EX51">
            <v>86.241</v>
          </cell>
          <cell r="EZ51">
            <v>43.461000000000055</v>
          </cell>
          <cell r="FA51">
            <v>37.171000000000092</v>
          </cell>
          <cell r="FB51">
            <v>53.250999999999983</v>
          </cell>
          <cell r="FC51">
            <v>94.47600000000007</v>
          </cell>
          <cell r="FD51">
            <v>160.245</v>
          </cell>
          <cell r="FF51">
            <v>139.37200000000004</v>
          </cell>
          <cell r="FH51">
            <v>88.187000000000026</v>
          </cell>
          <cell r="FI51">
            <v>82.53400000000012</v>
          </cell>
          <cell r="FJ51">
            <v>125.48199999999994</v>
          </cell>
          <cell r="FK51">
            <v>153.70100000000025</v>
          </cell>
          <cell r="FL51">
            <v>251.27199999999974</v>
          </cell>
          <cell r="FN51">
            <v>88.187000000000026</v>
          </cell>
          <cell r="FO51">
            <v>89.478000000000094</v>
          </cell>
          <cell r="FP51">
            <v>137.84099999999998</v>
          </cell>
          <cell r="FQ51">
            <v>157.17600000000004</v>
          </cell>
          <cell r="FR51">
            <v>244.06699999999987</v>
          </cell>
          <cell r="FT51">
            <v>89.478000000000094</v>
          </cell>
          <cell r="FU51">
            <v>151.71799999999988</v>
          </cell>
          <cell r="FV51">
            <v>170.88899999999978</v>
          </cell>
          <cell r="FW51">
            <v>262.60199999999986</v>
          </cell>
          <cell r="FX51">
            <v>488.15300000000082</v>
          </cell>
          <cell r="FY51">
            <v>423.68500000000085</v>
          </cell>
          <cell r="FZ51">
            <v>248.68500100000006</v>
          </cell>
          <cell r="GA51">
            <v>293.59878853632068</v>
          </cell>
          <cell r="GB51">
            <v>493.19856537251758</v>
          </cell>
          <cell r="GC51">
            <v>699.88518750136461</v>
          </cell>
          <cell r="GE51">
            <v>170.89699999999982</v>
          </cell>
          <cell r="GF51">
            <v>222.95099999999999</v>
          </cell>
          <cell r="GG51">
            <v>461.45000000000022</v>
          </cell>
          <cell r="GH51">
            <v>444.70300000000117</v>
          </cell>
          <cell r="GI51">
            <v>294.88500100000016</v>
          </cell>
          <cell r="GJ51">
            <v>265.72000000000071</v>
          </cell>
          <cell r="GL51">
            <v>248.68500100000006</v>
          </cell>
          <cell r="GM51">
            <v>293.59878853632068</v>
          </cell>
          <cell r="GN51">
            <v>493.19856537251758</v>
          </cell>
          <cell r="GO51">
            <v>699.88518750136461</v>
          </cell>
          <cell r="GP51">
            <v>1096.9653589814729</v>
          </cell>
          <cell r="GQ51">
            <v>1120.1977291561973</v>
          </cell>
          <cell r="GR51">
            <v>545.78913617375463</v>
          </cell>
          <cell r="GS51">
            <v>1211.5335474886931</v>
          </cell>
          <cell r="GT51">
            <v>1660.4668299259754</v>
          </cell>
          <cell r="GU51">
            <v>2180.1752142778428</v>
          </cell>
          <cell r="GV51">
            <v>2237.7273698490662</v>
          </cell>
          <cell r="GW51">
            <v>465.32402017975096</v>
          </cell>
          <cell r="GX51">
            <v>1332.5187850601949</v>
          </cell>
          <cell r="GY51">
            <v>1989.8947190232248</v>
          </cell>
          <cell r="GZ51">
            <v>2208.7831381157794</v>
          </cell>
          <cell r="HA51">
            <v>2429.661451927358</v>
          </cell>
          <cell r="HB51">
            <v>2648.3309826008208</v>
          </cell>
          <cell r="HC51">
            <v>2860.1974612088861</v>
          </cell>
          <cell r="HD51">
            <v>2983.9010014061705</v>
          </cell>
          <cell r="HE51">
            <v>3000.7332634653844</v>
          </cell>
          <cell r="HF51">
            <v>2980.4580387122401</v>
          </cell>
          <cell r="HG51">
            <v>2950.6534583251173</v>
          </cell>
          <cell r="HH51">
            <v>2910.4172748025017</v>
          </cell>
          <cell r="HI51">
            <v>2957.3594889122196</v>
          </cell>
        </row>
        <row r="52">
          <cell r="FY52" t="str">
            <v xml:space="preserve"> </v>
          </cell>
          <cell r="FZ52" t="str">
            <v xml:space="preserve"> </v>
          </cell>
          <cell r="GA52" t="str">
            <v xml:space="preserve"> </v>
          </cell>
        </row>
        <row r="53">
          <cell r="D53">
            <v>0.19500000000000001</v>
          </cell>
          <cell r="E53">
            <v>0.44800000000000001</v>
          </cell>
          <cell r="F53">
            <v>0.13300000000000001</v>
          </cell>
          <cell r="G53">
            <v>8.5000000000000006E-2</v>
          </cell>
          <cell r="I53">
            <v>0.26600000000000001</v>
          </cell>
          <cell r="J53">
            <v>0.74399999999999999</v>
          </cell>
          <cell r="K53">
            <v>0.52900000000000003</v>
          </cell>
          <cell r="L53">
            <v>0.23300000000000001</v>
          </cell>
          <cell r="N53">
            <v>0.48</v>
          </cell>
          <cell r="O53">
            <v>0.28899999999999998</v>
          </cell>
          <cell r="P53">
            <v>0.35399999999999998</v>
          </cell>
          <cell r="Q53">
            <v>0.72499999999999998</v>
          </cell>
          <cell r="S53">
            <v>0.33600000000000002</v>
          </cell>
          <cell r="T53">
            <v>1.925</v>
          </cell>
          <cell r="U53">
            <v>0.17299999999999999</v>
          </cell>
          <cell r="V53">
            <v>0.79100000000000004</v>
          </cell>
          <cell r="X53">
            <v>2.423</v>
          </cell>
          <cell r="Y53">
            <v>4.3330000000000002</v>
          </cell>
          <cell r="Z53">
            <v>3.19</v>
          </cell>
          <cell r="AA53">
            <v>3.3849999999999998</v>
          </cell>
          <cell r="AC53">
            <v>4.5759999999999996</v>
          </cell>
          <cell r="AD53">
            <v>4.8529999999999998</v>
          </cell>
          <cell r="AE53">
            <v>6.9379999999999997</v>
          </cell>
          <cell r="AF53">
            <v>1.966</v>
          </cell>
          <cell r="AH53">
            <v>3.4540000000000002</v>
          </cell>
          <cell r="AJ53">
            <v>4.8010000000000002</v>
          </cell>
          <cell r="AK53">
            <v>5.3609999999999998</v>
          </cell>
          <cell r="AL53">
            <v>7.7910000000000004</v>
          </cell>
          <cell r="AM53">
            <v>2.879</v>
          </cell>
          <cell r="AO53">
            <v>4.7210000000000001</v>
          </cell>
          <cell r="AP53">
            <v>5.2889999999999997</v>
          </cell>
          <cell r="AQ53">
            <v>7.742</v>
          </cell>
          <cell r="AR53">
            <v>2.8479999999999999</v>
          </cell>
          <cell r="AT53">
            <v>3.5310000000000001</v>
          </cell>
          <cell r="AU53">
            <v>7.4450000000000003</v>
          </cell>
          <cell r="AV53">
            <v>5.89</v>
          </cell>
          <cell r="AW53">
            <v>3.4340000000000002</v>
          </cell>
          <cell r="AY53">
            <v>8.4250000000000007</v>
          </cell>
          <cell r="AZ53">
            <v>9.5220000000000002</v>
          </cell>
          <cell r="BA53">
            <v>11.914999999999999</v>
          </cell>
          <cell r="BB53">
            <v>9.8190000000000008</v>
          </cell>
          <cell r="BD53">
            <v>7.5309999999999997</v>
          </cell>
          <cell r="BE53">
            <v>9.1669999999999998</v>
          </cell>
          <cell r="BF53">
            <v>12.656000000000001</v>
          </cell>
          <cell r="BG53">
            <v>9.4049999999999994</v>
          </cell>
          <cell r="BI53">
            <v>3.59</v>
          </cell>
          <cell r="BJ53">
            <v>6.3120000000000003</v>
          </cell>
          <cell r="BK53">
            <v>5.726</v>
          </cell>
          <cell r="BL53">
            <v>7.3019999999999996</v>
          </cell>
          <cell r="BN53">
            <v>9.6639999999999997</v>
          </cell>
          <cell r="BO53">
            <v>12.141</v>
          </cell>
          <cell r="BP53">
            <v>15.097</v>
          </cell>
          <cell r="BQ53">
            <v>7.3019999999999996</v>
          </cell>
          <cell r="BS53">
            <v>9.516</v>
          </cell>
          <cell r="BT53">
            <v>12.414999999999999</v>
          </cell>
          <cell r="BU53">
            <v>14.670999999999999</v>
          </cell>
          <cell r="BV53">
            <v>7.3019999999999996</v>
          </cell>
          <cell r="BX53">
            <v>10.143000000000001</v>
          </cell>
          <cell r="BZ53">
            <v>3.9550000000000001</v>
          </cell>
          <cell r="CA53">
            <v>5.5709999999999997</v>
          </cell>
          <cell r="CB53">
            <v>2.931</v>
          </cell>
          <cell r="CC53">
            <v>7.4349999999999996</v>
          </cell>
          <cell r="CE53">
            <v>10.842000000000001</v>
          </cell>
          <cell r="CF53">
            <v>12.795</v>
          </cell>
          <cell r="CG53">
            <v>16.57</v>
          </cell>
          <cell r="CH53">
            <v>13.978999999999999</v>
          </cell>
          <cell r="CJ53">
            <v>14.497999999999999</v>
          </cell>
          <cell r="CK53">
            <v>19.314</v>
          </cell>
          <cell r="CL53">
            <v>23.376000000000001</v>
          </cell>
          <cell r="CM53">
            <v>12.897</v>
          </cell>
          <cell r="CO53">
            <v>18.434999999999999</v>
          </cell>
          <cell r="CP53">
            <v>23.827000000000002</v>
          </cell>
          <cell r="CQ53">
            <v>24.5</v>
          </cell>
          <cell r="CR53">
            <v>25</v>
          </cell>
          <cell r="CT53">
            <v>4.3520000000000003</v>
          </cell>
          <cell r="CU53">
            <v>5.968</v>
          </cell>
          <cell r="CV53">
            <v>3.3279999999999998</v>
          </cell>
          <cell r="CW53">
            <v>7.8319999999999999</v>
          </cell>
          <cell r="CY53">
            <v>10.356</v>
          </cell>
          <cell r="CZ53">
            <v>12.308999999999999</v>
          </cell>
          <cell r="DA53">
            <v>16.077999999999999</v>
          </cell>
          <cell r="DB53">
            <v>13.491</v>
          </cell>
          <cell r="DD53">
            <v>14.42</v>
          </cell>
          <cell r="DE53">
            <v>19.236000000000001</v>
          </cell>
          <cell r="DF53">
            <v>23.367000000000001</v>
          </cell>
          <cell r="DG53">
            <v>12.888999999999999</v>
          </cell>
          <cell r="DI53">
            <v>18.231999999999999</v>
          </cell>
          <cell r="DJ53">
            <v>22.359000000000002</v>
          </cell>
          <cell r="DK53">
            <v>22.091999999999999</v>
          </cell>
          <cell r="DL53">
            <v>26.863</v>
          </cell>
          <cell r="DN53">
            <v>22.366</v>
          </cell>
          <cell r="DO53">
            <v>22.184000000000001</v>
          </cell>
          <cell r="DP53">
            <v>22.745999999999999</v>
          </cell>
          <cell r="DQ53">
            <v>24.556999999999999</v>
          </cell>
          <cell r="DS53">
            <v>18.998999999999999</v>
          </cell>
          <cell r="DT53">
            <v>27.856000000000002</v>
          </cell>
          <cell r="DU53">
            <v>23.901</v>
          </cell>
          <cell r="DV53">
            <v>22.024000000000001</v>
          </cell>
          <cell r="DX53">
            <v>25.911000000000001</v>
          </cell>
          <cell r="DY53">
            <v>20.702999999999999</v>
          </cell>
          <cell r="DZ53">
            <v>13.452999999999999</v>
          </cell>
          <cell r="EA53">
            <v>12.9812503125</v>
          </cell>
          <cell r="EC53">
            <v>12.777203697277269</v>
          </cell>
          <cell r="ED53">
            <v>13.463860145823558</v>
          </cell>
          <cell r="EE53">
            <v>12.813255992879519</v>
          </cell>
          <cell r="EF53">
            <v>12.736689756467506</v>
          </cell>
          <cell r="EH53">
            <v>12.818225521602026</v>
          </cell>
          <cell r="EI53">
            <v>13.412689542860273</v>
          </cell>
          <cell r="EJ53">
            <v>12.916177956427816</v>
          </cell>
          <cell r="EK53">
            <v>13.423449716015856</v>
          </cell>
          <cell r="EM53">
            <v>1.446</v>
          </cell>
          <cell r="EN53">
            <v>1.7720000000000002</v>
          </cell>
          <cell r="EO53">
            <v>1.8479999999999999</v>
          </cell>
          <cell r="EP53">
            <v>1.4850000000000001</v>
          </cell>
          <cell r="EQ53">
            <v>1.8140000000000001</v>
          </cell>
          <cell r="ER53">
            <v>4.9240000000000004</v>
          </cell>
          <cell r="ES53">
            <v>3.2250000000000001</v>
          </cell>
          <cell r="ET53">
            <v>13.331</v>
          </cell>
          <cell r="EU53">
            <v>18.332999999999998</v>
          </cell>
          <cell r="EW53">
            <v>12.275</v>
          </cell>
          <cell r="EX53">
            <v>20.832000000000001</v>
          </cell>
          <cell r="EZ53">
            <v>4.9560000000000004</v>
          </cell>
          <cell r="FA53">
            <v>7.7489999999999997</v>
          </cell>
          <cell r="FB53">
            <v>12.212999999999999</v>
          </cell>
          <cell r="FC53">
            <v>20.599999999999998</v>
          </cell>
          <cell r="FD53">
            <v>20.3</v>
          </cell>
          <cell r="FF53">
            <v>39.681000000000004</v>
          </cell>
          <cell r="FH53">
            <v>6.0880000000000001</v>
          </cell>
          <cell r="FI53">
            <v>11.25</v>
          </cell>
          <cell r="FJ53">
            <v>18.538</v>
          </cell>
          <cell r="FK53">
            <v>38.759</v>
          </cell>
          <cell r="FL53">
            <v>43.903999999999996</v>
          </cell>
          <cell r="FN53">
            <v>6.0880000000000001</v>
          </cell>
          <cell r="FO53">
            <v>8.3979999999999997</v>
          </cell>
          <cell r="FP53">
            <v>19.891999999999999</v>
          </cell>
          <cell r="FQ53">
            <v>54.186</v>
          </cell>
          <cell r="FR53">
            <v>70.085000000000008</v>
          </cell>
          <cell r="FT53">
            <v>8.3979999999999997</v>
          </cell>
          <cell r="FU53">
            <v>21.48</v>
          </cell>
          <cell r="FV53">
            <v>52.233999999999995</v>
          </cell>
          <cell r="FW53">
            <v>69.911999999999992</v>
          </cell>
          <cell r="FX53">
            <v>89.545999999999992</v>
          </cell>
          <cell r="FY53">
            <v>91.852999999999994</v>
          </cell>
          <cell r="FZ53">
            <v>92.78</v>
          </cell>
          <cell r="GA53">
            <v>73.048250312500002</v>
          </cell>
          <cell r="GB53">
            <v>51.79100959244785</v>
          </cell>
          <cell r="GC53">
            <v>52.570542736905963</v>
          </cell>
          <cell r="GE53">
            <v>46.575000000000003</v>
          </cell>
          <cell r="GF53">
            <v>70.51400000000001</v>
          </cell>
          <cell r="GG53">
            <v>75.572000000000003</v>
          </cell>
          <cell r="GH53">
            <v>94.158999999999992</v>
          </cell>
          <cell r="GI53">
            <v>95.313000000000002</v>
          </cell>
          <cell r="GJ53">
            <v>82.091000000000008</v>
          </cell>
          <cell r="GL53">
            <v>92.78</v>
          </cell>
          <cell r="GM53">
            <v>73.048250312500002</v>
          </cell>
          <cell r="GN53">
            <v>51.79100959244785</v>
          </cell>
          <cell r="GO53">
            <v>52.570542736905963</v>
          </cell>
          <cell r="GP53">
            <v>61.863728681162016</v>
          </cell>
          <cell r="GQ53">
            <v>71.739392530571877</v>
          </cell>
          <cell r="GR53">
            <v>78.99950815053603</v>
          </cell>
          <cell r="GS53">
            <v>118.28559431336565</v>
          </cell>
          <cell r="GT53">
            <v>103.00734335462029</v>
          </cell>
          <cell r="GU53">
            <v>94.629475780566423</v>
          </cell>
          <cell r="GV53">
            <v>96.143597752382917</v>
          </cell>
          <cell r="GW53">
            <v>104.68689968845975</v>
          </cell>
          <cell r="GX53">
            <v>110.20016767225505</v>
          </cell>
          <cell r="GY53">
            <v>63.457245827527771</v>
          </cell>
          <cell r="GZ53">
            <v>43.561150994777648</v>
          </cell>
          <cell r="HA53">
            <v>21.003987178759942</v>
          </cell>
          <cell r="HB53">
            <v>-3.8756153251259349</v>
          </cell>
          <cell r="HC53">
            <v>-34.084564312978799</v>
          </cell>
          <cell r="HD53">
            <v>-68.688366758300376</v>
          </cell>
          <cell r="HE53">
            <v>-110.05002368220296</v>
          </cell>
          <cell r="HF53">
            <v>-150.63430928443086</v>
          </cell>
          <cell r="HG53">
            <v>-191.32109144141862</v>
          </cell>
          <cell r="HH53">
            <v>-231.81980927878368</v>
          </cell>
          <cell r="HI53">
            <v>-272.59222013016978</v>
          </cell>
        </row>
        <row r="54">
          <cell r="DI54">
            <v>16.599622499999999</v>
          </cell>
          <cell r="DJ54">
            <v>20.85031</v>
          </cell>
          <cell r="DK54">
            <v>19.967404999999999</v>
          </cell>
          <cell r="DL54">
            <v>24.358934999999999</v>
          </cell>
          <cell r="DN54">
            <v>20.444969999999998</v>
          </cell>
          <cell r="DO54">
            <v>20.042260000000002</v>
          </cell>
          <cell r="DP54">
            <v>20.246714999999998</v>
          </cell>
          <cell r="DQ54">
            <v>22.179399999999998</v>
          </cell>
          <cell r="DS54">
            <v>17.361809999999998</v>
          </cell>
          <cell r="DT54">
            <v>26.423502500000001</v>
          </cell>
          <cell r="DU54">
            <v>21.649102499999998</v>
          </cell>
          <cell r="DV54">
            <v>20.0581025</v>
          </cell>
          <cell r="DX54">
            <v>23.471050000000002</v>
          </cell>
          <cell r="DY54">
            <v>21.536919270833334</v>
          </cell>
          <cell r="DZ54">
            <v>13.894549062500001</v>
          </cell>
          <cell r="EA54">
            <v>13.894549062500001</v>
          </cell>
          <cell r="FX54">
            <v>81.776272500000005</v>
          </cell>
          <cell r="FY54">
            <v>82.913344999999993</v>
          </cell>
          <cell r="FZ54">
            <v>85.492517500000005</v>
          </cell>
          <cell r="GA54">
            <v>72.797067395833338</v>
          </cell>
          <cell r="GL54">
            <v>85.492517500000005</v>
          </cell>
          <cell r="GM54">
            <v>72.797067395833338</v>
          </cell>
          <cell r="GN54">
            <v>55.578196250000005</v>
          </cell>
          <cell r="GO54">
            <v>55.578196250000005</v>
          </cell>
          <cell r="GP54">
            <v>60.008386300330443</v>
          </cell>
          <cell r="GQ54">
            <v>73.673049999999989</v>
          </cell>
          <cell r="GR54">
            <v>73.673049999999989</v>
          </cell>
          <cell r="GS54">
            <v>95.774964999999995</v>
          </cell>
          <cell r="GT54">
            <v>95.774964999999995</v>
          </cell>
          <cell r="GU54">
            <v>95.774964999999995</v>
          </cell>
          <cell r="GV54">
            <v>95.774964999999995</v>
          </cell>
          <cell r="GW54">
            <v>95.774964999999995</v>
          </cell>
          <cell r="GX54">
            <v>95.774964999999995</v>
          </cell>
          <cell r="GY54">
            <v>95.774964999999995</v>
          </cell>
          <cell r="GZ54">
            <v>95.774964999999995</v>
          </cell>
        </row>
        <row r="55">
          <cell r="DI55">
            <v>1.8676225</v>
          </cell>
          <cell r="DJ55">
            <v>1.9913100000000001</v>
          </cell>
          <cell r="DK55">
            <v>1.3754050000000002</v>
          </cell>
          <cell r="DL55">
            <v>0.99593500000000013</v>
          </cell>
          <cell r="DN55">
            <v>1.57897</v>
          </cell>
          <cell r="DO55">
            <v>1.35826</v>
          </cell>
          <cell r="DP55">
            <v>1.000715</v>
          </cell>
          <cell r="DQ55">
            <v>1.1224000000000001</v>
          </cell>
          <cell r="DS55">
            <v>1.8628100000000001</v>
          </cell>
          <cell r="DT55">
            <v>2.0675024999999998</v>
          </cell>
          <cell r="DU55">
            <v>1.2481024999999999</v>
          </cell>
          <cell r="DV55">
            <v>1.5341024999999999</v>
          </cell>
          <cell r="DX55">
            <v>1.0600499999999999</v>
          </cell>
          <cell r="DY55">
            <v>2.213858825</v>
          </cell>
          <cell r="DZ55">
            <v>1.9236387499999998</v>
          </cell>
          <cell r="EA55">
            <v>3.1132987499999998</v>
          </cell>
          <cell r="FX55">
            <v>6.2302725000000008</v>
          </cell>
          <cell r="FY55">
            <v>5.0603449999999999</v>
          </cell>
          <cell r="FZ55">
            <v>6.7125174999999988</v>
          </cell>
          <cell r="GA55">
            <v>8.310846325</v>
          </cell>
          <cell r="GL55">
            <v>6.7125174999999988</v>
          </cell>
          <cell r="GM55">
            <v>8.310846325</v>
          </cell>
          <cell r="GN55">
            <v>12.587186657552152</v>
          </cell>
          <cell r="GO55">
            <v>11.807653513094031</v>
          </cell>
          <cell r="GP55">
            <v>12.144657619168425</v>
          </cell>
          <cell r="GQ55">
            <v>15.933657469428111</v>
          </cell>
          <cell r="GR55">
            <v>8.6735418494639624</v>
          </cell>
          <cell r="GS55">
            <v>-8.5106293133656532</v>
          </cell>
          <cell r="GT55">
            <v>6.7676216453797098</v>
          </cell>
          <cell r="GU55">
            <v>15.145489219433571</v>
          </cell>
          <cell r="GV55">
            <v>13.631367247617073</v>
          </cell>
          <cell r="GW55">
            <v>5.0880653115402508</v>
          </cell>
          <cell r="GX55">
            <v>-0.42520267225505282</v>
          </cell>
          <cell r="GY55">
            <v>46.317719172472223</v>
          </cell>
          <cell r="GZ55">
            <v>66.213814005222346</v>
          </cell>
        </row>
        <row r="56">
          <cell r="DI56">
            <v>3.5</v>
          </cell>
          <cell r="DJ56">
            <v>3.5</v>
          </cell>
          <cell r="DK56">
            <v>3.5</v>
          </cell>
          <cell r="DL56">
            <v>3.5</v>
          </cell>
          <cell r="DN56">
            <v>3.5</v>
          </cell>
          <cell r="DO56">
            <v>3.5</v>
          </cell>
          <cell r="DP56">
            <v>3.5</v>
          </cell>
          <cell r="DQ56">
            <v>3.5</v>
          </cell>
          <cell r="DS56">
            <v>3.5</v>
          </cell>
          <cell r="DT56">
            <v>3.5</v>
          </cell>
          <cell r="DU56">
            <v>3.5</v>
          </cell>
          <cell r="DV56">
            <v>3.5</v>
          </cell>
          <cell r="DX56">
            <v>3.5</v>
          </cell>
          <cell r="DY56">
            <v>3.0477780958333334</v>
          </cell>
          <cell r="DZ56">
            <v>2.2000000000000002</v>
          </cell>
          <cell r="EA56">
            <v>2.2000000000000002</v>
          </cell>
          <cell r="FX56">
            <v>14</v>
          </cell>
          <cell r="FY56">
            <v>14</v>
          </cell>
          <cell r="FZ56">
            <v>14</v>
          </cell>
          <cell r="GA56">
            <v>10.947778095833332</v>
          </cell>
          <cell r="GL56">
            <v>14</v>
          </cell>
          <cell r="GM56">
            <v>10.947778095833332</v>
          </cell>
          <cell r="GN56">
            <v>8.8000000000000007</v>
          </cell>
          <cell r="GO56">
            <v>8.8000000000000007</v>
          </cell>
          <cell r="GP56">
            <v>14</v>
          </cell>
          <cell r="GQ56">
            <v>14</v>
          </cell>
          <cell r="GR56">
            <v>14</v>
          </cell>
          <cell r="GS56">
            <v>14</v>
          </cell>
          <cell r="GT56">
            <v>14</v>
          </cell>
          <cell r="GU56">
            <v>14</v>
          </cell>
          <cell r="GV56">
            <v>14</v>
          </cell>
          <cell r="GW56">
            <v>14</v>
          </cell>
          <cell r="GX56">
            <v>14</v>
          </cell>
          <cell r="GY56">
            <v>14</v>
          </cell>
          <cell r="GZ56">
            <v>14</v>
          </cell>
        </row>
        <row r="58">
          <cell r="D58">
            <v>0.17899999999999944</v>
          </cell>
          <cell r="E58">
            <v>0.41199999999999964</v>
          </cell>
          <cell r="F58">
            <v>1.5560000000000003</v>
          </cell>
          <cell r="G58">
            <v>1.1360000000000037</v>
          </cell>
          <cell r="I58">
            <v>2.266999999999999</v>
          </cell>
          <cell r="J58">
            <v>2.397999999999997</v>
          </cell>
          <cell r="K58">
            <v>0.86900000000000543</v>
          </cell>
          <cell r="L58">
            <v>2.9010000000000056</v>
          </cell>
          <cell r="N58">
            <v>2.9669999999999996</v>
          </cell>
          <cell r="O58">
            <v>4.8439999999999959</v>
          </cell>
          <cell r="P58">
            <v>6.2130000000000072</v>
          </cell>
          <cell r="Q58">
            <v>6.3699999999999992</v>
          </cell>
          <cell r="S58">
            <v>5.9100000000000037</v>
          </cell>
          <cell r="T58">
            <v>6.8800000000000034</v>
          </cell>
          <cell r="U58">
            <v>2.3789999999999853</v>
          </cell>
          <cell r="V58">
            <v>7.5459999999999852</v>
          </cell>
          <cell r="X58">
            <v>7.293000000000001</v>
          </cell>
          <cell r="Y58">
            <v>7.5339999999999883</v>
          </cell>
          <cell r="Z58">
            <v>10.893999999999993</v>
          </cell>
          <cell r="AA58">
            <v>12.490999999999984</v>
          </cell>
          <cell r="AC58">
            <v>13.244999999999983</v>
          </cell>
          <cell r="AD58">
            <v>14.617000000000006</v>
          </cell>
          <cell r="AE58">
            <v>17.617999999999995</v>
          </cell>
          <cell r="AF58">
            <v>19.180000000000007</v>
          </cell>
          <cell r="AH58">
            <v>19.974999999999937</v>
          </cell>
          <cell r="AJ58">
            <v>13.310999999999984</v>
          </cell>
          <cell r="AK58">
            <v>14.769000000000037</v>
          </cell>
          <cell r="AL58">
            <v>17.874999999999982</v>
          </cell>
          <cell r="AM58">
            <v>19.454000000000001</v>
          </cell>
          <cell r="AO58">
            <v>14.806999999999949</v>
          </cell>
          <cell r="AP58">
            <v>16.991000000000028</v>
          </cell>
          <cell r="AQ58">
            <v>19.463999999999974</v>
          </cell>
          <cell r="AR58">
            <v>22.614000000000011</v>
          </cell>
          <cell r="AT58">
            <v>21.476999999999947</v>
          </cell>
          <cell r="AU58">
            <v>33.777000000000037</v>
          </cell>
          <cell r="AV58">
            <v>42.745999999999995</v>
          </cell>
          <cell r="AW58">
            <v>41.945000000000149</v>
          </cell>
          <cell r="AY58">
            <v>22.832000000000047</v>
          </cell>
          <cell r="AZ58">
            <v>21.758000000000038</v>
          </cell>
          <cell r="BA58">
            <v>25.633000000000031</v>
          </cell>
          <cell r="BB58">
            <v>29.467999999999911</v>
          </cell>
          <cell r="BD58">
            <v>26.596000000000039</v>
          </cell>
          <cell r="BE58">
            <v>26.384999999999991</v>
          </cell>
          <cell r="BF58">
            <v>27.672000000000018</v>
          </cell>
          <cell r="BG58">
            <v>34.288999999999945</v>
          </cell>
          <cell r="BI58">
            <v>21.070999999999998</v>
          </cell>
          <cell r="BJ58">
            <v>26.397999999999993</v>
          </cell>
          <cell r="BK58">
            <v>39.005000000000067</v>
          </cell>
          <cell r="BL58">
            <v>66.945999999999913</v>
          </cell>
          <cell r="BN58">
            <v>31.520999999999972</v>
          </cell>
          <cell r="BO58">
            <v>40.888000000000105</v>
          </cell>
          <cell r="BP58">
            <v>53.216000000000044</v>
          </cell>
          <cell r="BQ58">
            <v>66.945999999999913</v>
          </cell>
          <cell r="BS58">
            <v>32.359999999999943</v>
          </cell>
          <cell r="BT58">
            <v>49.676000000000165</v>
          </cell>
          <cell r="BU58">
            <v>58.386000000000045</v>
          </cell>
          <cell r="BV58">
            <v>66.945999999999913</v>
          </cell>
          <cell r="BX58">
            <v>82.046999999999883</v>
          </cell>
          <cell r="BZ58">
            <v>22.037999999999954</v>
          </cell>
          <cell r="CA58">
            <v>28.194000000000059</v>
          </cell>
          <cell r="CB58">
            <v>34.628000000000036</v>
          </cell>
          <cell r="CC58">
            <v>33.088999999999942</v>
          </cell>
          <cell r="CE58">
            <v>26.517000000000024</v>
          </cell>
          <cell r="CF58">
            <v>24.086000000000013</v>
          </cell>
          <cell r="CG58">
            <v>26.008000000000003</v>
          </cell>
          <cell r="CH58">
            <v>26.379000000000019</v>
          </cell>
          <cell r="CJ58">
            <v>28.427999999999933</v>
          </cell>
          <cell r="CK58">
            <v>35.59800000000002</v>
          </cell>
          <cell r="CL58">
            <v>43.987999999999914</v>
          </cell>
          <cell r="CM58">
            <v>65.967999999999975</v>
          </cell>
          <cell r="CO58">
            <v>85.625</v>
          </cell>
          <cell r="CP58">
            <v>107.8010000000001</v>
          </cell>
          <cell r="CQ58">
            <v>116.5</v>
          </cell>
          <cell r="CR58">
            <v>120.98000000000002</v>
          </cell>
          <cell r="CT58">
            <v>25.110999999999972</v>
          </cell>
          <cell r="CU58">
            <v>31.266999999999964</v>
          </cell>
          <cell r="CV58">
            <v>37.700999999999937</v>
          </cell>
          <cell r="CW58">
            <v>36.159000000000006</v>
          </cell>
          <cell r="CY58">
            <v>30.236999999999945</v>
          </cell>
          <cell r="CZ58">
            <v>27.805999999999941</v>
          </cell>
          <cell r="DA58">
            <v>30.119999999999951</v>
          </cell>
          <cell r="DB58">
            <v>30.491999999999948</v>
          </cell>
          <cell r="DD58">
            <v>32.656999999999996</v>
          </cell>
          <cell r="DE58">
            <v>39.827000000000069</v>
          </cell>
          <cell r="DF58">
            <v>49.46099999999997</v>
          </cell>
          <cell r="DG58">
            <v>70.744999999999834</v>
          </cell>
          <cell r="DI58">
            <v>84.046000000000248</v>
          </cell>
          <cell r="DJ58">
            <v>106.79700000000011</v>
          </cell>
          <cell r="DK58">
            <v>124.29</v>
          </cell>
          <cell r="DL58">
            <v>83.474000000000416</v>
          </cell>
          <cell r="DN58">
            <v>98.35700000000007</v>
          </cell>
          <cell r="DO58">
            <v>77.275000000000247</v>
          </cell>
          <cell r="DP58">
            <v>91.438000000000443</v>
          </cell>
          <cell r="DQ58">
            <v>64.762000000000114</v>
          </cell>
          <cell r="DS58">
            <v>28.898001000000217</v>
          </cell>
          <cell r="DT58">
            <v>38.526999999999866</v>
          </cell>
          <cell r="DU58">
            <v>67.384999999999948</v>
          </cell>
          <cell r="DV58">
            <v>21.095000000000013</v>
          </cell>
          <cell r="DX58">
            <v>13.898000000000167</v>
          </cell>
          <cell r="DY58">
            <v>44.254000000000246</v>
          </cell>
          <cell r="DZ58">
            <v>104.38200000000025</v>
          </cell>
          <cell r="EA58">
            <v>58.01653822382</v>
          </cell>
          <cell r="EC58">
            <v>77.434366150122727</v>
          </cell>
          <cell r="ED58">
            <v>100.23400960862293</v>
          </cell>
          <cell r="EE58">
            <v>154.07101563133705</v>
          </cell>
          <cell r="EF58">
            <v>109.66816438998708</v>
          </cell>
          <cell r="EH58">
            <v>126.54436047466179</v>
          </cell>
          <cell r="EI58">
            <v>151.15575116945655</v>
          </cell>
          <cell r="EJ58">
            <v>213.00881061233255</v>
          </cell>
          <cell r="EK58">
            <v>156.60572250800774</v>
          </cell>
          <cell r="EM58">
            <v>3.2190000000000039</v>
          </cell>
          <cell r="EN58">
            <v>8.4349999999999863</v>
          </cell>
          <cell r="EO58">
            <v>20.393999999999988</v>
          </cell>
          <cell r="EP58">
            <v>17.133000000000003</v>
          </cell>
          <cell r="EQ58">
            <v>8.3760000000000119</v>
          </cell>
          <cell r="ER58">
            <v>19.954999999999988</v>
          </cell>
          <cell r="ES58">
            <v>22.714999999999893</v>
          </cell>
          <cell r="ET58">
            <v>38.21199999999979</v>
          </cell>
          <cell r="EU58">
            <v>64.660000000000096</v>
          </cell>
          <cell r="EW58">
            <v>36.852999999999888</v>
          </cell>
          <cell r="EX58">
            <v>65.408999999999992</v>
          </cell>
          <cell r="EZ58">
            <v>38.505000000000052</v>
          </cell>
          <cell r="FA58">
            <v>29.422000000000093</v>
          </cell>
          <cell r="FB58">
            <v>41.037999999999982</v>
          </cell>
          <cell r="FC58">
            <v>73.876000000000076</v>
          </cell>
          <cell r="FD58">
            <v>139.94499999999999</v>
          </cell>
          <cell r="FF58">
            <v>99.691000000000031</v>
          </cell>
          <cell r="FH58">
            <v>82.099000000000032</v>
          </cell>
          <cell r="FI58">
            <v>71.28400000000012</v>
          </cell>
          <cell r="FJ58">
            <v>106.94399999999995</v>
          </cell>
          <cell r="FK58">
            <v>114.94200000000025</v>
          </cell>
          <cell r="FL58">
            <v>207.36799999999974</v>
          </cell>
          <cell r="FN58">
            <v>82.099000000000032</v>
          </cell>
          <cell r="FO58">
            <v>81.080000000000098</v>
          </cell>
          <cell r="FP58">
            <v>117.94899999999998</v>
          </cell>
          <cell r="FQ58">
            <v>102.99000000000004</v>
          </cell>
          <cell r="FR58">
            <v>173.98199999999986</v>
          </cell>
          <cell r="FT58">
            <v>81.080000000000098</v>
          </cell>
          <cell r="FU58">
            <v>130.23799999999989</v>
          </cell>
          <cell r="FV58">
            <v>118.65499999999979</v>
          </cell>
          <cell r="FW58">
            <v>192.68999999999988</v>
          </cell>
          <cell r="FX58">
            <v>398.60700000000077</v>
          </cell>
          <cell r="FY58">
            <v>331.83200000000085</v>
          </cell>
          <cell r="FZ58">
            <v>155.90500100000003</v>
          </cell>
          <cell r="GA58">
            <v>220.55053822382067</v>
          </cell>
          <cell r="GB58">
            <v>441.40755578006974</v>
          </cell>
          <cell r="GC58">
            <v>647.31464476445865</v>
          </cell>
          <cell r="GE58">
            <v>124.32199999999985</v>
          </cell>
          <cell r="GF58">
            <v>152.43699999999998</v>
          </cell>
          <cell r="GG58">
            <v>385.87800000000021</v>
          </cell>
          <cell r="GH58">
            <v>350.54400000000118</v>
          </cell>
          <cell r="GI58">
            <v>199.57200100000017</v>
          </cell>
          <cell r="GJ58">
            <v>183.62900000000067</v>
          </cell>
          <cell r="GL58">
            <v>155.90500100000003</v>
          </cell>
          <cell r="GM58">
            <v>220.55053822382067</v>
          </cell>
          <cell r="GN58">
            <v>441.40755578006974</v>
          </cell>
          <cell r="GO58">
            <v>647.31464476445865</v>
          </cell>
          <cell r="GP58">
            <v>1035.1016303003109</v>
          </cell>
          <cell r="GQ58">
            <v>1048.4583366256254</v>
          </cell>
          <cell r="GR58">
            <v>466.7896280232186</v>
          </cell>
          <cell r="GS58">
            <v>1093.2479531753274</v>
          </cell>
          <cell r="GT58">
            <v>1557.459486571355</v>
          </cell>
          <cell r="GU58">
            <v>2085.5457384972765</v>
          </cell>
          <cell r="GV58">
            <v>2141.5837720966833</v>
          </cell>
          <cell r="GW58">
            <v>360.63712049129123</v>
          </cell>
          <cell r="GX58">
            <v>1222.3186173879399</v>
          </cell>
          <cell r="GY58">
            <v>1926.4374731956971</v>
          </cell>
          <cell r="GZ58">
            <v>2165.2219871210018</v>
          </cell>
          <cell r="HA58">
            <v>2408.6574647485982</v>
          </cell>
          <cell r="HB58">
            <v>2652.2065979259469</v>
          </cell>
          <cell r="HC58">
            <v>2894.2820255218649</v>
          </cell>
          <cell r="HD58">
            <v>3052.5893681644707</v>
          </cell>
          <cell r="HE58">
            <v>3110.7832871475875</v>
          </cell>
          <cell r="HF58">
            <v>3131.0923479966709</v>
          </cell>
          <cell r="HG58">
            <v>3141.9745497665358</v>
          </cell>
          <cell r="HH58">
            <v>3142.2370840812855</v>
          </cell>
          <cell r="HI58">
            <v>3229.9517090423892</v>
          </cell>
        </row>
        <row r="59">
          <cell r="D59">
            <v>1.7000000000000001E-2</v>
          </cell>
          <cell r="E59">
            <v>7.0000000000000007E-2</v>
          </cell>
          <cell r="F59">
            <v>0.28000000000000003</v>
          </cell>
          <cell r="G59">
            <v>0.28899999999999998</v>
          </cell>
          <cell r="I59">
            <v>0.434</v>
          </cell>
          <cell r="J59">
            <v>0.38100000000000001</v>
          </cell>
          <cell r="K59">
            <v>0.435</v>
          </cell>
          <cell r="L59">
            <v>0.21299999999999999</v>
          </cell>
          <cell r="N59">
            <v>0.28199999999999997</v>
          </cell>
          <cell r="O59">
            <v>0.90600000000000003</v>
          </cell>
          <cell r="P59">
            <v>1.2110000000000001</v>
          </cell>
          <cell r="Q59">
            <v>1.3919999999999999</v>
          </cell>
          <cell r="S59">
            <v>0.76300000000000001</v>
          </cell>
          <cell r="T59">
            <v>0.98499999999999999</v>
          </cell>
          <cell r="U59">
            <v>0.28100000000000003</v>
          </cell>
          <cell r="V59">
            <v>-2E-3</v>
          </cell>
          <cell r="X59">
            <v>0.747</v>
          </cell>
          <cell r="Y59">
            <v>0.91200000000000003</v>
          </cell>
          <cell r="Z59">
            <v>1.1970000000000001</v>
          </cell>
          <cell r="AA59">
            <v>1.5549999999999999</v>
          </cell>
          <cell r="AC59">
            <v>1.5880000000000001</v>
          </cell>
          <cell r="AD59">
            <v>1.754</v>
          </cell>
          <cell r="AE59">
            <v>2.1259999999999999</v>
          </cell>
          <cell r="AF59">
            <v>2.302</v>
          </cell>
          <cell r="AH59">
            <v>2.41</v>
          </cell>
          <cell r="AJ59">
            <v>1.5760000000000001</v>
          </cell>
          <cell r="AK59">
            <v>1.726</v>
          </cell>
          <cell r="AL59">
            <v>2.0790000000000002</v>
          </cell>
          <cell r="AM59">
            <v>2.2509999999999999</v>
          </cell>
          <cell r="AO59">
            <v>1.5760000000000001</v>
          </cell>
          <cell r="AP59">
            <v>1.726</v>
          </cell>
          <cell r="AQ59">
            <v>2.0790000000000002</v>
          </cell>
          <cell r="AR59">
            <v>2.2509999999999999</v>
          </cell>
          <cell r="AT59">
            <v>2.6230000000000002</v>
          </cell>
          <cell r="AU59">
            <v>3.17</v>
          </cell>
          <cell r="AV59">
            <v>4.68</v>
          </cell>
          <cell r="AW59">
            <v>5.0339999999999998</v>
          </cell>
          <cell r="AY59">
            <v>4.2640000000000002</v>
          </cell>
          <cell r="AZ59">
            <v>3.6720000000000002</v>
          </cell>
          <cell r="BA59">
            <v>4.2469999999999999</v>
          </cell>
          <cell r="BB59">
            <v>2.3140000000000001</v>
          </cell>
          <cell r="BD59">
            <v>4.8860000000000001</v>
          </cell>
          <cell r="BE59">
            <v>4.3319999999999999</v>
          </cell>
          <cell r="BF59">
            <v>4.3689999999999998</v>
          </cell>
          <cell r="BG59">
            <v>2.7669999999999999</v>
          </cell>
          <cell r="BI59">
            <v>2.6230000000000002</v>
          </cell>
          <cell r="BJ59">
            <v>3.17</v>
          </cell>
          <cell r="BK59">
            <v>4.68</v>
          </cell>
          <cell r="BL59">
            <v>8.6219999999999999</v>
          </cell>
          <cell r="BN59">
            <v>4.1900000000000004</v>
          </cell>
          <cell r="BO59">
            <v>5.32</v>
          </cell>
          <cell r="BP59">
            <v>2.64</v>
          </cell>
          <cell r="BQ59">
            <v>8.6219999999999999</v>
          </cell>
          <cell r="BS59">
            <v>4.3579999999999997</v>
          </cell>
          <cell r="BT59">
            <v>5.4080000000000004</v>
          </cell>
          <cell r="BU59">
            <v>3.0089999999999999</v>
          </cell>
          <cell r="BV59">
            <v>8.6219999999999999</v>
          </cell>
          <cell r="BX59">
            <v>10.436999999999999</v>
          </cell>
          <cell r="BZ59">
            <v>4.4710000000000001</v>
          </cell>
          <cell r="CA59">
            <v>6.3259999999999996</v>
          </cell>
          <cell r="CB59">
            <v>6.0359999999999996</v>
          </cell>
          <cell r="CC59">
            <v>4.234</v>
          </cell>
          <cell r="CE59">
            <v>4.9130000000000003</v>
          </cell>
          <cell r="CF59">
            <v>3.8079999999999998</v>
          </cell>
          <cell r="CG59">
            <v>3.98</v>
          </cell>
          <cell r="CH59">
            <v>0.84099999999999997</v>
          </cell>
          <cell r="CJ59">
            <v>4.7309999999999999</v>
          </cell>
          <cell r="CK59">
            <v>4.21</v>
          </cell>
          <cell r="CL59">
            <v>1.133</v>
          </cell>
          <cell r="CM59">
            <v>9.6709999999999994</v>
          </cell>
          <cell r="CO59">
            <v>13.888</v>
          </cell>
          <cell r="CP59">
            <v>14.436</v>
          </cell>
          <cell r="CQ59">
            <v>13.979999999999999</v>
          </cell>
          <cell r="CR59">
            <v>14.517600000000002</v>
          </cell>
          <cell r="CT59">
            <v>5.3369999999999997</v>
          </cell>
          <cell r="CU59">
            <v>7.1920000000000002</v>
          </cell>
          <cell r="CV59">
            <v>6.9020000000000001</v>
          </cell>
          <cell r="CW59">
            <v>5.0999999999999996</v>
          </cell>
          <cell r="CY59">
            <v>5.8760000000000003</v>
          </cell>
          <cell r="CZ59">
            <v>4.7709999999999999</v>
          </cell>
          <cell r="DA59">
            <v>4.6139999999999999</v>
          </cell>
          <cell r="DB59">
            <v>1.474</v>
          </cell>
          <cell r="DD59">
            <v>5.87</v>
          </cell>
          <cell r="DE59">
            <v>5.3490000000000002</v>
          </cell>
          <cell r="DF59">
            <v>1.6619999999999999</v>
          </cell>
          <cell r="DG59">
            <v>10.199</v>
          </cell>
          <cell r="DI59">
            <v>13.935</v>
          </cell>
          <cell r="DJ59">
            <v>14.475</v>
          </cell>
          <cell r="DK59">
            <v>16.731999999999999</v>
          </cell>
          <cell r="DL59">
            <v>1.073</v>
          </cell>
          <cell r="DN59">
            <v>10.029</v>
          </cell>
          <cell r="DO59">
            <v>8.1</v>
          </cell>
          <cell r="DP59">
            <v>9.4489999999999998</v>
          </cell>
          <cell r="DQ59">
            <v>6.8659999999999997</v>
          </cell>
          <cell r="DS59">
            <v>3.34</v>
          </cell>
          <cell r="DT59">
            <v>3.8570000000000002</v>
          </cell>
          <cell r="DU59">
            <v>6.734</v>
          </cell>
          <cell r="DV59">
            <v>1.569</v>
          </cell>
          <cell r="DX59">
            <v>2.2719999999999998</v>
          </cell>
          <cell r="DY59">
            <v>5.282</v>
          </cell>
          <cell r="DZ59">
            <v>10.438000000000001</v>
          </cell>
          <cell r="EA59">
            <v>5.8016538223820007</v>
          </cell>
          <cell r="EC59">
            <v>7.7434366150122731</v>
          </cell>
          <cell r="ED59">
            <v>10.023400960862293</v>
          </cell>
          <cell r="EE59">
            <v>15.407101563133706</v>
          </cell>
          <cell r="EF59">
            <v>10.966816438998709</v>
          </cell>
          <cell r="EH59">
            <v>12.654436047466179</v>
          </cell>
          <cell r="EI59">
            <v>15.115575116945656</v>
          </cell>
          <cell r="EJ59">
            <v>21.300881061233255</v>
          </cell>
          <cell r="EK59">
            <v>15.660572250800776</v>
          </cell>
          <cell r="EM59">
            <v>0.38628000000000046</v>
          </cell>
          <cell r="EN59">
            <v>1.0121999999999982</v>
          </cell>
          <cell r="EO59">
            <v>3.7909999999999999</v>
          </cell>
          <cell r="EP59">
            <v>2.0559600000000002</v>
          </cell>
          <cell r="EQ59">
            <v>1.5880000000000001</v>
          </cell>
          <cell r="ER59">
            <v>3.847</v>
          </cell>
          <cell r="ES59">
            <v>2.0270000000000001</v>
          </cell>
          <cell r="ET59">
            <v>4.4109999999999996</v>
          </cell>
          <cell r="EU59">
            <v>7.77</v>
          </cell>
          <cell r="EW59">
            <v>4.4223599999999861</v>
          </cell>
          <cell r="EX59">
            <v>7.6319999999999997</v>
          </cell>
          <cell r="EZ59">
            <v>8.6929999999999996</v>
          </cell>
          <cell r="FA59">
            <v>3.1749999999999998</v>
          </cell>
          <cell r="FB59">
            <v>2.3180000000000001</v>
          </cell>
          <cell r="FC59">
            <v>7.6319999999999997</v>
          </cell>
          <cell r="FD59">
            <v>15.506999999999998</v>
          </cell>
          <cell r="FF59">
            <v>14.497</v>
          </cell>
          <cell r="FH59">
            <v>22.068999999999999</v>
          </cell>
          <cell r="FI59">
            <v>11.907</v>
          </cell>
          <cell r="FJ59">
            <v>22.081</v>
          </cell>
          <cell r="FK59">
            <v>16.353999999999999</v>
          </cell>
          <cell r="FL59">
            <v>21.396999999999998</v>
          </cell>
          <cell r="FN59">
            <v>22.068999999999999</v>
          </cell>
          <cell r="FO59">
            <v>16.414999999999999</v>
          </cell>
          <cell r="FP59">
            <v>21.067</v>
          </cell>
          <cell r="FQ59">
            <v>13.542</v>
          </cell>
          <cell r="FR59">
            <v>19.744999999999997</v>
          </cell>
          <cell r="FT59">
            <v>16.414999999999999</v>
          </cell>
          <cell r="FU59">
            <v>24.530999999999999</v>
          </cell>
          <cell r="FV59">
            <v>16.734999999999999</v>
          </cell>
          <cell r="FW59">
            <v>23.08</v>
          </cell>
          <cell r="FX59">
            <v>46.214999999999996</v>
          </cell>
          <cell r="FY59">
            <v>34.443999999999996</v>
          </cell>
          <cell r="FZ59">
            <v>15.5</v>
          </cell>
          <cell r="GA59">
            <v>23.793653822382002</v>
          </cell>
          <cell r="GB59">
            <v>44.140755578006988</v>
          </cell>
          <cell r="GC59">
            <v>64.731464476445865</v>
          </cell>
          <cell r="GE59">
            <v>20.361000000000001</v>
          </cell>
          <cell r="GF59">
            <v>14.355</v>
          </cell>
          <cell r="GG59">
            <v>55.341000000000001</v>
          </cell>
          <cell r="GH59">
            <v>28.650999999999996</v>
          </cell>
          <cell r="GI59">
            <v>20.796999999999997</v>
          </cell>
          <cell r="GJ59">
            <v>19.561</v>
          </cell>
          <cell r="GL59">
            <v>15.5</v>
          </cell>
          <cell r="GM59">
            <v>23.793653822382002</v>
          </cell>
          <cell r="GN59">
            <v>44.140755578006988</v>
          </cell>
          <cell r="GO59">
            <v>64.731464476445865</v>
          </cell>
          <cell r="GP59">
            <v>103.51016303003112</v>
          </cell>
          <cell r="GQ59">
            <v>104.84583366256258</v>
          </cell>
          <cell r="GR59">
            <v>46.678962802321877</v>
          </cell>
          <cell r="GS59">
            <v>109.32479531753279</v>
          </cell>
          <cell r="GT59">
            <v>155.74594865713556</v>
          </cell>
          <cell r="GU59">
            <v>208.55457384972772</v>
          </cell>
          <cell r="GV59">
            <v>214.1583772096684</v>
          </cell>
          <cell r="GW59">
            <v>36.063712049129137</v>
          </cell>
          <cell r="GX59">
            <v>122.23186173879404</v>
          </cell>
          <cell r="GY59">
            <v>192.64374731956977</v>
          </cell>
          <cell r="GZ59">
            <v>216.52219871210025</v>
          </cell>
          <cell r="HA59">
            <v>240.86574647485992</v>
          </cell>
          <cell r="HB59">
            <v>265.2206597925948</v>
          </cell>
          <cell r="HC59">
            <v>289.42820255218658</v>
          </cell>
          <cell r="HD59">
            <v>305.25893681644715</v>
          </cell>
          <cell r="HE59">
            <v>311.07832871475887</v>
          </cell>
          <cell r="HF59">
            <v>313.10923479966721</v>
          </cell>
          <cell r="HG59">
            <v>314.19745497665366</v>
          </cell>
          <cell r="HH59">
            <v>314.22370840812869</v>
          </cell>
          <cell r="HI59">
            <v>322.99517090423905</v>
          </cell>
        </row>
        <row r="60">
          <cell r="FY60" t="str">
            <v xml:space="preserve"> </v>
          </cell>
          <cell r="FZ60" t="str">
            <v xml:space="preserve"> </v>
          </cell>
          <cell r="GA60" t="str">
            <v xml:space="preserve"> </v>
          </cell>
        </row>
        <row r="61">
          <cell r="D61">
            <v>0.16199999999999942</v>
          </cell>
          <cell r="E61">
            <v>0.34199999999999964</v>
          </cell>
          <cell r="F61">
            <v>1.2760000000000002</v>
          </cell>
          <cell r="G61">
            <v>0.84700000000000375</v>
          </cell>
          <cell r="I61">
            <v>1.8329999999999991</v>
          </cell>
          <cell r="J61">
            <v>2.0169999999999968</v>
          </cell>
          <cell r="K61">
            <v>0.43400000000000544</v>
          </cell>
          <cell r="L61">
            <v>2.6880000000000055</v>
          </cell>
          <cell r="N61">
            <v>2.6849999999999996</v>
          </cell>
          <cell r="O61">
            <v>3.9379999999999957</v>
          </cell>
          <cell r="P61">
            <v>5.0020000000000069</v>
          </cell>
          <cell r="Q61">
            <v>4.9779999999999998</v>
          </cell>
          <cell r="S61">
            <v>5.1470000000000038</v>
          </cell>
          <cell r="T61">
            <v>5.8950000000000031</v>
          </cell>
          <cell r="U61">
            <v>2.0979999999999852</v>
          </cell>
          <cell r="V61">
            <v>7.5479999999999849</v>
          </cell>
          <cell r="X61">
            <v>6.5460000000000012</v>
          </cell>
          <cell r="Y61">
            <v>6.6219999999999883</v>
          </cell>
          <cell r="Z61">
            <v>9.6969999999999921</v>
          </cell>
          <cell r="AA61">
            <v>10.935999999999984</v>
          </cell>
          <cell r="AC61">
            <v>11.656999999999982</v>
          </cell>
          <cell r="AD61">
            <v>12.863000000000007</v>
          </cell>
          <cell r="AE61">
            <v>15.491999999999996</v>
          </cell>
          <cell r="AF61">
            <v>16.878000000000007</v>
          </cell>
          <cell r="AH61">
            <v>17.564999999999937</v>
          </cell>
          <cell r="AJ61">
            <v>11.734999999999983</v>
          </cell>
          <cell r="AK61">
            <v>13.043000000000038</v>
          </cell>
          <cell r="AL61">
            <v>15.795999999999982</v>
          </cell>
          <cell r="AM61">
            <v>17.202999999999999</v>
          </cell>
          <cell r="AO61">
            <v>13.230999999999948</v>
          </cell>
          <cell r="AP61">
            <v>15.265000000000029</v>
          </cell>
          <cell r="AQ61">
            <v>17.384999999999973</v>
          </cell>
          <cell r="AR61">
            <v>20.36300000000001</v>
          </cell>
          <cell r="AT61">
            <v>18.853999999999946</v>
          </cell>
          <cell r="AU61">
            <v>30.607000000000035</v>
          </cell>
          <cell r="AV61">
            <v>38.065999999999995</v>
          </cell>
          <cell r="AW61">
            <v>36.911000000000151</v>
          </cell>
          <cell r="AY61">
            <v>18.568000000000048</v>
          </cell>
          <cell r="AZ61">
            <v>18.086000000000038</v>
          </cell>
          <cell r="BA61">
            <v>21.386000000000031</v>
          </cell>
          <cell r="BB61">
            <v>27.153999999999911</v>
          </cell>
          <cell r="BD61">
            <v>21.71000000000004</v>
          </cell>
          <cell r="BE61">
            <v>22.05299999999999</v>
          </cell>
          <cell r="BF61">
            <v>23.303000000000019</v>
          </cell>
          <cell r="BG61">
            <v>31.521999999999945</v>
          </cell>
          <cell r="BI61">
            <v>18.447999999999997</v>
          </cell>
          <cell r="BJ61">
            <v>23.227999999999994</v>
          </cell>
          <cell r="BK61">
            <v>34.325000000000067</v>
          </cell>
          <cell r="BL61">
            <v>58.323999999999913</v>
          </cell>
          <cell r="BN61">
            <v>27.330999999999971</v>
          </cell>
          <cell r="BO61">
            <v>35.568000000000104</v>
          </cell>
          <cell r="BP61">
            <v>50.576000000000043</v>
          </cell>
          <cell r="BQ61">
            <v>58.323999999999913</v>
          </cell>
          <cell r="BS61">
            <v>28.001999999999942</v>
          </cell>
          <cell r="BT61">
            <v>44.268000000000164</v>
          </cell>
          <cell r="BU61">
            <v>55.377000000000045</v>
          </cell>
          <cell r="BV61">
            <v>58.323999999999913</v>
          </cell>
          <cell r="BX61">
            <v>71.609999999999886</v>
          </cell>
          <cell r="BZ61">
            <v>17.566999999999954</v>
          </cell>
          <cell r="CA61">
            <v>21.868000000000059</v>
          </cell>
          <cell r="CB61">
            <v>28.592000000000034</v>
          </cell>
          <cell r="CC61">
            <v>28.85499999999994</v>
          </cell>
          <cell r="CE61">
            <v>21.604000000000024</v>
          </cell>
          <cell r="CF61">
            <v>20.278000000000013</v>
          </cell>
          <cell r="CG61">
            <v>22.028000000000002</v>
          </cell>
          <cell r="CH61">
            <v>25.538000000000018</v>
          </cell>
          <cell r="CJ61">
            <v>23.696999999999932</v>
          </cell>
          <cell r="CK61">
            <v>31.388000000000019</v>
          </cell>
          <cell r="CL61">
            <v>42.854999999999912</v>
          </cell>
          <cell r="CM61">
            <v>56.296999999999976</v>
          </cell>
          <cell r="CO61">
            <v>71.736999999999995</v>
          </cell>
          <cell r="CP61">
            <v>93.365000000000094</v>
          </cell>
          <cell r="CQ61">
            <v>102.52</v>
          </cell>
          <cell r="CR61">
            <v>106.46240000000002</v>
          </cell>
          <cell r="CT61">
            <v>19.773999999999972</v>
          </cell>
          <cell r="CU61">
            <v>24.074999999999964</v>
          </cell>
          <cell r="CV61">
            <v>30.798999999999936</v>
          </cell>
          <cell r="CW61">
            <v>31.059000000000005</v>
          </cell>
          <cell r="CY61">
            <v>24.360999999999944</v>
          </cell>
          <cell r="CZ61">
            <v>23.03499999999994</v>
          </cell>
          <cell r="DA61">
            <v>25.50599999999995</v>
          </cell>
          <cell r="DB61">
            <v>29.017999999999947</v>
          </cell>
          <cell r="DD61">
            <v>26.786999999999995</v>
          </cell>
          <cell r="DE61">
            <v>34.478000000000065</v>
          </cell>
          <cell r="DF61">
            <v>47.798999999999971</v>
          </cell>
          <cell r="DG61">
            <v>60.545999999999836</v>
          </cell>
          <cell r="DI61">
            <v>70.111000000000246</v>
          </cell>
          <cell r="DJ61">
            <v>92.322000000000116</v>
          </cell>
          <cell r="DK61">
            <v>107.55800000000001</v>
          </cell>
          <cell r="DL61">
            <v>82.401000000000423</v>
          </cell>
          <cell r="DN61">
            <v>88.328000000000074</v>
          </cell>
          <cell r="DO61">
            <v>69.175000000000253</v>
          </cell>
          <cell r="DP61">
            <v>81.989000000000445</v>
          </cell>
          <cell r="DQ61">
            <v>57.896000000000114</v>
          </cell>
          <cell r="DS61">
            <v>25.558001000000218</v>
          </cell>
          <cell r="DT61">
            <v>34.669999999999867</v>
          </cell>
          <cell r="DU61">
            <v>60.650999999999947</v>
          </cell>
          <cell r="DV61">
            <v>19.526000000000014</v>
          </cell>
          <cell r="DX61">
            <v>11.626000000000166</v>
          </cell>
          <cell r="DY61">
            <v>38.97200000000025</v>
          </cell>
          <cell r="DZ61">
            <v>93.944000000000244</v>
          </cell>
          <cell r="EA61">
            <v>52.214884401437999</v>
          </cell>
          <cell r="EC61">
            <v>69.690929535110456</v>
          </cell>
          <cell r="ED61">
            <v>90.210608647760637</v>
          </cell>
          <cell r="EE61">
            <v>138.66391406820335</v>
          </cell>
          <cell r="EF61">
            <v>98.701347950988378</v>
          </cell>
          <cell r="EH61">
            <v>113.88992442719561</v>
          </cell>
          <cell r="EI61">
            <v>136.0401760525109</v>
          </cell>
          <cell r="EJ61">
            <v>191.70792955109931</v>
          </cell>
          <cell r="EK61">
            <v>140.94515025720696</v>
          </cell>
          <cell r="EM61">
            <v>2.8327200000000032</v>
          </cell>
          <cell r="EN61">
            <v>7.4227999999999881</v>
          </cell>
          <cell r="EO61">
            <v>16.603000000000002</v>
          </cell>
          <cell r="EP61">
            <v>15.077040000000002</v>
          </cell>
          <cell r="EQ61">
            <v>6.7880000000000118</v>
          </cell>
          <cell r="ER61">
            <v>16.107999999999986</v>
          </cell>
          <cell r="ES61">
            <v>20.687999999999892</v>
          </cell>
          <cell r="ET61">
            <v>33.800999999999789</v>
          </cell>
          <cell r="EU61">
            <v>56.8900000000001</v>
          </cell>
          <cell r="EW61">
            <v>32.430639999999904</v>
          </cell>
          <cell r="EX61">
            <v>57.777000000000001</v>
          </cell>
          <cell r="EZ61">
            <v>29.812000000000054</v>
          </cell>
          <cell r="FA61">
            <v>26.247000000000092</v>
          </cell>
          <cell r="FB61">
            <v>38.719999999999985</v>
          </cell>
          <cell r="FC61">
            <v>66.244000000000071</v>
          </cell>
          <cell r="FD61">
            <v>124.43799999999999</v>
          </cell>
          <cell r="FF61">
            <v>85.194000000000017</v>
          </cell>
          <cell r="FH61">
            <v>60.03000000000003</v>
          </cell>
          <cell r="FI61">
            <v>59.377000000000123</v>
          </cell>
          <cell r="FJ61">
            <v>84.862999999999943</v>
          </cell>
          <cell r="FK61">
            <v>98.588000000000008</v>
          </cell>
          <cell r="FL61">
            <v>185.97100000000006</v>
          </cell>
          <cell r="FN61">
            <v>60.03000000000003</v>
          </cell>
          <cell r="FO61">
            <v>64.665000000000106</v>
          </cell>
          <cell r="FP61">
            <v>96.881999999999977</v>
          </cell>
          <cell r="FQ61">
            <v>89.448000000000036</v>
          </cell>
          <cell r="FR61">
            <v>154.23699999999982</v>
          </cell>
          <cell r="FT61">
            <v>64.665000000000106</v>
          </cell>
          <cell r="FU61">
            <v>105.70699999999988</v>
          </cell>
          <cell r="FV61">
            <v>101.91999999999979</v>
          </cell>
          <cell r="FW61">
            <v>169.60999999999984</v>
          </cell>
          <cell r="FX61">
            <v>352.39200000000079</v>
          </cell>
          <cell r="FY61">
            <v>297.38800000000089</v>
          </cell>
          <cell r="FZ61">
            <v>140.40500100000006</v>
          </cell>
          <cell r="GA61">
            <v>196.75688440143864</v>
          </cell>
          <cell r="GB61">
            <v>397.26680020206288</v>
          </cell>
          <cell r="GC61">
            <v>582.58318028801273</v>
          </cell>
          <cell r="GE61">
            <v>103.96099999999984</v>
          </cell>
          <cell r="GF61">
            <v>138.08199999999999</v>
          </cell>
          <cell r="GG61">
            <v>330.53700000000021</v>
          </cell>
          <cell r="GH61">
            <v>321.89300000000117</v>
          </cell>
          <cell r="GI61">
            <v>178.77500100000015</v>
          </cell>
          <cell r="GJ61">
            <v>164.06800000000067</v>
          </cell>
          <cell r="GL61">
            <v>140.40500100000006</v>
          </cell>
          <cell r="GM61">
            <v>196.75688440143864</v>
          </cell>
          <cell r="GN61">
            <v>397.26680020206288</v>
          </cell>
          <cell r="GO61">
            <v>582.58318028801273</v>
          </cell>
          <cell r="GP61">
            <v>931.59146727027985</v>
          </cell>
          <cell r="GQ61">
            <v>943.61250296306287</v>
          </cell>
          <cell r="GR61">
            <v>420.11066522089675</v>
          </cell>
          <cell r="GS61">
            <v>983.92315785779465</v>
          </cell>
          <cell r="GT61">
            <v>1401.7135379142194</v>
          </cell>
          <cell r="GU61">
            <v>1876.9911646475489</v>
          </cell>
          <cell r="GV61">
            <v>1927.425394887015</v>
          </cell>
          <cell r="GW61">
            <v>324.57340844216208</v>
          </cell>
          <cell r="GX61">
            <v>1100.0867556491457</v>
          </cell>
          <cell r="GY61">
            <v>1733.7937258761274</v>
          </cell>
          <cell r="GZ61">
            <v>1948.6997884089014</v>
          </cell>
          <cell r="HA61">
            <v>2167.7917182737383</v>
          </cell>
          <cell r="HB61">
            <v>2386.9859381333522</v>
          </cell>
          <cell r="HC61">
            <v>2604.8538229696783</v>
          </cell>
          <cell r="HD61">
            <v>2747.3304313480235</v>
          </cell>
          <cell r="HE61">
            <v>2799.7049584328288</v>
          </cell>
          <cell r="HF61">
            <v>2817.9831131970036</v>
          </cell>
          <cell r="HG61">
            <v>2827.7770947898821</v>
          </cell>
          <cell r="HH61">
            <v>2828.0133756731566</v>
          </cell>
          <cell r="HI61">
            <v>2906.9565381381503</v>
          </cell>
        </row>
        <row r="62">
          <cell r="D62">
            <v>0.41599999999999998</v>
          </cell>
          <cell r="E62">
            <v>-0.83</v>
          </cell>
          <cell r="F62" t="str">
            <v xml:space="preserve"> --</v>
          </cell>
          <cell r="G62" t="str">
            <v xml:space="preserve"> --</v>
          </cell>
          <cell r="I62" t="str">
            <v xml:space="preserve"> --</v>
          </cell>
          <cell r="J62" t="str">
            <v xml:space="preserve"> --</v>
          </cell>
          <cell r="K62" t="str">
            <v xml:space="preserve"> --</v>
          </cell>
          <cell r="L62">
            <v>-0.81599999999999995</v>
          </cell>
          <cell r="N62" t="str">
            <v xml:space="preserve"> --</v>
          </cell>
          <cell r="O62" t="str">
            <v xml:space="preserve"> --</v>
          </cell>
          <cell r="P62" t="str">
            <v xml:space="preserve"> --</v>
          </cell>
          <cell r="Q62">
            <v>-34.015999999999998</v>
          </cell>
          <cell r="S62" t="str">
            <v xml:space="preserve"> --</v>
          </cell>
          <cell r="T62" t="str">
            <v xml:space="preserve"> --</v>
          </cell>
          <cell r="U62">
            <v>-2.3210000000000002</v>
          </cell>
          <cell r="V62">
            <v>-6.7469999999999999</v>
          </cell>
          <cell r="X62" t="str">
            <v xml:space="preserve"> --</v>
          </cell>
          <cell r="Y62" t="str">
            <v xml:space="preserve"> --</v>
          </cell>
          <cell r="Z62">
            <v>-3.7559999999999998</v>
          </cell>
          <cell r="AA62">
            <v>-10.1287</v>
          </cell>
          <cell r="AC62" t="str">
            <v>--</v>
          </cell>
          <cell r="AD62" t="str">
            <v>--</v>
          </cell>
          <cell r="AE62" t="str">
            <v>--</v>
          </cell>
          <cell r="AF62">
            <v>-5.3610000000000007</v>
          </cell>
          <cell r="AH62" t="str">
            <v>--</v>
          </cell>
          <cell r="AJ62" t="str">
            <v xml:space="preserve"> --</v>
          </cell>
          <cell r="AK62" t="str">
            <v xml:space="preserve"> --</v>
          </cell>
          <cell r="AL62" t="str">
            <v xml:space="preserve"> --</v>
          </cell>
          <cell r="AM62">
            <v>-5.3610000000000007</v>
          </cell>
          <cell r="AO62" t="str">
            <v>--</v>
          </cell>
          <cell r="AP62" t="str">
            <v>--</v>
          </cell>
          <cell r="AQ62" t="str">
            <v>--</v>
          </cell>
          <cell r="AR62">
            <v>-5.3610000000000007</v>
          </cell>
          <cell r="AT62" t="str">
            <v>--</v>
          </cell>
          <cell r="AU62">
            <v>-2.4550000000000001</v>
          </cell>
          <cell r="AV62" t="str">
            <v>--</v>
          </cell>
          <cell r="AW62">
            <v>-1.0680000000000001</v>
          </cell>
          <cell r="AY62">
            <v>-36.834000000000046</v>
          </cell>
          <cell r="AZ62" t="str">
            <v>--</v>
          </cell>
          <cell r="BA62" t="str">
            <v>--</v>
          </cell>
          <cell r="BB62">
            <v>-12.955999999999911</v>
          </cell>
          <cell r="BD62">
            <v>-36.83</v>
          </cell>
          <cell r="BE62" t="str">
            <v xml:space="preserve"> --</v>
          </cell>
          <cell r="BF62" t="str">
            <v xml:space="preserve"> --</v>
          </cell>
          <cell r="BG62">
            <v>-12.956</v>
          </cell>
          <cell r="BI62" t="str">
            <v>--</v>
          </cell>
          <cell r="BJ62">
            <v>-3.4590000000000001</v>
          </cell>
          <cell r="BK62" t="str">
            <v>--</v>
          </cell>
          <cell r="BL62">
            <v>-1.0680000000000001</v>
          </cell>
          <cell r="BN62" t="str">
            <v xml:space="preserve"> --</v>
          </cell>
          <cell r="BO62">
            <v>-3.4590000000001027</v>
          </cell>
          <cell r="BP62" t="str">
            <v xml:space="preserve"> --</v>
          </cell>
          <cell r="BQ62">
            <v>-1.0680000000000001</v>
          </cell>
          <cell r="BS62" t="str">
            <v xml:space="preserve"> --</v>
          </cell>
          <cell r="BT62">
            <v>-3.4590000000000001</v>
          </cell>
          <cell r="BU62" t="str">
            <v xml:space="preserve"> --</v>
          </cell>
          <cell r="BV62">
            <v>-1.0680000000000001</v>
          </cell>
          <cell r="BX62">
            <v>-440.673</v>
          </cell>
          <cell r="BZ62" t="str">
            <v xml:space="preserve"> --</v>
          </cell>
          <cell r="CA62" t="str">
            <v xml:space="preserve"> --</v>
          </cell>
          <cell r="CB62">
            <v>-3.9990000000000001</v>
          </cell>
          <cell r="CC62">
            <v>-15.216000000000001</v>
          </cell>
          <cell r="CE62">
            <v>-36.83</v>
          </cell>
          <cell r="CF62" t="str">
            <v xml:space="preserve"> --</v>
          </cell>
          <cell r="CG62" t="str">
            <v xml:space="preserve"> --</v>
          </cell>
          <cell r="CH62">
            <v>-14.087</v>
          </cell>
          <cell r="CJ62" t="str">
            <v>--</v>
          </cell>
          <cell r="CK62">
            <v>-3.5230000000000001</v>
          </cell>
          <cell r="CL62" t="str">
            <v xml:space="preserve"> --</v>
          </cell>
          <cell r="CM62">
            <v>-7.5190000000000001</v>
          </cell>
          <cell r="CO62">
            <v>-440.673</v>
          </cell>
          <cell r="CP62">
            <v>-42.395000000000095</v>
          </cell>
          <cell r="CQ62" t="str">
            <v xml:space="preserve"> --</v>
          </cell>
          <cell r="CR62" t="str">
            <v xml:space="preserve"> --</v>
          </cell>
          <cell r="CT62">
            <v>0</v>
          </cell>
          <cell r="CU62">
            <v>0</v>
          </cell>
          <cell r="CV62">
            <v>-3.9990000000000001</v>
          </cell>
          <cell r="CW62">
            <v>-15.216000000000001</v>
          </cell>
          <cell r="CY62">
            <v>-36.83</v>
          </cell>
          <cell r="CZ62">
            <v>0</v>
          </cell>
          <cell r="DA62">
            <v>0</v>
          </cell>
          <cell r="DB62">
            <v>-14.087</v>
          </cell>
          <cell r="DD62">
            <v>0</v>
          </cell>
          <cell r="DE62">
            <v>-3.5230000000000001</v>
          </cell>
          <cell r="DF62">
            <v>0</v>
          </cell>
          <cell r="DG62">
            <v>-7.5190000000000001</v>
          </cell>
          <cell r="DI62">
            <v>-440.673</v>
          </cell>
          <cell r="DJ62">
            <v>-42.395000000000003</v>
          </cell>
          <cell r="DK62">
            <v>-39.776000000000003</v>
          </cell>
          <cell r="DL62">
            <v>-275.56700000000001</v>
          </cell>
          <cell r="DN62">
            <v>0</v>
          </cell>
          <cell r="DO62">
            <v>-398.98</v>
          </cell>
          <cell r="DP62">
            <v>0</v>
          </cell>
          <cell r="DQ62">
            <v>-52.146000000000001</v>
          </cell>
          <cell r="DS62">
            <v>-156.72999999999999</v>
          </cell>
          <cell r="DT62">
            <v>0</v>
          </cell>
          <cell r="DU62">
            <v>-67.128</v>
          </cell>
          <cell r="DV62">
            <v>0</v>
          </cell>
          <cell r="DX62">
            <v>-301.32</v>
          </cell>
          <cell r="DY62">
            <v>-139.06200000000001</v>
          </cell>
          <cell r="DZ62">
            <v>-62.962000000000003</v>
          </cell>
          <cell r="EA62">
            <v>-35</v>
          </cell>
          <cell r="EC62">
            <v>0</v>
          </cell>
          <cell r="ED62">
            <v>0</v>
          </cell>
          <cell r="EE62">
            <v>0</v>
          </cell>
          <cell r="EF62">
            <v>0</v>
          </cell>
          <cell r="EH62">
            <v>0</v>
          </cell>
          <cell r="EI62">
            <v>0</v>
          </cell>
          <cell r="EJ62">
            <v>0</v>
          </cell>
          <cell r="EK62">
            <v>0</v>
          </cell>
          <cell r="EM62">
            <v>-0.41399999999999998</v>
          </cell>
          <cell r="EN62">
            <v>-0.81599999999999995</v>
          </cell>
          <cell r="EO62">
            <v>-34.015999999999998</v>
          </cell>
          <cell r="EP62">
            <v>-7.4580000000000002</v>
          </cell>
          <cell r="EQ62">
            <v>-0.90699999999999992</v>
          </cell>
          <cell r="ER62">
            <v>-30.254000000000001</v>
          </cell>
          <cell r="ES62">
            <v>-9.0679999999999996</v>
          </cell>
          <cell r="ET62">
            <v>-13.8847</v>
          </cell>
          <cell r="EU62">
            <v>-5.3610000000000007</v>
          </cell>
          <cell r="EW62">
            <v>-14.179639999999903</v>
          </cell>
          <cell r="EX62">
            <v>-5.3610000000000007</v>
          </cell>
          <cell r="EZ62">
            <v>-30.254000000000001</v>
          </cell>
          <cell r="FA62">
            <v>-5.8679999999999986</v>
          </cell>
          <cell r="FB62">
            <v>-16.283999999999999</v>
          </cell>
          <cell r="FC62">
            <v>-5.3610000000000007</v>
          </cell>
          <cell r="FD62">
            <v>-3.5230000000000001</v>
          </cell>
          <cell r="FF62">
            <v>-49.789999999999957</v>
          </cell>
          <cell r="FH62">
            <v>-30.962</v>
          </cell>
          <cell r="FI62">
            <v>-22.400000000000002</v>
          </cell>
          <cell r="FJ62">
            <v>-16.283999999999999</v>
          </cell>
          <cell r="FK62">
            <v>-49.786000000000001</v>
          </cell>
          <cell r="FL62">
            <v>-4.5270000000000001</v>
          </cell>
          <cell r="FN62">
            <v>-30.962</v>
          </cell>
          <cell r="FO62">
            <v>-21.092000000000002</v>
          </cell>
          <cell r="FP62">
            <v>-19.215</v>
          </cell>
          <cell r="FQ62">
            <v>-50.917000000000002</v>
          </cell>
          <cell r="FR62">
            <v>-11.042</v>
          </cell>
          <cell r="FT62">
            <v>-21.092000000000002</v>
          </cell>
          <cell r="FU62">
            <v>-19.215</v>
          </cell>
          <cell r="FV62">
            <v>-50.917000000000002</v>
          </cell>
          <cell r="FW62">
            <v>-11.042</v>
          </cell>
          <cell r="FX62">
            <v>-798.41099999999994</v>
          </cell>
          <cell r="FY62">
            <v>-451.12600000000003</v>
          </cell>
          <cell r="FZ62">
            <v>-223.858</v>
          </cell>
          <cell r="GA62">
            <v>-538.34400000000005</v>
          </cell>
          <cell r="GB62">
            <v>0</v>
          </cell>
          <cell r="GC62">
            <v>0</v>
          </cell>
          <cell r="GE62">
            <v>-52.045999999999999</v>
          </cell>
          <cell r="GF62">
            <v>-17.61</v>
          </cell>
          <cell r="GG62">
            <v>-530.36299999999994</v>
          </cell>
          <cell r="GH62">
            <v>-674.54700000000003</v>
          </cell>
          <cell r="GI62">
            <v>-276.00399999999996</v>
          </cell>
          <cell r="GJ62">
            <v>-503.34399999999999</v>
          </cell>
          <cell r="GL62">
            <v>-223.858</v>
          </cell>
          <cell r="GM62">
            <v>-538.34400000000005</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row>
        <row r="63">
          <cell r="DE63">
            <v>-3.5</v>
          </cell>
          <cell r="DI63">
            <v>-176.6</v>
          </cell>
          <cell r="DJ63">
            <v>-42.4</v>
          </cell>
          <cell r="DK63">
            <v>-39.799999999999997</v>
          </cell>
          <cell r="FX63">
            <v>-258.8</v>
          </cell>
          <cell r="FY63">
            <v>0</v>
          </cell>
          <cell r="FZ63">
            <v>0</v>
          </cell>
          <cell r="GA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row>
        <row r="64">
          <cell r="DG64">
            <v>-7.5</v>
          </cell>
          <cell r="DL64">
            <v>-275.60000000000002</v>
          </cell>
          <cell r="DO64">
            <v>-259.81536</v>
          </cell>
          <cell r="DQ64">
            <v>-26.1</v>
          </cell>
          <cell r="DS64">
            <v>-75.73</v>
          </cell>
          <cell r="DU64">
            <v>-67.128</v>
          </cell>
          <cell r="DX64">
            <v>-292.60000000000002</v>
          </cell>
          <cell r="DY64">
            <v>-29.266670000000001</v>
          </cell>
          <cell r="DZ64">
            <v>-49.540999999999997</v>
          </cell>
          <cell r="EA64">
            <v>-35</v>
          </cell>
          <cell r="FX64">
            <v>-275.60000000000002</v>
          </cell>
          <cell r="FY64">
            <v>-285.91536000000002</v>
          </cell>
          <cell r="FZ64">
            <v>-142.858</v>
          </cell>
          <cell r="GA64">
            <v>-406.40767</v>
          </cell>
          <cell r="GL64">
            <v>-142.858</v>
          </cell>
          <cell r="GM64">
            <v>-406.40767</v>
          </cell>
          <cell r="GN64">
            <v>0</v>
          </cell>
          <cell r="GO64">
            <v>0</v>
          </cell>
          <cell r="GP64">
            <v>0</v>
          </cell>
          <cell r="GQ64">
            <v>0</v>
          </cell>
          <cell r="GR64">
            <v>0</v>
          </cell>
          <cell r="GS64">
            <v>0</v>
          </cell>
          <cell r="GT64">
            <v>0</v>
          </cell>
          <cell r="GU64">
            <v>0</v>
          </cell>
          <cell r="GV64">
            <v>0</v>
          </cell>
          <cell r="GW64">
            <v>0</v>
          </cell>
          <cell r="GX64">
            <v>0</v>
          </cell>
          <cell r="GY64">
            <v>0</v>
          </cell>
          <cell r="GZ64">
            <v>0</v>
          </cell>
        </row>
        <row r="65">
          <cell r="DI65">
            <v>-264.10000000000002</v>
          </cell>
          <cell r="DX65">
            <v>-8.6999999999999993</v>
          </cell>
          <cell r="DY65">
            <v>-95.2</v>
          </cell>
          <cell r="FX65">
            <v>-264.10000000000002</v>
          </cell>
          <cell r="FY65">
            <v>0</v>
          </cell>
          <cell r="FZ65">
            <v>0</v>
          </cell>
          <cell r="GA65">
            <v>-103.9</v>
          </cell>
          <cell r="GL65">
            <v>0</v>
          </cell>
          <cell r="GM65">
            <v>-103.9</v>
          </cell>
          <cell r="GN65">
            <v>0</v>
          </cell>
          <cell r="GO65">
            <v>0</v>
          </cell>
          <cell r="GP65">
            <v>0</v>
          </cell>
          <cell r="GQ65">
            <v>0</v>
          </cell>
          <cell r="GR65">
            <v>0</v>
          </cell>
          <cell r="GS65">
            <v>0</v>
          </cell>
          <cell r="GT65">
            <v>0</v>
          </cell>
          <cell r="GU65">
            <v>0</v>
          </cell>
          <cell r="GV65">
            <v>0</v>
          </cell>
          <cell r="GW65">
            <v>0</v>
          </cell>
          <cell r="GX65">
            <v>0</v>
          </cell>
          <cell r="GY65">
            <v>0</v>
          </cell>
          <cell r="GZ65">
            <v>0</v>
          </cell>
        </row>
        <row r="66">
          <cell r="DO66">
            <v>-139.18679999999998</v>
          </cell>
          <cell r="DQ66">
            <v>-26</v>
          </cell>
          <cell r="DS66">
            <v>-81</v>
          </cell>
          <cell r="DY66">
            <v>-14.632999999999999</v>
          </cell>
          <cell r="FX66">
            <v>0</v>
          </cell>
          <cell r="FY66">
            <v>-165.18679999999998</v>
          </cell>
          <cell r="FZ66">
            <v>-81</v>
          </cell>
          <cell r="GA66">
            <v>-14.632999999999999</v>
          </cell>
          <cell r="GL66">
            <v>-81</v>
          </cell>
          <cell r="GM66">
            <v>-14.632999999999999</v>
          </cell>
          <cell r="GN66">
            <v>0</v>
          </cell>
          <cell r="GO66">
            <v>0</v>
          </cell>
          <cell r="GP66">
            <v>0</v>
          </cell>
          <cell r="GQ66">
            <v>0</v>
          </cell>
          <cell r="GR66">
            <v>0</v>
          </cell>
          <cell r="GS66">
            <v>0</v>
          </cell>
          <cell r="GT66">
            <v>0</v>
          </cell>
          <cell r="GU66">
            <v>0</v>
          </cell>
          <cell r="GV66">
            <v>0</v>
          </cell>
          <cell r="GW66">
            <v>0</v>
          </cell>
          <cell r="GX66">
            <v>0</v>
          </cell>
          <cell r="GY66">
            <v>0</v>
          </cell>
          <cell r="GZ66">
            <v>0</v>
          </cell>
        </row>
        <row r="67">
          <cell r="D67">
            <v>0.5779999999999994</v>
          </cell>
          <cell r="E67">
            <v>-0.48800000000000032</v>
          </cell>
          <cell r="F67">
            <v>1.2760000000000002</v>
          </cell>
          <cell r="G67">
            <v>0.84700000000000375</v>
          </cell>
          <cell r="I67">
            <v>1.8329999999999991</v>
          </cell>
          <cell r="J67">
            <v>2.0169999999999968</v>
          </cell>
          <cell r="K67">
            <v>0.43400000000000544</v>
          </cell>
          <cell r="L67">
            <v>1.8720000000000057</v>
          </cell>
          <cell r="N67">
            <v>2.6849999999999996</v>
          </cell>
          <cell r="O67">
            <v>3.9379999999999957</v>
          </cell>
          <cell r="P67">
            <v>5.0020000000000069</v>
          </cell>
          <cell r="Q67">
            <v>-29.037999999999997</v>
          </cell>
          <cell r="S67">
            <v>5.1470000000000038</v>
          </cell>
          <cell r="T67">
            <v>5.8950000000000031</v>
          </cell>
          <cell r="U67">
            <v>-0.22300000000001496</v>
          </cell>
          <cell r="V67">
            <v>0.80099999999998506</v>
          </cell>
          <cell r="X67">
            <v>6.5460000000000012</v>
          </cell>
          <cell r="Y67">
            <v>6.6219999999999883</v>
          </cell>
          <cell r="Z67">
            <v>5.9409999999999918</v>
          </cell>
          <cell r="AA67">
            <v>0.8072999999999837</v>
          </cell>
          <cell r="AC67">
            <v>11.656999999999982</v>
          </cell>
          <cell r="AD67">
            <v>12.863000000000007</v>
          </cell>
          <cell r="AE67">
            <v>15.491999999999996</v>
          </cell>
          <cell r="AF67">
            <v>11.517000000000007</v>
          </cell>
          <cell r="AH67">
            <v>17.564999999999937</v>
          </cell>
          <cell r="AJ67">
            <v>11.734999999999983</v>
          </cell>
          <cell r="AK67">
            <v>13.043000000000038</v>
          </cell>
          <cell r="AL67">
            <v>15.795999999999982</v>
          </cell>
          <cell r="AM67">
            <v>11.841999999999999</v>
          </cell>
          <cell r="AO67">
            <v>13.230999999999948</v>
          </cell>
          <cell r="AP67">
            <v>15.265000000000029</v>
          </cell>
          <cell r="AQ67">
            <v>17.384999999999973</v>
          </cell>
          <cell r="AR67">
            <v>15.00200000000001</v>
          </cell>
          <cell r="AT67">
            <v>18.853999999999946</v>
          </cell>
          <cell r="AU67">
            <v>28.152000000000037</v>
          </cell>
          <cell r="AV67">
            <v>38.065999999999995</v>
          </cell>
          <cell r="AW67">
            <v>35.843000000000153</v>
          </cell>
          <cell r="AY67">
            <v>-18.265999999999998</v>
          </cell>
          <cell r="AZ67">
            <v>18.086000000000038</v>
          </cell>
          <cell r="BA67">
            <v>21.386000000000031</v>
          </cell>
          <cell r="BB67">
            <v>14.198</v>
          </cell>
          <cell r="BD67">
            <v>-15.119999999999958</v>
          </cell>
          <cell r="BE67">
            <v>22.05299999999999</v>
          </cell>
          <cell r="BF67">
            <v>23.303000000000019</v>
          </cell>
          <cell r="BG67">
            <v>18.565999999999946</v>
          </cell>
          <cell r="BI67">
            <v>18.447999999999997</v>
          </cell>
          <cell r="BJ67">
            <v>19.768999999999995</v>
          </cell>
          <cell r="BK67">
            <v>34.325000000000067</v>
          </cell>
          <cell r="BL67">
            <v>57.255999999999915</v>
          </cell>
          <cell r="BN67">
            <v>27.330999999999971</v>
          </cell>
          <cell r="BO67">
            <v>32.109000000000002</v>
          </cell>
          <cell r="BP67">
            <v>50.576000000000043</v>
          </cell>
          <cell r="BQ67">
            <v>57.255999999999915</v>
          </cell>
          <cell r="BS67">
            <v>28.001999999999942</v>
          </cell>
          <cell r="BT67">
            <v>40.809000000000161</v>
          </cell>
          <cell r="BU67">
            <v>55.377000000000045</v>
          </cell>
          <cell r="BV67">
            <v>57.255999999999915</v>
          </cell>
          <cell r="BX67">
            <v>-369.0630000000001</v>
          </cell>
          <cell r="BZ67">
            <v>17.566999999999954</v>
          </cell>
          <cell r="CA67">
            <v>21.868000000000059</v>
          </cell>
          <cell r="CB67">
            <v>24.593000000000035</v>
          </cell>
          <cell r="CC67">
            <v>13.638999999999939</v>
          </cell>
          <cell r="CE67">
            <v>-15.225999999999974</v>
          </cell>
          <cell r="CF67">
            <v>20.278000000000013</v>
          </cell>
          <cell r="CG67">
            <v>22.028000000000002</v>
          </cell>
          <cell r="CH67">
            <v>11.451000000000018</v>
          </cell>
          <cell r="CJ67">
            <v>23.696999999999932</v>
          </cell>
          <cell r="CK67">
            <v>27.86500000000002</v>
          </cell>
          <cell r="CL67">
            <v>42.854999999999912</v>
          </cell>
          <cell r="CM67">
            <v>48.777999999999977</v>
          </cell>
          <cell r="CO67">
            <v>-368.93600000000004</v>
          </cell>
          <cell r="CP67">
            <v>50.97</v>
          </cell>
          <cell r="CQ67">
            <v>102.52</v>
          </cell>
          <cell r="CR67">
            <v>106.46240000000002</v>
          </cell>
          <cell r="CT67">
            <v>19.773999999999972</v>
          </cell>
          <cell r="CU67">
            <v>24.074999999999964</v>
          </cell>
          <cell r="CV67">
            <v>26.799999999999937</v>
          </cell>
          <cell r="CW67">
            <v>15.843000000000004</v>
          </cell>
          <cell r="CY67">
            <v>-12.469000000000054</v>
          </cell>
          <cell r="CZ67">
            <v>23.03499999999994</v>
          </cell>
          <cell r="DA67">
            <v>25.50599999999995</v>
          </cell>
          <cell r="DB67">
            <v>14.930999999999948</v>
          </cell>
          <cell r="DD67">
            <v>26.786999999999995</v>
          </cell>
          <cell r="DE67">
            <v>30.955000000000066</v>
          </cell>
          <cell r="DF67">
            <v>47.798999999999971</v>
          </cell>
          <cell r="DG67">
            <v>53.026999999999838</v>
          </cell>
          <cell r="DI67">
            <v>-370.56199999999978</v>
          </cell>
          <cell r="DJ67">
            <v>49.927000000000113</v>
          </cell>
          <cell r="DK67">
            <v>67.782000000000011</v>
          </cell>
          <cell r="DL67">
            <v>-193.1659999999996</v>
          </cell>
          <cell r="DN67">
            <v>88.328000000000074</v>
          </cell>
          <cell r="DO67">
            <v>-329.80499999999978</v>
          </cell>
          <cell r="DP67">
            <v>81.989000000000445</v>
          </cell>
          <cell r="DQ67">
            <v>5.7500000000001137</v>
          </cell>
          <cell r="DS67">
            <v>-131.17199899999977</v>
          </cell>
          <cell r="DT67">
            <v>34.669999999999867</v>
          </cell>
          <cell r="DU67">
            <v>-6.4770000000000536</v>
          </cell>
          <cell r="DV67">
            <v>19.526000000000014</v>
          </cell>
          <cell r="DX67">
            <v>-289.69399999999985</v>
          </cell>
          <cell r="DY67">
            <v>-100.08999999999976</v>
          </cell>
          <cell r="DZ67">
            <v>30.982000000000241</v>
          </cell>
          <cell r="EA67">
            <v>17.214884401437999</v>
          </cell>
          <cell r="EC67">
            <v>69.690929535110456</v>
          </cell>
          <cell r="ED67">
            <v>90.210608647760637</v>
          </cell>
          <cell r="EE67">
            <v>138.66391406820335</v>
          </cell>
          <cell r="EF67">
            <v>98.701347950988378</v>
          </cell>
          <cell r="EH67">
            <v>113.88992442719561</v>
          </cell>
          <cell r="EI67">
            <v>136.0401760525109</v>
          </cell>
          <cell r="EJ67">
            <v>191.70792955109931</v>
          </cell>
          <cell r="EK67">
            <v>140.94515025720696</v>
          </cell>
          <cell r="EM67">
            <v>2.4187200000000031</v>
          </cell>
          <cell r="EN67">
            <v>6.6067999999999882</v>
          </cell>
          <cell r="EO67">
            <v>-17.412999999999993</v>
          </cell>
          <cell r="EP67">
            <v>7.6190400000000018</v>
          </cell>
          <cell r="EQ67">
            <v>5.8810000000000118</v>
          </cell>
          <cell r="ER67">
            <v>-14.146000000000015</v>
          </cell>
          <cell r="ES67">
            <v>11.619999999999893</v>
          </cell>
          <cell r="ET67">
            <v>19.916299999999787</v>
          </cell>
          <cell r="EU67">
            <v>51.529000000000096</v>
          </cell>
          <cell r="EW67">
            <v>18.251000000000001</v>
          </cell>
          <cell r="EX67">
            <v>52.415999999999997</v>
          </cell>
          <cell r="EZ67">
            <v>-0.44199999999994688</v>
          </cell>
          <cell r="FA67">
            <v>20.379000000000094</v>
          </cell>
          <cell r="FB67">
            <v>22.435999999999986</v>
          </cell>
          <cell r="FC67">
            <v>60.883000000000067</v>
          </cell>
          <cell r="FD67">
            <v>120.91499999999999</v>
          </cell>
          <cell r="FF67">
            <v>35.40400000000006</v>
          </cell>
          <cell r="FH67">
            <v>29.06800000000003</v>
          </cell>
          <cell r="FI67">
            <v>36.977000000000118</v>
          </cell>
          <cell r="FJ67">
            <v>68.578999999999951</v>
          </cell>
          <cell r="FK67">
            <v>48.802000000000007</v>
          </cell>
          <cell r="FL67">
            <v>181.44400000000007</v>
          </cell>
          <cell r="FN67">
            <v>29.06800000000003</v>
          </cell>
          <cell r="FO67">
            <v>43.573000000000107</v>
          </cell>
          <cell r="FP67">
            <v>77.666999999999973</v>
          </cell>
          <cell r="FQ67">
            <v>38.531000000000034</v>
          </cell>
          <cell r="FR67">
            <v>143.19499999999982</v>
          </cell>
          <cell r="FT67">
            <v>43.573000000000107</v>
          </cell>
          <cell r="FU67">
            <v>86.491999999999877</v>
          </cell>
          <cell r="FV67">
            <v>51.002999999999787</v>
          </cell>
          <cell r="FW67">
            <v>158.56799999999984</v>
          </cell>
          <cell r="FX67">
            <v>-446.01899999999921</v>
          </cell>
          <cell r="FY67">
            <v>-153.73799999999915</v>
          </cell>
          <cell r="FZ67">
            <v>-83.452998999999949</v>
          </cell>
          <cell r="GA67">
            <v>-341.58711559856135</v>
          </cell>
          <cell r="GB67">
            <v>397.26680020206288</v>
          </cell>
          <cell r="GC67">
            <v>582.58318028801273</v>
          </cell>
          <cell r="GE67">
            <v>51.914999999999836</v>
          </cell>
          <cell r="GF67">
            <v>120.47199999999998</v>
          </cell>
          <cell r="GG67">
            <v>-199.82599999999982</v>
          </cell>
          <cell r="GH67">
            <v>-352.65399999999886</v>
          </cell>
          <cell r="GI67">
            <v>-97.228998999999845</v>
          </cell>
          <cell r="GJ67">
            <v>-339.27599999999933</v>
          </cell>
          <cell r="GL67">
            <v>-83.452998999999949</v>
          </cell>
          <cell r="GM67">
            <v>-341.58711559856135</v>
          </cell>
          <cell r="GN67">
            <v>397.26680020206288</v>
          </cell>
          <cell r="GO67">
            <v>582.58318028801273</v>
          </cell>
          <cell r="GP67">
            <v>931.59146727027985</v>
          </cell>
          <cell r="GQ67">
            <v>943.61250296306287</v>
          </cell>
          <cell r="GR67">
            <v>420.11066522089675</v>
          </cell>
          <cell r="GS67">
            <v>983.92315785779465</v>
          </cell>
          <cell r="GT67">
            <v>1401.7135379142194</v>
          </cell>
          <cell r="GU67">
            <v>1876.9911646475489</v>
          </cell>
          <cell r="GV67">
            <v>1927.425394887015</v>
          </cell>
          <cell r="GW67">
            <v>324.57340844216208</v>
          </cell>
          <cell r="GX67">
            <v>1100.0867556491457</v>
          </cell>
          <cell r="GY67">
            <v>1733.7937258761274</v>
          </cell>
          <cell r="GZ67">
            <v>1948.6997884089014</v>
          </cell>
          <cell r="HA67">
            <v>2167.7917182737383</v>
          </cell>
          <cell r="HB67">
            <v>2386.9859381333522</v>
          </cell>
          <cell r="HC67">
            <v>2604.8538229696783</v>
          </cell>
          <cell r="HD67">
            <v>2747.3304313480235</v>
          </cell>
          <cell r="HE67">
            <v>2799.7049584328288</v>
          </cell>
          <cell r="HF67">
            <v>2817.9831131970036</v>
          </cell>
          <cell r="HG67">
            <v>2827.7770947898821</v>
          </cell>
          <cell r="HH67">
            <v>2828.0133756731566</v>
          </cell>
          <cell r="HI67">
            <v>2906.9565381381503</v>
          </cell>
        </row>
        <row r="69">
          <cell r="FZ69" t="str">
            <v xml:space="preserve"> </v>
          </cell>
          <cell r="GA69" t="str">
            <v xml:space="preserve"> </v>
          </cell>
        </row>
        <row r="70">
          <cell r="D70">
            <v>3.4062237174095756E-3</v>
          </cell>
          <cell r="E70">
            <v>7.1909167367535665E-3</v>
          </cell>
          <cell r="F70">
            <v>2.682926829268293E-2</v>
          </cell>
          <cell r="G70">
            <v>1.4219043781896383E-2</v>
          </cell>
          <cell r="I70">
            <v>1.9677516317416686E-2</v>
          </cell>
          <cell r="J70">
            <v>2.1235155394592743E-2</v>
          </cell>
          <cell r="K70">
            <v>4.5458354281884264E-3</v>
          </cell>
          <cell r="L70">
            <v>2.7281584930172187E-2</v>
          </cell>
          <cell r="N70">
            <v>2.6884412047420696E-2</v>
          </cell>
          <cell r="O70">
            <v>3.6892003297609194E-2</v>
          </cell>
          <cell r="P70">
            <v>4.5632024521967657E-2</v>
          </cell>
          <cell r="Q70">
            <v>4.4714716872664553E-2</v>
          </cell>
          <cell r="S70">
            <v>3.715065250028874E-2</v>
          </cell>
          <cell r="T70">
            <v>4.3039250043805877E-2</v>
          </cell>
          <cell r="U70">
            <v>1.5077904904271727E-2</v>
          </cell>
          <cell r="V70">
            <v>5.3972884846404556E-2</v>
          </cell>
          <cell r="X70">
            <v>4.6778527326777959E-2</v>
          </cell>
          <cell r="Y70">
            <v>4.6060319403483312E-2</v>
          </cell>
          <cell r="Z70">
            <v>5.9701768211594293E-2</v>
          </cell>
          <cell r="AA70">
            <v>6.5724313668926296E-2</v>
          </cell>
          <cell r="AC70">
            <v>6.6994252873563115E-2</v>
          </cell>
          <cell r="AD70">
            <v>7.4524913093858669E-2</v>
          </cell>
          <cell r="AE70">
            <v>8.4084149280302181E-2</v>
          </cell>
          <cell r="AF70">
            <v>8.1646671826625425E-2</v>
          </cell>
          <cell r="AH70">
            <v>8.3781695380916649E-2</v>
          </cell>
          <cell r="AJ70">
            <v>6.4736969857451698E-2</v>
          </cell>
          <cell r="AK70">
            <v>7.2506226096237872E-2</v>
          </cell>
          <cell r="AL70">
            <v>0.16</v>
          </cell>
          <cell r="AM70">
            <v>8.0384845426339196E-2</v>
          </cell>
          <cell r="AO70">
            <v>7.2126339660491867E-2</v>
          </cell>
          <cell r="AP70">
            <v>8.3846905931077076E-2</v>
          </cell>
          <cell r="AQ70">
            <v>8.9751267410764848E-2</v>
          </cell>
          <cell r="AR70">
            <v>9.4195524058877461E-2</v>
          </cell>
          <cell r="AT70">
            <v>8.6052031036056353E-2</v>
          </cell>
          <cell r="AU70">
            <v>0.13460134570561608</v>
          </cell>
          <cell r="AV70">
            <v>0.15720917170515741</v>
          </cell>
          <cell r="AW70">
            <v>0.14039405119622742</v>
          </cell>
          <cell r="AY70">
            <v>6.6018616624119286E-2</v>
          </cell>
          <cell r="AZ70">
            <v>6.5072066432082118E-2</v>
          </cell>
          <cell r="BA70">
            <v>7.4266227722909917E-2</v>
          </cell>
          <cell r="BB70">
            <v>8.7693688922188276E-2</v>
          </cell>
          <cell r="BD70">
            <v>7.4643286917655274E-2</v>
          </cell>
          <cell r="BE70">
            <v>7.6708755087133429E-2</v>
          </cell>
          <cell r="BF70">
            <v>7.8296777141628415E-2</v>
          </cell>
          <cell r="BG70">
            <v>9.8712930197601065E-2</v>
          </cell>
          <cell r="BI70">
            <v>8.5037337512676309E-2</v>
          </cell>
          <cell r="BJ70">
            <v>0.10658370500890184</v>
          </cell>
          <cell r="BK70">
            <v>0.28999999999999998</v>
          </cell>
          <cell r="BL70">
            <v>0.14837616578729099</v>
          </cell>
          <cell r="BN70">
            <v>0.18</v>
          </cell>
          <cell r="BO70">
            <v>0.11202590252537058</v>
          </cell>
          <cell r="BP70">
            <v>0.14856243170522521</v>
          </cell>
          <cell r="BQ70">
            <v>0.14837616578729099</v>
          </cell>
          <cell r="BS70">
            <v>8.6231107497874979E-2</v>
          </cell>
          <cell r="BT70">
            <v>0.13526859377864744</v>
          </cell>
          <cell r="BU70">
            <v>0.15811699806982893</v>
          </cell>
          <cell r="BV70">
            <v>0.14837616578729099</v>
          </cell>
          <cell r="BX70">
            <v>0.17151274190457916</v>
          </cell>
          <cell r="BZ70">
            <v>6.8870210213506491E-2</v>
          </cell>
          <cell r="CA70">
            <v>8.3480943073540412E-2</v>
          </cell>
          <cell r="CB70">
            <v>0.10128052992331002</v>
          </cell>
          <cell r="CC70">
            <v>9.7232144060600142E-2</v>
          </cell>
          <cell r="CE70">
            <v>7.095235905755938E-2</v>
          </cell>
          <cell r="CF70">
            <v>6.7261063678760294E-2</v>
          </cell>
          <cell r="CG70">
            <v>7.0608900798789648E-2</v>
          </cell>
          <cell r="CH70">
            <v>7.6453295173545266E-2</v>
          </cell>
          <cell r="CJ70">
            <v>6.9287042559909973E-2</v>
          </cell>
          <cell r="CK70">
            <v>9.1706718478372085E-2</v>
          </cell>
          <cell r="CL70">
            <v>0.11681376851493437</v>
          </cell>
          <cell r="CM70">
            <v>0.13722240232437394</v>
          </cell>
          <cell r="CO70">
            <v>0.16424885176688234</v>
          </cell>
          <cell r="CP70">
            <v>0.20138520407062793</v>
          </cell>
          <cell r="CQ70">
            <v>0.22018238283213135</v>
          </cell>
          <cell r="CR70">
            <v>0.22767154105736787</v>
          </cell>
          <cell r="CT70">
            <v>7.3068168381222542E-2</v>
          </cell>
          <cell r="CU70">
            <v>8.6756131487340502E-2</v>
          </cell>
          <cell r="CV70">
            <v>0.10340266236927342</v>
          </cell>
          <cell r="CW70">
            <v>9.9447991444507777E-2</v>
          </cell>
          <cell r="CY70">
            <v>7.6095546594114216E-2</v>
          </cell>
          <cell r="CZ70">
            <v>7.2635140461572725E-2</v>
          </cell>
          <cell r="DA70">
            <v>7.7851677080058329E-2</v>
          </cell>
          <cell r="DB70">
            <v>8.8106342150647179E-2</v>
          </cell>
          <cell r="DD70">
            <v>7.4571354600195414E-2</v>
          </cell>
          <cell r="DE70">
            <v>9.5648676015702122E-2</v>
          </cell>
          <cell r="DF70">
            <v>0.12447105206279922</v>
          </cell>
          <cell r="DG70">
            <v>0.14162111334881755</v>
          </cell>
          <cell r="DI70">
            <v>0.15444856634298557</v>
          </cell>
          <cell r="DJ70">
            <v>0.19201707151191474</v>
          </cell>
          <cell r="DK70">
            <v>0.22470788059090333</v>
          </cell>
          <cell r="DL70">
            <v>0.16388066291310338</v>
          </cell>
          <cell r="DN70">
            <v>0.17252000539076201</v>
          </cell>
          <cell r="DO70">
            <v>0.13799232389646088</v>
          </cell>
          <cell r="DP70">
            <v>0.16141409846006127</v>
          </cell>
          <cell r="DQ70">
            <v>0.1099019166775819</v>
          </cell>
          <cell r="DS70">
            <v>4.8687285452488495E-2</v>
          </cell>
          <cell r="DT70">
            <v>6.6107098457055868E-2</v>
          </cell>
          <cell r="DU70">
            <v>0.11520949166193352</v>
          </cell>
          <cell r="DV70">
            <v>3.6763958291754398E-2</v>
          </cell>
          <cell r="DX70">
            <v>2.113837398521835E-2</v>
          </cell>
          <cell r="DY70">
            <v>7.0001868057651587E-2</v>
          </cell>
          <cell r="DZ70">
            <v>0.16732746981857347</v>
          </cell>
          <cell r="EA70">
            <v>9.2507741153923018E-2</v>
          </cell>
          <cell r="EC70">
            <v>0.1228168179344888</v>
          </cell>
          <cell r="ED70">
            <v>0.15814270551358892</v>
          </cell>
          <cell r="EE70">
            <v>0.24181151941134588</v>
          </cell>
          <cell r="EF70">
            <v>0.17122630352438317</v>
          </cell>
          <cell r="EH70">
            <v>0.19655239115694106</v>
          </cell>
          <cell r="EI70">
            <v>0.23357022730747462</v>
          </cell>
          <cell r="EJ70">
            <v>0.32746068678681484</v>
          </cell>
          <cell r="EK70">
            <v>0.23952421539262753</v>
          </cell>
          <cell r="EM70">
            <v>9.1614489003881083E-2</v>
          </cell>
          <cell r="EN70">
            <v>0.15332562174667413</v>
          </cell>
          <cell r="EO70">
            <v>0.15412315673966209</v>
          </cell>
          <cell r="EP70">
            <v>0.25336156483161931</v>
          </cell>
          <cell r="EQ70">
            <v>0.11403037226179297</v>
          </cell>
          <cell r="ER70">
            <v>0.26004132765078114</v>
          </cell>
          <cell r="ES70">
            <v>0.14924069229477088</v>
          </cell>
          <cell r="ET70">
            <v>0.21826492861078184</v>
          </cell>
          <cell r="EU70">
            <v>0.30724998707434942</v>
          </cell>
          <cell r="EW70">
            <v>0.20261045581767234</v>
          </cell>
          <cell r="EX70">
            <v>0.3776280413800287</v>
          </cell>
          <cell r="EZ70">
            <v>0.22424142132896105</v>
          </cell>
          <cell r="FA70">
            <v>0.17724639051336485</v>
          </cell>
          <cell r="FB70">
            <v>0.2386676035849451</v>
          </cell>
          <cell r="FC70">
            <v>0.34127041368296362</v>
          </cell>
          <cell r="FD70">
            <v>0.52605813619223152</v>
          </cell>
          <cell r="FF70">
            <v>0.2930505997012996</v>
          </cell>
          <cell r="FK70">
            <v>0.32836174934401818</v>
          </cell>
          <cell r="FL70">
            <v>0.53316151005710899</v>
          </cell>
          <cell r="FN70">
            <v>0.26955061426826654</v>
          </cell>
          <cell r="FO70">
            <v>0.25500727578170329</v>
          </cell>
          <cell r="FP70">
            <v>0.35086382727095705</v>
          </cell>
          <cell r="FQ70">
            <v>0.28527561870865459</v>
          </cell>
          <cell r="FR70">
            <v>0.41502993187759035</v>
          </cell>
          <cell r="FT70">
            <v>0.25500627016113175</v>
          </cell>
          <cell r="FU70">
            <v>0.36267495368234426</v>
          </cell>
          <cell r="FV70">
            <v>0.31468870628639245</v>
          </cell>
          <cell r="FW70">
            <v>0.43631219602751431</v>
          </cell>
          <cell r="FX70">
            <v>0.7350541813589071</v>
          </cell>
          <cell r="FY70">
            <v>0.58182834442486608</v>
          </cell>
          <cell r="FZ70">
            <v>0.26676783386323227</v>
          </cell>
          <cell r="GA70">
            <v>0.35097545301536642</v>
          </cell>
          <cell r="GB70">
            <v>0.69399734638380683</v>
          </cell>
          <cell r="GC70">
            <v>0.99710752064385799</v>
          </cell>
          <cell r="GE70">
            <v>0.32603035558025306</v>
          </cell>
          <cell r="GF70">
            <v>0.38279742482934392</v>
          </cell>
          <cell r="GG70">
            <v>0.7127946317946211</v>
          </cell>
          <cell r="GH70">
            <v>0.63580709066038754</v>
          </cell>
          <cell r="GI70">
            <v>0.33990579224905976</v>
          </cell>
          <cell r="GJ70">
            <v>0.29523167015319784</v>
          </cell>
          <cell r="GL70">
            <v>0.26676783386323227</v>
          </cell>
          <cell r="GM70">
            <v>0.35097545301536642</v>
          </cell>
          <cell r="GN70">
            <v>0.69399734638380683</v>
          </cell>
          <cell r="GO70">
            <v>0.99710752064385799</v>
          </cell>
          <cell r="GP70">
            <v>1.5425283179238265</v>
          </cell>
          <cell r="GQ70">
            <v>1.5123497895032245</v>
          </cell>
          <cell r="GR70">
            <v>0.65240856296863481</v>
          </cell>
          <cell r="GS70">
            <v>1.4819503596085699</v>
          </cell>
          <cell r="GT70">
            <v>2.0494745692068865</v>
          </cell>
          <cell r="GU70">
            <v>2.6664154579629868</v>
          </cell>
          <cell r="GV70">
            <v>2.66241776904516</v>
          </cell>
          <cell r="GW70">
            <v>0.43629093881769998</v>
          </cell>
          <cell r="GX70">
            <v>1.4400209907730022</v>
          </cell>
          <cell r="GY70">
            <v>2.2116464897429737</v>
          </cell>
          <cell r="GZ70">
            <v>2.4239428767005684</v>
          </cell>
          <cell r="HA70">
            <v>2.6310131566619557</v>
          </cell>
          <cell r="HB70">
            <v>2.8283901638904188</v>
          </cell>
          <cell r="HC70">
            <v>3.0150934707926709</v>
          </cell>
          <cell r="HD70">
            <v>3.1080578404232235</v>
          </cell>
          <cell r="HE70">
            <v>3.0972311800508763</v>
          </cell>
          <cell r="HF70">
            <v>3.0499699256844113</v>
          </cell>
          <cell r="HG70">
            <v>2.9957233364796014</v>
          </cell>
          <cell r="HH70">
            <v>2.9338125228730028</v>
          </cell>
          <cell r="HI70">
            <v>2.9544102759911199</v>
          </cell>
        </row>
        <row r="71">
          <cell r="CT71">
            <v>0</v>
          </cell>
          <cell r="CU71">
            <v>0</v>
          </cell>
          <cell r="CV71">
            <v>-1.3425995870473887E-2</v>
          </cell>
          <cell r="CW71">
            <v>-4.8720198262005548E-2</v>
          </cell>
          <cell r="CY71">
            <v>-0.11504449657490387</v>
          </cell>
          <cell r="CZ71">
            <v>0</v>
          </cell>
          <cell r="DA71">
            <v>0</v>
          </cell>
          <cell r="DB71">
            <v>-4.277186718161724E-2</v>
          </cell>
          <cell r="DD71">
            <v>0</v>
          </cell>
          <cell r="DE71">
            <v>-9.7734870237054933E-3</v>
          </cell>
          <cell r="DF71">
            <v>0</v>
          </cell>
          <cell r="DG71">
            <v>-1.7587440149138871E-2</v>
          </cell>
          <cell r="DI71">
            <v>-0.97076511640202312</v>
          </cell>
          <cell r="DJ71">
            <v>-8.8175773344897374E-2</v>
          </cell>
          <cell r="DK71">
            <v>-8.3099171222817181E-2</v>
          </cell>
          <cell r="DL71">
            <v>-0.54805284689475775</v>
          </cell>
          <cell r="DN71">
            <v>0</v>
          </cell>
          <cell r="DO71">
            <v>-0.79589703488557662</v>
          </cell>
          <cell r="DP71">
            <v>0</v>
          </cell>
          <cell r="DQ71">
            <v>-9.8986896280730527E-2</v>
          </cell>
          <cell r="DS71">
            <v>-0.29856631780272863</v>
          </cell>
          <cell r="DT71">
            <v>0</v>
          </cell>
          <cell r="DU71">
            <v>-0.12751286468949036</v>
          </cell>
          <cell r="DV71">
            <v>0</v>
          </cell>
          <cell r="DX71">
            <v>-0.54785952599569088</v>
          </cell>
          <cell r="DY71">
            <v>-0.24978445488640777</v>
          </cell>
          <cell r="DZ71">
            <v>-0.11214417264239329</v>
          </cell>
          <cell r="EA71">
            <v>-6.2008581987747106E-2</v>
          </cell>
          <cell r="FV71">
            <v>-0.15781636375652111</v>
          </cell>
          <cell r="FW71">
            <v>-2.7360927172844364E-2</v>
          </cell>
          <cell r="FX71">
            <v>-1.6900929078644955</v>
          </cell>
          <cell r="FY71">
            <v>-0.89488393116630716</v>
          </cell>
          <cell r="FZ71">
            <v>-0.42607918249221899</v>
          </cell>
          <cell r="GA71">
            <v>-0.971796735512239</v>
          </cell>
          <cell r="GE71">
            <v>-0.16376469483690942</v>
          </cell>
          <cell r="GF71">
            <v>-5.2545354205322733E-2</v>
          </cell>
          <cell r="GG71">
            <v>-1.1596275011188766</v>
          </cell>
          <cell r="GH71">
            <v>-1.3439498817803344</v>
          </cell>
          <cell r="GI71">
            <v>-0.52506607877294953</v>
          </cell>
          <cell r="GJ71">
            <v>-0.90978815352449194</v>
          </cell>
          <cell r="GL71">
            <v>-0.42607918249221899</v>
          </cell>
          <cell r="GM71">
            <v>-0.971796735512239</v>
          </cell>
          <cell r="GN71">
            <v>0</v>
          </cell>
          <cell r="GO71">
            <v>0</v>
          </cell>
          <cell r="GP71">
            <v>0</v>
          </cell>
          <cell r="GQ71">
            <v>0</v>
          </cell>
          <cell r="GR71">
            <v>0</v>
          </cell>
          <cell r="GS71">
            <v>0</v>
          </cell>
          <cell r="GT71">
            <v>0</v>
          </cell>
          <cell r="GU71">
            <v>0</v>
          </cell>
          <cell r="GV71">
            <v>0</v>
          </cell>
          <cell r="GW71">
            <v>0</v>
          </cell>
          <cell r="GX71">
            <v>0</v>
          </cell>
          <cell r="GY71">
            <v>0</v>
          </cell>
          <cell r="GZ71">
            <v>0</v>
          </cell>
        </row>
        <row r="72">
          <cell r="D72">
            <v>1.2153069806560121E-2</v>
          </cell>
          <cell r="E72">
            <v>-1.0260723296888149E-2</v>
          </cell>
          <cell r="F72">
            <v>2.682926829268293E-2</v>
          </cell>
          <cell r="G72">
            <v>1.4219043781896383E-2</v>
          </cell>
          <cell r="I72">
            <v>1.9677516317416686E-2</v>
          </cell>
          <cell r="J72">
            <v>2.1235155394592743E-2</v>
          </cell>
          <cell r="K72">
            <v>4.5458354281884264E-3</v>
          </cell>
          <cell r="L72">
            <v>1.8999675219227075E-2</v>
          </cell>
          <cell r="N72">
            <v>2.6884412047420696E-2</v>
          </cell>
          <cell r="O72">
            <v>3.6892003297609194E-2</v>
          </cell>
          <cell r="P72">
            <v>4.5632024521967657E-2</v>
          </cell>
          <cell r="Q72">
            <v>-2.549352239582761</v>
          </cell>
          <cell r="S72">
            <v>3.715065250028874E-2</v>
          </cell>
          <cell r="T72">
            <v>4.3039250043805877E-2</v>
          </cell>
          <cell r="U72">
            <v>-1.6026562410166069E-3</v>
          </cell>
          <cell r="V72">
            <v>5.7276471597733636E-3</v>
          </cell>
          <cell r="X72">
            <v>4.6778527326777959E-2</v>
          </cell>
          <cell r="Y72">
            <v>4.6060319403483312E-2</v>
          </cell>
          <cell r="Z72">
            <v>3.6577106831502684E-2</v>
          </cell>
          <cell r="AA72">
            <v>4.8517957594114147E-3</v>
          </cell>
          <cell r="AC72">
            <v>6.6994252873563115E-2</v>
          </cell>
          <cell r="AD72">
            <v>7.4524913093858669E-2</v>
          </cell>
          <cell r="AE72">
            <v>8.4084149280302181E-2</v>
          </cell>
          <cell r="AF72">
            <v>5.571304179566567E-2</v>
          </cell>
          <cell r="AH72">
            <v>8.3781695380916649E-2</v>
          </cell>
          <cell r="AJ72">
            <v>6.4736969857451698E-2</v>
          </cell>
          <cell r="AK72">
            <v>7.2506226096237872E-2</v>
          </cell>
          <cell r="AL72">
            <v>0.16</v>
          </cell>
          <cell r="AM72">
            <v>5.5334380023176699E-2</v>
          </cell>
          <cell r="AO72">
            <v>7.2126339660491867E-2</v>
          </cell>
          <cell r="AP72">
            <v>8.3846905931077076E-2</v>
          </cell>
          <cell r="AQ72">
            <v>8.9751267410764848E-2</v>
          </cell>
          <cell r="AR72">
            <v>6.939651583417375E-2</v>
          </cell>
          <cell r="AT72">
            <v>8.6052031036056353E-2</v>
          </cell>
          <cell r="AU72">
            <v>0.12380491666300206</v>
          </cell>
          <cell r="AV72">
            <v>0.15720917170515741</v>
          </cell>
          <cell r="AW72">
            <v>0.13633182457875376</v>
          </cell>
          <cell r="AY72">
            <v>-6.4944854117630318E-2</v>
          </cell>
          <cell r="AZ72">
            <v>6.5072066432082118E-2</v>
          </cell>
          <cell r="BA72">
            <v>7.4266227722909917E-2</v>
          </cell>
          <cell r="BB72">
            <v>4.5852360437402713E-2</v>
          </cell>
          <cell r="BD72">
            <v>-5.1985559566786868E-2</v>
          </cell>
          <cell r="BE72">
            <v>7.6708755087133429E-2</v>
          </cell>
          <cell r="BF72">
            <v>7.8296777141628415E-2</v>
          </cell>
          <cell r="BG72">
            <v>5.814048163341981E-2</v>
          </cell>
          <cell r="BI72">
            <v>8.5037337512676309E-2</v>
          </cell>
          <cell r="BJ72">
            <v>9.071178165666352E-2</v>
          </cell>
          <cell r="BK72">
            <v>0.28999999999999998</v>
          </cell>
          <cell r="BL72">
            <v>0.14565917543922111</v>
          </cell>
          <cell r="BN72">
            <v>0.18</v>
          </cell>
          <cell r="BO72">
            <v>0.10113134570926433</v>
          </cell>
          <cell r="BP72">
            <v>0.14856243170522521</v>
          </cell>
          <cell r="BQ72">
            <v>0.14565917543922111</v>
          </cell>
          <cell r="BS72">
            <v>8.6231107497874979E-2</v>
          </cell>
          <cell r="BT72">
            <v>0.12469901607284778</v>
          </cell>
          <cell r="BU72">
            <v>0.15811699806982893</v>
          </cell>
          <cell r="BV72">
            <v>0.14565917543922111</v>
          </cell>
          <cell r="BX72">
            <v>-0.88394088905920709</v>
          </cell>
          <cell r="BZ72">
            <v>6.8870210213506491E-2</v>
          </cell>
          <cell r="CA72">
            <v>8.3480943073540412E-2</v>
          </cell>
          <cell r="CB72">
            <v>8.7114999734330012E-2</v>
          </cell>
          <cell r="CC72">
            <v>4.5959078594438478E-2</v>
          </cell>
          <cell r="CE72">
            <v>-5.0005583179522126E-2</v>
          </cell>
          <cell r="CF72">
            <v>6.7261063678760294E-2</v>
          </cell>
          <cell r="CG72">
            <v>7.0608900798789648E-2</v>
          </cell>
          <cell r="CH72">
            <v>3.428094146104893E-2</v>
          </cell>
          <cell r="CJ72">
            <v>6.9287042559909973E-2</v>
          </cell>
          <cell r="CK72">
            <v>8.1413524608125343E-2</v>
          </cell>
          <cell r="CL72">
            <v>0.11681376851493437</v>
          </cell>
          <cell r="CM72">
            <v>0.11889504486168555</v>
          </cell>
          <cell r="CO72">
            <v>-0.84471492222237488</v>
          </cell>
          <cell r="CP72">
            <v>0.10994059713468532</v>
          </cell>
          <cell r="CQ72">
            <v>0.22018238283213135</v>
          </cell>
          <cell r="CR72">
            <v>0.22767154105736787</v>
          </cell>
          <cell r="CT72">
            <v>7.3068168381222542E-2</v>
          </cell>
          <cell r="CU72">
            <v>8.6756131487340502E-2</v>
          </cell>
          <cell r="CV72">
            <v>8.997666649879954E-2</v>
          </cell>
          <cell r="CW72">
            <v>5.0727793182502229E-2</v>
          </cell>
          <cell r="CY72">
            <v>-3.8948949980789654E-2</v>
          </cell>
          <cell r="CZ72">
            <v>7.2635140461572725E-2</v>
          </cell>
          <cell r="DA72">
            <v>7.7851677080058329E-2</v>
          </cell>
          <cell r="DB72">
            <v>4.5334474969029939E-2</v>
          </cell>
          <cell r="DD72">
            <v>7.4571354600195414E-2</v>
          </cell>
          <cell r="DE72">
            <v>8.5875188991996629E-2</v>
          </cell>
          <cell r="DF72">
            <v>0.12447105206279922</v>
          </cell>
          <cell r="DG72">
            <v>0.12403367319967867</v>
          </cell>
          <cell r="DI72">
            <v>-0.81631655005903758</v>
          </cell>
          <cell r="DJ72">
            <v>0.10384129816701737</v>
          </cell>
          <cell r="DK72">
            <v>0.14160870936808614</v>
          </cell>
          <cell r="DL72">
            <v>-0.38417218398165437</v>
          </cell>
          <cell r="DN72">
            <v>0.17252000539076201</v>
          </cell>
          <cell r="DO72">
            <v>-0.65790471098911574</v>
          </cell>
          <cell r="DP72">
            <v>0.16141409846006127</v>
          </cell>
          <cell r="DQ72">
            <v>1.0915020396851369E-2</v>
          </cell>
          <cell r="DS72">
            <v>-0.24987903235024014</v>
          </cell>
          <cell r="DT72">
            <v>6.6107098457055868E-2</v>
          </cell>
          <cell r="DU72">
            <v>-1.2303373027556838E-2</v>
          </cell>
          <cell r="DV72">
            <v>3.6763958291754398E-2</v>
          </cell>
          <cell r="DX72">
            <v>-0.52672115201047254</v>
          </cell>
          <cell r="DY72">
            <v>-0.1797825868287562</v>
          </cell>
          <cell r="DZ72">
            <v>5.5183297176180174E-2</v>
          </cell>
          <cell r="EA72">
            <v>3.0499159166175911E-2</v>
          </cell>
          <cell r="EC72">
            <v>0.1228168179344888</v>
          </cell>
          <cell r="ED72">
            <v>0.15814270551358892</v>
          </cell>
          <cell r="EE72">
            <v>0.24181151941134588</v>
          </cell>
          <cell r="EF72">
            <v>0.17122630352438317</v>
          </cell>
          <cell r="EH72">
            <v>0.19655239115694106</v>
          </cell>
          <cell r="EI72">
            <v>0.23357022730747462</v>
          </cell>
          <cell r="EJ72">
            <v>0.32746068678681484</v>
          </cell>
          <cell r="EK72">
            <v>0.23952421539262753</v>
          </cell>
          <cell r="EM72">
            <v>7.8225097024579665E-2</v>
          </cell>
          <cell r="EN72">
            <v>0.13647029662067231</v>
          </cell>
          <cell r="EO72">
            <v>-2.4399437997157634</v>
          </cell>
          <cell r="EP72">
            <v>0.12803387779794317</v>
          </cell>
          <cell r="EQ72">
            <v>9.8793844913318302E-2</v>
          </cell>
          <cell r="ER72">
            <v>-0.22836755779413687</v>
          </cell>
          <cell r="ES72">
            <v>8.4314893462851356E-2</v>
          </cell>
          <cell r="ET72">
            <v>0.13426774932117536</v>
          </cell>
          <cell r="EU72">
            <v>0.28131635704338964</v>
          </cell>
          <cell r="EW72">
            <v>0.11402314074370253</v>
          </cell>
          <cell r="EX72">
            <v>0.35257757597686623</v>
          </cell>
          <cell r="EZ72">
            <v>-3.3246581318726875E-3</v>
          </cell>
          <cell r="FA72">
            <v>0.13761969719479811</v>
          </cell>
          <cell r="FB72">
            <v>0.13829406906073932</v>
          </cell>
          <cell r="FC72">
            <v>0.31365205295966242</v>
          </cell>
          <cell r="FD72">
            <v>0.51116475303109721</v>
          </cell>
          <cell r="FF72">
            <v>0.12024580047476444</v>
          </cell>
          <cell r="FK72">
            <v>0.16116045429539477</v>
          </cell>
          <cell r="FL72">
            <v>0.51987494200323947</v>
          </cell>
          <cell r="FN72">
            <v>0.13052302607945987</v>
          </cell>
          <cell r="FO72">
            <v>0.17183069709481427</v>
          </cell>
          <cell r="FP72">
            <v>0.2854252316158154</v>
          </cell>
          <cell r="FQ72">
            <v>0.12214532275907675</v>
          </cell>
          <cell r="FR72">
            <v>0.38640938054465523</v>
          </cell>
          <cell r="FT72">
            <v>0.17183001948087839</v>
          </cell>
          <cell r="FU72">
            <v>0.3005287595498648</v>
          </cell>
          <cell r="FV72">
            <v>0.15687234252987134</v>
          </cell>
          <cell r="FW72">
            <v>0.40895126885466992</v>
          </cell>
          <cell r="FX72">
            <v>-0.95503872650558841</v>
          </cell>
          <cell r="FY72">
            <v>-0.31305558674144107</v>
          </cell>
          <cell r="FZ72">
            <v>-0.15931134862898672</v>
          </cell>
          <cell r="GA72">
            <v>-0.62082128249687263</v>
          </cell>
          <cell r="GB72">
            <v>0.69399734638380683</v>
          </cell>
          <cell r="GC72">
            <v>0.99710752064385799</v>
          </cell>
          <cell r="GE72">
            <v>0.16226566074334364</v>
          </cell>
          <cell r="GF72">
            <v>0.33025207062402123</v>
          </cell>
          <cell r="GG72">
            <v>-0.44683286932425548</v>
          </cell>
          <cell r="GH72">
            <v>-0.70814279111994682</v>
          </cell>
          <cell r="GI72">
            <v>-0.18516028652388977</v>
          </cell>
          <cell r="GJ72">
            <v>-0.61455648337129409</v>
          </cell>
          <cell r="GL72">
            <v>-0.15931134862898672</v>
          </cell>
          <cell r="GM72">
            <v>-0.62082128249687263</v>
          </cell>
          <cell r="GN72">
            <v>0.69399734638380683</v>
          </cell>
          <cell r="GO72">
            <v>0.99710752064385799</v>
          </cell>
          <cell r="GP72">
            <v>1.5425283179238265</v>
          </cell>
          <cell r="GQ72">
            <v>1.5123497895032245</v>
          </cell>
          <cell r="GR72">
            <v>0.65240856296863481</v>
          </cell>
          <cell r="GS72">
            <v>1.4819503596085699</v>
          </cell>
          <cell r="GT72">
            <v>2.0494745692068865</v>
          </cell>
          <cell r="GU72">
            <v>2.6664154579629868</v>
          </cell>
          <cell r="GV72">
            <v>2.66241776904516</v>
          </cell>
          <cell r="GW72">
            <v>0.43629093881769998</v>
          </cell>
          <cell r="GX72">
            <v>1.4400209907730022</v>
          </cell>
          <cell r="GY72">
            <v>2.2116464897429737</v>
          </cell>
          <cell r="GZ72">
            <v>2.4239428767005684</v>
          </cell>
          <cell r="HA72">
            <v>2.6310131566619557</v>
          </cell>
          <cell r="HB72">
            <v>2.8283901638904188</v>
          </cell>
          <cell r="HC72">
            <v>3.0150934707926709</v>
          </cell>
          <cell r="HD72">
            <v>3.1080578404232235</v>
          </cell>
          <cell r="HE72">
            <v>3.0972311800508763</v>
          </cell>
          <cell r="HF72">
            <v>3.0499699256844113</v>
          </cell>
          <cell r="HG72">
            <v>2.9957233364796014</v>
          </cell>
          <cell r="HH72">
            <v>2.9338125228730028</v>
          </cell>
          <cell r="HI72">
            <v>2.9544102759911199</v>
          </cell>
        </row>
        <row r="74">
          <cell r="CT74">
            <v>21.528999999999971</v>
          </cell>
          <cell r="CU74">
            <v>26.223999999999965</v>
          </cell>
          <cell r="CV74">
            <v>32.993999999999936</v>
          </cell>
          <cell r="CW74">
            <v>35.447000000000003</v>
          </cell>
          <cell r="CY74">
            <v>30.816999999999943</v>
          </cell>
          <cell r="CZ74">
            <v>29.40399999999994</v>
          </cell>
          <cell r="DA74">
            <v>32.297999999999952</v>
          </cell>
          <cell r="DB74">
            <v>38.556999999999945</v>
          </cell>
          <cell r="DD74">
            <v>36.540999999999997</v>
          </cell>
          <cell r="DE74">
            <v>43.265000000000065</v>
          </cell>
          <cell r="DF74">
            <v>58.53399999999997</v>
          </cell>
          <cell r="DG74">
            <v>72.595999999999833</v>
          </cell>
          <cell r="DI74">
            <v>79.48100000000025</v>
          </cell>
          <cell r="DJ74">
            <v>104.82700000000011</v>
          </cell>
          <cell r="DK74">
            <v>122.69900000000001</v>
          </cell>
          <cell r="DL74">
            <v>108.92600000000041</v>
          </cell>
          <cell r="DN74">
            <v>90.584000000000074</v>
          </cell>
          <cell r="DO74">
            <v>72.97700000000026</v>
          </cell>
          <cell r="DP74">
            <v>85.042000000000442</v>
          </cell>
          <cell r="DQ74">
            <v>61.400000000000112</v>
          </cell>
          <cell r="DS74">
            <v>29.058001000000218</v>
          </cell>
          <cell r="DT74">
            <v>40.009999999999863</v>
          </cell>
          <cell r="DU74">
            <v>66.797999999999945</v>
          </cell>
          <cell r="DV74">
            <v>26.358000000000015</v>
          </cell>
          <cell r="DX74">
            <v>20.443000000000168</v>
          </cell>
          <cell r="DY74">
            <v>47.54500000000025</v>
          </cell>
          <cell r="DZ74">
            <v>103.49700000000024</v>
          </cell>
          <cell r="EA74">
            <v>60.714884401437999</v>
          </cell>
          <cell r="FV74">
            <v>131.07599999999979</v>
          </cell>
          <cell r="FW74">
            <v>210.93599999999986</v>
          </cell>
          <cell r="FX74">
            <v>415.93300000000079</v>
          </cell>
          <cell r="FY74">
            <v>310.00300000000084</v>
          </cell>
          <cell r="FZ74">
            <v>162.22400100000004</v>
          </cell>
          <cell r="GA74">
            <v>232.19988440143868</v>
          </cell>
          <cell r="GE74">
            <v>127.96599999999984</v>
          </cell>
          <cell r="GF74">
            <v>176.89699999999996</v>
          </cell>
          <cell r="GG74">
            <v>379.60300000000024</v>
          </cell>
          <cell r="GH74">
            <v>357.52900000000119</v>
          </cell>
          <cell r="GI74">
            <v>197.26600100000013</v>
          </cell>
          <cell r="GJ74">
            <v>197.84300000000067</v>
          </cell>
          <cell r="GL74">
            <v>162.22400100000004</v>
          </cell>
          <cell r="GM74">
            <v>232.19988440143868</v>
          </cell>
          <cell r="GN74">
            <v>414.26680020206288</v>
          </cell>
          <cell r="GO74">
            <v>590.08318028801273</v>
          </cell>
          <cell r="GP74">
            <v>936.09146727027985</v>
          </cell>
          <cell r="GQ74">
            <v>947.61250296306287</v>
          </cell>
          <cell r="GR74">
            <v>422.71066522089677</v>
          </cell>
          <cell r="GS74">
            <v>986.52315785779467</v>
          </cell>
          <cell r="GT74">
            <v>1404.3135379142193</v>
          </cell>
          <cell r="GU74">
            <v>1879.5911646475488</v>
          </cell>
          <cell r="GV74">
            <v>1929.225394887015</v>
          </cell>
          <cell r="GW74">
            <v>324.57340844216208</v>
          </cell>
          <cell r="GX74">
            <v>1100.0867556491457</v>
          </cell>
          <cell r="GY74">
            <v>1733.7937258761274</v>
          </cell>
          <cell r="GZ74">
            <v>1948.6997884089014</v>
          </cell>
        </row>
        <row r="75">
          <cell r="CT75">
            <v>19.773999999999972</v>
          </cell>
          <cell r="CU75">
            <v>24.074999999999964</v>
          </cell>
          <cell r="CV75">
            <v>30.798999999999936</v>
          </cell>
          <cell r="CW75">
            <v>31.059000000000005</v>
          </cell>
          <cell r="CY75">
            <v>24.360999999999944</v>
          </cell>
          <cell r="CZ75">
            <v>23.03499999999994</v>
          </cell>
          <cell r="DA75">
            <v>25.50599999999995</v>
          </cell>
          <cell r="DB75">
            <v>29.017999999999947</v>
          </cell>
          <cell r="DD75">
            <v>26.786999999999995</v>
          </cell>
          <cell r="DE75">
            <v>34.478000000000065</v>
          </cell>
          <cell r="DF75">
            <v>47.798999999999971</v>
          </cell>
          <cell r="DG75">
            <v>60.545999999999836</v>
          </cell>
          <cell r="DI75">
            <v>70.111000000000246</v>
          </cell>
          <cell r="DJ75">
            <v>92.322000000000116</v>
          </cell>
          <cell r="DK75">
            <v>107.55800000000001</v>
          </cell>
          <cell r="DL75">
            <v>82.401000000000423</v>
          </cell>
          <cell r="DN75">
            <v>88.328000000000074</v>
          </cell>
          <cell r="DO75">
            <v>69.175000000000253</v>
          </cell>
          <cell r="DP75">
            <v>81.989000000000445</v>
          </cell>
          <cell r="DQ75">
            <v>57.896000000000114</v>
          </cell>
          <cell r="DS75">
            <v>25.558001000000218</v>
          </cell>
          <cell r="DT75">
            <v>34.669999999999867</v>
          </cell>
          <cell r="DU75">
            <v>60.650999999999947</v>
          </cell>
          <cell r="DV75">
            <v>19.526000000000014</v>
          </cell>
          <cell r="DX75">
            <v>11.626000000000166</v>
          </cell>
          <cell r="DY75">
            <v>38.97200000000025</v>
          </cell>
          <cell r="DZ75">
            <v>93.944000000000244</v>
          </cell>
          <cell r="EA75">
            <v>52.214884401437999</v>
          </cell>
          <cell r="FV75">
            <v>101.91999999999979</v>
          </cell>
          <cell r="FW75">
            <v>169.60999999999984</v>
          </cell>
          <cell r="FX75">
            <v>352.39200000000079</v>
          </cell>
          <cell r="FY75">
            <v>297.38800000000089</v>
          </cell>
          <cell r="FZ75">
            <v>140.40500100000006</v>
          </cell>
          <cell r="GA75">
            <v>196.75688440143864</v>
          </cell>
          <cell r="GE75">
            <v>103.96099999999984</v>
          </cell>
          <cell r="GF75">
            <v>138.08199999999999</v>
          </cell>
          <cell r="GG75">
            <v>330.53700000000021</v>
          </cell>
          <cell r="GH75">
            <v>321.89300000000117</v>
          </cell>
          <cell r="GI75">
            <v>178.77500100000015</v>
          </cell>
          <cell r="GJ75">
            <v>164.06800000000067</v>
          </cell>
          <cell r="GL75">
            <v>140.40500100000006</v>
          </cell>
          <cell r="GM75">
            <v>196.75688440143864</v>
          </cell>
          <cell r="GN75">
            <v>397.26680020206288</v>
          </cell>
          <cell r="GO75">
            <v>582.58318028801273</v>
          </cell>
          <cell r="GP75">
            <v>931.59146727027985</v>
          </cell>
          <cell r="GQ75">
            <v>943.61250296306287</v>
          </cell>
          <cell r="GR75">
            <v>420.11066522089675</v>
          </cell>
          <cell r="GS75">
            <v>983.92315785779465</v>
          </cell>
          <cell r="GT75">
            <v>1401.7135379142194</v>
          </cell>
          <cell r="GU75">
            <v>1876.9911646475489</v>
          </cell>
          <cell r="GV75">
            <v>1927.425394887015</v>
          </cell>
          <cell r="GW75">
            <v>324.57340844216208</v>
          </cell>
          <cell r="GX75">
            <v>1100.0867556491457</v>
          </cell>
          <cell r="GY75">
            <v>1733.7937258761274</v>
          </cell>
          <cell r="GZ75">
            <v>1948.6997884089014</v>
          </cell>
        </row>
        <row r="76">
          <cell r="CT76">
            <v>1.7549999999999999</v>
          </cell>
          <cell r="CU76">
            <v>2.149</v>
          </cell>
          <cell r="CV76">
            <v>2.1949999999999998</v>
          </cell>
          <cell r="CW76">
            <v>4.3879999999999999</v>
          </cell>
          <cell r="CY76">
            <v>6.4560000000000004</v>
          </cell>
          <cell r="CZ76">
            <v>6.3689999999999998</v>
          </cell>
          <cell r="DA76">
            <v>6.7919999999999998</v>
          </cell>
          <cell r="DB76">
            <v>9.5389999999999997</v>
          </cell>
          <cell r="DD76">
            <v>9.7539999999999996</v>
          </cell>
          <cell r="DE76">
            <v>8.7870000000000008</v>
          </cell>
          <cell r="DF76">
            <v>10.734999999999999</v>
          </cell>
          <cell r="DG76">
            <v>12.05</v>
          </cell>
          <cell r="DI76">
            <v>9.3699999999999992</v>
          </cell>
          <cell r="DJ76">
            <v>12.505000000000001</v>
          </cell>
          <cell r="DK76">
            <v>15.141</v>
          </cell>
          <cell r="DL76">
            <v>26.524999999999999</v>
          </cell>
          <cell r="DN76">
            <v>2.2559999999999998</v>
          </cell>
          <cell r="DO76">
            <v>3.802</v>
          </cell>
          <cell r="DP76">
            <v>3.0529999999999999</v>
          </cell>
          <cell r="DQ76">
            <v>3.504</v>
          </cell>
          <cell r="DS76">
            <v>3.5</v>
          </cell>
          <cell r="DT76">
            <v>5.34</v>
          </cell>
          <cell r="DU76">
            <v>6.1470000000000002</v>
          </cell>
          <cell r="DV76">
            <v>6.8319999999999999</v>
          </cell>
          <cell r="DX76">
            <v>8.8170000000000002</v>
          </cell>
          <cell r="DY76">
            <v>8.5730000000000004</v>
          </cell>
          <cell r="DZ76">
            <v>9.5530000000000008</v>
          </cell>
          <cell r="EA76">
            <v>8.5</v>
          </cell>
          <cell r="FV76">
            <v>29.155999999999999</v>
          </cell>
          <cell r="FW76">
            <v>41.326000000000001</v>
          </cell>
          <cell r="FX76">
            <v>63.540999999999997</v>
          </cell>
          <cell r="FY76">
            <v>12.615</v>
          </cell>
          <cell r="FZ76">
            <v>21.818999999999999</v>
          </cell>
          <cell r="GA76">
            <v>35.442999999999998</v>
          </cell>
          <cell r="GE76">
            <v>24.005000000000003</v>
          </cell>
          <cell r="GF76">
            <v>38.814999999999998</v>
          </cell>
          <cell r="GG76">
            <v>49.066000000000003</v>
          </cell>
          <cell r="GH76">
            <v>35.635999999999996</v>
          </cell>
          <cell r="GI76">
            <v>19.084</v>
          </cell>
          <cell r="GJ76">
            <v>33.775000000000006</v>
          </cell>
          <cell r="GL76">
            <v>21.818999999999999</v>
          </cell>
          <cell r="GM76">
            <v>35.442999999999998</v>
          </cell>
          <cell r="GN76">
            <v>17</v>
          </cell>
          <cell r="GO76">
            <v>7.5</v>
          </cell>
          <cell r="GP76">
            <v>4.5</v>
          </cell>
          <cell r="GQ76">
            <v>4</v>
          </cell>
          <cell r="GR76">
            <v>2.6</v>
          </cell>
          <cell r="GS76">
            <v>2.6</v>
          </cell>
          <cell r="GT76">
            <v>2.6</v>
          </cell>
          <cell r="GU76">
            <v>2.6</v>
          </cell>
          <cell r="GV76">
            <v>1.8</v>
          </cell>
          <cell r="GW76">
            <v>0</v>
          </cell>
          <cell r="GX76">
            <v>0</v>
          </cell>
          <cell r="GY76">
            <v>0</v>
          </cell>
          <cell r="GZ76">
            <v>0</v>
          </cell>
        </row>
        <row r="77">
          <cell r="DN77">
            <v>0</v>
          </cell>
          <cell r="DO77">
            <v>0</v>
          </cell>
          <cell r="DP77">
            <v>0</v>
          </cell>
          <cell r="DQ77">
            <v>0</v>
          </cell>
          <cell r="DS77">
            <v>0</v>
          </cell>
          <cell r="DT77">
            <v>0</v>
          </cell>
          <cell r="DU77">
            <v>0</v>
          </cell>
          <cell r="DV77">
            <v>0</v>
          </cell>
          <cell r="DX77">
            <v>0</v>
          </cell>
          <cell r="DY77">
            <v>0</v>
          </cell>
          <cell r="DZ77">
            <v>0</v>
          </cell>
          <cell r="EA77">
            <v>0</v>
          </cell>
          <cell r="FV77">
            <v>0</v>
          </cell>
          <cell r="FX77">
            <v>0</v>
          </cell>
          <cell r="FY77">
            <v>0</v>
          </cell>
          <cell r="FZ77">
            <v>0</v>
          </cell>
          <cell r="GA77">
            <v>0</v>
          </cell>
          <cell r="GE77">
            <v>0</v>
          </cell>
          <cell r="GF77">
            <v>0</v>
          </cell>
          <cell r="GG77">
            <v>0</v>
          </cell>
          <cell r="GH77">
            <v>0</v>
          </cell>
          <cell r="GI77">
            <v>0</v>
          </cell>
          <cell r="GJ77">
            <v>0</v>
          </cell>
        </row>
        <row r="78">
          <cell r="D78">
            <v>5.4457527333893908E-3</v>
          </cell>
          <cell r="E78">
            <v>9.2304457527333812E-3</v>
          </cell>
          <cell r="F78">
            <v>2.8868797308662746E-2</v>
          </cell>
          <cell r="G78">
            <v>1.870131614289558E-2</v>
          </cell>
          <cell r="I78">
            <v>2.1706458261765704E-2</v>
          </cell>
          <cell r="J78">
            <v>2.3224964204497569E-2</v>
          </cell>
          <cell r="K78">
            <v>6.5254734372382009E-3</v>
          </cell>
          <cell r="L78">
            <v>2.9189671971419348E-2</v>
          </cell>
          <cell r="N78">
            <v>2.9437680230695287E-2</v>
          </cell>
          <cell r="O78">
            <v>3.9365210222588584E-2</v>
          </cell>
          <cell r="P78">
            <v>4.8040432053714853E-2</v>
          </cell>
          <cell r="Q78">
            <v>4.7211842483472266E-2</v>
          </cell>
          <cell r="S78">
            <v>4.1928917888901747E-2</v>
          </cell>
          <cell r="T78">
            <v>4.8449272822849158E-2</v>
          </cell>
          <cell r="U78">
            <v>2.0460817570286789E-2</v>
          </cell>
          <cell r="V78">
            <v>5.7519592700646299E-2</v>
          </cell>
          <cell r="X78">
            <v>5.2102389663846338E-2</v>
          </cell>
          <cell r="Y78">
            <v>5.3078571031105588E-2</v>
          </cell>
          <cell r="Z78">
            <v>6.5556814263901836E-2</v>
          </cell>
          <cell r="AA78">
            <v>7.1463772296744943E-2</v>
          </cell>
          <cell r="AC78">
            <v>7.2051724137930942E-2</v>
          </cell>
          <cell r="AD78">
            <v>7.9629200463499458E-2</v>
          </cell>
          <cell r="AE78">
            <v>8.8854996634897182E-2</v>
          </cell>
          <cell r="AF78">
            <v>8.6397058823529438E-2</v>
          </cell>
          <cell r="AH78">
            <v>9.0526205330738269E-2</v>
          </cell>
          <cell r="AJ78">
            <v>6.9613619312414401E-2</v>
          </cell>
          <cell r="AK78">
            <v>7.7453748999377611E-2</v>
          </cell>
          <cell r="AL78">
            <v>0.17</v>
          </cell>
          <cell r="AM78">
            <v>8.5043549773840224E-2</v>
          </cell>
          <cell r="AO78">
            <v>7.6945301512194308E-2</v>
          </cell>
          <cell r="AP78">
            <v>8.8735457930989192E-2</v>
          </cell>
          <cell r="AQ78">
            <v>9.4361441802356061E-2</v>
          </cell>
          <cell r="AR78">
            <v>9.8807464219300811E-2</v>
          </cell>
          <cell r="AT78">
            <v>9.2505705157462106E-2</v>
          </cell>
          <cell r="AU78">
            <v>0.14102203263116248</v>
          </cell>
          <cell r="AV78">
            <v>0.16328426999702644</v>
          </cell>
          <cell r="AW78">
            <v>0.14966338290669867</v>
          </cell>
          <cell r="AY78">
            <v>7.3147404125808155E-2</v>
          </cell>
          <cell r="AZ78">
            <v>0.15</v>
          </cell>
          <cell r="BA78">
            <v>0.17</v>
          </cell>
          <cell r="BB78">
            <v>0.2</v>
          </cell>
          <cell r="BD78">
            <v>0.17</v>
          </cell>
          <cell r="BE78">
            <v>8.4340324880865375E-2</v>
          </cell>
          <cell r="BF78">
            <v>0.18</v>
          </cell>
          <cell r="BG78">
            <v>0.22</v>
          </cell>
          <cell r="BI78">
            <v>9.1555268737899875E-2</v>
          </cell>
          <cell r="BJ78">
            <v>0.11328304241690067</v>
          </cell>
          <cell r="BK78">
            <v>0.3</v>
          </cell>
          <cell r="BL78">
            <v>0.15837916770546581</v>
          </cell>
          <cell r="BN78">
            <v>9.5371134675217378E-2</v>
          </cell>
          <cell r="BO78">
            <v>0.12074091805302745</v>
          </cell>
          <cell r="BP78">
            <v>0.15662268385247166</v>
          </cell>
          <cell r="BQ78">
            <v>0.15837916770546581</v>
          </cell>
          <cell r="BS78">
            <v>9.5220058386607853E-2</v>
          </cell>
          <cell r="BT78">
            <v>0.14436533642975055</v>
          </cell>
          <cell r="BU78">
            <v>0.16655435887479025</v>
          </cell>
          <cell r="BV78">
            <v>0.15837916770546581</v>
          </cell>
          <cell r="BX78">
            <v>0.18332055949415599</v>
          </cell>
          <cell r="BZ78">
            <v>7.5750566502269745E-2</v>
          </cell>
          <cell r="CA78">
            <v>9.1684736134864636E-2</v>
          </cell>
          <cell r="CB78">
            <v>0.10905580843414051</v>
          </cell>
          <cell r="CC78">
            <v>0.11201830410696693</v>
          </cell>
          <cell r="CE78">
            <v>9.21553043489685E-2</v>
          </cell>
          <cell r="CF78">
            <v>8.838670302041253E-2</v>
          </cell>
          <cell r="CG78">
            <v>9.2380085392278807E-2</v>
          </cell>
          <cell r="CH78">
            <v>0.10501026841579007</v>
          </cell>
          <cell r="CJ78">
            <v>9.780650971310928E-2</v>
          </cell>
          <cell r="CK78">
            <v>0.11737980804347514</v>
          </cell>
          <cell r="CL78">
            <v>0.14607513370004283</v>
          </cell>
          <cell r="CM78">
            <v>0.16489990518231071</v>
          </cell>
          <cell r="CO78">
            <v>0.18570237980758222</v>
          </cell>
          <cell r="CP78">
            <v>0.22835807374238071</v>
          </cell>
          <cell r="CQ78">
            <v>0.24702865463667331</v>
          </cell>
          <cell r="CR78">
            <v>0.25440299050071219</v>
          </cell>
          <cell r="CT78">
            <v>7.9553180796972808E-2</v>
          </cell>
          <cell r="CU78">
            <v>9.450021981823542E-2</v>
          </cell>
          <cell r="CV78">
            <v>0.1107720199425893</v>
          </cell>
          <cell r="CW78">
            <v>0.11349795398221021</v>
          </cell>
          <cell r="CY78">
            <v>9.6261912868552971E-2</v>
          </cell>
          <cell r="CZ78">
            <v>9.2718197097116803E-2</v>
          </cell>
          <cell r="DA78">
            <v>9.85828223293235E-2</v>
          </cell>
          <cell r="DB78">
            <v>0.11706927542568421</v>
          </cell>
          <cell r="DD78">
            <v>0.1017251602809475</v>
          </cell>
          <cell r="DE78">
            <v>0.12002552258887844</v>
          </cell>
          <cell r="DF78">
            <v>0.15242554366082744</v>
          </cell>
          <cell r="DG78">
            <v>0.1698068632885866</v>
          </cell>
          <cell r="DI78">
            <v>0.17508987892779782</v>
          </cell>
          <cell r="DJ78">
            <v>0.21802575285825138</v>
          </cell>
          <cell r="DK78">
            <v>0.2563401350027264</v>
          </cell>
          <cell r="DL78">
            <v>0.21663408318433849</v>
          </cell>
          <cell r="DN78">
            <v>0.17692636727104413</v>
          </cell>
          <cell r="DO78">
            <v>0.14557666528358545</v>
          </cell>
          <cell r="DP78">
            <v>0.16742462722121904</v>
          </cell>
          <cell r="DQ78">
            <v>0.11655343519420215</v>
          </cell>
          <cell r="DS78">
            <v>5.5354688708467256E-2</v>
          </cell>
          <cell r="DT78">
            <v>7.6289155156239019E-2</v>
          </cell>
          <cell r="DU78">
            <v>0.12688601381731274</v>
          </cell>
          <cell r="DV78">
            <v>4.9627389770258233E-2</v>
          </cell>
          <cell r="DX78">
            <v>3.7169428812989513E-2</v>
          </cell>
          <cell r="DY78">
            <v>8.5400770214539692E-2</v>
          </cell>
          <cell r="DZ78">
            <v>0.18434270569501929</v>
          </cell>
          <cell r="EA78">
            <v>0.10756696820809017</v>
          </cell>
          <cell r="EC78">
            <v>0.13030662298808057</v>
          </cell>
          <cell r="ED78">
            <v>0.16559312080850266</v>
          </cell>
          <cell r="EE78">
            <v>0.24922295709074627</v>
          </cell>
          <cell r="EF78">
            <v>0.17859916929659109</v>
          </cell>
          <cell r="EH78">
            <v>0.19978828524742184</v>
          </cell>
          <cell r="EI78">
            <v>0.23678945407495888</v>
          </cell>
          <cell r="EJ78">
            <v>0.33066341705030988</v>
          </cell>
          <cell r="EK78">
            <v>0.2427106173585101</v>
          </cell>
          <cell r="EM78">
            <v>0.10516558861578276</v>
          </cell>
          <cell r="EN78">
            <v>0.16892092869536451</v>
          </cell>
          <cell r="EO78">
            <v>0.3335851337059979</v>
          </cell>
          <cell r="EP78">
            <v>0.29764132553606237</v>
          </cell>
          <cell r="EQ78">
            <v>0.12683107109259528</v>
          </cell>
          <cell r="ER78">
            <v>0.28096345085884</v>
          </cell>
          <cell r="ES78">
            <v>0.16833782984432857</v>
          </cell>
          <cell r="ET78">
            <v>0.24463527721543646</v>
          </cell>
          <cell r="EU78">
            <v>0.3281721992938923</v>
          </cell>
          <cell r="EW78">
            <v>0.22549505197920772</v>
          </cell>
          <cell r="EX78">
            <v>0.32010524122121498</v>
          </cell>
          <cell r="EZ78">
            <v>0.23398974019526766</v>
          </cell>
          <cell r="FA78">
            <v>0.19514863386502135</v>
          </cell>
          <cell r="FB78">
            <v>0.26124610131045267</v>
          </cell>
          <cell r="FC78">
            <v>0.36014630879398313</v>
          </cell>
          <cell r="FD78">
            <v>0.55472884995857075</v>
          </cell>
          <cell r="FF78">
            <v>0.59314740412580824</v>
          </cell>
          <cell r="FK78">
            <v>0.65434032488086535</v>
          </cell>
          <cell r="FL78">
            <v>0.56980917868856229</v>
          </cell>
          <cell r="FN78">
            <v>0.50913502983675618</v>
          </cell>
          <cell r="FO78">
            <v>0.45981167056543093</v>
          </cell>
          <cell r="FP78">
            <v>0.38850941517824183</v>
          </cell>
          <cell r="FQ78">
            <v>0.37793236117744994</v>
          </cell>
          <cell r="FR78">
            <v>0.52616135663893793</v>
          </cell>
          <cell r="FT78">
            <v>0.27858444211339961</v>
          </cell>
          <cell r="FU78">
            <v>0.39832337454000777</v>
          </cell>
          <cell r="FV78">
            <v>0.40463220772067754</v>
          </cell>
          <cell r="FW78">
            <v>0.54398308981924004</v>
          </cell>
          <cell r="FX78">
            <v>0.86608984997311411</v>
          </cell>
          <cell r="FY78">
            <v>0.60710264047925555</v>
          </cell>
          <cell r="FZ78">
            <v>0.30815724745227724</v>
          </cell>
          <cell r="GA78">
            <v>0.4144798729306387</v>
          </cell>
          <cell r="GB78">
            <v>0.72372187018392053</v>
          </cell>
          <cell r="GC78">
            <v>1.0099517737312007</v>
          </cell>
          <cell r="GE78">
            <v>0.40106088627720349</v>
          </cell>
          <cell r="GF78">
            <v>0.49124550195633759</v>
          </cell>
          <cell r="GG78">
            <v>0.81926263007736222</v>
          </cell>
          <cell r="GH78">
            <v>0.70656174296018714</v>
          </cell>
          <cell r="GI78">
            <v>0.37508329287622116</v>
          </cell>
          <cell r="GJ78">
            <v>0.35654029449280678</v>
          </cell>
          <cell r="GL78">
            <v>0.30815724745227724</v>
          </cell>
          <cell r="GM78">
            <v>0.4144798729306387</v>
          </cell>
          <cell r="GN78">
            <v>0.72372187018392053</v>
          </cell>
          <cell r="GO78">
            <v>1.0099517737312007</v>
          </cell>
          <cell r="GP78">
            <v>1.5499794138972542</v>
          </cell>
          <cell r="GQ78">
            <v>1.5187606828932729</v>
          </cell>
          <cell r="GR78">
            <v>0.65644621876779563</v>
          </cell>
          <cell r="GS78">
            <v>1.4858663879124177</v>
          </cell>
          <cell r="GT78">
            <v>2.0532760833792234</v>
          </cell>
          <cell r="GU78">
            <v>2.670108965061623</v>
          </cell>
          <cell r="GV78">
            <v>2.6649041698142866</v>
          </cell>
          <cell r="GW78">
            <v>0.43629093881769998</v>
          </cell>
          <cell r="GX78">
            <v>1.4400209907730022</v>
          </cell>
          <cell r="GY78">
            <v>2.2116464897429737</v>
          </cell>
          <cell r="GZ78">
            <v>2.4239428767005684</v>
          </cell>
          <cell r="HA78">
            <v>2.6310131566619557</v>
          </cell>
          <cell r="HB78">
            <v>2.8283901638904188</v>
          </cell>
          <cell r="HC78">
            <v>3.0150934707926709</v>
          </cell>
          <cell r="HD78">
            <v>3.1080578404232235</v>
          </cell>
          <cell r="HE78">
            <v>3.0972311800508763</v>
          </cell>
          <cell r="HF78">
            <v>3.0499699256844113</v>
          </cell>
          <cell r="HG78">
            <v>2.9957233364796014</v>
          </cell>
          <cell r="HH78">
            <v>2.9338125228730028</v>
          </cell>
          <cell r="HI78">
            <v>2.9544102759911199</v>
          </cell>
        </row>
        <row r="79">
          <cell r="DD79">
            <v>0</v>
          </cell>
          <cell r="DE79">
            <v>0</v>
          </cell>
          <cell r="DF79">
            <v>0</v>
          </cell>
          <cell r="DG79">
            <v>0</v>
          </cell>
          <cell r="DI79">
            <v>0</v>
          </cell>
          <cell r="DJ79">
            <v>0</v>
          </cell>
          <cell r="DK79">
            <v>0</v>
          </cell>
          <cell r="DL79">
            <v>0</v>
          </cell>
          <cell r="DN79">
            <v>0</v>
          </cell>
          <cell r="DO79">
            <v>0</v>
          </cell>
          <cell r="DP79">
            <v>0</v>
          </cell>
          <cell r="DQ79">
            <v>0</v>
          </cell>
          <cell r="DS79">
            <v>0</v>
          </cell>
          <cell r="DT79">
            <v>0</v>
          </cell>
          <cell r="DU79">
            <v>0</v>
          </cell>
          <cell r="DV79">
            <v>0</v>
          </cell>
          <cell r="DX79">
            <v>0</v>
          </cell>
          <cell r="DY79">
            <v>0</v>
          </cell>
          <cell r="DZ79">
            <v>0</v>
          </cell>
          <cell r="EA79">
            <v>0</v>
          </cell>
          <cell r="FX79">
            <v>0</v>
          </cell>
          <cell r="FY79">
            <v>0</v>
          </cell>
          <cell r="FZ79">
            <v>0</v>
          </cell>
          <cell r="GA79">
            <v>0</v>
          </cell>
          <cell r="GL79">
            <v>0</v>
          </cell>
          <cell r="GM79">
            <v>0</v>
          </cell>
          <cell r="GN79">
            <v>0</v>
          </cell>
          <cell r="GO79">
            <v>0</v>
          </cell>
          <cell r="GP79">
            <v>0</v>
          </cell>
          <cell r="GQ79">
            <v>0</v>
          </cell>
          <cell r="GR79">
            <v>0</v>
          </cell>
          <cell r="GS79">
            <v>0</v>
          </cell>
          <cell r="GT79">
            <v>0</v>
          </cell>
          <cell r="GU79">
            <v>0</v>
          </cell>
          <cell r="GV79">
            <v>0</v>
          </cell>
          <cell r="GW79">
            <v>0</v>
          </cell>
          <cell r="GX79">
            <v>0</v>
          </cell>
          <cell r="GY79">
            <v>0</v>
          </cell>
          <cell r="GZ79">
            <v>0</v>
          </cell>
        </row>
        <row r="81">
          <cell r="DI81">
            <v>418.85700000000003</v>
          </cell>
          <cell r="DJ81">
            <v>436.37599999999998</v>
          </cell>
          <cell r="DK81">
            <v>441.01600000000002</v>
          </cell>
          <cell r="DL81">
            <v>468.06900000000002</v>
          </cell>
          <cell r="DN81">
            <v>484.79399999999998</v>
          </cell>
          <cell r="DO81">
            <v>481.38099999999997</v>
          </cell>
          <cell r="DP81">
            <v>485.80799999999999</v>
          </cell>
          <cell r="DQ81">
            <v>510.55900000000003</v>
          </cell>
          <cell r="DS81">
            <v>515.01599999999996</v>
          </cell>
          <cell r="DT81">
            <v>516.69799999999998</v>
          </cell>
          <cell r="DU81">
            <v>517.80999999999995</v>
          </cell>
          <cell r="DV81">
            <v>519.26599999999996</v>
          </cell>
          <cell r="DX81">
            <v>521.1</v>
          </cell>
          <cell r="DY81">
            <v>523.529</v>
          </cell>
          <cell r="DZ81">
            <v>527.32100000000003</v>
          </cell>
          <cell r="EA81">
            <v>530.52315599999997</v>
          </cell>
          <cell r="FX81">
            <v>441.99099999999999</v>
          </cell>
          <cell r="FY81">
            <v>489.553</v>
          </cell>
          <cell r="FZ81">
            <v>516.99299999999994</v>
          </cell>
          <cell r="GA81">
            <v>526.22707800000001</v>
          </cell>
          <cell r="GE81" t="str">
            <v>--</v>
          </cell>
          <cell r="GF81" t="str">
            <v>--</v>
          </cell>
          <cell r="GG81" t="str">
            <v>--</v>
          </cell>
          <cell r="GH81" t="str">
            <v>--</v>
          </cell>
          <cell r="GI81" t="str">
            <v>--</v>
          </cell>
          <cell r="GL81">
            <v>516.99299999999994</v>
          </cell>
          <cell r="GM81">
            <v>526.22707800000001</v>
          </cell>
          <cell r="GN81">
            <v>535.52315599999997</v>
          </cell>
          <cell r="GO81">
            <v>543.52315599999997</v>
          </cell>
          <cell r="GP81">
            <v>557.52315599999997</v>
          </cell>
          <cell r="GQ81">
            <v>577.52315599999997</v>
          </cell>
          <cell r="GR81">
            <v>597.52315599999997</v>
          </cell>
          <cell r="GS81">
            <v>617.52315599999997</v>
          </cell>
          <cell r="GT81">
            <v>637.52315599999997</v>
          </cell>
          <cell r="GU81">
            <v>657.52315599999997</v>
          </cell>
          <cell r="GV81">
            <v>677.52315599999997</v>
          </cell>
          <cell r="GW81">
            <v>697.52315599999997</v>
          </cell>
          <cell r="GX81">
            <v>717.52315599999997</v>
          </cell>
          <cell r="GY81">
            <v>737.52315599999997</v>
          </cell>
          <cell r="GZ81">
            <v>757.52315599999997</v>
          </cell>
        </row>
        <row r="82">
          <cell r="DL82">
            <v>482.43099999999998</v>
          </cell>
          <cell r="DN82">
            <v>482.80900000000003</v>
          </cell>
          <cell r="DO82">
            <v>486.78899999999999</v>
          </cell>
          <cell r="DP82">
            <v>511.64</v>
          </cell>
          <cell r="DQ82">
            <v>513.05499999999995</v>
          </cell>
          <cell r="DS82">
            <v>516.72</v>
          </cell>
          <cell r="DT82">
            <v>517.11199999999997</v>
          </cell>
          <cell r="DU82">
            <v>519.03200000000004</v>
          </cell>
          <cell r="DV82">
            <v>520.93100000000004</v>
          </cell>
          <cell r="DX82">
            <v>522.69100000000003</v>
          </cell>
          <cell r="DY82">
            <v>527.52315599999997</v>
          </cell>
          <cell r="DZ82">
            <v>529.52315599999997</v>
          </cell>
          <cell r="EA82">
            <v>531.52315599999997</v>
          </cell>
          <cell r="FX82">
            <v>482.43099999999998</v>
          </cell>
          <cell r="FY82">
            <v>513.05499999999995</v>
          </cell>
          <cell r="FZ82">
            <v>520.93100000000004</v>
          </cell>
          <cell r="GA82">
            <v>531.52315599999997</v>
          </cell>
          <cell r="GL82">
            <v>520.93100000000004</v>
          </cell>
          <cell r="GM82">
            <v>531.52315599999997</v>
          </cell>
          <cell r="GN82">
            <v>539.52315599999997</v>
          </cell>
          <cell r="GO82">
            <v>547.52315599999997</v>
          </cell>
          <cell r="GP82">
            <v>567.52315599999997</v>
          </cell>
          <cell r="GQ82">
            <v>587.52315599999997</v>
          </cell>
          <cell r="GR82">
            <v>607.52315599999997</v>
          </cell>
          <cell r="GS82">
            <v>627.52315599999997</v>
          </cell>
          <cell r="GT82">
            <v>647.52315599999997</v>
          </cell>
          <cell r="GU82">
            <v>667.52315599999997</v>
          </cell>
          <cell r="GV82">
            <v>687.52315599999997</v>
          </cell>
          <cell r="GW82">
            <v>707.52315599999997</v>
          </cell>
          <cell r="GX82">
            <v>727.52315599999997</v>
          </cell>
          <cell r="GY82">
            <v>747.52315599999997</v>
          </cell>
          <cell r="GZ82">
            <v>767.52315599999997</v>
          </cell>
        </row>
        <row r="83">
          <cell r="D83">
            <v>47.56</v>
          </cell>
          <cell r="E83">
            <v>47.56</v>
          </cell>
          <cell r="F83">
            <v>47.56</v>
          </cell>
          <cell r="G83">
            <v>59.567999999999998</v>
          </cell>
          <cell r="I83">
            <v>93.152000000000001</v>
          </cell>
          <cell r="J83">
            <v>94.983999999999995</v>
          </cell>
          <cell r="K83">
            <v>95.471999999999994</v>
          </cell>
          <cell r="L83">
            <v>98.528000000000006</v>
          </cell>
          <cell r="N83">
            <v>99.872</v>
          </cell>
          <cell r="O83">
            <v>106.744</v>
          </cell>
          <cell r="P83">
            <v>109.616</v>
          </cell>
          <cell r="Q83">
            <v>111.328</v>
          </cell>
          <cell r="S83">
            <v>138.54400000000001</v>
          </cell>
          <cell r="T83">
            <v>136.96799999999999</v>
          </cell>
          <cell r="U83">
            <v>139.14400000000001</v>
          </cell>
          <cell r="V83">
            <v>139.84800000000001</v>
          </cell>
          <cell r="X83">
            <v>139.93600000000001</v>
          </cell>
          <cell r="Y83">
            <v>143.768</v>
          </cell>
          <cell r="Z83">
            <v>162.42400000000001</v>
          </cell>
          <cell r="AA83">
            <v>166.392</v>
          </cell>
          <cell r="AC83">
            <v>174</v>
          </cell>
          <cell r="AD83">
            <v>172.6</v>
          </cell>
          <cell r="AE83">
            <v>184.244</v>
          </cell>
          <cell r="AF83">
            <v>206.72</v>
          </cell>
          <cell r="AH83">
            <v>209.65199999999999</v>
          </cell>
          <cell r="AJ83">
            <v>181.27199999999999</v>
          </cell>
          <cell r="AK83">
            <v>179.88800000000001</v>
          </cell>
          <cell r="AL83">
            <v>191.53200000000001</v>
          </cell>
          <cell r="AM83">
            <v>214.00800000000001</v>
          </cell>
          <cell r="AO83">
            <v>183.44200000000001</v>
          </cell>
          <cell r="AP83">
            <v>182.05799999999999</v>
          </cell>
          <cell r="AQ83">
            <v>193.702</v>
          </cell>
          <cell r="AR83">
            <v>216.178</v>
          </cell>
          <cell r="AT83">
            <v>219.1</v>
          </cell>
          <cell r="AU83">
            <v>227.39</v>
          </cell>
          <cell r="AV83">
            <v>242.136</v>
          </cell>
          <cell r="AW83">
            <v>262.91000000000003</v>
          </cell>
          <cell r="AY83">
            <v>281.25400000000002</v>
          </cell>
          <cell r="AZ83">
            <v>277.93799999999999</v>
          </cell>
          <cell r="BA83">
            <v>287.964</v>
          </cell>
          <cell r="BB83">
            <v>309.64600000000002</v>
          </cell>
          <cell r="BD83">
            <v>290.85000000000002</v>
          </cell>
          <cell r="BE83">
            <v>287.49</v>
          </cell>
          <cell r="BF83">
            <v>297.62400000000002</v>
          </cell>
          <cell r="BG83">
            <v>319.33</v>
          </cell>
          <cell r="BI83">
            <v>216.94</v>
          </cell>
          <cell r="BJ83">
            <v>217.93199999999999</v>
          </cell>
          <cell r="BK83">
            <v>239.96600000000001</v>
          </cell>
          <cell r="BL83">
            <v>393.08199999999999</v>
          </cell>
          <cell r="BN83">
            <v>314.98</v>
          </cell>
          <cell r="BO83">
            <v>317.49799999999999</v>
          </cell>
          <cell r="BP83">
            <v>340.43599999999998</v>
          </cell>
          <cell r="BQ83">
            <v>393.08199999999999</v>
          </cell>
          <cell r="BS83">
            <v>324.73200000000003</v>
          </cell>
          <cell r="BT83">
            <v>327.26</v>
          </cell>
          <cell r="BU83">
            <v>350.22800000000001</v>
          </cell>
          <cell r="BV83">
            <v>393.08199999999999</v>
          </cell>
          <cell r="BX83">
            <v>417.52</v>
          </cell>
          <cell r="BZ83">
            <v>255.07400000000001</v>
          </cell>
          <cell r="CA83">
            <v>261.952</v>
          </cell>
          <cell r="CB83">
            <v>282.30500000000001</v>
          </cell>
          <cell r="CC83">
            <v>296.76400000000001</v>
          </cell>
          <cell r="CE83">
            <v>304.48599999999999</v>
          </cell>
          <cell r="CF83">
            <v>301.48200000000003</v>
          </cell>
          <cell r="CG83">
            <v>311.97199999999998</v>
          </cell>
          <cell r="CH83">
            <v>334.03399999999999</v>
          </cell>
          <cell r="CJ83">
            <v>342.012</v>
          </cell>
          <cell r="CK83">
            <v>342.26499999999999</v>
          </cell>
          <cell r="CL83">
            <v>366.86599999999999</v>
          </cell>
          <cell r="CM83">
            <v>410.26100000000002</v>
          </cell>
          <cell r="CO83">
            <v>436.75799999999998</v>
          </cell>
          <cell r="CP83">
            <v>463.61399999999998</v>
          </cell>
          <cell r="CQ83">
            <v>465.61399999999998</v>
          </cell>
          <cell r="CR83">
            <v>467.61399999999998</v>
          </cell>
          <cell r="CT83">
            <v>270.62400000000002</v>
          </cell>
          <cell r="CU83">
            <v>277.50200000000001</v>
          </cell>
          <cell r="CV83">
            <v>297.85500000000002</v>
          </cell>
          <cell r="CW83">
            <v>312.31400000000002</v>
          </cell>
          <cell r="CY83">
            <v>320.137</v>
          </cell>
          <cell r="CZ83">
            <v>317.13299999999998</v>
          </cell>
          <cell r="DA83">
            <v>327.62299999999999</v>
          </cell>
          <cell r="DB83">
            <v>329.35199999999998</v>
          </cell>
          <cell r="DD83">
            <v>359.21300000000002</v>
          </cell>
          <cell r="DE83">
            <v>360.46499999999997</v>
          </cell>
          <cell r="DF83">
            <v>384.017</v>
          </cell>
          <cell r="DG83">
            <v>427.52100000000002</v>
          </cell>
          <cell r="DI83">
            <v>453.94400000000002</v>
          </cell>
          <cell r="DJ83">
            <v>480.80099999999999</v>
          </cell>
          <cell r="DK83">
            <v>478.65699999999998</v>
          </cell>
          <cell r="DL83">
            <v>502.81099999999998</v>
          </cell>
          <cell r="DN83">
            <v>511.98700000000002</v>
          </cell>
          <cell r="DO83">
            <v>501.29599999999999</v>
          </cell>
          <cell r="DP83">
            <v>507.94200000000001</v>
          </cell>
          <cell r="DQ83">
            <v>526.79700000000003</v>
          </cell>
          <cell r="DS83">
            <v>524.94200000000001</v>
          </cell>
          <cell r="DT83">
            <v>524.452</v>
          </cell>
          <cell r="DU83">
            <v>526.44100000000003</v>
          </cell>
          <cell r="DV83">
            <v>531.11800000000005</v>
          </cell>
          <cell r="DX83">
            <v>549.995</v>
          </cell>
          <cell r="DY83">
            <v>556.72799999999995</v>
          </cell>
          <cell r="DZ83">
            <v>561.43799999999999</v>
          </cell>
          <cell r="EA83">
            <v>564.43799999999999</v>
          </cell>
          <cell r="EC83">
            <v>567.43799999999999</v>
          </cell>
          <cell r="ED83">
            <v>570.43799999999999</v>
          </cell>
          <cell r="EE83">
            <v>573.43799999999999</v>
          </cell>
          <cell r="EF83">
            <v>576.43799999999999</v>
          </cell>
          <cell r="EH83">
            <v>579.43799999999999</v>
          </cell>
          <cell r="EI83">
            <v>582.43799999999999</v>
          </cell>
          <cell r="EJ83">
            <v>585.43799999999999</v>
          </cell>
          <cell r="EK83">
            <v>588.43799999999999</v>
          </cell>
          <cell r="EM83">
            <v>30.92</v>
          </cell>
          <cell r="EN83">
            <v>48.411999999999999</v>
          </cell>
          <cell r="EO83">
            <v>52.951999999999998</v>
          </cell>
          <cell r="EP83">
            <v>59.508000000000003</v>
          </cell>
          <cell r="EQ83">
            <v>59.527999999999999</v>
          </cell>
          <cell r="ER83">
            <v>61.944000000000003</v>
          </cell>
          <cell r="ES83">
            <v>138.626</v>
          </cell>
          <cell r="ET83">
            <v>153.13</v>
          </cell>
          <cell r="EU83">
            <v>184.39100000000002</v>
          </cell>
          <cell r="EW83">
            <v>160.06399999999999</v>
          </cell>
          <cell r="EX83">
            <v>191.94</v>
          </cell>
          <cell r="EZ83">
            <v>132.946</v>
          </cell>
          <cell r="FA83">
            <v>148.08199999999999</v>
          </cell>
          <cell r="FB83">
            <v>162.23400000000001</v>
          </cell>
          <cell r="FC83">
            <v>194.11</v>
          </cell>
          <cell r="FD83">
            <v>236.548</v>
          </cell>
          <cell r="FF83">
            <v>289.57600000000002</v>
          </cell>
          <cell r="FK83">
            <v>299.19</v>
          </cell>
          <cell r="FL83">
            <v>348.80799999999999</v>
          </cell>
          <cell r="FN83">
            <v>222.70400000000001</v>
          </cell>
          <cell r="FO83">
            <v>253.58099999999999</v>
          </cell>
          <cell r="FP83">
            <v>281.75400000000002</v>
          </cell>
          <cell r="FQ83">
            <v>313.89299999999997</v>
          </cell>
          <cell r="FR83">
            <v>365.98700000000002</v>
          </cell>
          <cell r="FT83">
            <v>253.58199999999999</v>
          </cell>
          <cell r="FU83">
            <v>297.30700000000002</v>
          </cell>
          <cell r="FV83">
            <v>329.35199999999998</v>
          </cell>
          <cell r="FW83">
            <v>383.11900000000003</v>
          </cell>
          <cell r="FX83">
            <v>479.85899999999998</v>
          </cell>
          <cell r="FY83">
            <v>510.62700000000001</v>
          </cell>
          <cell r="FZ83">
            <v>526.73824999999999</v>
          </cell>
          <cell r="GA83">
            <v>558.14975000000004</v>
          </cell>
          <cell r="GB83">
            <v>571.93799999999999</v>
          </cell>
          <cell r="GC83">
            <v>583.93799999999999</v>
          </cell>
          <cell r="GE83">
            <v>319.30175000000003</v>
          </cell>
          <cell r="GF83">
            <v>358.26175000000001</v>
          </cell>
          <cell r="GG83">
            <v>460.23075</v>
          </cell>
          <cell r="GH83">
            <v>506.00900000000001</v>
          </cell>
          <cell r="GI83">
            <v>525.65800000000002</v>
          </cell>
          <cell r="GJ83">
            <v>549.81975</v>
          </cell>
          <cell r="GL83">
            <v>526.73824999999999</v>
          </cell>
          <cell r="GM83">
            <v>558.14975000000004</v>
          </cell>
          <cell r="GN83">
            <v>571.93799999999999</v>
          </cell>
          <cell r="GO83">
            <v>583.93799999999999</v>
          </cell>
          <cell r="GP83">
            <v>603.93799999999999</v>
          </cell>
          <cell r="GQ83">
            <v>623.93799999999999</v>
          </cell>
          <cell r="GR83">
            <v>643.93799999999999</v>
          </cell>
          <cell r="GS83">
            <v>663.93799999999999</v>
          </cell>
          <cell r="GT83">
            <v>683.93799999999999</v>
          </cell>
          <cell r="GU83">
            <v>703.93799999999999</v>
          </cell>
          <cell r="GV83">
            <v>723.93799999999999</v>
          </cell>
          <cell r="GW83">
            <v>743.93799999999999</v>
          </cell>
          <cell r="GX83">
            <v>763.93799999999999</v>
          </cell>
          <cell r="GY83">
            <v>783.93799999999999</v>
          </cell>
          <cell r="GZ83">
            <v>803.93799999999999</v>
          </cell>
          <cell r="HA83">
            <v>823.93799999999999</v>
          </cell>
          <cell r="HB83">
            <v>843.93799999999999</v>
          </cell>
          <cell r="HC83">
            <v>863.93799999999999</v>
          </cell>
          <cell r="HD83">
            <v>883.93799999999999</v>
          </cell>
          <cell r="HE83">
            <v>903.93799999999999</v>
          </cell>
          <cell r="HF83">
            <v>923.93799999999999</v>
          </cell>
          <cell r="HG83">
            <v>943.93799999999999</v>
          </cell>
          <cell r="HH83">
            <v>963.93799999999999</v>
          </cell>
          <cell r="HI83">
            <v>983.93799999999999</v>
          </cell>
        </row>
        <row r="84">
          <cell r="DJ84" t="str">
            <v xml:space="preserve"> </v>
          </cell>
        </row>
        <row r="86">
          <cell r="D86" t="str">
            <v xml:space="preserve"> --</v>
          </cell>
          <cell r="E86" t="str">
            <v xml:space="preserve"> --</v>
          </cell>
          <cell r="F86" t="str">
            <v xml:space="preserve"> --</v>
          </cell>
          <cell r="G86" t="str">
            <v xml:space="preserve"> --</v>
          </cell>
          <cell r="I86">
            <v>1.1056900527009224</v>
          </cell>
          <cell r="J86">
            <v>0.96017309925060701</v>
          </cell>
          <cell r="K86">
            <v>0.96368098159509219</v>
          </cell>
          <cell r="L86">
            <v>0.66536468113873659</v>
          </cell>
          <cell r="N86">
            <v>0.68183329096846079</v>
          </cell>
          <cell r="O86">
            <v>0.88132246832035044</v>
          </cell>
          <cell r="P86">
            <v>1.0591102224443887</v>
          </cell>
          <cell r="Q86">
            <v>0.88987115300768238</v>
          </cell>
          <cell r="S86">
            <v>0.74136768433045797</v>
          </cell>
          <cell r="T86">
            <v>0.49554457334758051</v>
          </cell>
          <cell r="U86">
            <v>0.22328093706378582</v>
          </cell>
          <cell r="V86">
            <v>0.37007661036905048</v>
          </cell>
          <cell r="X86">
            <v>0.57259884365277514</v>
          </cell>
          <cell r="Y86">
            <v>0.60418992453287568</v>
          </cell>
          <cell r="Z86">
            <v>0.82948005556658089</v>
          </cell>
          <cell r="AA86">
            <v>0.92229706189757277</v>
          </cell>
          <cell r="AC86">
            <v>0.59661978288834083</v>
          </cell>
          <cell r="AD86">
            <v>0.6819157904783113</v>
          </cell>
          <cell r="AE86">
            <v>0.6945762711864405</v>
          </cell>
          <cell r="AF86">
            <v>0.53658875484054147</v>
          </cell>
          <cell r="AH86">
            <v>0.33358840497993825</v>
          </cell>
          <cell r="AJ86">
            <v>0.68660182468891562</v>
          </cell>
          <cell r="AK86">
            <v>0.87256032576709575</v>
          </cell>
          <cell r="AL86">
            <v>0.96744067796610156</v>
          </cell>
          <cell r="AM86">
            <v>0.79671235855952749</v>
          </cell>
          <cell r="AO86" t="str">
            <v xml:space="preserve"> --</v>
          </cell>
          <cell r="AP86" t="str">
            <v xml:space="preserve"> --</v>
          </cell>
          <cell r="AQ86" t="str">
            <v xml:space="preserve"> --</v>
          </cell>
          <cell r="AR86" t="str">
            <v xml:space="preserve"> --</v>
          </cell>
          <cell r="AT86">
            <v>0.60383484483077243</v>
          </cell>
          <cell r="AU86">
            <v>0.82726224985156982</v>
          </cell>
          <cell r="AV86">
            <v>0.98072102694593721</v>
          </cell>
          <cell r="AW86">
            <v>1.1691254759781953</v>
          </cell>
          <cell r="AY86" t="str">
            <v xml:space="preserve"> --</v>
          </cell>
          <cell r="AZ86" t="str">
            <v xml:space="preserve"> --</v>
          </cell>
          <cell r="BA86" t="str">
            <v xml:space="preserve"> --</v>
          </cell>
          <cell r="BB86" t="str">
            <v xml:space="preserve"> --</v>
          </cell>
          <cell r="BD86" t="str">
            <v xml:space="preserve"> --</v>
          </cell>
          <cell r="BE86" t="str">
            <v xml:space="preserve"> --</v>
          </cell>
          <cell r="BF86" t="str">
            <v xml:space="preserve"> --</v>
          </cell>
          <cell r="BG86" t="str">
            <v xml:space="preserve"> --</v>
          </cell>
          <cell r="BI86" t="str">
            <v xml:space="preserve"> --</v>
          </cell>
          <cell r="BJ86" t="str">
            <v xml:space="preserve"> --</v>
          </cell>
          <cell r="BK86" t="str">
            <v xml:space="preserve"> --</v>
          </cell>
          <cell r="BL86" t="str">
            <v xml:space="preserve"> --</v>
          </cell>
          <cell r="BN86" t="str">
            <v xml:space="preserve"> --</v>
          </cell>
          <cell r="BO86" t="str">
            <v xml:space="preserve"> --</v>
          </cell>
          <cell r="BP86" t="str">
            <v xml:space="preserve"> --</v>
          </cell>
          <cell r="BQ86" t="str">
            <v xml:space="preserve"> --</v>
          </cell>
          <cell r="BS86">
            <v>0.39481636617672367</v>
          </cell>
          <cell r="BT86">
            <v>0.63639379994203349</v>
          </cell>
          <cell r="BU86">
            <v>0.89906614398231244</v>
          </cell>
          <cell r="BV86">
            <v>1.0137926714422369</v>
          </cell>
          <cell r="BX86">
            <v>1.3900155484244019</v>
          </cell>
          <cell r="BZ86" t="str">
            <v>--</v>
          </cell>
          <cell r="CA86" t="str">
            <v>--</v>
          </cell>
          <cell r="CB86" t="str">
            <v>--</v>
          </cell>
          <cell r="CC86" t="str">
            <v>--</v>
          </cell>
          <cell r="CE86">
            <v>0.57697508652105167</v>
          </cell>
          <cell r="CF86">
            <v>0.51197841864122617</v>
          </cell>
          <cell r="CG86">
            <v>0.57203943540208479</v>
          </cell>
          <cell r="CH86">
            <v>0.52093780781853671</v>
          </cell>
          <cell r="CJ86">
            <v>0.45790937497935524</v>
          </cell>
          <cell r="CK86">
            <v>0.67521083521444702</v>
          </cell>
          <cell r="CL86">
            <v>0.91955717527914493</v>
          </cell>
          <cell r="CM86">
            <v>0.97432456721803185</v>
          </cell>
          <cell r="CO86">
            <v>1.2880066266337753</v>
          </cell>
          <cell r="CP86">
            <v>1.1179908758494603</v>
          </cell>
          <cell r="CQ86">
            <v>0.70792499234188466</v>
          </cell>
          <cell r="CR86">
            <v>0.55104179913141671</v>
          </cell>
          <cell r="CT86" t="str">
            <v xml:space="preserve"> --</v>
          </cell>
          <cell r="CU86" t="str">
            <v xml:space="preserve"> --</v>
          </cell>
          <cell r="CV86" t="str">
            <v xml:space="preserve"> --</v>
          </cell>
          <cell r="CW86" t="str">
            <v xml:space="preserve"> --</v>
          </cell>
          <cell r="CY86">
            <v>0.54457835755720407</v>
          </cell>
          <cell r="CZ86">
            <v>0.49002538695954878</v>
          </cell>
          <cell r="DA86">
            <v>0.57260224154461592</v>
          </cell>
          <cell r="DB86">
            <v>0.52576062491725151</v>
          </cell>
          <cell r="DD86">
            <v>0.47287200040948818</v>
          </cell>
          <cell r="DE86">
            <v>0.6691773094503104</v>
          </cell>
          <cell r="DF86">
            <v>0.88037226352006726</v>
          </cell>
          <cell r="DG86">
            <v>0.93394868306075907</v>
          </cell>
          <cell r="DI86">
            <v>1.1635260078233602</v>
          </cell>
          <cell r="DJ86">
            <v>1.0185306346149057</v>
          </cell>
          <cell r="DK86">
            <v>0.646199701180034</v>
          </cell>
          <cell r="DL86">
            <v>0.39742432346089385</v>
          </cell>
          <cell r="DN86">
            <v>0.16198289561273271</v>
          </cell>
          <cell r="DO86">
            <v>5.3887660855901798E-2</v>
          </cell>
          <cell r="DP86">
            <v>6.598538631732298E-2</v>
          </cell>
          <cell r="DQ86">
            <v>5.8394559011364588E-2</v>
          </cell>
          <cell r="DS86">
            <v>5.2816210902213445E-3</v>
          </cell>
          <cell r="DT86">
            <v>2.9490729811970429E-2</v>
          </cell>
          <cell r="DU86">
            <v>0.11539255710694252</v>
          </cell>
          <cell r="DV86">
            <v>-7.1818402451233276E-2</v>
          </cell>
          <cell r="DX86">
            <v>-6.5077787943628174E-3</v>
          </cell>
          <cell r="DY86">
            <v>4.868238254476065E-2</v>
          </cell>
          <cell r="DZ86">
            <v>7.8112545417440504E-2</v>
          </cell>
          <cell r="EA86">
            <v>0.15997157007613838</v>
          </cell>
          <cell r="EC86">
            <v>0.21623934316184168</v>
          </cell>
          <cell r="ED86">
            <v>0.16097258555564253</v>
          </cell>
          <cell r="EE86">
            <v>0.11388906710000035</v>
          </cell>
          <cell r="EF86">
            <v>0.15120618959283982</v>
          </cell>
          <cell r="EH86">
            <v>0.16811380795211495</v>
          </cell>
          <cell r="EI86">
            <v>0.16924773405794502</v>
          </cell>
          <cell r="EJ86">
            <v>0.17265197909181973</v>
          </cell>
          <cell r="EK86">
            <v>0.16875577920839135</v>
          </cell>
          <cell r="EM86" t="str">
            <v>--</v>
          </cell>
          <cell r="EN86">
            <v>0.80734706307815296</v>
          </cell>
          <cell r="EO86">
            <v>0.88868341014213126</v>
          </cell>
          <cell r="EP86">
            <v>9.4208280639772379E-2</v>
          </cell>
          <cell r="EQ86">
            <v>1.224287182610682</v>
          </cell>
          <cell r="ER86">
            <v>0.95805907259651746</v>
          </cell>
          <cell r="ES86">
            <v>0.11880533874083321</v>
          </cell>
          <cell r="ET86">
            <v>0.73915754046440107</v>
          </cell>
          <cell r="EU86">
            <v>0.62399680883464104</v>
          </cell>
          <cell r="EW86">
            <v>0.86122026790331985</v>
          </cell>
          <cell r="EX86">
            <v>0.83579513652743365</v>
          </cell>
          <cell r="EZ86" t="str">
            <v xml:space="preserve"> --</v>
          </cell>
          <cell r="FA86">
            <v>7.3358319947647077E-2</v>
          </cell>
          <cell r="FB86">
            <v>0.4807184094073409</v>
          </cell>
          <cell r="FC86">
            <v>0.67186070572452294</v>
          </cell>
          <cell r="FD86">
            <v>0.92870211820842474</v>
          </cell>
          <cell r="FF86" t="str">
            <v xml:space="preserve"> --</v>
          </cell>
          <cell r="FH86" t="str">
            <v xml:space="preserve"> --</v>
          </cell>
          <cell r="FI86">
            <v>0.11135612419582519</v>
          </cell>
          <cell r="FJ86">
            <v>0.53442197856707918</v>
          </cell>
          <cell r="FK86">
            <v>0.47700221253503483</v>
          </cell>
          <cell r="FL86">
            <v>0.76443003051006353</v>
          </cell>
          <cell r="FN86" t="str">
            <v xml:space="preserve"> --</v>
          </cell>
          <cell r="FO86">
            <v>0.16011183539663087</v>
          </cell>
          <cell r="FP86">
            <v>0.54982407103365594</v>
          </cell>
          <cell r="FQ86">
            <v>0.54363648186530522</v>
          </cell>
          <cell r="FR86">
            <v>0.78152837296212585</v>
          </cell>
          <cell r="FT86" t="str">
            <v xml:space="preserve"> --</v>
          </cell>
          <cell r="FU86">
            <v>0.72053056331974474</v>
          </cell>
          <cell r="FV86">
            <v>0.53332019615768655</v>
          </cell>
          <cell r="FW86">
            <v>0.76056128512902021</v>
          </cell>
          <cell r="FX86">
            <v>0.74011879659531776</v>
          </cell>
          <cell r="FY86">
            <v>8.217842573956613E-2</v>
          </cell>
          <cell r="FZ86">
            <v>2.0896377716502768E-2</v>
          </cell>
          <cell r="GA86">
            <v>6.970576263058148E-2</v>
          </cell>
          <cell r="GB86">
            <v>0.15688685337928487</v>
          </cell>
          <cell r="GC86">
            <v>0.16981856881618373</v>
          </cell>
          <cell r="GE86" t="str">
            <v>--</v>
          </cell>
          <cell r="GF86">
            <v>0.65448933944824583</v>
          </cell>
          <cell r="GG86">
            <v>0.90791766483937253</v>
          </cell>
          <cell r="GH86">
            <v>0.15137508050856585</v>
          </cell>
          <cell r="GI86">
            <v>5.3582418123237607E-2</v>
          </cell>
          <cell r="GJ86">
            <v>1.5158826373070422E-2</v>
          </cell>
          <cell r="GL86">
            <v>2.0896377716502768E-2</v>
          </cell>
          <cell r="GM86">
            <v>6.970576263058148E-2</v>
          </cell>
          <cell r="GN86">
            <v>0.15688685337928487</v>
          </cell>
          <cell r="GO86">
            <v>0.16981856881618373</v>
          </cell>
          <cell r="GP86">
            <v>0.21</v>
          </cell>
          <cell r="GQ86">
            <v>0.17</v>
          </cell>
          <cell r="GR86">
            <v>0</v>
          </cell>
          <cell r="GS86">
            <v>0.08</v>
          </cell>
          <cell r="GT86">
            <v>0.17</v>
          </cell>
          <cell r="GU86">
            <v>0.26</v>
          </cell>
          <cell r="GV86">
            <v>0.14000000000000001</v>
          </cell>
          <cell r="GW86">
            <v>-0.15</v>
          </cell>
          <cell r="GX86">
            <v>0.05</v>
          </cell>
          <cell r="GY86">
            <v>0.12</v>
          </cell>
          <cell r="GZ86">
            <v>0.11</v>
          </cell>
          <cell r="HA86">
            <v>0.1</v>
          </cell>
          <cell r="HB86">
            <v>0.09</v>
          </cell>
          <cell r="HC86">
            <v>0.08</v>
          </cell>
          <cell r="HD86">
            <v>7.0000000000000007E-2</v>
          </cell>
          <cell r="HE86">
            <v>0.06</v>
          </cell>
          <cell r="HF86">
            <v>0.05</v>
          </cell>
          <cell r="HG86">
            <v>0.05</v>
          </cell>
          <cell r="HH86">
            <v>0.05</v>
          </cell>
          <cell r="HI86">
            <v>0.05</v>
          </cell>
        </row>
        <row r="87">
          <cell r="D87" t="str">
            <v xml:space="preserve"> --</v>
          </cell>
          <cell r="E87" t="str">
            <v xml:space="preserve"> --</v>
          </cell>
          <cell r="F87" t="str">
            <v xml:space="preserve"> --</v>
          </cell>
          <cell r="G87" t="str">
            <v xml:space="preserve"> --</v>
          </cell>
          <cell r="I87">
            <v>94.099967061923579</v>
          </cell>
          <cell r="J87">
            <v>81.944200119621442</v>
          </cell>
          <cell r="K87">
            <v>84.098159509202446</v>
          </cell>
          <cell r="L87">
            <v>52.348581586920062</v>
          </cell>
          <cell r="N87">
            <v>63.29507459476369</v>
          </cell>
          <cell r="O87">
            <v>83.645044333560705</v>
          </cell>
          <cell r="P87">
            <v>102.00574856285928</v>
          </cell>
          <cell r="Q87">
            <v>84.602132916372213</v>
          </cell>
          <cell r="S87">
            <v>23.563605924616947</v>
          </cell>
          <cell r="T87">
            <v>8.0531598229278032</v>
          </cell>
          <cell r="U87">
            <v>-10.672452509558783</v>
          </cell>
          <cell r="V87">
            <v>3.9928083308804263</v>
          </cell>
          <cell r="X87">
            <v>5.184201038843117</v>
          </cell>
          <cell r="Y87">
            <v>10.660448975165382</v>
          </cell>
          <cell r="Z87">
            <v>34.575312562016293</v>
          </cell>
          <cell r="AA87">
            <v>45.777493903147139</v>
          </cell>
          <cell r="AC87">
            <v>51.807919438583383</v>
          </cell>
          <cell r="AD87">
            <v>40.95153260056945</v>
          </cell>
          <cell r="AE87">
            <v>20.813559322033882</v>
          </cell>
          <cell r="AF87">
            <v>11.823305885977685</v>
          </cell>
          <cell r="AH87" t="str">
            <v xml:space="preserve"> --</v>
          </cell>
          <cell r="AJ87">
            <v>51.807919438583383</v>
          </cell>
          <cell r="AK87">
            <v>40.95153260056945</v>
          </cell>
          <cell r="AL87">
            <v>20.813559322033882</v>
          </cell>
          <cell r="AM87">
            <v>11.823305885977685</v>
          </cell>
          <cell r="AO87" t="str">
            <v xml:space="preserve"> --</v>
          </cell>
          <cell r="AP87" t="str">
            <v xml:space="preserve"> --</v>
          </cell>
          <cell r="AQ87" t="str">
            <v xml:space="preserve"> --</v>
          </cell>
          <cell r="AR87" t="str">
            <v xml:space="preserve"> --</v>
          </cell>
          <cell r="AT87">
            <v>28.570693401886782</v>
          </cell>
          <cell r="AU87">
            <v>51.682014148399077</v>
          </cell>
          <cell r="AV87">
            <v>83.632257901166568</v>
          </cell>
          <cell r="AW87">
            <v>85.965421237854713</v>
          </cell>
          <cell r="AY87" t="str">
            <v xml:space="preserve"> --</v>
          </cell>
          <cell r="AZ87" t="str">
            <v xml:space="preserve"> --</v>
          </cell>
          <cell r="BA87" t="str">
            <v xml:space="preserve"> --</v>
          </cell>
          <cell r="BB87" t="str">
            <v xml:space="preserve"> --</v>
          </cell>
          <cell r="BD87" t="str">
            <v xml:space="preserve"> --</v>
          </cell>
          <cell r="BE87" t="str">
            <v xml:space="preserve"> --</v>
          </cell>
          <cell r="BF87" t="str">
            <v xml:space="preserve"> --</v>
          </cell>
          <cell r="BG87" t="str">
            <v xml:space="preserve"> --</v>
          </cell>
          <cell r="BI87" t="str">
            <v xml:space="preserve"> --</v>
          </cell>
          <cell r="BJ87" t="str">
            <v xml:space="preserve"> --</v>
          </cell>
          <cell r="BK87" t="str">
            <v xml:space="preserve"> --</v>
          </cell>
          <cell r="BL87" t="str">
            <v xml:space="preserve"> --</v>
          </cell>
          <cell r="BN87" t="str">
            <v xml:space="preserve"> --</v>
          </cell>
          <cell r="BO87" t="str">
            <v xml:space="preserve"> --</v>
          </cell>
          <cell r="BP87" t="str">
            <v xml:space="preserve"> --</v>
          </cell>
          <cell r="BQ87" t="str">
            <v xml:space="preserve"> --</v>
          </cell>
          <cell r="BS87" t="str">
            <v xml:space="preserve"> --</v>
          </cell>
          <cell r="BT87" t="str">
            <v xml:space="preserve"> --</v>
          </cell>
          <cell r="BU87" t="str">
            <v xml:space="preserve"> --</v>
          </cell>
          <cell r="BV87" t="str">
            <v xml:space="preserve"> --</v>
          </cell>
          <cell r="BX87" t="str">
            <v xml:space="preserve"> --</v>
          </cell>
          <cell r="BZ87" t="str">
            <v xml:space="preserve"> --</v>
          </cell>
          <cell r="CA87" t="str">
            <v xml:space="preserve"> --</v>
          </cell>
          <cell r="CB87" t="str">
            <v xml:space="preserve"> --</v>
          </cell>
          <cell r="CC87" t="str">
            <v xml:space="preserve"> --</v>
          </cell>
          <cell r="CE87" t="str">
            <v xml:space="preserve"> --</v>
          </cell>
          <cell r="CF87" t="str">
            <v xml:space="preserve"> --</v>
          </cell>
          <cell r="CG87" t="str">
            <v xml:space="preserve"> --</v>
          </cell>
          <cell r="CH87" t="str">
            <v xml:space="preserve"> --</v>
          </cell>
          <cell r="CJ87" t="str">
            <v xml:space="preserve"> --</v>
          </cell>
          <cell r="CK87" t="str">
            <v xml:space="preserve"> --</v>
          </cell>
          <cell r="CL87" t="str">
            <v xml:space="preserve"> --</v>
          </cell>
          <cell r="CM87" t="str">
            <v xml:space="preserve"> --</v>
          </cell>
          <cell r="CO87" t="str">
            <v xml:space="preserve"> --</v>
          </cell>
          <cell r="CP87" t="str">
            <v xml:space="preserve"> --</v>
          </cell>
          <cell r="CQ87" t="str">
            <v xml:space="preserve"> --</v>
          </cell>
          <cell r="CR87" t="str">
            <v xml:space="preserve"> --</v>
          </cell>
          <cell r="CT87" t="str">
            <v xml:space="preserve"> --</v>
          </cell>
          <cell r="CU87" t="str">
            <v xml:space="preserve"> --</v>
          </cell>
          <cell r="CV87" t="str">
            <v xml:space="preserve"> --</v>
          </cell>
          <cell r="CW87" t="str">
            <v xml:space="preserve"> --</v>
          </cell>
          <cell r="CY87">
            <v>51.056381404157136</v>
          </cell>
          <cell r="CZ87">
            <v>37.833580898310302</v>
          </cell>
          <cell r="DA87">
            <v>35.695350703450693</v>
          </cell>
          <cell r="DB87">
            <v>34.238977889580305</v>
          </cell>
          <cell r="DD87">
            <v>31.098130757684149</v>
          </cell>
          <cell r="DE87">
            <v>49.409253011731778</v>
          </cell>
          <cell r="DF87">
            <v>79.317376725216278</v>
          </cell>
          <cell r="DG87">
            <v>75.714482817268561</v>
          </cell>
          <cell r="DI87">
            <v>92.167264733456193</v>
          </cell>
          <cell r="DJ87">
            <v>83.578760769546463</v>
          </cell>
          <cell r="DK87">
            <v>47.760527305436696</v>
          </cell>
          <cell r="DL87">
            <v>27.818419380660274</v>
          </cell>
          <cell r="DN87">
            <v>-1.9565374934534363</v>
          </cell>
          <cell r="DO87">
            <v>-15.27948378011288</v>
          </cell>
          <cell r="DP87">
            <v>-17.318717386787796</v>
          </cell>
          <cell r="DQ87">
            <v>-25.769658307095277</v>
          </cell>
          <cell r="DS87">
            <v>-19.82162272334773</v>
          </cell>
          <cell r="DT87">
            <v>-12.459636884506796</v>
          </cell>
          <cell r="DU87">
            <v>-4.0412228185085723</v>
          </cell>
          <cell r="DV87">
            <v>-14.766101386402941</v>
          </cell>
          <cell r="DX87">
            <v>-6.0872515651447801</v>
          </cell>
          <cell r="DY87">
            <v>0.37804438885917779</v>
          </cell>
          <cell r="DZ87">
            <v>7.8112545417440504</v>
          </cell>
          <cell r="EA87">
            <v>15.997157007613838</v>
          </cell>
          <cell r="EC87">
            <v>21.623934316184169</v>
          </cell>
          <cell r="ED87">
            <v>16.097258555564252</v>
          </cell>
          <cell r="EE87">
            <v>11.388906710000036</v>
          </cell>
          <cell r="EF87">
            <v>15.120618959283982</v>
          </cell>
          <cell r="EH87">
            <v>15.307642769526296</v>
          </cell>
          <cell r="EI87">
            <v>15.527777193690252</v>
          </cell>
          <cell r="EJ87">
            <v>16.036763237786069</v>
          </cell>
          <cell r="EK87">
            <v>15.484897991330126</v>
          </cell>
          <cell r="EM87" t="str">
            <v xml:space="preserve"> --</v>
          </cell>
          <cell r="EN87" t="str">
            <v xml:space="preserve"> --</v>
          </cell>
          <cell r="EO87" t="str">
            <v xml:space="preserve"> --</v>
          </cell>
          <cell r="EP87" t="str">
            <v xml:space="preserve"> --</v>
          </cell>
          <cell r="EQ87" t="str">
            <v xml:space="preserve"> --</v>
          </cell>
          <cell r="ER87" t="str">
            <v xml:space="preserve"> --</v>
          </cell>
          <cell r="ES87" t="str">
            <v xml:space="preserve"> --</v>
          </cell>
          <cell r="ET87" t="str">
            <v xml:space="preserve"> --</v>
          </cell>
          <cell r="EU87" t="str">
            <v xml:space="preserve"> --</v>
          </cell>
          <cell r="EW87" t="str">
            <v xml:space="preserve"> --</v>
          </cell>
          <cell r="EX87" t="str">
            <v xml:space="preserve"> --</v>
          </cell>
          <cell r="EZ87" t="str">
            <v xml:space="preserve"> --</v>
          </cell>
          <cell r="FA87" t="str">
            <v xml:space="preserve"> --</v>
          </cell>
          <cell r="FB87" t="str">
            <v xml:space="preserve"> --</v>
          </cell>
          <cell r="FC87" t="str">
            <v xml:space="preserve"> --</v>
          </cell>
          <cell r="FD87" t="str">
            <v xml:space="preserve"> --</v>
          </cell>
          <cell r="FF87" t="str">
            <v xml:space="preserve"> --</v>
          </cell>
          <cell r="FH87" t="str">
            <v xml:space="preserve"> --</v>
          </cell>
          <cell r="FI87" t="str">
            <v xml:space="preserve"> --</v>
          </cell>
          <cell r="FJ87" t="str">
            <v xml:space="preserve"> --</v>
          </cell>
          <cell r="FK87" t="str">
            <v xml:space="preserve"> --</v>
          </cell>
          <cell r="FL87" t="str">
            <v xml:space="preserve"> --</v>
          </cell>
          <cell r="FN87" t="str">
            <v xml:space="preserve"> --</v>
          </cell>
          <cell r="FO87" t="str">
            <v xml:space="preserve"> --</v>
          </cell>
          <cell r="FP87" t="str">
            <v xml:space="preserve"> --</v>
          </cell>
          <cell r="FQ87" t="str">
            <v xml:space="preserve"> --</v>
          </cell>
          <cell r="FR87">
            <v>0.65</v>
          </cell>
          <cell r="FT87" t="str">
            <v xml:space="preserve"> --</v>
          </cell>
          <cell r="FU87">
            <v>51.430123630810783</v>
          </cell>
          <cell r="FV87">
            <v>41.694757723844674</v>
          </cell>
          <cell r="FW87">
            <v>61.737114025398789</v>
          </cell>
          <cell r="FX87">
            <v>57.12038099059049</v>
          </cell>
          <cell r="FY87">
            <v>-15.577711716864318</v>
          </cell>
          <cell r="FZ87">
            <v>-12.5690516987788</v>
          </cell>
          <cell r="GA87">
            <v>4.5787143936790731</v>
          </cell>
          <cell r="GB87">
            <v>15.688685337928487</v>
          </cell>
          <cell r="GC87">
            <v>16.981856881618373</v>
          </cell>
          <cell r="GE87" t="str">
            <v>--</v>
          </cell>
          <cell r="GF87">
            <v>57.01172687410758</v>
          </cell>
          <cell r="GG87">
            <v>73.049464433207618</v>
          </cell>
          <cell r="GH87">
            <v>-4.1326497837973371</v>
          </cell>
          <cell r="GI87">
            <v>-15.189984298524129</v>
          </cell>
          <cell r="GJ87">
            <v>-2.6705428559970934</v>
          </cell>
          <cell r="GL87">
            <v>-12.5690516987788</v>
          </cell>
          <cell r="GM87">
            <v>4.5787143936790731</v>
          </cell>
          <cell r="GN87">
            <v>15.688685337928487</v>
          </cell>
          <cell r="GO87">
            <v>16.981856881618373</v>
          </cell>
          <cell r="GP87">
            <v>16.306252749718155</v>
          </cell>
          <cell r="GQ87">
            <v>10.534783401815616</v>
          </cell>
          <cell r="GR87">
            <v>-3.8680783066060265</v>
          </cell>
          <cell r="GS87">
            <v>5.2370869238528517</v>
          </cell>
          <cell r="GT87">
            <v>12.906795442744933</v>
          </cell>
          <cell r="GU87">
            <v>19.003069132897355</v>
          </cell>
          <cell r="GV87">
            <v>10.529300165127653</v>
          </cell>
          <cell r="GW87">
            <v>-16.217789415744686</v>
          </cell>
          <cell r="GX87">
            <v>4.5272111680050076</v>
          </cell>
          <cell r="GY87">
            <v>10.874312304773825</v>
          </cell>
          <cell r="GZ87">
            <v>10.195937360552731</v>
          </cell>
          <cell r="HA87">
            <v>9.4567144328059136</v>
          </cell>
          <cell r="HB87">
            <v>8.6707360198823515</v>
          </cell>
          <cell r="HC87">
            <v>7.8489614770102634</v>
          </cell>
          <cell r="HD87">
            <v>6.8601495157502468</v>
          </cell>
          <cell r="HE87">
            <v>5.8692986128506819</v>
          </cell>
          <cell r="HF87">
            <v>4.8766968045761194</v>
          </cell>
          <cell r="HG87">
            <v>4.8825683853106039</v>
          </cell>
          <cell r="HH87">
            <v>4.8881603669624685</v>
          </cell>
          <cell r="HI87">
            <v>4.8934860637737776</v>
          </cell>
        </row>
        <row r="88">
          <cell r="D88" t="str">
            <v xml:space="preserve"> --</v>
          </cell>
          <cell r="E88">
            <v>17.024868247694336</v>
          </cell>
          <cell r="F88">
            <v>14.695844914329959</v>
          </cell>
          <cell r="G88" t="str">
            <v xml:space="preserve"> --</v>
          </cell>
          <cell r="I88">
            <v>28.052780490247621</v>
          </cell>
          <cell r="J88">
            <v>8.9376845316074593</v>
          </cell>
          <cell r="K88">
            <v>14.901102056933645</v>
          </cell>
          <cell r="L88">
            <v>3.9005873531616997</v>
          </cell>
          <cell r="N88">
            <v>29.319080480507552</v>
          </cell>
          <cell r="O88">
            <v>21.859232218011027</v>
          </cell>
          <cell r="P88">
            <v>25.759426041825684</v>
          </cell>
          <cell r="Q88">
            <v>-4.6390423013898179</v>
          </cell>
          <cell r="S88">
            <v>19.157365494307932</v>
          </cell>
          <cell r="T88">
            <v>4.656767835921527</v>
          </cell>
          <cell r="U88">
            <v>2.8649438302595698</v>
          </cell>
          <cell r="V88">
            <v>6.8044254812462901</v>
          </cell>
          <cell r="X88">
            <v>36.770990593427008</v>
          </cell>
          <cell r="Y88">
            <v>6.7591605921535791</v>
          </cell>
          <cell r="Z88">
            <v>17.311148933462704</v>
          </cell>
          <cell r="AA88">
            <v>12.223050847457628</v>
          </cell>
          <cell r="AC88">
            <v>13.599127645306863</v>
          </cell>
          <cell r="AD88">
            <v>12.462541115031666</v>
          </cell>
          <cell r="AE88">
            <v>18.194198814038607</v>
          </cell>
          <cell r="AF88">
            <v>1.7603520704140951</v>
          </cell>
          <cell r="AH88">
            <v>-10.930438992898662</v>
          </cell>
          <cell r="AJ88">
            <v>20.001329072247167</v>
          </cell>
          <cell r="AK88">
            <v>18.530032169233323</v>
          </cell>
          <cell r="AL88">
            <v>23.255162044558265</v>
          </cell>
          <cell r="AM88">
            <v>2.4846871527149705</v>
          </cell>
          <cell r="AO88" t="str">
            <v xml:space="preserve"> --</v>
          </cell>
          <cell r="AP88">
            <v>20.559717988963765</v>
          </cell>
          <cell r="AQ88">
            <v>22.611439015588086</v>
          </cell>
          <cell r="AR88">
            <v>4.1854186842888108</v>
          </cell>
          <cell r="AT88">
            <v>4.1404597034240043</v>
          </cell>
          <cell r="AU88">
            <v>37.354679781401636</v>
          </cell>
          <cell r="AV88">
            <v>32.908702854230377</v>
          </cell>
          <cell r="AW88">
            <v>14.095444446308614</v>
          </cell>
          <cell r="AY88" t="str">
            <v xml:space="preserve"> --</v>
          </cell>
          <cell r="AZ88" t="str">
            <v xml:space="preserve"> --</v>
          </cell>
          <cell r="BA88" t="str">
            <v xml:space="preserve"> --</v>
          </cell>
          <cell r="BB88" t="str">
            <v xml:space="preserve"> --</v>
          </cell>
          <cell r="BD88" t="str">
            <v xml:space="preserve"> --</v>
          </cell>
          <cell r="BE88" t="str">
            <v xml:space="preserve"> --</v>
          </cell>
          <cell r="BF88" t="str">
            <v xml:space="preserve"> --</v>
          </cell>
          <cell r="BG88" t="str">
            <v xml:space="preserve"> --</v>
          </cell>
          <cell r="BI88" t="str">
            <v xml:space="preserve"> --</v>
          </cell>
          <cell r="BJ88" t="str">
            <v xml:space="preserve"> --</v>
          </cell>
          <cell r="BK88" t="str">
            <v xml:space="preserve"> --</v>
          </cell>
          <cell r="BL88" t="str">
            <v xml:space="preserve"> --</v>
          </cell>
          <cell r="BN88" t="str">
            <v xml:space="preserve"> --</v>
          </cell>
          <cell r="BO88" t="str">
            <v xml:space="preserve"> --</v>
          </cell>
          <cell r="BP88" t="str">
            <v xml:space="preserve"> --</v>
          </cell>
          <cell r="BQ88" t="str">
            <v xml:space="preserve"> --</v>
          </cell>
          <cell r="BS88">
            <v>1.5384174366716685</v>
          </cell>
          <cell r="BT88">
            <v>30.469265459807815</v>
          </cell>
          <cell r="BU88">
            <v>31.343482146077161</v>
          </cell>
          <cell r="BV88">
            <v>15.735774545445658</v>
          </cell>
          <cell r="BX88">
            <v>20.508133671104979</v>
          </cell>
          <cell r="BZ88" t="str">
            <v>--</v>
          </cell>
          <cell r="CA88" t="str">
            <v>--</v>
          </cell>
          <cell r="CB88" t="str">
            <v>--</v>
          </cell>
          <cell r="CC88" t="str">
            <v>--</v>
          </cell>
          <cell r="CE88">
            <v>9.4738318987151349</v>
          </cell>
          <cell r="CF88">
            <v>9.7469132132310676</v>
          </cell>
          <cell r="CG88">
            <v>13.837893152746439</v>
          </cell>
          <cell r="CH88">
            <v>11.204400327422936</v>
          </cell>
          <cell r="CJ88">
            <v>4.9371808759014479</v>
          </cell>
          <cell r="CK88">
            <v>26.104695738545235</v>
          </cell>
          <cell r="CL88">
            <v>30.442294203548471</v>
          </cell>
          <cell r="CM88">
            <v>14.377202396824806</v>
          </cell>
          <cell r="CO88">
            <v>21.609673105898608</v>
          </cell>
          <cell r="CP88">
            <v>16.734187684134728</v>
          </cell>
          <cell r="CQ88">
            <v>5.1872587691394134</v>
          </cell>
          <cell r="CR88">
            <v>3.8709677419354938</v>
          </cell>
          <cell r="CT88" t="str">
            <v xml:space="preserve"> --</v>
          </cell>
          <cell r="CU88">
            <v>12.764095351039284</v>
          </cell>
          <cell r="CV88">
            <v>8.4993323082893202</v>
          </cell>
          <cell r="CW88">
            <v>13.504870505564792</v>
          </cell>
          <cell r="CY88">
            <v>11.223752151463007</v>
          </cell>
          <cell r="CZ88">
            <v>8.7813797134296721</v>
          </cell>
          <cell r="DA88">
            <v>14.512339646963435</v>
          </cell>
          <cell r="DB88">
            <v>10.124008206692437</v>
          </cell>
          <cell r="DD88">
            <v>7.3683169227538592</v>
          </cell>
          <cell r="DE88">
            <v>23.279830601622862</v>
          </cell>
          <cell r="DF88">
            <v>29.001170866533023</v>
          </cell>
          <cell r="DG88">
            <v>13.261711404962039</v>
          </cell>
          <cell r="DI88">
            <v>20.113914145311895</v>
          </cell>
          <cell r="DJ88">
            <v>15.017852246603812</v>
          </cell>
          <cell r="DK88">
            <v>5.2060767821219711</v>
          </cell>
          <cell r="DL88">
            <v>-3.8545139325155131</v>
          </cell>
          <cell r="DN88">
            <v>-0.12316844730054788</v>
          </cell>
          <cell r="DO88">
            <v>4.3181407562147278</v>
          </cell>
          <cell r="DP88">
            <v>6.4137522119203094</v>
          </cell>
          <cell r="DQ88">
            <v>-4.5391610115032011</v>
          </cell>
          <cell r="DS88">
            <v>-5.1352425446713035</v>
          </cell>
          <cell r="DT88">
            <v>6.8303215802101969</v>
          </cell>
          <cell r="DU88">
            <v>15.293031548401448</v>
          </cell>
          <cell r="DV88">
            <v>-20.561605444536589</v>
          </cell>
          <cell r="DX88">
            <v>1.5398267400758003</v>
          </cell>
          <cell r="DY88">
            <v>12.764925352716094</v>
          </cell>
          <cell r="DZ88">
            <v>18.528608643079746</v>
          </cell>
          <cell r="EA88">
            <v>-14.529999999999998</v>
          </cell>
          <cell r="EC88">
            <v>6.4653094653094767</v>
          </cell>
          <cell r="ED88">
            <v>7.6408090913986149</v>
          </cell>
          <cell r="EE88">
            <v>13.721652818281282</v>
          </cell>
          <cell r="EF88">
            <v>-11.666613910964385</v>
          </cell>
          <cell r="EH88">
            <v>8.0289518755176879</v>
          </cell>
          <cell r="EI88">
            <v>7.7452995294454041</v>
          </cell>
          <cell r="EJ88">
            <v>14.052751490165871</v>
          </cell>
          <cell r="EK88">
            <v>-11.960106383342662</v>
          </cell>
          <cell r="EM88" t="str">
            <v xml:space="preserve"> --</v>
          </cell>
          <cell r="EN88" t="str">
            <v xml:space="preserve"> --</v>
          </cell>
          <cell r="EO88" t="str">
            <v xml:space="preserve"> --</v>
          </cell>
          <cell r="EP88" t="str">
            <v xml:space="preserve"> --</v>
          </cell>
          <cell r="EQ88" t="str">
            <v xml:space="preserve"> --</v>
          </cell>
          <cell r="ER88" t="str">
            <v xml:space="preserve"> --</v>
          </cell>
          <cell r="ES88" t="str">
            <v xml:space="preserve"> --</v>
          </cell>
          <cell r="ET88" t="str">
            <v xml:space="preserve"> --</v>
          </cell>
          <cell r="EU88" t="str">
            <v xml:space="preserve"> --</v>
          </cell>
          <cell r="EW88" t="str">
            <v xml:space="preserve"> --</v>
          </cell>
          <cell r="EX88" t="str">
            <v xml:space="preserve"> --</v>
          </cell>
          <cell r="EZ88" t="str">
            <v xml:space="preserve"> --</v>
          </cell>
          <cell r="FA88" t="str">
            <v xml:space="preserve"> --</v>
          </cell>
          <cell r="FB88" t="str">
            <v xml:space="preserve"> --</v>
          </cell>
          <cell r="FC88" t="str">
            <v xml:space="preserve"> --</v>
          </cell>
          <cell r="FD88" t="str">
            <v xml:space="preserve"> --</v>
          </cell>
          <cell r="FF88" t="str">
            <v xml:space="preserve"> --</v>
          </cell>
          <cell r="FH88" t="str">
            <v xml:space="preserve"> --</v>
          </cell>
          <cell r="FI88" t="str">
            <v xml:space="preserve"> --</v>
          </cell>
          <cell r="FJ88" t="str">
            <v xml:space="preserve"> --</v>
          </cell>
          <cell r="FK88" t="str">
            <v xml:space="preserve"> --</v>
          </cell>
          <cell r="FL88" t="str">
            <v xml:space="preserve"> --</v>
          </cell>
          <cell r="FN88" t="str">
            <v xml:space="preserve"> --</v>
          </cell>
          <cell r="FO88" t="str">
            <v xml:space="preserve"> --</v>
          </cell>
          <cell r="FP88" t="str">
            <v xml:space="preserve"> --</v>
          </cell>
          <cell r="FQ88" t="str">
            <v xml:space="preserve"> --</v>
          </cell>
          <cell r="FR88" t="str">
            <v xml:space="preserve"> --</v>
          </cell>
          <cell r="FT88" t="str">
            <v xml:space="preserve"> --</v>
          </cell>
          <cell r="FU88" t="str">
            <v xml:space="preserve"> --</v>
          </cell>
          <cell r="FV88" t="str">
            <v xml:space="preserve"> --</v>
          </cell>
          <cell r="FW88" t="str">
            <v xml:space="preserve"> --</v>
          </cell>
          <cell r="FX88" t="str">
            <v xml:space="preserve"> --</v>
          </cell>
          <cell r="FY88" t="str">
            <v xml:space="preserve"> --</v>
          </cell>
          <cell r="FZ88" t="str">
            <v xml:space="preserve"> --</v>
          </cell>
          <cell r="GA88" t="str">
            <v xml:space="preserve"> --</v>
          </cell>
          <cell r="GB88" t="str">
            <v xml:space="preserve"> --</v>
          </cell>
          <cell r="GC88" t="str">
            <v xml:space="preserve"> --</v>
          </cell>
          <cell r="GE88" t="str">
            <v>--</v>
          </cell>
          <cell r="GF88" t="str">
            <v xml:space="preserve"> --</v>
          </cell>
          <cell r="GG88" t="str">
            <v xml:space="preserve"> --</v>
          </cell>
          <cell r="GH88" t="str">
            <v xml:space="preserve"> --</v>
          </cell>
          <cell r="GI88" t="str">
            <v xml:space="preserve"> --</v>
          </cell>
          <cell r="GJ88" t="str">
            <v xml:space="preserve"> --</v>
          </cell>
          <cell r="GL88" t="str">
            <v xml:space="preserve"> --</v>
          </cell>
          <cell r="GM88" t="str">
            <v xml:space="preserve"> --</v>
          </cell>
          <cell r="GN88" t="str">
            <v xml:space="preserve"> --</v>
          </cell>
          <cell r="GO88" t="str">
            <v xml:space="preserve"> --</v>
          </cell>
          <cell r="GP88" t="str">
            <v xml:space="preserve"> --</v>
          </cell>
          <cell r="GQ88" t="str">
            <v xml:space="preserve"> --</v>
          </cell>
          <cell r="GR88" t="str">
            <v xml:space="preserve"> --</v>
          </cell>
          <cell r="GS88" t="str">
            <v xml:space="preserve"> --</v>
          </cell>
          <cell r="GT88" t="str">
            <v xml:space="preserve"> --</v>
          </cell>
          <cell r="GU88" t="str">
            <v xml:space="preserve"> --</v>
          </cell>
          <cell r="GV88" t="str">
            <v xml:space="preserve"> --</v>
          </cell>
          <cell r="GW88" t="str">
            <v xml:space="preserve"> --</v>
          </cell>
          <cell r="GX88" t="str">
            <v xml:space="preserve"> --</v>
          </cell>
          <cell r="GY88" t="str">
            <v xml:space="preserve"> --</v>
          </cell>
          <cell r="GZ88" t="str">
            <v xml:space="preserve"> --</v>
          </cell>
          <cell r="HA88" t="str">
            <v xml:space="preserve"> --</v>
          </cell>
          <cell r="HB88" t="str">
            <v xml:space="preserve"> --</v>
          </cell>
          <cell r="HC88" t="str">
            <v xml:space="preserve"> --</v>
          </cell>
          <cell r="HD88" t="str">
            <v xml:space="preserve"> --</v>
          </cell>
          <cell r="HE88" t="str">
            <v xml:space="preserve"> --</v>
          </cell>
          <cell r="HF88" t="str">
            <v xml:space="preserve"> --</v>
          </cell>
          <cell r="HG88" t="str">
            <v xml:space="preserve"> --</v>
          </cell>
          <cell r="HH88" t="str">
            <v xml:space="preserve"> --</v>
          </cell>
          <cell r="HI88" t="str">
            <v xml:space="preserve"> --</v>
          </cell>
        </row>
        <row r="89">
          <cell r="D89" t="str">
            <v xml:space="preserve"> --</v>
          </cell>
          <cell r="E89" t="str">
            <v xml:space="preserve"> --</v>
          </cell>
          <cell r="F89" t="str">
            <v xml:space="preserve"> --</v>
          </cell>
          <cell r="G89" t="str">
            <v xml:space="preserve"> --</v>
          </cell>
          <cell r="I89" t="str">
            <v xml:space="preserve"> --</v>
          </cell>
          <cell r="J89" t="str">
            <v xml:space="preserve"> --</v>
          </cell>
          <cell r="K89" t="str">
            <v xml:space="preserve"> --</v>
          </cell>
          <cell r="L89" t="str">
            <v xml:space="preserve"> --</v>
          </cell>
          <cell r="N89" t="str">
            <v xml:space="preserve"> --</v>
          </cell>
          <cell r="O89" t="str">
            <v xml:space="preserve"> --</v>
          </cell>
          <cell r="P89" t="str">
            <v xml:space="preserve"> --</v>
          </cell>
          <cell r="Q89" t="str">
            <v xml:space="preserve"> --</v>
          </cell>
          <cell r="S89" t="str">
            <v xml:space="preserve"> --</v>
          </cell>
          <cell r="T89" t="str">
            <v xml:space="preserve"> --</v>
          </cell>
          <cell r="U89" t="str">
            <v xml:space="preserve"> --</v>
          </cell>
          <cell r="V89" t="str">
            <v xml:space="preserve"> --</v>
          </cell>
          <cell r="X89" t="str">
            <v xml:space="preserve"> --</v>
          </cell>
          <cell r="Y89" t="str">
            <v xml:space="preserve"> --</v>
          </cell>
          <cell r="Z89" t="str">
            <v xml:space="preserve"> --</v>
          </cell>
          <cell r="AA89" t="str">
            <v xml:space="preserve"> --</v>
          </cell>
          <cell r="AC89" t="str">
            <v xml:space="preserve"> --</v>
          </cell>
          <cell r="AD89" t="str">
            <v xml:space="preserve"> --</v>
          </cell>
          <cell r="AE89" t="str">
            <v xml:space="preserve"> --</v>
          </cell>
          <cell r="AF89" t="str">
            <v xml:space="preserve"> --</v>
          </cell>
          <cell r="AH89" t="str">
            <v xml:space="preserve"> --</v>
          </cell>
          <cell r="AJ89" t="str">
            <v xml:space="preserve"> --</v>
          </cell>
          <cell r="AK89" t="str">
            <v xml:space="preserve"> --</v>
          </cell>
          <cell r="AL89" t="str">
            <v xml:space="preserve"> --</v>
          </cell>
          <cell r="AM89" t="str">
            <v xml:space="preserve"> --</v>
          </cell>
          <cell r="AO89" t="str">
            <v xml:space="preserve"> --</v>
          </cell>
          <cell r="AP89" t="str">
            <v xml:space="preserve"> --</v>
          </cell>
          <cell r="AQ89" t="str">
            <v xml:space="preserve"> --</v>
          </cell>
          <cell r="AR89" t="str">
            <v xml:space="preserve"> --</v>
          </cell>
          <cell r="AT89" t="str">
            <v xml:space="preserve"> --</v>
          </cell>
          <cell r="AU89" t="str">
            <v xml:space="preserve"> --</v>
          </cell>
          <cell r="AV89" t="str">
            <v xml:space="preserve"> --</v>
          </cell>
          <cell r="AW89" t="str">
            <v xml:space="preserve"> --</v>
          </cell>
          <cell r="AY89" t="str">
            <v xml:space="preserve"> --</v>
          </cell>
          <cell r="AZ89" t="str">
            <v xml:space="preserve"> --</v>
          </cell>
          <cell r="BA89" t="str">
            <v xml:space="preserve"> --</v>
          </cell>
          <cell r="BB89" t="str">
            <v xml:space="preserve"> --</v>
          </cell>
          <cell r="BD89" t="str">
            <v xml:space="preserve"> --</v>
          </cell>
          <cell r="BE89" t="str">
            <v xml:space="preserve"> --</v>
          </cell>
          <cell r="BF89" t="str">
            <v xml:space="preserve"> --</v>
          </cell>
          <cell r="BG89" t="str">
            <v xml:space="preserve"> --</v>
          </cell>
          <cell r="BI89" t="str">
            <v xml:space="preserve"> --</v>
          </cell>
          <cell r="BJ89" t="str">
            <v xml:space="preserve"> --</v>
          </cell>
          <cell r="BK89" t="str">
            <v xml:space="preserve"> --</v>
          </cell>
          <cell r="BL89" t="str">
            <v xml:space="preserve"> --</v>
          </cell>
          <cell r="BN89" t="str">
            <v xml:space="preserve"> --</v>
          </cell>
          <cell r="BO89" t="str">
            <v xml:space="preserve"> --</v>
          </cell>
          <cell r="BP89" t="str">
            <v xml:space="preserve"> --</v>
          </cell>
          <cell r="BQ89" t="str">
            <v xml:space="preserve"> --</v>
          </cell>
          <cell r="BS89" t="str">
            <v xml:space="preserve"> --</v>
          </cell>
          <cell r="BT89" t="str">
            <v xml:space="preserve"> --</v>
          </cell>
          <cell r="BU89" t="str">
            <v xml:space="preserve"> --</v>
          </cell>
          <cell r="BV89" t="str">
            <v xml:space="preserve"> --</v>
          </cell>
          <cell r="BX89" t="str">
            <v xml:space="preserve"> --</v>
          </cell>
          <cell r="BZ89" t="str">
            <v xml:space="preserve"> --</v>
          </cell>
          <cell r="CA89" t="str">
            <v xml:space="preserve"> --</v>
          </cell>
          <cell r="CB89" t="str">
            <v xml:space="preserve"> --</v>
          </cell>
          <cell r="CC89" t="str">
            <v xml:space="preserve"> --</v>
          </cell>
          <cell r="CE89" t="str">
            <v xml:space="preserve"> --</v>
          </cell>
          <cell r="CF89" t="str">
            <v xml:space="preserve"> --</v>
          </cell>
          <cell r="CG89" t="str">
            <v xml:space="preserve"> --</v>
          </cell>
          <cell r="CH89" t="str">
            <v xml:space="preserve"> --</v>
          </cell>
          <cell r="CJ89" t="str">
            <v xml:space="preserve"> --</v>
          </cell>
          <cell r="CK89" t="str">
            <v xml:space="preserve"> --</v>
          </cell>
          <cell r="CL89" t="str">
            <v xml:space="preserve"> --</v>
          </cell>
          <cell r="CM89" t="str">
            <v xml:space="preserve"> --</v>
          </cell>
          <cell r="CO89" t="str">
            <v xml:space="preserve"> --</v>
          </cell>
          <cell r="CP89" t="str">
            <v xml:space="preserve"> --</v>
          </cell>
          <cell r="CQ89" t="str">
            <v xml:space="preserve"> --</v>
          </cell>
          <cell r="CR89" t="str">
            <v xml:space="preserve"> --</v>
          </cell>
          <cell r="CT89" t="str">
            <v>--</v>
          </cell>
          <cell r="CU89">
            <v>12.764095351039284</v>
          </cell>
          <cell r="CV89">
            <v>8.4993323082893202</v>
          </cell>
          <cell r="CW89">
            <v>13.504870505564792</v>
          </cell>
          <cell r="CY89">
            <v>11.223752151463007</v>
          </cell>
          <cell r="CZ89">
            <v>2.8295160063470659</v>
          </cell>
          <cell r="DA89">
            <v>6.3052406157293905</v>
          </cell>
          <cell r="DB89">
            <v>10.124008206692437</v>
          </cell>
          <cell r="DD89">
            <v>6.4137930436035218</v>
          </cell>
          <cell r="DE89">
            <v>17.299162706494698</v>
          </cell>
          <cell r="DF89">
            <v>29.001170866533023</v>
          </cell>
          <cell r="DG89">
            <v>8.1797391931860872</v>
          </cell>
          <cell r="DI89">
            <v>15.357769745178352</v>
          </cell>
          <cell r="DJ89">
            <v>13.000649240523066</v>
          </cell>
          <cell r="DK89">
            <v>3.289868976855459</v>
          </cell>
          <cell r="DL89">
            <v>-5.3054478245715959</v>
          </cell>
          <cell r="DN89">
            <v>-10.590559954071921</v>
          </cell>
          <cell r="DO89">
            <v>-2.2400837395253226</v>
          </cell>
          <cell r="DP89">
            <v>0.31190310510158525</v>
          </cell>
          <cell r="DQ89">
            <v>-13.574680158550191</v>
          </cell>
          <cell r="DS89">
            <v>-7.4105208870551831</v>
          </cell>
          <cell r="DT89">
            <v>6.1907364407150833</v>
          </cell>
          <cell r="DU89">
            <v>11.40153019820016</v>
          </cell>
          <cell r="DV89">
            <v>-21.080884456784823</v>
          </cell>
          <cell r="DX89">
            <v>1.5398267400758003</v>
          </cell>
          <cell r="DY89">
            <v>12.764925352716094</v>
          </cell>
          <cell r="DZ89">
            <v>18.528608643079746</v>
          </cell>
          <cell r="EA89">
            <v>-14.529999999999998</v>
          </cell>
          <cell r="EC89">
            <v>6.4653094653094767</v>
          </cell>
          <cell r="ED89">
            <v>7.6408090913986149</v>
          </cell>
          <cell r="EE89">
            <v>13.721652818281282</v>
          </cell>
          <cell r="EF89">
            <v>-11.666613910964385</v>
          </cell>
          <cell r="EH89">
            <v>6.6382719460087003</v>
          </cell>
          <cell r="EI89">
            <v>7.7452995294454041</v>
          </cell>
          <cell r="EJ89">
            <v>14.052751490165871</v>
          </cell>
          <cell r="EK89">
            <v>-11.960106383342662</v>
          </cell>
          <cell r="FF89" t="str">
            <v xml:space="preserve"> --</v>
          </cell>
          <cell r="FH89" t="str">
            <v xml:space="preserve"> --</v>
          </cell>
          <cell r="FV89" t="str">
            <v xml:space="preserve"> --</v>
          </cell>
          <cell r="FW89" t="str">
            <v xml:space="preserve"> --</v>
          </cell>
          <cell r="FX89" t="str">
            <v xml:space="preserve"> --</v>
          </cell>
          <cell r="FY89" t="str">
            <v xml:space="preserve"> --</v>
          </cell>
          <cell r="FZ89" t="str">
            <v xml:space="preserve"> --</v>
          </cell>
          <cell r="GA89" t="str">
            <v xml:space="preserve"> --</v>
          </cell>
          <cell r="GB89" t="str">
            <v xml:space="preserve"> --</v>
          </cell>
          <cell r="GC89" t="str">
            <v xml:space="preserve"> --</v>
          </cell>
          <cell r="GE89" t="str">
            <v>--</v>
          </cell>
          <cell r="GF89" t="str">
            <v xml:space="preserve"> --</v>
          </cell>
          <cell r="GG89" t="str">
            <v xml:space="preserve"> --</v>
          </cell>
          <cell r="GH89" t="str">
            <v xml:space="preserve"> --</v>
          </cell>
          <cell r="GI89" t="str">
            <v xml:space="preserve"> --</v>
          </cell>
          <cell r="GJ89" t="str">
            <v xml:space="preserve"> --</v>
          </cell>
          <cell r="GL89" t="str">
            <v>NM</v>
          </cell>
          <cell r="GM89" t="str">
            <v>NM</v>
          </cell>
          <cell r="GN89" t="str">
            <v>NM</v>
          </cell>
          <cell r="GO89" t="str">
            <v>NM</v>
          </cell>
          <cell r="GP89" t="str">
            <v xml:space="preserve"> --</v>
          </cell>
          <cell r="GQ89" t="str">
            <v xml:space="preserve"> --</v>
          </cell>
          <cell r="GR89" t="str">
            <v xml:space="preserve"> --</v>
          </cell>
          <cell r="GS89" t="str">
            <v xml:space="preserve"> --</v>
          </cell>
          <cell r="GT89" t="str">
            <v xml:space="preserve"> --</v>
          </cell>
          <cell r="GU89" t="str">
            <v xml:space="preserve"> --</v>
          </cell>
          <cell r="GV89" t="str">
            <v xml:space="preserve"> --</v>
          </cell>
          <cell r="GW89" t="str">
            <v xml:space="preserve"> --</v>
          </cell>
          <cell r="GX89" t="str">
            <v xml:space="preserve"> --</v>
          </cell>
          <cell r="GY89" t="str">
            <v xml:space="preserve"> --</v>
          </cell>
          <cell r="GZ89" t="str">
            <v xml:space="preserve"> --</v>
          </cell>
          <cell r="HA89" t="str">
            <v xml:space="preserve"> --</v>
          </cell>
          <cell r="HB89" t="str">
            <v xml:space="preserve"> --</v>
          </cell>
          <cell r="HC89" t="str">
            <v xml:space="preserve"> --</v>
          </cell>
          <cell r="HD89" t="str">
            <v xml:space="preserve"> --</v>
          </cell>
          <cell r="HE89" t="str">
            <v xml:space="preserve"> --</v>
          </cell>
          <cell r="HF89" t="str">
            <v xml:space="preserve"> --</v>
          </cell>
          <cell r="HG89" t="str">
            <v xml:space="preserve"> --</v>
          </cell>
          <cell r="HH89" t="str">
            <v xml:space="preserve"> --</v>
          </cell>
          <cell r="HI89" t="str">
            <v xml:space="preserve"> --</v>
          </cell>
        </row>
        <row r="90">
          <cell r="CT90" t="str">
            <v xml:space="preserve"> --</v>
          </cell>
          <cell r="CU90" t="str">
            <v xml:space="preserve"> --</v>
          </cell>
          <cell r="CV90" t="str">
            <v xml:space="preserve"> --</v>
          </cell>
          <cell r="CW90" t="str">
            <v xml:space="preserve"> --</v>
          </cell>
          <cell r="CY90">
            <v>28.499359795134449</v>
          </cell>
          <cell r="CZ90">
            <v>37.371196952678609</v>
          </cell>
          <cell r="DA90">
            <v>51.204775774498714</v>
          </cell>
          <cell r="DB90">
            <v>48.335727221632418</v>
          </cell>
          <cell r="DD90">
            <v>35.506885350445394</v>
          </cell>
          <cell r="DE90">
            <v>31.059919301800608</v>
          </cell>
          <cell r="DF90">
            <v>37.760089150680585</v>
          </cell>
          <cell r="DG90">
            <v>28.670062728918431</v>
          </cell>
          <cell r="DI90">
            <v>39.593505500323566</v>
          </cell>
          <cell r="DJ90">
            <v>46.380860672968673</v>
          </cell>
          <cell r="DK90">
            <v>31.435042873321461</v>
          </cell>
          <cell r="DL90">
            <v>23.8141979953975</v>
          </cell>
          <cell r="DN90">
            <v>14.642112138898833</v>
          </cell>
          <cell r="DO90">
            <v>-2.2634831512725717</v>
          </cell>
          <cell r="DP90">
            <v>-3.8642118590419994</v>
          </cell>
          <cell r="DQ90">
            <v>5.6525492406891864</v>
          </cell>
          <cell r="DS90">
            <v>6.3262746287310545</v>
          </cell>
          <cell r="DT90">
            <v>4.192893978462009</v>
          </cell>
          <cell r="DU90">
            <v>5.6346658618450451</v>
          </cell>
          <cell r="DV90">
            <v>-3.2132465128688281</v>
          </cell>
          <cell r="DX90">
            <v>0.61797839773534147</v>
          </cell>
          <cell r="DY90">
            <v>-0.88344205766484052</v>
          </cell>
          <cell r="DZ90">
            <v>5.2769649010406816</v>
          </cell>
          <cell r="EA90">
            <v>7.0018990825846172</v>
          </cell>
          <cell r="FV90">
            <v>41.823027844279579</v>
          </cell>
          <cell r="FW90">
            <v>33.029536987759457</v>
          </cell>
          <cell r="FX90">
            <v>34.429226884032602</v>
          </cell>
          <cell r="FY90">
            <v>3.1333917681332091</v>
          </cell>
          <cell r="FZ90">
            <v>3.0690776985747847</v>
          </cell>
          <cell r="GA90">
            <v>3.0549640460519889</v>
          </cell>
          <cell r="GE90" t="str">
            <v>--</v>
          </cell>
          <cell r="GF90">
            <v>37.843086722014618</v>
          </cell>
          <cell r="GG90">
            <v>36.308518239060916</v>
          </cell>
          <cell r="GH90">
            <v>7.0773549136119218</v>
          </cell>
          <cell r="GI90">
            <v>5.4635619177023198</v>
          </cell>
          <cell r="GJ90">
            <v>0.43053546966413947</v>
          </cell>
          <cell r="GL90">
            <v>6.2986356946727495</v>
          </cell>
          <cell r="GM90">
            <v>6.2178009648636401</v>
          </cell>
          <cell r="GN90">
            <v>11.771432607814303</v>
          </cell>
          <cell r="GO90">
            <v>23.981458848697002</v>
          </cell>
          <cell r="GP90">
            <v>24.366324636343563</v>
          </cell>
          <cell r="GQ90">
            <v>28.322580645161267</v>
          </cell>
          <cell r="GR90">
            <v>17.647058823529392</v>
          </cell>
          <cell r="GS90">
            <v>-2.7999999999999803</v>
          </cell>
          <cell r="GT90">
            <v>10.499999999999998</v>
          </cell>
          <cell r="GU90">
            <v>18.588235294117659</v>
          </cell>
          <cell r="GV90">
            <v>17.562499999999993</v>
          </cell>
          <cell r="GW90">
            <v>-2.1212121212121238</v>
          </cell>
          <cell r="GX90">
            <v>10.526315789473696</v>
          </cell>
          <cell r="GY90">
            <v>17.600000000000016</v>
          </cell>
          <cell r="GZ90">
            <v>8.357142857142863</v>
          </cell>
        </row>
        <row r="91">
          <cell r="CT91" t="str">
            <v xml:space="preserve"> --</v>
          </cell>
          <cell r="CU91">
            <v>4.8758002560819635</v>
          </cell>
          <cell r="CV91">
            <v>1.4381989549250296</v>
          </cell>
          <cell r="CW91">
            <v>15.636810052235028</v>
          </cell>
          <cell r="CY91">
            <v>4.4547138783072038</v>
          </cell>
          <cell r="CZ91">
            <v>12.116622491480488</v>
          </cell>
          <cell r="DA91">
            <v>11.653246591656451</v>
          </cell>
          <cell r="DB91">
            <v>13.442649048794086</v>
          </cell>
          <cell r="DD91">
            <v>-4.579070713874744</v>
          </cell>
          <cell r="DE91">
            <v>8.4372610153538474</v>
          </cell>
          <cell r="DF91">
            <v>17.361290060081647</v>
          </cell>
          <cell r="DG91">
            <v>5.9571960154390036</v>
          </cell>
          <cell r="DI91">
            <v>3.521687443422894</v>
          </cell>
          <cell r="DJ91">
            <v>13.709728397142795</v>
          </cell>
          <cell r="DK91">
            <v>5.3784362231425797</v>
          </cell>
          <cell r="DL91">
            <v>-0.18639656748963285</v>
          </cell>
          <cell r="DN91">
            <v>-4.1471406927169552</v>
          </cell>
          <cell r="DO91">
            <v>-3.0583737685634493</v>
          </cell>
          <cell r="DP91">
            <v>3.6525481571363594</v>
          </cell>
          <cell r="DQ91">
            <v>9.6944421580194238</v>
          </cell>
          <cell r="DS91">
            <v>-3.5359059871103438</v>
          </cell>
          <cell r="DT91">
            <v>-5.0034563958812006</v>
          </cell>
          <cell r="DU91">
            <v>5.0868429911473667</v>
          </cell>
          <cell r="DV91">
            <v>0.50648473619505641</v>
          </cell>
          <cell r="DX91">
            <v>0.61797839773534147</v>
          </cell>
          <cell r="DY91">
            <v>-6.4209938581797914</v>
          </cell>
          <cell r="DZ91">
            <v>11.618322012116767</v>
          </cell>
          <cell r="EA91">
            <v>2.1532559092741099</v>
          </cell>
          <cell r="FV91" t="str">
            <v xml:space="preserve"> --</v>
          </cell>
          <cell r="FW91" t="str">
            <v xml:space="preserve"> --</v>
          </cell>
          <cell r="FX91" t="str">
            <v xml:space="preserve"> --</v>
          </cell>
          <cell r="FY91" t="str">
            <v xml:space="preserve"> --</v>
          </cell>
          <cell r="FZ91" t="str">
            <v xml:space="preserve"> --</v>
          </cell>
          <cell r="GA91" t="str">
            <v xml:space="preserve"> --</v>
          </cell>
          <cell r="GE91" t="str">
            <v>--</v>
          </cell>
          <cell r="GF91" t="str">
            <v xml:space="preserve"> --</v>
          </cell>
          <cell r="GG91" t="str">
            <v xml:space="preserve"> --</v>
          </cell>
          <cell r="GH91" t="str">
            <v xml:space="preserve"> --</v>
          </cell>
          <cell r="GI91" t="str">
            <v xml:space="preserve"> --</v>
          </cell>
          <cell r="GJ91" t="str">
            <v xml:space="preserve"> --</v>
          </cell>
          <cell r="GL91" t="str">
            <v xml:space="preserve"> --</v>
          </cell>
          <cell r="GM91" t="str">
            <v xml:space="preserve"> --</v>
          </cell>
          <cell r="GN91" t="str">
            <v xml:space="preserve"> --</v>
          </cell>
          <cell r="GO91" t="str">
            <v xml:space="preserve"> --</v>
          </cell>
          <cell r="GP91" t="str">
            <v xml:space="preserve"> --</v>
          </cell>
          <cell r="GQ91" t="str">
            <v xml:space="preserve"> --</v>
          </cell>
          <cell r="GR91" t="str">
            <v xml:space="preserve"> --</v>
          </cell>
          <cell r="GS91" t="str">
            <v xml:space="preserve"> --</v>
          </cell>
          <cell r="GT91" t="str">
            <v xml:space="preserve"> --</v>
          </cell>
          <cell r="GU91" t="str">
            <v xml:space="preserve"> --</v>
          </cell>
          <cell r="GV91" t="str">
            <v xml:space="preserve"> --</v>
          </cell>
          <cell r="GW91" t="str">
            <v xml:space="preserve"> --</v>
          </cell>
          <cell r="GX91" t="str">
            <v xml:space="preserve"> --</v>
          </cell>
          <cell r="GY91" t="str">
            <v xml:space="preserve"> --</v>
          </cell>
          <cell r="GZ91" t="str">
            <v xml:space="preserve"> --</v>
          </cell>
        </row>
        <row r="92">
          <cell r="CT92" t="str">
            <v xml:space="preserve"> --</v>
          </cell>
          <cell r="CU92" t="str">
            <v xml:space="preserve"> --</v>
          </cell>
          <cell r="CV92" t="str">
            <v xml:space="preserve"> --</v>
          </cell>
          <cell r="CW92" t="str">
            <v xml:space="preserve"> --</v>
          </cell>
          <cell r="CY92">
            <v>37.776193870277929</v>
          </cell>
          <cell r="CZ92">
            <v>7.7346582516448992</v>
          </cell>
          <cell r="DA92">
            <v>12.598406005508345</v>
          </cell>
          <cell r="DB92">
            <v>-1.8185537951076469E-2</v>
          </cell>
          <cell r="DD92">
            <v>15.97319734929683</v>
          </cell>
          <cell r="DE92">
            <v>47.234201670198587</v>
          </cell>
          <cell r="DF92">
            <v>57.643188016797374</v>
          </cell>
          <cell r="DG92">
            <v>90.150740058658869</v>
          </cell>
          <cell r="DI92">
            <v>117.25683454765652</v>
          </cell>
          <cell r="DJ92">
            <v>118.6749741801127</v>
          </cell>
          <cell r="DK92">
            <v>100.99686933596973</v>
          </cell>
          <cell r="DL92">
            <v>31.928402324414272</v>
          </cell>
          <cell r="DN92">
            <v>18.034181348872469</v>
          </cell>
          <cell r="DO92">
            <v>-22.9931245935147</v>
          </cell>
          <cell r="DP92">
            <v>-21.995873809621102</v>
          </cell>
          <cell r="DQ92">
            <v>-19.04891378232163</v>
          </cell>
          <cell r="DS92">
            <v>-60.324875127357515</v>
          </cell>
          <cell r="DT92">
            <v>-33.255914497431405</v>
          </cell>
          <cell r="DU92">
            <v>-20.053597701955095</v>
          </cell>
          <cell r="DV92">
            <v>-51.72471702549295</v>
          </cell>
          <cell r="DX92">
            <v>-16.886236781296628</v>
          </cell>
          <cell r="DY92">
            <v>-2.1481403371339414</v>
          </cell>
          <cell r="DZ92">
            <v>29.083320552987658</v>
          </cell>
          <cell r="EA92">
            <v>64.655461713676061</v>
          </cell>
          <cell r="FV92">
            <v>12.635942999512206</v>
          </cell>
          <cell r="FW92">
            <v>53.66817056685931</v>
          </cell>
          <cell r="FX92">
            <v>85.890815759210156</v>
          </cell>
          <cell r="FY92">
            <v>-13.206515170448574</v>
          </cell>
          <cell r="FZ92">
            <v>-41.304270625582795</v>
          </cell>
          <cell r="GA92">
            <v>18.060513241938803</v>
          </cell>
          <cell r="GE92" t="str">
            <v>--</v>
          </cell>
          <cell r="GF92">
            <v>30.459282491793438</v>
          </cell>
          <cell r="GG92">
            <v>106.97372965360113</v>
          </cell>
          <cell r="GH92">
            <v>-3.6292122656840453</v>
          </cell>
          <cell r="GI92">
            <v>-33.689450936917588</v>
          </cell>
          <cell r="GJ92">
            <v>-9.8902965227449577</v>
          </cell>
          <cell r="GL92">
            <v>-41.304270625582795</v>
          </cell>
          <cell r="GM92">
            <v>18.060513241938803</v>
          </cell>
          <cell r="GN92">
            <v>67.983855734304115</v>
          </cell>
          <cell r="GO92">
            <v>41.907385106186325</v>
          </cell>
          <cell r="GP92">
            <v>56.735044343160077</v>
          </cell>
          <cell r="GQ92">
            <v>2.1178763745370643</v>
          </cell>
          <cell r="GR92">
            <v>-51.277428799567645</v>
          </cell>
          <cell r="GS92">
            <v>121.9783185832771</v>
          </cell>
          <cell r="GT92">
            <v>37.054960910314549</v>
          </cell>
          <cell r="GU92">
            <v>31.298932022329918</v>
          </cell>
          <cell r="GV92">
            <v>2.6397949666759679</v>
          </cell>
          <cell r="GW92">
            <v>-79.205508836800931</v>
          </cell>
          <cell r="GX92">
            <v>186.36363636363615</v>
          </cell>
          <cell r="GY92">
            <v>49.333333333333364</v>
          </cell>
          <cell r="GZ92">
            <v>10.999999999999988</v>
          </cell>
        </row>
        <row r="93">
          <cell r="CT93" t="str">
            <v xml:space="preserve"> --</v>
          </cell>
          <cell r="CU93" t="str">
            <v xml:space="preserve"> --</v>
          </cell>
          <cell r="CV93" t="str">
            <v xml:space="preserve"> --</v>
          </cell>
          <cell r="CW93" t="str">
            <v xml:space="preserve"> --</v>
          </cell>
          <cell r="CY93">
            <v>20.413364660905486</v>
          </cell>
          <cell r="CZ93">
            <v>-11.069178366968458</v>
          </cell>
          <cell r="DA93">
            <v>-20.108219941115614</v>
          </cell>
          <cell r="DB93">
            <v>-15.672446693769349</v>
          </cell>
          <cell r="DD93">
            <v>8.0034394946590481</v>
          </cell>
          <cell r="DE93">
            <v>43.231676616558133</v>
          </cell>
          <cell r="DF93">
            <v>64.213147410358729</v>
          </cell>
          <cell r="DG93">
            <v>132.0116751934932</v>
          </cell>
          <cell r="DI93">
            <v>157.35983097038999</v>
          </cell>
          <cell r="DJ93">
            <v>168.15225851809058</v>
          </cell>
          <cell r="DK93">
            <v>151.28889428034228</v>
          </cell>
          <cell r="DL93">
            <v>17.992791009966226</v>
          </cell>
          <cell r="DN93">
            <v>17.027580134687881</v>
          </cell>
          <cell r="DO93">
            <v>-27.643098588911521</v>
          </cell>
          <cell r="DP93">
            <v>-26.431732239117835</v>
          </cell>
          <cell r="DQ93">
            <v>-22.416560845293397</v>
          </cell>
          <cell r="DS93">
            <v>-70.619273666337733</v>
          </cell>
          <cell r="DT93">
            <v>-50.142995794241685</v>
          </cell>
          <cell r="DU93">
            <v>-26.305256020473301</v>
          </cell>
          <cell r="DV93">
            <v>-67.426886136932197</v>
          </cell>
          <cell r="DX93">
            <v>-51.906708010702673</v>
          </cell>
          <cell r="DY93">
            <v>14.864899940302646</v>
          </cell>
          <cell r="DZ93">
            <v>54.903910365808905</v>
          </cell>
          <cell r="EA93">
            <v>175.02506861256205</v>
          </cell>
          <cell r="FV93">
            <v>-8.8937176553694819</v>
          </cell>
          <cell r="FW93">
            <v>62.395179301336</v>
          </cell>
          <cell r="FX93">
            <v>106.86439358555245</v>
          </cell>
          <cell r="FY93">
            <v>-16.752089150466443</v>
          </cell>
          <cell r="FZ93">
            <v>-53.016887762482334</v>
          </cell>
          <cell r="GA93">
            <v>41.464697610194449</v>
          </cell>
          <cell r="GE93" t="str">
            <v>--</v>
          </cell>
          <cell r="GF93">
            <v>22.614661926288314</v>
          </cell>
          <cell r="GG93">
            <v>153.13932969029844</v>
          </cell>
          <cell r="GH93">
            <v>-9.1567801222145366</v>
          </cell>
          <cell r="GI93">
            <v>-43.067917008991884</v>
          </cell>
          <cell r="GJ93">
            <v>-7.9885960556157816</v>
          </cell>
          <cell r="GL93">
            <v>-53.016887762482334</v>
          </cell>
          <cell r="GM93">
            <v>41.464697610194449</v>
          </cell>
          <cell r="GN93">
            <v>100.13896104489093</v>
          </cell>
          <cell r="GO93">
            <v>46.64783968650088</v>
          </cell>
          <cell r="GP93">
            <v>59.907031097212091</v>
          </cell>
          <cell r="GQ93">
            <v>1.2903763199985763</v>
          </cell>
          <cell r="GR93">
            <v>-55.47847618575463</v>
          </cell>
          <cell r="GS93">
            <v>134.20570799849654</v>
          </cell>
          <cell r="GT93">
            <v>42.461687858434118</v>
          </cell>
          <cell r="GU93">
            <v>33.906901365920518</v>
          </cell>
          <cell r="GV93">
            <v>2.6869721706408001</v>
          </cell>
          <cell r="GW93">
            <v>-83.160260869075643</v>
          </cell>
          <cell r="GX93">
            <v>238.93311252119341</v>
          </cell>
          <cell r="GY93">
            <v>57.605181316180818</v>
          </cell>
          <cell r="GZ93">
            <v>12.395134399519003</v>
          </cell>
        </row>
        <row r="94">
          <cell r="CT94" t="str">
            <v xml:space="preserve"> --</v>
          </cell>
          <cell r="CU94" t="str">
            <v xml:space="preserve"> --</v>
          </cell>
          <cell r="CV94" t="str">
            <v xml:space="preserve"> --</v>
          </cell>
          <cell r="CW94" t="str">
            <v xml:space="preserve"> --</v>
          </cell>
          <cell r="CY94">
            <v>23.197127541215636</v>
          </cell>
          <cell r="CZ94">
            <v>-4.3198338525442415</v>
          </cell>
          <cell r="DA94">
            <v>-17.18562290983472</v>
          </cell>
          <cell r="DB94">
            <v>-6.5713641778552319</v>
          </cell>
          <cell r="DD94">
            <v>9.9585402898077149</v>
          </cell>
          <cell r="DE94">
            <v>49.676579118733045</v>
          </cell>
          <cell r="DF94">
            <v>87.402964008468857</v>
          </cell>
          <cell r="DG94">
            <v>108.64980357019762</v>
          </cell>
          <cell r="DI94">
            <v>161.73517004517214</v>
          </cell>
          <cell r="DJ94">
            <v>167.77075236382606</v>
          </cell>
          <cell r="DK94">
            <v>125.021443963263</v>
          </cell>
          <cell r="DL94">
            <v>36.096521652959154</v>
          </cell>
          <cell r="DN94">
            <v>25.983083966852227</v>
          </cell>
          <cell r="DO94">
            <v>-25.072030501938691</v>
          </cell>
          <cell r="DP94">
            <v>-23.772290299187006</v>
          </cell>
          <cell r="DQ94">
            <v>-29.7387167631463</v>
          </cell>
          <cell r="DS94">
            <v>-71.064666923285714</v>
          </cell>
          <cell r="DT94">
            <v>-49.880737260571394</v>
          </cell>
          <cell r="DU94">
            <v>-26.025442437400603</v>
          </cell>
          <cell r="DV94">
            <v>-66.274008567085858</v>
          </cell>
          <cell r="DX94">
            <v>-54.51130939387604</v>
          </cell>
          <cell r="DY94">
            <v>12.408422267090845</v>
          </cell>
          <cell r="DZ94">
            <v>54.892747028079228</v>
          </cell>
          <cell r="EA94">
            <v>167.41208850475243</v>
          </cell>
          <cell r="FV94">
            <v>-3.5825442023707965</v>
          </cell>
          <cell r="FW94">
            <v>66.414835164835353</v>
          </cell>
          <cell r="FX94">
            <v>107.7660515299812</v>
          </cell>
          <cell r="FY94">
            <v>-15.608753887715887</v>
          </cell>
          <cell r="FZ94">
            <v>-52.787267475486701</v>
          </cell>
          <cell r="GA94">
            <v>40.13523948583466</v>
          </cell>
          <cell r="GE94" t="str">
            <v>--</v>
          </cell>
          <cell r="GF94">
            <v>32.820961706794094</v>
          </cell>
          <cell r="GG94">
            <v>139.37732651612828</v>
          </cell>
          <cell r="GH94">
            <v>-2.6151383960037911</v>
          </cell>
          <cell r="GI94">
            <v>-44.461357966777939</v>
          </cell>
          <cell r="GJ94">
            <v>-8.2265422557594938</v>
          </cell>
          <cell r="GL94">
            <v>-52.787267475486701</v>
          </cell>
          <cell r="GM94">
            <v>40.13523948583466</v>
          </cell>
          <cell r="GN94">
            <v>101.90744603961525</v>
          </cell>
          <cell r="GO94">
            <v>46.647839686500838</v>
          </cell>
          <cell r="GP94">
            <v>59.907031097212112</v>
          </cell>
          <cell r="GQ94">
            <v>1.2903763199985763</v>
          </cell>
          <cell r="GR94">
            <v>-55.47847618575463</v>
          </cell>
          <cell r="GS94">
            <v>134.20570799849651</v>
          </cell>
          <cell r="GT94">
            <v>42.461687858434118</v>
          </cell>
          <cell r="GU94">
            <v>33.90690136592054</v>
          </cell>
          <cell r="GV94">
            <v>2.6869721706408001</v>
          </cell>
          <cell r="GW94">
            <v>-83.160260869075643</v>
          </cell>
          <cell r="GX94">
            <v>238.93311252119335</v>
          </cell>
          <cell r="GY94">
            <v>57.60518131618084</v>
          </cell>
          <cell r="GZ94">
            <v>12.395134399519003</v>
          </cell>
        </row>
        <row r="95">
          <cell r="D95" t="str">
            <v xml:space="preserve"> --</v>
          </cell>
          <cell r="E95" t="str">
            <v xml:space="preserve"> --</v>
          </cell>
          <cell r="F95" t="str">
            <v xml:space="preserve"> --</v>
          </cell>
          <cell r="G95" t="str">
            <v xml:space="preserve"> --</v>
          </cell>
          <cell r="I95">
            <v>477.69300991132155</v>
          </cell>
          <cell r="J95">
            <v>195.30526039965847</v>
          </cell>
          <cell r="K95">
            <v>-83.056431585843143</v>
          </cell>
          <cell r="L95">
            <v>91.866523154721321</v>
          </cell>
          <cell r="N95">
            <v>36.625027334497219</v>
          </cell>
          <cell r="O95">
            <v>73.730790343089581</v>
          </cell>
          <cell r="P95">
            <v>903.82042515235992</v>
          </cell>
          <cell r="Q95">
            <v>63.900730060635588</v>
          </cell>
          <cell r="S95">
            <v>38.186590931427844</v>
          </cell>
          <cell r="T95">
            <v>16.662816319858287</v>
          </cell>
          <cell r="U95">
            <v>-66.957624470478862</v>
          </cell>
          <cell r="V95">
            <v>20.704968344325579</v>
          </cell>
          <cell r="X95">
            <v>25.915762385100471</v>
          </cell>
          <cell r="Y95">
            <v>7.0193355056199946</v>
          </cell>
          <cell r="Z95">
            <v>295.95533060219901</v>
          </cell>
          <cell r="AA95">
            <v>21.772838075940971</v>
          </cell>
          <cell r="AC95">
            <v>43.21582294706581</v>
          </cell>
          <cell r="AD95">
            <v>61.798515639956086</v>
          </cell>
          <cell r="AE95">
            <v>40.84029970819649</v>
          </cell>
          <cell r="AF95">
            <v>24.225978589757482</v>
          </cell>
          <cell r="AH95">
            <v>29.418623647972254</v>
          </cell>
          <cell r="AJ95">
            <v>38.390354628358693</v>
          </cell>
          <cell r="AK95">
            <v>57.415812645785927</v>
          </cell>
          <cell r="AL95">
            <v>167.99876250386743</v>
          </cell>
          <cell r="AM95">
            <v>22.306100952628483</v>
          </cell>
          <cell r="AO95" t="str">
            <v xml:space="preserve"> --</v>
          </cell>
          <cell r="AP95" t="str">
            <v xml:space="preserve"> --</v>
          </cell>
          <cell r="AQ95" t="str">
            <v xml:space="preserve"> --</v>
          </cell>
          <cell r="AR95" t="str">
            <v xml:space="preserve"> --</v>
          </cell>
          <cell r="AT95">
            <v>19.307359060662922</v>
          </cell>
          <cell r="AU95">
            <v>60.53227511610222</v>
          </cell>
          <cell r="AV95">
            <v>75.160948965386538</v>
          </cell>
          <cell r="AW95">
            <v>49.045352843382759</v>
          </cell>
          <cell r="AY95" t="str">
            <v xml:space="preserve"> --</v>
          </cell>
          <cell r="AZ95" t="str">
            <v xml:space="preserve"> --</v>
          </cell>
          <cell r="BA95" t="str">
            <v xml:space="preserve"> --</v>
          </cell>
          <cell r="BB95" t="str">
            <v xml:space="preserve"> --</v>
          </cell>
          <cell r="BD95" t="str">
            <v xml:space="preserve"> --</v>
          </cell>
          <cell r="BE95" t="str">
            <v xml:space="preserve"> --</v>
          </cell>
          <cell r="BF95" t="str">
            <v xml:space="preserve"> --</v>
          </cell>
          <cell r="BG95" t="str">
            <v xml:space="preserve"> --</v>
          </cell>
          <cell r="BI95" t="str">
            <v xml:space="preserve"> --</v>
          </cell>
          <cell r="BJ95" t="str">
            <v xml:space="preserve"> --</v>
          </cell>
          <cell r="BK95" t="str">
            <v xml:space="preserve"> --</v>
          </cell>
          <cell r="BL95" t="str">
            <v xml:space="preserve"> --</v>
          </cell>
          <cell r="BN95" t="str">
            <v xml:space="preserve"> --</v>
          </cell>
          <cell r="BO95" t="str">
            <v xml:space="preserve"> --</v>
          </cell>
          <cell r="BP95" t="str">
            <v xml:space="preserve"> --</v>
          </cell>
          <cell r="BQ95" t="str">
            <v xml:space="preserve"> --</v>
          </cell>
          <cell r="BS95">
            <v>15.524263545632877</v>
          </cell>
          <cell r="BT95">
            <v>76.340488937665498</v>
          </cell>
          <cell r="BU95">
            <v>101.94572987827635</v>
          </cell>
          <cell r="BV95">
            <v>50.310770321856822</v>
          </cell>
          <cell r="BX95">
            <v>98.898920449103358</v>
          </cell>
          <cell r="BZ95" t="str">
            <v>--</v>
          </cell>
          <cell r="CA95" t="str">
            <v>--</v>
          </cell>
          <cell r="CB95" t="str">
            <v>--</v>
          </cell>
          <cell r="CC95" t="str">
            <v>--</v>
          </cell>
          <cell r="CE95">
            <v>3.0232938705979873</v>
          </cell>
          <cell r="CF95">
            <v>-19.429439579391939</v>
          </cell>
          <cell r="CG95">
            <v>-30.283835548397153</v>
          </cell>
          <cell r="CH95">
            <v>-21.370349371401719</v>
          </cell>
          <cell r="CJ95">
            <v>-2.3470910900910802</v>
          </cell>
          <cell r="CK95">
            <v>36.344436829552016</v>
          </cell>
          <cell r="CL95">
            <v>65.437738292814146</v>
          </cell>
          <cell r="CM95">
            <v>79.485268768188149</v>
          </cell>
          <cell r="CO95">
            <v>137.05565384012797</v>
          </cell>
          <cell r="CP95">
            <v>119.59700162875437</v>
          </cell>
          <cell r="CQ95">
            <v>88.490094644948925</v>
          </cell>
          <cell r="CR95">
            <v>65.914265601607241</v>
          </cell>
          <cell r="CT95" t="str">
            <v xml:space="preserve"> --</v>
          </cell>
          <cell r="CU95" t="str">
            <v xml:space="preserve"> --</v>
          </cell>
          <cell r="CV95" t="str">
            <v xml:space="preserve"> --</v>
          </cell>
          <cell r="CW95" t="str">
            <v xml:space="preserve"> --</v>
          </cell>
          <cell r="CY95">
            <v>4.1432244436411247</v>
          </cell>
          <cell r="CZ95">
            <v>-16.276649020280853</v>
          </cell>
          <cell r="DA95">
            <v>-24.710181250427542</v>
          </cell>
          <cell r="DB95">
            <v>-11.404603681904691</v>
          </cell>
          <cell r="DD95">
            <v>-2.0029976288214124</v>
          </cell>
          <cell r="DE95">
            <v>31.683748951108036</v>
          </cell>
          <cell r="DF95">
            <v>59.882300203758135</v>
          </cell>
          <cell r="DG95">
            <v>60.738841145702118</v>
          </cell>
          <cell r="DI95">
            <v>107.11514115713921</v>
          </cell>
          <cell r="DJ95">
            <v>100.75246151906208</v>
          </cell>
          <cell r="DK95">
            <v>80.530233228471261</v>
          </cell>
          <cell r="DL95">
            <v>15.717677285490495</v>
          </cell>
          <cell r="DN95">
            <v>11.700619484964992</v>
          </cell>
          <cell r="DO95">
            <v>-28.135387749678088</v>
          </cell>
          <cell r="DP95">
            <v>-28.167139472101066</v>
          </cell>
          <cell r="DQ95">
            <v>-32.937837372639478</v>
          </cell>
          <cell r="DS95">
            <v>-71.778759604017736</v>
          </cell>
          <cell r="DT95">
            <v>-52.09364072551044</v>
          </cell>
          <cell r="DU95">
            <v>-28.624889175687574</v>
          </cell>
          <cell r="DV95">
            <v>-66.54839205433656</v>
          </cell>
          <cell r="DX95">
            <v>-56.583379441340512</v>
          </cell>
          <cell r="DY95">
            <v>5.8916057299441382</v>
          </cell>
          <cell r="DZ95">
            <v>45.237573228404671</v>
          </cell>
          <cell r="EA95">
            <v>151.62617262208983</v>
          </cell>
          <cell r="EC95">
            <v>481.01355392979707</v>
          </cell>
          <cell r="ED95">
            <v>125.9121219212993</v>
          </cell>
          <cell r="EE95">
            <v>44.51394004435285</v>
          </cell>
          <cell r="EF95">
            <v>85.094027146853435</v>
          </cell>
          <cell r="EH95">
            <v>60.037032763528565</v>
          </cell>
          <cell r="EI95">
            <v>47.695858970494442</v>
          </cell>
          <cell r="EJ95">
            <v>35.419804475803751</v>
          </cell>
          <cell r="EK95">
            <v>39.887511709623816</v>
          </cell>
          <cell r="EM95" t="str">
            <v xml:space="preserve"> --</v>
          </cell>
          <cell r="EN95">
            <v>67.359577522916453</v>
          </cell>
          <cell r="EO95">
            <v>0.52015767743349706</v>
          </cell>
          <cell r="EP95">
            <v>64.389031597364891</v>
          </cell>
          <cell r="EQ95">
            <v>24.467618060896768</v>
          </cell>
          <cell r="ER95">
            <v>128.04567107241712</v>
          </cell>
          <cell r="ES95">
            <v>-42.608856198737918</v>
          </cell>
          <cell r="ET95">
            <v>46.250278831244373</v>
          </cell>
          <cell r="EU95">
            <v>40.769288510958646</v>
          </cell>
          <cell r="EW95">
            <v>35.760865687683108</v>
          </cell>
          <cell r="EX95">
            <v>73.013614135612741</v>
          </cell>
          <cell r="EZ95" t="str">
            <v xml:space="preserve"> --</v>
          </cell>
          <cell r="FA95">
            <v>-20.957337202503158</v>
          </cell>
          <cell r="FB95">
            <v>34.653012054961387</v>
          </cell>
          <cell r="FC95">
            <v>42.98983546860007</v>
          </cell>
          <cell r="FD95">
            <v>54.147009263139225</v>
          </cell>
          <cell r="FF95" t="str">
            <v xml:space="preserve"> --</v>
          </cell>
          <cell r="FH95" t="str">
            <v xml:space="preserve"> --</v>
          </cell>
          <cell r="FI95" t="str">
            <v xml:space="preserve"> --</v>
          </cell>
          <cell r="FJ95" t="str">
            <v xml:space="preserve"> --</v>
          </cell>
          <cell r="FK95" t="str">
            <v xml:space="preserve"> --</v>
          </cell>
          <cell r="FL95">
            <v>62.370163736253616</v>
          </cell>
          <cell r="FN95" t="str">
            <v xml:space="preserve"> --</v>
          </cell>
          <cell r="FO95">
            <v>-5.3954017229911333</v>
          </cell>
          <cell r="FP95">
            <v>37.589731977416548</v>
          </cell>
          <cell r="FQ95">
            <v>-18.693351512594514</v>
          </cell>
          <cell r="FR95">
            <v>45.483842522641524</v>
          </cell>
          <cell r="FT95" t="str">
            <v xml:space="preserve"> --</v>
          </cell>
          <cell r="FU95">
            <v>42.221974955039144</v>
          </cell>
          <cell r="FV95">
            <v>-13.231199703407547</v>
          </cell>
          <cell r="FW95">
            <v>38.648825747955051</v>
          </cell>
          <cell r="FX95">
            <v>68.469776470001278</v>
          </cell>
          <cell r="FY95">
            <v>-20.845515993225128</v>
          </cell>
          <cell r="FZ95">
            <v>-54.150079414413767</v>
          </cell>
          <cell r="GA95">
            <v>31.565881812912309</v>
          </cell>
          <cell r="GB95">
            <v>97.733870110119142</v>
          </cell>
          <cell r="GC95">
            <v>43.675984618595322</v>
          </cell>
          <cell r="GE95" t="str">
            <v>--</v>
          </cell>
          <cell r="GF95">
            <v>22.486514832264316</v>
          </cell>
          <cell r="GG95">
            <v>66.772545868558225</v>
          </cell>
          <cell r="GH95">
            <v>-13.756380796538082</v>
          </cell>
          <cell r="GI95">
            <v>-46.914293532963605</v>
          </cell>
          <cell r="GJ95">
            <v>-4.9437015019311081</v>
          </cell>
          <cell r="GL95">
            <v>-49.241326440449427</v>
          </cell>
          <cell r="GM95">
            <v>34.502717803132988</v>
          </cell>
          <cell r="GN95">
            <v>74.609653556092454</v>
          </cell>
          <cell r="GO95">
            <v>39.549710370717442</v>
          </cell>
          <cell r="GP95">
            <v>53.470636342461852</v>
          </cell>
          <cell r="GQ95">
            <v>-2.014138428166945</v>
          </cell>
          <cell r="GR95">
            <v>-56.777507729706898</v>
          </cell>
          <cell r="GS95">
            <v>126.35005662787013</v>
          </cell>
          <cell r="GT95">
            <v>38.187127731181356</v>
          </cell>
          <cell r="GU95">
            <v>30.041400018025509</v>
          </cell>
          <cell r="GV95">
            <v>-0.19492819639352899</v>
          </cell>
          <cell r="GW95">
            <v>-83.628269122784076</v>
          </cell>
          <cell r="GX95">
            <v>230.0597978668315</v>
          </cell>
          <cell r="GY95">
            <v>53.584323000442069</v>
          </cell>
          <cell r="GZ95">
            <v>9.5990199130904905</v>
          </cell>
          <cell r="HA95">
            <v>8.5427046137014564</v>
          </cell>
          <cell r="HB95">
            <v>7.5019391951228753</v>
          </cell>
          <cell r="HC95">
            <v>6.6010449790789849</v>
          </cell>
          <cell r="HD95">
            <v>3.0832997560806152</v>
          </cell>
          <cell r="HE95">
            <v>-0.34834166312918136</v>
          </cell>
          <cell r="HF95">
            <v>-1.5259194945108523</v>
          </cell>
          <cell r="HG95">
            <v>-1.7785942329459847</v>
          </cell>
          <cell r="HH95">
            <v>-2.0666398947024489</v>
          </cell>
          <cell r="HI95">
            <v>0.70208143695380532</v>
          </cell>
        </row>
        <row r="96">
          <cell r="S96" t="str">
            <v xml:space="preserve"> --</v>
          </cell>
          <cell r="T96" t="str">
            <v xml:space="preserve"> --</v>
          </cell>
          <cell r="U96" t="str">
            <v xml:space="preserve"> --</v>
          </cell>
          <cell r="V96" t="str">
            <v xml:space="preserve"> --</v>
          </cell>
          <cell r="X96" t="str">
            <v xml:space="preserve"> --</v>
          </cell>
          <cell r="Y96" t="str">
            <v xml:space="preserve"> --</v>
          </cell>
          <cell r="Z96" t="str">
            <v xml:space="preserve"> --</v>
          </cell>
          <cell r="AA96" t="str">
            <v xml:space="preserve"> --</v>
          </cell>
          <cell r="AC96" t="str">
            <v xml:space="preserve"> --</v>
          </cell>
          <cell r="AD96" t="str">
            <v xml:space="preserve"> --</v>
          </cell>
          <cell r="AE96" t="str">
            <v xml:space="preserve"> --</v>
          </cell>
          <cell r="AF96" t="str">
            <v xml:space="preserve"> --</v>
          </cell>
          <cell r="AH96" t="str">
            <v xml:space="preserve"> --</v>
          </cell>
          <cell r="AJ96" t="str">
            <v xml:space="preserve"> --</v>
          </cell>
          <cell r="AK96" t="str">
            <v xml:space="preserve"> --</v>
          </cell>
          <cell r="AL96" t="str">
            <v xml:space="preserve"> --</v>
          </cell>
          <cell r="AM96" t="str">
            <v xml:space="preserve"> --</v>
          </cell>
          <cell r="AO96" t="str">
            <v xml:space="preserve"> --</v>
          </cell>
          <cell r="AP96" t="str">
            <v xml:space="preserve"> --</v>
          </cell>
          <cell r="AQ96" t="str">
            <v xml:space="preserve"> --</v>
          </cell>
          <cell r="AR96" t="str">
            <v xml:space="preserve"> --</v>
          </cell>
          <cell r="AT96">
            <v>20.222682008467775</v>
          </cell>
          <cell r="AU96">
            <v>58.924105334349306</v>
          </cell>
          <cell r="AV96">
            <v>73.041304666615929</v>
          </cell>
          <cell r="AW96">
            <v>51.469713436349672</v>
          </cell>
          <cell r="AY96" t="str">
            <v xml:space="preserve"> --</v>
          </cell>
          <cell r="AZ96" t="str">
            <v xml:space="preserve"> --</v>
          </cell>
          <cell r="BA96" t="str">
            <v xml:space="preserve"> --</v>
          </cell>
          <cell r="BB96" t="str">
            <v xml:space="preserve"> --</v>
          </cell>
          <cell r="BD96" t="str">
            <v xml:space="preserve"> --</v>
          </cell>
          <cell r="BE96" t="str">
            <v xml:space="preserve"> --</v>
          </cell>
          <cell r="BF96" t="str">
            <v xml:space="preserve"> --</v>
          </cell>
          <cell r="BG96" t="str">
            <v xml:space="preserve"> --</v>
          </cell>
          <cell r="BI96" t="str">
            <v xml:space="preserve"> --</v>
          </cell>
          <cell r="BJ96" t="str">
            <v xml:space="preserve"> --</v>
          </cell>
          <cell r="BK96" t="str">
            <v xml:space="preserve"> --</v>
          </cell>
          <cell r="BL96" t="str">
            <v xml:space="preserve"> --</v>
          </cell>
          <cell r="BN96" t="str">
            <v xml:space="preserve"> --</v>
          </cell>
          <cell r="BO96" t="str">
            <v xml:space="preserve"> --</v>
          </cell>
          <cell r="BP96" t="str">
            <v xml:space="preserve"> --</v>
          </cell>
          <cell r="BQ96" t="str">
            <v xml:space="preserve"> --</v>
          </cell>
          <cell r="BS96">
            <v>-43.98820094905421</v>
          </cell>
          <cell r="BT96">
            <v>71.170002764007961</v>
          </cell>
          <cell r="BU96">
            <v>-7.4698006251165179</v>
          </cell>
          <cell r="BV96">
            <v>-28.009469224788262</v>
          </cell>
          <cell r="BX96">
            <v>92.523048820078174</v>
          </cell>
          <cell r="BZ96" t="str">
            <v>--</v>
          </cell>
          <cell r="CA96" t="str">
            <v>--</v>
          </cell>
          <cell r="CB96" t="str">
            <v>--</v>
          </cell>
          <cell r="CC96" t="str">
            <v>--</v>
          </cell>
          <cell r="CE96">
            <v>21.656257641594291</v>
          </cell>
          <cell r="CF96">
            <v>-3.5971452321145736</v>
          </cell>
          <cell r="CG96">
            <v>-15.290999426162866</v>
          </cell>
          <cell r="CH96">
            <v>-6.2561522842595867</v>
          </cell>
          <cell r="CJ96">
            <v>6.1322627102842864</v>
          </cell>
          <cell r="CK96">
            <v>32.802564223225716</v>
          </cell>
          <cell r="CL96">
            <v>58.124051390248965</v>
          </cell>
          <cell r="CM96">
            <v>57.032171872360649</v>
          </cell>
          <cell r="CO96">
            <v>89.867096118952915</v>
          </cell>
          <cell r="CP96">
            <v>94.54630021017023</v>
          </cell>
          <cell r="CQ96">
            <v>69.11068186590397</v>
          </cell>
          <cell r="CR96">
            <v>54.277220608130918</v>
          </cell>
          <cell r="CT96" t="str">
            <v xml:space="preserve"> --</v>
          </cell>
          <cell r="CU96" t="str">
            <v xml:space="preserve"> --</v>
          </cell>
          <cell r="CV96" t="str">
            <v xml:space="preserve"> --</v>
          </cell>
          <cell r="CW96" t="str">
            <v xml:space="preserve"> --</v>
          </cell>
          <cell r="CY96">
            <v>21.003223132237061</v>
          </cell>
          <cell r="CZ96">
            <v>-1.8857339427846953</v>
          </cell>
          <cell r="DA96">
            <v>-11.003859656602089</v>
          </cell>
          <cell r="DB96">
            <v>3.1465954390981876</v>
          </cell>
          <cell r="DD96">
            <v>5.6753987632207847</v>
          </cell>
          <cell r="DE96">
            <v>29.451959104811799</v>
          </cell>
          <cell r="DF96">
            <v>54.616737540378168</v>
          </cell>
          <cell r="DG96">
            <v>45.04818849449557</v>
          </cell>
          <cell r="DI96">
            <v>72.120524012180965</v>
          </cell>
          <cell r="DJ96">
            <v>81.649492670864348</v>
          </cell>
          <cell r="DK96">
            <v>68.174000791577612</v>
          </cell>
          <cell r="DL96">
            <v>27.576753370780473</v>
          </cell>
          <cell r="DN96">
            <v>1.0488832104359469</v>
          </cell>
          <cell r="DO96">
            <v>-33.229600918643968</v>
          </cell>
          <cell r="DP96">
            <v>-34.686533882242699</v>
          </cell>
          <cell r="DQ96">
            <v>-46.198015805747247</v>
          </cell>
          <cell r="DS96">
            <v>-68.713149112666699</v>
          </cell>
          <cell r="DT96">
            <v>-47.595203525491783</v>
          </cell>
          <cell r="DU96">
            <v>-24.213052808737878</v>
          </cell>
          <cell r="DV96">
            <v>-57.42091197263408</v>
          </cell>
          <cell r="DX96">
            <v>-32.852248508257006</v>
          </cell>
          <cell r="DY96">
            <v>11.943525969897317</v>
          </cell>
          <cell r="DZ96">
            <v>45.282131693750927</v>
          </cell>
          <cell r="EA96">
            <v>116.74919576881555</v>
          </cell>
          <cell r="EC96">
            <v>250.57472538437992</v>
          </cell>
          <cell r="ED96">
            <v>93.901202989747773</v>
          </cell>
          <cell r="EE96">
            <v>35.19545357171134</v>
          </cell>
          <cell r="EF96">
            <v>66.035328755466921</v>
          </cell>
          <cell r="EH96">
            <v>53.321665979861145</v>
          </cell>
          <cell r="EI96">
            <v>42.994740916073447</v>
          </cell>
          <cell r="EJ96">
            <v>32.677752045895915</v>
          </cell>
          <cell r="EK96">
            <v>35.896834411056091</v>
          </cell>
          <cell r="EM96" t="str">
            <v xml:space="preserve"> --</v>
          </cell>
          <cell r="EN96" t="str">
            <v xml:space="preserve"> --</v>
          </cell>
          <cell r="EO96" t="str">
            <v xml:space="preserve"> --</v>
          </cell>
          <cell r="EP96" t="str">
            <v xml:space="preserve"> --</v>
          </cell>
          <cell r="EQ96" t="str">
            <v xml:space="preserve"> --</v>
          </cell>
          <cell r="ER96" t="str">
            <v xml:space="preserve"> --</v>
          </cell>
          <cell r="ES96" t="str">
            <v xml:space="preserve"> --</v>
          </cell>
          <cell r="ET96" t="str">
            <v xml:space="preserve"> --</v>
          </cell>
          <cell r="EU96" t="str">
            <v xml:space="preserve"> --</v>
          </cell>
          <cell r="EW96" t="str">
            <v xml:space="preserve"> --</v>
          </cell>
          <cell r="EX96" t="str">
            <v xml:space="preserve"> --</v>
          </cell>
          <cell r="EZ96" t="str">
            <v xml:space="preserve"> --</v>
          </cell>
          <cell r="FA96">
            <v>-16.599491198987138</v>
          </cell>
          <cell r="FB96">
            <v>33.870320348308994</v>
          </cell>
          <cell r="FC96">
            <v>37.857103699320696</v>
          </cell>
          <cell r="FD96">
            <v>54.028747876434835</v>
          </cell>
          <cell r="FF96" t="str">
            <v xml:space="preserve"> --</v>
          </cell>
          <cell r="FH96" t="str">
            <v xml:space="preserve"> --</v>
          </cell>
          <cell r="FI96" t="str">
            <v xml:space="preserve"> --</v>
          </cell>
          <cell r="FJ96" t="str">
            <v xml:space="preserve"> --</v>
          </cell>
          <cell r="FK96" t="str">
            <v xml:space="preserve"> --</v>
          </cell>
          <cell r="FL96">
            <v>-12.918529239000131</v>
          </cell>
          <cell r="FN96" t="str">
            <v xml:space="preserve"> --</v>
          </cell>
          <cell r="FO96">
            <v>-9.68767740988865</v>
          </cell>
          <cell r="FP96">
            <v>-15.506838984645309</v>
          </cell>
          <cell r="FQ96">
            <v>-2.7224704441047631</v>
          </cell>
          <cell r="FR96">
            <v>39.22103812430349</v>
          </cell>
          <cell r="FT96" t="str">
            <v xml:space="preserve"> --</v>
          </cell>
          <cell r="FU96">
            <v>42.981198633435412</v>
          </cell>
          <cell r="FV96">
            <v>1.5838470910614744</v>
          </cell>
          <cell r="FW96">
            <v>34.438900176418507</v>
          </cell>
          <cell r="FX96">
            <v>59.212642117406048</v>
          </cell>
          <cell r="FY96">
            <v>-29.903041757376357</v>
          </cell>
          <cell r="FZ96">
            <v>-49.241326440449427</v>
          </cell>
          <cell r="GA96">
            <v>34.502717803132988</v>
          </cell>
          <cell r="GB96">
            <v>74.609653556092454</v>
          </cell>
          <cell r="GC96">
            <v>39.549710370717442</v>
          </cell>
          <cell r="GE96" t="str">
            <v>--</v>
          </cell>
          <cell r="GF96">
            <v>22.486514832264316</v>
          </cell>
          <cell r="GG96">
            <v>66.772545868558225</v>
          </cell>
          <cell r="GH96">
            <v>-13.756380796538082</v>
          </cell>
          <cell r="GI96">
            <v>-46.914293532963605</v>
          </cell>
          <cell r="GJ96">
            <v>-4.9437015019311081</v>
          </cell>
          <cell r="GL96">
            <v>-49.241326440449427</v>
          </cell>
          <cell r="GM96">
            <v>34.502717803132988</v>
          </cell>
          <cell r="GN96">
            <v>74.609653556092454</v>
          </cell>
          <cell r="GO96">
            <v>39.549710370717442</v>
          </cell>
          <cell r="GP96">
            <v>53.470636342461852</v>
          </cell>
          <cell r="GQ96">
            <v>-2.014138428166945</v>
          </cell>
          <cell r="GR96">
            <v>-56.777507729706898</v>
          </cell>
          <cell r="GS96">
            <v>126.35005662787013</v>
          </cell>
          <cell r="GT96">
            <v>38.187127731181356</v>
          </cell>
          <cell r="GU96">
            <v>30.041400018025509</v>
          </cell>
          <cell r="GV96">
            <v>-0.19492819639352899</v>
          </cell>
          <cell r="GW96">
            <v>-83.628269122784076</v>
          </cell>
          <cell r="GX96">
            <v>230.0597978668315</v>
          </cell>
          <cell r="GY96">
            <v>53.584323000442069</v>
          </cell>
          <cell r="GZ96">
            <v>9.5990199130904905</v>
          </cell>
          <cell r="HA96">
            <v>8.5427046137014564</v>
          </cell>
          <cell r="HB96">
            <v>7.5019391951228753</v>
          </cell>
          <cell r="HC96">
            <v>6.6010449790789849</v>
          </cell>
          <cell r="HD96">
            <v>3.0832997560806152</v>
          </cell>
          <cell r="HE96">
            <v>-0.34834166312918136</v>
          </cell>
          <cell r="HF96">
            <v>-1.5259194945108523</v>
          </cell>
          <cell r="HG96">
            <v>-1.7785942329459847</v>
          </cell>
          <cell r="HH96">
            <v>-2.0666398947024489</v>
          </cell>
          <cell r="HI96">
            <v>0.70208143695380532</v>
          </cell>
        </row>
        <row r="99">
          <cell r="D99">
            <v>7.2628458498023685</v>
          </cell>
          <cell r="E99">
            <v>8.9786440558702463</v>
          </cell>
          <cell r="F99">
            <v>10.184049079754603</v>
          </cell>
          <cell r="G99">
            <v>10.713838603870911</v>
          </cell>
          <cell r="I99">
            <v>10.587959251510469</v>
          </cell>
          <cell r="J99">
            <v>10.75492694834332</v>
          </cell>
          <cell r="K99">
            <v>8.1401524618845365</v>
          </cell>
          <cell r="L99">
            <v>8.8749567753672292</v>
          </cell>
          <cell r="N99">
            <v>8.2626084125839974</v>
          </cell>
          <cell r="O99">
            <v>9.786673790261025</v>
          </cell>
          <cell r="P99">
            <v>8.9670449717788472</v>
          </cell>
          <cell r="Q99">
            <v>10.107318159760064</v>
          </cell>
          <cell r="S99">
            <v>10.098676743533938</v>
          </cell>
          <cell r="T99">
            <v>11.54398208692435</v>
          </cell>
          <cell r="U99">
            <v>7.8351359396705611</v>
          </cell>
          <cell r="V99">
            <v>11.037626291952146</v>
          </cell>
          <cell r="X99">
            <v>9.7772419092580254</v>
          </cell>
          <cell r="Y99">
            <v>9.8151653490702557</v>
          </cell>
          <cell r="Z99">
            <v>9.7654237288135555</v>
          </cell>
          <cell r="AA99">
            <v>9.7816696772166765</v>
          </cell>
          <cell r="AC99">
            <v>8.7896426016874063</v>
          </cell>
          <cell r="AD99">
            <v>8.7258953819382068</v>
          </cell>
          <cell r="AE99">
            <v>8.5681136227245442</v>
          </cell>
          <cell r="AF99">
            <v>8.2449380774523302</v>
          </cell>
          <cell r="AH99">
            <v>8.6666666666666554</v>
          </cell>
          <cell r="AJ99">
            <v>8.5530389605159112</v>
          </cell>
          <cell r="AK99">
            <v>8.281357177593879</v>
          </cell>
          <cell r="AL99">
            <v>7.9845622377863332</v>
          </cell>
          <cell r="AM99">
            <v>7.6825438454917157</v>
          </cell>
          <cell r="AO99">
            <v>8.5160034713368979</v>
          </cell>
          <cell r="AP99">
            <v>8.2635808721095003</v>
          </cell>
          <cell r="AQ99">
            <v>7.8530601393820811</v>
          </cell>
          <cell r="AR99">
            <v>7.7637416632618512</v>
          </cell>
          <cell r="AT99">
            <v>7.6251274354946625</v>
          </cell>
          <cell r="AU99">
            <v>7.6966530750934457</v>
          </cell>
          <cell r="AV99">
            <v>6.965273100734132</v>
          </cell>
          <cell r="AW99">
            <v>6.3453751143993804</v>
          </cell>
          <cell r="AY99">
            <v>10.663273617567102</v>
          </cell>
          <cell r="AZ99">
            <v>10.416107149973582</v>
          </cell>
          <cell r="BA99">
            <v>9.9704819583693851</v>
          </cell>
          <cell r="BB99">
            <v>10.039130470300863</v>
          </cell>
          <cell r="BD99">
            <v>10.997027672688139</v>
          </cell>
          <cell r="BE99">
            <v>10.800659402052959</v>
          </cell>
          <cell r="BF99">
            <v>10.243910352603363</v>
          </cell>
          <cell r="BG99">
            <v>10.246773198623595</v>
          </cell>
          <cell r="BI99">
            <v>8.1018207993194498</v>
          </cell>
          <cell r="BJ99">
            <v>7.0822902551618006</v>
          </cell>
          <cell r="BK99">
            <v>6.8589930546135323</v>
          </cell>
          <cell r="BL99">
            <v>7.8374794714102292</v>
          </cell>
          <cell r="BN99">
            <v>10.187812788324429</v>
          </cell>
          <cell r="BO99">
            <v>9.0415218234335715</v>
          </cell>
          <cell r="BP99">
            <v>8.3454149936968101</v>
          </cell>
          <cell r="BQ99">
            <v>7.8374794714102292</v>
          </cell>
          <cell r="BS99">
            <v>9.9693945943345952</v>
          </cell>
          <cell r="BT99">
            <v>9.6189586981523085</v>
          </cell>
          <cell r="BU99">
            <v>8.5612054247530942</v>
          </cell>
          <cell r="BV99">
            <v>7.8374794714102292</v>
          </cell>
          <cell r="BX99">
            <v>7.4052863590307121</v>
          </cell>
          <cell r="BZ99">
            <v>13.520203525016608</v>
          </cell>
          <cell r="CA99">
            <v>13.64471214843374</v>
          </cell>
          <cell r="CB99">
            <v>13.198556916989482</v>
          </cell>
          <cell r="CC99">
            <v>13.168449874666772</v>
          </cell>
          <cell r="CE99">
            <v>12.250695311519383</v>
          </cell>
          <cell r="CF99">
            <v>11.826636568848761</v>
          </cell>
          <cell r="CG99">
            <v>11.313964334589018</v>
          </cell>
          <cell r="CH99">
            <v>11.027559388346866</v>
          </cell>
          <cell r="CJ99">
            <v>10.799636767667241</v>
          </cell>
          <cell r="CK99">
            <v>9.7682166798900756</v>
          </cell>
          <cell r="CL99">
            <v>8.8693095795859946</v>
          </cell>
          <cell r="CM99">
            <v>8.5866059351914998</v>
          </cell>
          <cell r="CO99">
            <v>8.146686703799265</v>
          </cell>
          <cell r="CP99">
            <v>8.4298426432540214</v>
          </cell>
          <cell r="CQ99">
            <v>8.5</v>
          </cell>
          <cell r="CR99">
            <v>8.4</v>
          </cell>
          <cell r="CT99">
            <v>12.91964293922428</v>
          </cell>
          <cell r="CU99">
            <v>13.099149365652107</v>
          </cell>
          <cell r="CV99">
            <v>12.738603678200985</v>
          </cell>
          <cell r="CW99">
            <v>12.765523632993514</v>
          </cell>
          <cell r="CY99">
            <v>11.573756090244533</v>
          </cell>
          <cell r="CZ99">
            <v>11.242959676881034</v>
          </cell>
          <cell r="DA99">
            <v>11.066325326361271</v>
          </cell>
          <cell r="DB99">
            <v>10.827858560387082</v>
          </cell>
          <cell r="DD99">
            <v>10.088497720880614</v>
          </cell>
          <cell r="DE99">
            <v>9.2819034907032201</v>
          </cell>
          <cell r="DF99">
            <v>8.6442822730645297</v>
          </cell>
          <cell r="DG99">
            <v>8.4072928743982942</v>
          </cell>
          <cell r="DI99">
            <v>7.7163991880384435</v>
          </cell>
          <cell r="DJ99">
            <v>8.1062735344420513</v>
          </cell>
          <cell r="DK99">
            <v>8.4975023870949613</v>
          </cell>
          <cell r="DL99">
            <v>8.039534631332705</v>
          </cell>
          <cell r="DN99">
            <v>7.4517825832846318</v>
          </cell>
          <cell r="DO99">
            <v>6.4331055515116322</v>
          </cell>
          <cell r="DP99">
            <v>6.5616982605756959</v>
          </cell>
          <cell r="DQ99">
            <v>6.4546309498528682</v>
          </cell>
          <cell r="DS99">
            <v>5.3436379027107916</v>
          </cell>
          <cell r="DT99">
            <v>5.4548970503317769</v>
          </cell>
          <cell r="DU99">
            <v>5.5286338236538839</v>
          </cell>
          <cell r="DV99">
            <v>5.4268498953282576</v>
          </cell>
          <cell r="DX99">
            <v>5.3124608705700709</v>
          </cell>
          <cell r="DY99">
            <v>5.2086039160297872</v>
          </cell>
          <cell r="DZ99">
            <v>5.766188928470287</v>
          </cell>
          <cell r="EA99">
            <v>5.74</v>
          </cell>
          <cell r="EC99">
            <v>5.8</v>
          </cell>
          <cell r="ED99">
            <v>6</v>
          </cell>
          <cell r="EE99">
            <v>6.5</v>
          </cell>
          <cell r="EF99">
            <v>6.3</v>
          </cell>
          <cell r="EH99">
            <v>6.3</v>
          </cell>
          <cell r="EI99">
            <v>6.5</v>
          </cell>
          <cell r="EJ99">
            <v>7</v>
          </cell>
          <cell r="EK99">
            <v>6.8</v>
          </cell>
          <cell r="EM99">
            <v>10.623167992691007</v>
          </cell>
          <cell r="EN99">
            <v>9.4870801142443053</v>
          </cell>
          <cell r="EO99">
            <v>9.3432096121976915</v>
          </cell>
          <cell r="EP99">
            <v>10.219839579277803</v>
          </cell>
          <cell r="EQ99">
            <v>9.1470448298642175</v>
          </cell>
          <cell r="ER99">
            <v>9.4945327727713718</v>
          </cell>
          <cell r="ES99">
            <v>10.135045397940946</v>
          </cell>
          <cell r="ET99">
            <v>9.7839944010859856</v>
          </cell>
          <cell r="EU99">
            <v>8.56017308880649</v>
          </cell>
          <cell r="EW99">
            <v>9.2348517537865273</v>
          </cell>
          <cell r="EX99">
            <v>8.0755652171359724</v>
          </cell>
          <cell r="EZ99">
            <v>9.7581057766672679</v>
          </cell>
          <cell r="FA99">
            <v>9.0462962141837391</v>
          </cell>
          <cell r="FB99">
            <v>8.9217989432249158</v>
          </cell>
          <cell r="FC99">
            <v>8.0483770432489976</v>
          </cell>
          <cell r="FD99">
            <v>7.0246910226683594</v>
          </cell>
          <cell r="FF99">
            <v>10.241900048253312</v>
          </cell>
          <cell r="FH99">
            <v>13.582379498598963</v>
          </cell>
          <cell r="FI99">
            <v>13.37474448954341</v>
          </cell>
          <cell r="FJ99">
            <v>12.601869462703142</v>
          </cell>
          <cell r="FK99">
            <v>10.533979911005916</v>
          </cell>
          <cell r="FL99">
            <v>8.7866251664928736</v>
          </cell>
          <cell r="FN99">
            <v>13.582379498598963</v>
          </cell>
          <cell r="FO99">
            <v>13.933160340965825</v>
          </cell>
          <cell r="FP99">
            <v>13.361620325293231</v>
          </cell>
          <cell r="FQ99">
            <v>11.546531412389321</v>
          </cell>
          <cell r="FR99">
            <v>9.3068106902766825</v>
          </cell>
          <cell r="FT99">
            <v>13.933160340965825</v>
          </cell>
          <cell r="FU99">
            <v>12.870462534611152</v>
          </cell>
          <cell r="FV99">
            <v>11.145480681220784</v>
          </cell>
          <cell r="FW99">
            <v>8.9649240234615792</v>
          </cell>
          <cell r="FX99">
            <v>8.1075755887904464</v>
          </cell>
          <cell r="FY99">
            <v>6.7141986691191997</v>
          </cell>
          <cell r="FZ99">
            <v>5.4437056996349193</v>
          </cell>
          <cell r="GA99">
            <v>5.5247088822322921</v>
          </cell>
          <cell r="GB99">
            <v>6.168068203644558</v>
          </cell>
          <cell r="GC99">
            <v>6.6684057808733845</v>
          </cell>
          <cell r="GE99">
            <v>11.592553771023757</v>
          </cell>
          <cell r="GF99">
            <v>9.5411173494131152</v>
          </cell>
          <cell r="GG99">
            <v>8.1859692848184373</v>
          </cell>
          <cell r="GH99">
            <v>7.099812589796378</v>
          </cell>
          <cell r="GI99">
            <v>5.6922386756088716</v>
          </cell>
          <cell r="GJ99">
            <v>5.4477671115571731</v>
          </cell>
          <cell r="GL99">
            <v>5.4437056996349193</v>
          </cell>
          <cell r="GM99">
            <v>5.5247088822322921</v>
          </cell>
          <cell r="GN99">
            <v>6.168068203644558</v>
          </cell>
          <cell r="GO99">
            <v>6.6684057808733845</v>
          </cell>
          <cell r="GP99">
            <v>7.8</v>
          </cell>
          <cell r="GQ99">
            <v>7.5</v>
          </cell>
          <cell r="GR99">
            <v>6</v>
          </cell>
          <cell r="GS99">
            <v>7.7</v>
          </cell>
          <cell r="GT99">
            <v>8.1999999999999993</v>
          </cell>
          <cell r="GU99">
            <v>8.1999999999999993</v>
          </cell>
          <cell r="GV99">
            <v>7.8</v>
          </cell>
          <cell r="GW99">
            <v>4.9000000000000004</v>
          </cell>
          <cell r="GX99">
            <v>7</v>
          </cell>
          <cell r="GY99">
            <v>8.1999999999999993</v>
          </cell>
          <cell r="GZ99">
            <v>8.1</v>
          </cell>
          <cell r="HA99">
            <v>8</v>
          </cell>
          <cell r="HB99">
            <v>7.9</v>
          </cell>
          <cell r="HC99">
            <v>7.8</v>
          </cell>
          <cell r="HD99">
            <v>7.6</v>
          </cell>
          <cell r="HE99">
            <v>7.4</v>
          </cell>
          <cell r="HF99">
            <v>7.2</v>
          </cell>
          <cell r="HG99">
            <v>7</v>
          </cell>
          <cell r="HH99">
            <v>6.8</v>
          </cell>
          <cell r="HI99">
            <v>6.7</v>
          </cell>
        </row>
        <row r="100">
          <cell r="D100">
            <v>5.3236166007905137</v>
          </cell>
          <cell r="E100">
            <v>5.6116525349189041</v>
          </cell>
          <cell r="F100">
            <v>4.705521472392638</v>
          </cell>
          <cell r="G100">
            <v>6.9881569393324821</v>
          </cell>
          <cell r="I100">
            <v>5.2656277496431576</v>
          </cell>
          <cell r="J100">
            <v>4.7761783393760995</v>
          </cell>
          <cell r="K100">
            <v>5.6610847288177952</v>
          </cell>
          <cell r="L100">
            <v>3.8804444243982377</v>
          </cell>
          <cell r="N100">
            <v>3.9586578929011558</v>
          </cell>
          <cell r="O100">
            <v>4.6376507403449851</v>
          </cell>
          <cell r="P100">
            <v>3.7848212660071616</v>
          </cell>
          <cell r="Q100">
            <v>4.2418119187595966</v>
          </cell>
          <cell r="S100">
            <v>5.4866405843158716</v>
          </cell>
          <cell r="T100">
            <v>5.4543018812557023</v>
          </cell>
          <cell r="U100">
            <v>5.7879787656281012</v>
          </cell>
          <cell r="V100">
            <v>5.9087214028568109</v>
          </cell>
          <cell r="X100">
            <v>5.3360900372324851</v>
          </cell>
          <cell r="Y100">
            <v>4.6948319468083417</v>
          </cell>
          <cell r="Z100">
            <v>4.6688135593220341</v>
          </cell>
          <cell r="AA100">
            <v>4.6976662699587379</v>
          </cell>
          <cell r="AC100">
            <v>3.8170171692649681</v>
          </cell>
          <cell r="AD100">
            <v>3.9141927612850758</v>
          </cell>
          <cell r="AE100">
            <v>3.4800960192038404</v>
          </cell>
          <cell r="AF100">
            <v>3.895026538234716</v>
          </cell>
          <cell r="AH100">
            <v>3.9775386938467348</v>
          </cell>
          <cell r="AJ100">
            <v>3.7714524484360918</v>
          </cell>
          <cell r="AK100">
            <v>3.8174601657715508</v>
          </cell>
          <cell r="AL100">
            <v>3.4085407351889661</v>
          </cell>
          <cell r="AM100">
            <v>3.7603225199053152</v>
          </cell>
          <cell r="AO100">
            <v>3.7412777981805894</v>
          </cell>
          <cell r="AP100">
            <v>3.7679910903114902</v>
          </cell>
          <cell r="AQ100">
            <v>3.4065374122532175</v>
          </cell>
          <cell r="AR100">
            <v>3.7449440369633997</v>
          </cell>
          <cell r="AT100">
            <v>3.7715072465036372</v>
          </cell>
          <cell r="AU100">
            <v>3.1645005096839958</v>
          </cell>
          <cell r="AV100">
            <v>2.9620965725292625</v>
          </cell>
          <cell r="AW100">
            <v>2.9971759898215189</v>
          </cell>
          <cell r="AY100">
            <v>5.4025713576255825</v>
          </cell>
          <cell r="AZ100">
            <v>5.6159592931751954</v>
          </cell>
          <cell r="BA100">
            <v>4.930912514631788</v>
          </cell>
          <cell r="BB100">
            <v>5.1887260365256624</v>
          </cell>
          <cell r="BD100">
            <v>5.6967176055701243</v>
          </cell>
          <cell r="BE100">
            <v>5.8504227491085352</v>
          </cell>
          <cell r="BF100">
            <v>5.3076487199602314</v>
          </cell>
          <cell r="BG100">
            <v>5.3439037156656335</v>
          </cell>
          <cell r="BI100">
            <v>3.836111701866606</v>
          </cell>
          <cell r="BJ100">
            <v>3.158402425300292</v>
          </cell>
          <cell r="BK100">
            <v>2.9419544751621043</v>
          </cell>
          <cell r="BL100">
            <v>3.7156813382927067</v>
          </cell>
          <cell r="BN100">
            <v>5.074393528485289</v>
          </cell>
          <cell r="BO100">
            <v>4.190092288108624</v>
          </cell>
          <cell r="BP100">
            <v>3.7422700047031023</v>
          </cell>
          <cell r="BQ100">
            <v>3.7156813382927067</v>
          </cell>
          <cell r="BS100">
            <v>5.2855232353270241</v>
          </cell>
          <cell r="BT100">
            <v>4.4041947001238206</v>
          </cell>
          <cell r="BU100">
            <v>3.9230976692306472</v>
          </cell>
          <cell r="BV100">
            <v>3.7156813382927067</v>
          </cell>
          <cell r="BX100">
            <v>3.1563192885255136</v>
          </cell>
          <cell r="BZ100">
            <v>7.7386595435688976</v>
          </cell>
          <cell r="CA100">
            <v>7.1073224807640845</v>
          </cell>
          <cell r="CB100">
            <v>6.5893032303113923</v>
          </cell>
          <cell r="CC100">
            <v>6.672240246356079</v>
          </cell>
          <cell r="CE100">
            <v>6.4616075734453755</v>
          </cell>
          <cell r="CF100">
            <v>6.6197140707298718</v>
          </cell>
          <cell r="CG100">
            <v>6.0927529120124868</v>
          </cell>
          <cell r="CH100">
            <v>6.282292814816012</v>
          </cell>
          <cell r="CJ100">
            <v>6.0254153880731476</v>
          </cell>
          <cell r="CK100">
            <v>5.1904026814768818</v>
          </cell>
          <cell r="CL100">
            <v>4.5664955803308755</v>
          </cell>
          <cell r="CM100">
            <v>4.2407987576251536</v>
          </cell>
          <cell r="CO100">
            <v>3.6537795793944969</v>
          </cell>
          <cell r="CP100">
            <v>3.5392119438435765</v>
          </cell>
          <cell r="CQ100">
            <v>3.5483870967741935</v>
          </cell>
          <cell r="CR100">
            <v>3.4782608695652173</v>
          </cell>
          <cell r="CT100">
            <v>7.1798266177592689</v>
          </cell>
          <cell r="CU100">
            <v>6.6775693086822754</v>
          </cell>
          <cell r="CV100">
            <v>6.2429932946017193</v>
          </cell>
          <cell r="CW100">
            <v>6.3602542036276981</v>
          </cell>
          <cell r="CY100">
            <v>5.9731713791539551</v>
          </cell>
          <cell r="CZ100">
            <v>6.1563091253092717</v>
          </cell>
          <cell r="DA100">
            <v>6.002601143088671</v>
          </cell>
          <cell r="DB100">
            <v>6.183492464033975</v>
          </cell>
          <cell r="DD100">
            <v>5.495425597258591</v>
          </cell>
          <cell r="DE100">
            <v>4.8337907099017547</v>
          </cell>
          <cell r="DF100">
            <v>4.3976338337381975</v>
          </cell>
          <cell r="DG100">
            <v>4.1140200368287108</v>
          </cell>
          <cell r="DI100">
            <v>3.54571990613282</v>
          </cell>
          <cell r="DJ100">
            <v>3.5053936378003492</v>
          </cell>
          <cell r="DK100">
            <v>3.5111365350402082</v>
          </cell>
          <cell r="DL100">
            <v>3.6450924951371579</v>
          </cell>
          <cell r="DN100">
            <v>3.498234101610044</v>
          </cell>
          <cell r="DO100">
            <v>3.2508679726267351</v>
          </cell>
          <cell r="DP100">
            <v>3.166515061080978</v>
          </cell>
          <cell r="DQ100">
            <v>3.6386554621848739</v>
          </cell>
          <cell r="DS100">
            <v>3.6999999999999997</v>
          </cell>
          <cell r="DT100">
            <v>3.2901446530921121</v>
          </cell>
          <cell r="DU100">
            <v>2.998888223634776</v>
          </cell>
          <cell r="DV100">
            <v>3.7942321866016897</v>
          </cell>
          <cell r="DX100">
            <v>3.7472514844639466</v>
          </cell>
          <cell r="DY100">
            <v>3.1096909662535444</v>
          </cell>
          <cell r="DZ100">
            <v>2.9283941792876504</v>
          </cell>
          <cell r="EA100">
            <v>3.5</v>
          </cell>
          <cell r="EC100">
            <v>3.3</v>
          </cell>
          <cell r="ED100">
            <v>3.1</v>
          </cell>
          <cell r="EE100">
            <v>2.8</v>
          </cell>
          <cell r="EF100">
            <v>3.2</v>
          </cell>
          <cell r="EH100">
            <v>3.1</v>
          </cell>
          <cell r="EI100">
            <v>3</v>
          </cell>
          <cell r="EJ100">
            <v>2.8</v>
          </cell>
          <cell r="EK100">
            <v>3.2</v>
          </cell>
          <cell r="EM100">
            <v>6.7524458487190229</v>
          </cell>
          <cell r="EN100">
            <v>4.8692846250410717</v>
          </cell>
          <cell r="EO100">
            <v>4.145672882834055</v>
          </cell>
          <cell r="EP100">
            <v>5.8876647268057525</v>
          </cell>
          <cell r="EQ100">
            <v>5.3982727991538564</v>
          </cell>
          <cell r="ER100">
            <v>4.9188437972537127</v>
          </cell>
          <cell r="ES100">
            <v>5.6682192538519116</v>
          </cell>
          <cell r="ET100">
            <v>4.8244814131687681</v>
          </cell>
          <cell r="EU100">
            <v>3.7685318929181739</v>
          </cell>
          <cell r="EW100">
            <v>4.8030799349224393</v>
          </cell>
          <cell r="EX100">
            <v>3.6757343491695598</v>
          </cell>
          <cell r="EZ100">
            <v>4.4327443631387951</v>
          </cell>
          <cell r="FA100">
            <v>4.6319493096139679</v>
          </cell>
          <cell r="FB100">
            <v>4.6610099703390269</v>
          </cell>
          <cell r="FC100">
            <v>3.6538020641158373</v>
          </cell>
          <cell r="FD100">
            <v>3.1468290369156895</v>
          </cell>
          <cell r="FF100">
            <v>5.2657099571650772</v>
          </cell>
          <cell r="FH100">
            <v>6.4618931958025341</v>
          </cell>
          <cell r="FI100">
            <v>7.2081467950245299</v>
          </cell>
          <cell r="FJ100">
            <v>6.5198726328077221</v>
          </cell>
          <cell r="FK100">
            <v>5.5273783632157754</v>
          </cell>
          <cell r="FL100">
            <v>4.1861514512429583</v>
          </cell>
          <cell r="FN100">
            <v>6.4618931958025341</v>
          </cell>
          <cell r="FO100">
            <v>7.5622759174869119</v>
          </cell>
          <cell r="FP100">
            <v>6.9740942772455377</v>
          </cell>
          <cell r="FQ100">
            <v>6.3483437423369189</v>
          </cell>
          <cell r="FR100">
            <v>4.8486452374651394</v>
          </cell>
          <cell r="FT100">
            <v>7.5622759174869119</v>
          </cell>
          <cell r="FU100">
            <v>6.5783889840127303</v>
          </cell>
          <cell r="FV100">
            <v>6.0846198099264672</v>
          </cell>
          <cell r="FW100">
            <v>4.5975914777755014</v>
          </cell>
          <cell r="FX100">
            <v>3.5517728392753605</v>
          </cell>
          <cell r="FY100">
            <v>3.3848981923111707</v>
          </cell>
          <cell r="FZ100">
            <v>3.417372638400789</v>
          </cell>
          <cell r="GA100">
            <v>3.2922811738088962</v>
          </cell>
          <cell r="GB100">
            <v>3.0865117459939366</v>
          </cell>
          <cell r="GC100">
            <v>3.01608977427628</v>
          </cell>
          <cell r="GE100">
            <v>6.1111253293674705</v>
          </cell>
          <cell r="GF100">
            <v>5.091458486072951</v>
          </cell>
          <cell r="GG100">
            <v>3.6375215487651822</v>
          </cell>
          <cell r="GH100">
            <v>3.3828783727975003</v>
          </cell>
          <cell r="GI100">
            <v>3.3862600266726717</v>
          </cell>
          <cell r="GJ100">
            <v>3.3500561575502164</v>
          </cell>
          <cell r="GL100">
            <v>3.417372638400789</v>
          </cell>
          <cell r="GM100">
            <v>3.2922811738088962</v>
          </cell>
          <cell r="GN100">
            <v>3.0865117459939366</v>
          </cell>
          <cell r="GO100">
            <v>3.01608977427628</v>
          </cell>
          <cell r="GP100">
            <v>3.1</v>
          </cell>
          <cell r="GQ100">
            <v>3.4</v>
          </cell>
          <cell r="GR100">
            <v>4</v>
          </cell>
          <cell r="GS100">
            <v>3.6</v>
          </cell>
          <cell r="GT100">
            <v>3.4</v>
          </cell>
          <cell r="GU100">
            <v>3.2</v>
          </cell>
          <cell r="GV100">
            <v>3.3</v>
          </cell>
          <cell r="GW100">
            <v>3.8</v>
          </cell>
          <cell r="GX100">
            <v>4</v>
          </cell>
          <cell r="GY100">
            <v>4.2</v>
          </cell>
          <cell r="GZ100">
            <v>4.0999999999999996</v>
          </cell>
          <cell r="HA100">
            <v>4</v>
          </cell>
          <cell r="HB100">
            <v>3.9</v>
          </cell>
          <cell r="HC100">
            <v>3.8</v>
          </cell>
          <cell r="HD100">
            <v>3.7</v>
          </cell>
          <cell r="HE100">
            <v>3.7</v>
          </cell>
          <cell r="HF100">
            <v>3.7</v>
          </cell>
          <cell r="HG100">
            <v>3.7</v>
          </cell>
          <cell r="HH100">
            <v>3.7</v>
          </cell>
          <cell r="HI100">
            <v>3.7</v>
          </cell>
        </row>
        <row r="101">
          <cell r="D101">
            <v>1.9392292490118552</v>
          </cell>
          <cell r="E101">
            <v>3.3669915209513408</v>
          </cell>
          <cell r="F101">
            <v>5.478527607361964</v>
          </cell>
          <cell r="G101">
            <v>3.7256816645384299</v>
          </cell>
          <cell r="I101">
            <v>5.3223315018673114</v>
          </cell>
          <cell r="J101">
            <v>5.978748608967221</v>
          </cell>
          <cell r="K101">
            <v>2.4790677330667417</v>
          </cell>
          <cell r="L101">
            <v>4.9945123509689919</v>
          </cell>
          <cell r="N101">
            <v>4.303950519682842</v>
          </cell>
          <cell r="O101">
            <v>5.149023049916039</v>
          </cell>
          <cell r="P101">
            <v>5.1822237057716869</v>
          </cell>
          <cell r="Q101">
            <v>5.8655062410004692</v>
          </cell>
          <cell r="S101">
            <v>4.6120361592180661</v>
          </cell>
          <cell r="T101">
            <v>6.0896802056686479</v>
          </cell>
          <cell r="U101">
            <v>2.0471571740424599</v>
          </cell>
          <cell r="V101">
            <v>5.1289048890953346</v>
          </cell>
          <cell r="X101">
            <v>4.4411518720255412</v>
          </cell>
          <cell r="Y101">
            <v>5.120333402261914</v>
          </cell>
          <cell r="Z101">
            <v>5.0966101694915231</v>
          </cell>
          <cell r="AA101">
            <v>5.0840034072579376</v>
          </cell>
          <cell r="AC101">
            <v>4.972625432422439</v>
          </cell>
          <cell r="AD101">
            <v>4.811702620653131</v>
          </cell>
          <cell r="AE101">
            <v>5.0880176035207034</v>
          </cell>
          <cell r="AF101">
            <v>4.3499115392176151</v>
          </cell>
          <cell r="AH101">
            <v>4.6891279728199207</v>
          </cell>
          <cell r="AJ101">
            <v>4.7815865120798202</v>
          </cell>
          <cell r="AK101">
            <v>4.4638970118223273</v>
          </cell>
          <cell r="AL101">
            <v>4.5760215025973663</v>
          </cell>
          <cell r="AM101">
            <v>3.9222213255864</v>
          </cell>
          <cell r="AO101">
            <v>4.7747256731563086</v>
          </cell>
          <cell r="AP101">
            <v>4.4955897817980084</v>
          </cell>
          <cell r="AQ101">
            <v>4.4465227271288637</v>
          </cell>
          <cell r="AR101">
            <v>4.0187976262984524</v>
          </cell>
          <cell r="AT101">
            <v>3.853620188991024</v>
          </cell>
          <cell r="AU101">
            <v>4.5321525654094499</v>
          </cell>
          <cell r="AV101">
            <v>4.0031765282048699</v>
          </cell>
          <cell r="AW101">
            <v>3.3481991245778615</v>
          </cell>
          <cell r="AY101">
            <v>5.2607022599415201</v>
          </cell>
          <cell r="AZ101">
            <v>4.8001478567983851</v>
          </cell>
          <cell r="BA101">
            <v>5.0395694437375989</v>
          </cell>
          <cell r="BB101">
            <v>4.8504044337751999</v>
          </cell>
          <cell r="BD101">
            <v>5.3003100671180148</v>
          </cell>
          <cell r="BE101">
            <v>4.9502366529444242</v>
          </cell>
          <cell r="BF101">
            <v>4.9362616326431308</v>
          </cell>
          <cell r="BG101">
            <v>4.9028694829579607</v>
          </cell>
          <cell r="BI101">
            <v>4.2657090974528442</v>
          </cell>
          <cell r="BJ101">
            <v>3.923887829861509</v>
          </cell>
          <cell r="BK101">
            <v>3.9170385794514284</v>
          </cell>
          <cell r="BL101">
            <v>4.1217981331175215</v>
          </cell>
          <cell r="BN101">
            <v>5.1134192598391417</v>
          </cell>
          <cell r="BO101">
            <v>4.8514295353249475</v>
          </cell>
          <cell r="BP101">
            <v>4.6031449889937068</v>
          </cell>
          <cell r="BQ101">
            <v>4.1217981331175215</v>
          </cell>
          <cell r="BS101">
            <v>4.6838713590075711</v>
          </cell>
          <cell r="BT101">
            <v>5.2147639980284879</v>
          </cell>
          <cell r="BU101">
            <v>4.6381077555224453</v>
          </cell>
          <cell r="BV101">
            <v>4.1217981331175215</v>
          </cell>
          <cell r="BX101">
            <v>4.2489670705051985</v>
          </cell>
          <cell r="BZ101">
            <v>5.7815439814477099</v>
          </cell>
          <cell r="CA101">
            <v>6.5373896676696557</v>
          </cell>
          <cell r="CB101">
            <v>6.6092536866780875</v>
          </cell>
          <cell r="CC101">
            <v>6.4962096283106909</v>
          </cell>
          <cell r="CE101">
            <v>5.7890877380740076</v>
          </cell>
          <cell r="CF101">
            <v>5.2069224981188889</v>
          </cell>
          <cell r="CG101">
            <v>5.2212114225765314</v>
          </cell>
          <cell r="CH101">
            <v>4.7452665735308539</v>
          </cell>
          <cell r="CJ101">
            <v>4.7742213795940946</v>
          </cell>
          <cell r="CK101">
            <v>4.577813998413192</v>
          </cell>
          <cell r="CL101">
            <v>4.30281399925512</v>
          </cell>
          <cell r="CM101">
            <v>4.3458071775663472</v>
          </cell>
          <cell r="CO101">
            <v>4.492907124404768</v>
          </cell>
          <cell r="CP101">
            <v>4.8906306994104458</v>
          </cell>
          <cell r="CQ101">
            <v>4.9516129032258061</v>
          </cell>
          <cell r="CR101">
            <v>4.9217391304347835</v>
          </cell>
          <cell r="CT101">
            <v>5.7398163214650104</v>
          </cell>
          <cell r="CU101">
            <v>6.421580056969832</v>
          </cell>
          <cell r="CV101">
            <v>6.4956103835992662</v>
          </cell>
          <cell r="CW101">
            <v>6.4052694293658163</v>
          </cell>
          <cell r="CY101">
            <v>5.600584711090578</v>
          </cell>
          <cell r="CZ101">
            <v>5.0866505515717622</v>
          </cell>
          <cell r="DA101">
            <v>5.0637241832726003</v>
          </cell>
          <cell r="DB101">
            <v>4.6443660963531075</v>
          </cell>
          <cell r="DD101">
            <v>4.5930721236220222</v>
          </cell>
          <cell r="DE101">
            <v>4.4481127808014653</v>
          </cell>
          <cell r="DF101">
            <v>4.2466484393263322</v>
          </cell>
          <cell r="DG101">
            <v>4.2932728375695843</v>
          </cell>
          <cell r="DI101">
            <v>4.1706792819056231</v>
          </cell>
          <cell r="DJ101">
            <v>4.600879896641703</v>
          </cell>
          <cell r="DK101">
            <v>4.9863658520547531</v>
          </cell>
          <cell r="DL101">
            <v>4.394442136195547</v>
          </cell>
          <cell r="DN101">
            <v>3.9535484816745869</v>
          </cell>
          <cell r="DO101">
            <v>3.182237578884898</v>
          </cell>
          <cell r="DP101">
            <v>3.3951831994947184</v>
          </cell>
          <cell r="DQ101">
            <v>2.8159754876679948</v>
          </cell>
          <cell r="DS101">
            <v>1.6436379027107924</v>
          </cell>
          <cell r="DT101">
            <v>2.1647523972396643</v>
          </cell>
          <cell r="DU101">
            <v>2.5297456000191079</v>
          </cell>
          <cell r="DV101">
            <v>1.6326177087265679</v>
          </cell>
          <cell r="DX101">
            <v>1.5652093861061245</v>
          </cell>
          <cell r="DY101">
            <v>2.0989129497762429</v>
          </cell>
          <cell r="DZ101">
            <v>2.8377947491826361</v>
          </cell>
          <cell r="EA101">
            <v>2.2399999999999998</v>
          </cell>
          <cell r="EC101">
            <v>2.4999999999999996</v>
          </cell>
          <cell r="ED101">
            <v>2.9</v>
          </cell>
          <cell r="EE101">
            <v>3.7000000000000011</v>
          </cell>
          <cell r="EF101">
            <v>3.0999999999999996</v>
          </cell>
          <cell r="EH101">
            <v>3.1999999999999993</v>
          </cell>
          <cell r="EI101">
            <v>3.5000000000000009</v>
          </cell>
          <cell r="EJ101">
            <v>4.200000000000002</v>
          </cell>
          <cell r="EK101">
            <v>3.600000000000001</v>
          </cell>
          <cell r="EM101">
            <v>3.8707221439719843</v>
          </cell>
          <cell r="EN101">
            <v>4.6177954892032327</v>
          </cell>
          <cell r="EO101">
            <v>5.1975367293636374</v>
          </cell>
          <cell r="EP101">
            <v>4.3321748524720487</v>
          </cell>
          <cell r="EQ101">
            <v>3.7487720307103607</v>
          </cell>
          <cell r="ER101">
            <v>4.5756889755176582</v>
          </cell>
          <cell r="ES101">
            <v>4.4668261440890333</v>
          </cell>
          <cell r="ET101">
            <v>4.9595129879172157</v>
          </cell>
          <cell r="EU101">
            <v>4.7916411958883156</v>
          </cell>
          <cell r="EW101">
            <v>4.431771818864088</v>
          </cell>
          <cell r="EX101">
            <v>4.3998308679664122</v>
          </cell>
          <cell r="EZ101">
            <v>5.3253614135284728</v>
          </cell>
          <cell r="FA101">
            <v>4.4143469045697703</v>
          </cell>
          <cell r="FB101">
            <v>4.2607889728858872</v>
          </cell>
          <cell r="FC101">
            <v>4.3945749791331608</v>
          </cell>
          <cell r="FD101">
            <v>3.8778619857526704</v>
          </cell>
          <cell r="FF101">
            <v>4.9761900910882355</v>
          </cell>
          <cell r="FH101">
            <v>7.1204863027964294</v>
          </cell>
          <cell r="FI101">
            <v>6.1665976945188818</v>
          </cell>
          <cell r="FJ101">
            <v>6.0819968298954183</v>
          </cell>
          <cell r="FK101">
            <v>5.0066015477901411</v>
          </cell>
          <cell r="FL101">
            <v>4.6004737152499153</v>
          </cell>
          <cell r="FN101">
            <v>7.1204863027964294</v>
          </cell>
          <cell r="FO101">
            <v>6.3708844234789144</v>
          </cell>
          <cell r="FP101">
            <v>6.3875260480476923</v>
          </cell>
          <cell r="FQ101">
            <v>5.1981876700523957</v>
          </cell>
          <cell r="FR101">
            <v>4.4581654528115431</v>
          </cell>
          <cell r="FT101">
            <v>6.3708844234789144</v>
          </cell>
          <cell r="FU101">
            <v>6.2920735505984222</v>
          </cell>
          <cell r="FV101">
            <v>5.0608608712943166</v>
          </cell>
          <cell r="FW101">
            <v>4.3673325456860779</v>
          </cell>
          <cell r="FX101">
            <v>4.5558027495150855</v>
          </cell>
          <cell r="FY101">
            <v>3.3293004768080294</v>
          </cell>
          <cell r="FZ101">
            <v>2.0263330612341304</v>
          </cell>
          <cell r="GA101">
            <v>2.2324277084233959</v>
          </cell>
          <cell r="GB101">
            <v>3.0815564576506205</v>
          </cell>
          <cell r="GC101">
            <v>3.6523160065971045</v>
          </cell>
          <cell r="GE101">
            <v>5.481428441656286</v>
          </cell>
          <cell r="GF101">
            <v>4.4496588633401624</v>
          </cell>
          <cell r="GG101">
            <v>4.5484477360532543</v>
          </cell>
          <cell r="GH101">
            <v>3.7169342169988782</v>
          </cell>
          <cell r="GI101">
            <v>2.3059786489362009</v>
          </cell>
          <cell r="GJ101">
            <v>2.0977109540069567</v>
          </cell>
          <cell r="GL101">
            <v>2.0263330612341304</v>
          </cell>
          <cell r="GM101">
            <v>2.2324277084233959</v>
          </cell>
          <cell r="GN101">
            <v>3.0815564576506205</v>
          </cell>
          <cell r="GO101">
            <v>3.6523160065971045</v>
          </cell>
          <cell r="GP101">
            <v>4.6999999999999993</v>
          </cell>
          <cell r="GQ101">
            <v>4.1000000000000005</v>
          </cell>
          <cell r="GR101">
            <v>2</v>
          </cell>
          <cell r="GS101">
            <v>4.1000000000000005</v>
          </cell>
          <cell r="GT101">
            <v>4.8</v>
          </cell>
          <cell r="GU101">
            <v>4.9999999999999991</v>
          </cell>
          <cell r="GV101">
            <v>4.4999999999999982</v>
          </cell>
          <cell r="GW101">
            <v>1.1000000000000008</v>
          </cell>
          <cell r="GX101">
            <v>2.9999999999999996</v>
          </cell>
          <cell r="GY101">
            <v>3.9999999999999996</v>
          </cell>
          <cell r="GZ101">
            <v>3.9999999999999996</v>
          </cell>
          <cell r="HA101">
            <v>4</v>
          </cell>
          <cell r="HB101">
            <v>4.0000000000000009</v>
          </cell>
          <cell r="HC101">
            <v>4.0000000000000009</v>
          </cell>
          <cell r="HD101">
            <v>3.9000000000000008</v>
          </cell>
          <cell r="HE101">
            <v>3.7000000000000006</v>
          </cell>
          <cell r="HF101">
            <v>3.5000000000000004</v>
          </cell>
          <cell r="HG101">
            <v>3.2999999999999994</v>
          </cell>
          <cell r="HH101">
            <v>3.0999999999999992</v>
          </cell>
          <cell r="HI101">
            <v>2.9999999999999996</v>
          </cell>
        </row>
        <row r="102">
          <cell r="D102">
            <v>1.5398550724637659</v>
          </cell>
          <cell r="E102">
            <v>3.0257186081694392</v>
          </cell>
          <cell r="F102">
            <v>5.1809815950920255</v>
          </cell>
          <cell r="G102">
            <v>3.0571621723127862</v>
          </cell>
          <cell r="I102">
            <v>4.9527794615098824</v>
          </cell>
          <cell r="J102">
            <v>5.6395161000825595</v>
          </cell>
          <cell r="K102">
            <v>2.1838290427393234</v>
          </cell>
          <cell r="L102">
            <v>4.7118608392344434</v>
          </cell>
          <cell r="N102">
            <v>4.0074871532541207</v>
          </cell>
          <cell r="O102">
            <v>4.8971531063959652</v>
          </cell>
          <cell r="P102">
            <v>4.9819445287370323</v>
          </cell>
          <cell r="Q102">
            <v>5.6443465048010744</v>
          </cell>
          <cell r="S102">
            <v>4.1700604879090966</v>
          </cell>
          <cell r="T102">
            <v>5.6169740426264871</v>
          </cell>
          <cell r="U102">
            <v>1.5826552887477585</v>
          </cell>
          <cell r="V102">
            <v>4.8409011729183522</v>
          </cell>
          <cell r="X102">
            <v>4.1248667994073376</v>
          </cell>
          <cell r="Y102">
            <v>4.7190895064183076</v>
          </cell>
          <cell r="Z102">
            <v>4.7742372881355912</v>
          </cell>
          <cell r="AA102">
            <v>4.7955343172495404</v>
          </cell>
          <cell r="AC102">
            <v>4.7386320427356976</v>
          </cell>
          <cell r="AD102">
            <v>4.6034027823751398</v>
          </cell>
          <cell r="AE102">
            <v>4.9121824364872966</v>
          </cell>
          <cell r="AF102">
            <v>4.1568704540986845</v>
          </cell>
          <cell r="AH102">
            <v>4.4222348055870029</v>
          </cell>
          <cell r="AJ102">
            <v>4.5590700624757678</v>
          </cell>
          <cell r="AK102">
            <v>4.2748928091333704</v>
          </cell>
          <cell r="AL102">
            <v>4.4221607698205503</v>
          </cell>
          <cell r="AM102">
            <v>3.7546064665375516</v>
          </cell>
          <cell r="AO102">
            <v>4.56794253112857</v>
          </cell>
          <cell r="AP102">
            <v>4.3229063590185426</v>
          </cell>
          <cell r="AQ102">
            <v>4.3052100542463387</v>
          </cell>
          <cell r="AR102">
            <v>3.8673655527726365</v>
          </cell>
          <cell r="AT102">
            <v>3.6473898147864476</v>
          </cell>
          <cell r="AU102">
            <v>4.3771236833163485</v>
          </cell>
          <cell r="AV102">
            <v>3.8856545717319344</v>
          </cell>
          <cell r="AW102">
            <v>3.177554125694722</v>
          </cell>
          <cell r="AY102">
            <v>4.9435924039141392</v>
          </cell>
          <cell r="AZ102">
            <v>4.5165631380295244</v>
          </cell>
          <cell r="BA102">
            <v>4.7773423583897436</v>
          </cell>
          <cell r="BB102">
            <v>4.5849054181638573</v>
          </cell>
          <cell r="BD102">
            <v>4.9772627169813584</v>
          </cell>
          <cell r="BE102">
            <v>4.6625023442346247</v>
          </cell>
          <cell r="BF102">
            <v>4.6731040428468322</v>
          </cell>
          <cell r="BG102">
            <v>4.6390346085529162</v>
          </cell>
          <cell r="BI102">
            <v>4.0343874229064074</v>
          </cell>
          <cell r="BJ102">
            <v>3.7562297604556614</v>
          </cell>
          <cell r="BK102">
            <v>3.7924082313681926</v>
          </cell>
          <cell r="BL102">
            <v>3.914495622764258</v>
          </cell>
          <cell r="BN102">
            <v>4.7978350621149817</v>
          </cell>
          <cell r="BO102">
            <v>4.610840505210887</v>
          </cell>
          <cell r="BP102">
            <v>4.4253858681498954</v>
          </cell>
          <cell r="BQ102">
            <v>3.914495622764258</v>
          </cell>
          <cell r="BS102">
            <v>4.3786538013126703</v>
          </cell>
          <cell r="BT102">
            <v>4.9761774052005112</v>
          </cell>
          <cell r="BU102">
            <v>4.4577992724201883</v>
          </cell>
          <cell r="BV102">
            <v>3.914495622764258</v>
          </cell>
          <cell r="BX102">
            <v>4.0332812420703688</v>
          </cell>
          <cell r="BZ102">
            <v>5.4158740345167331</v>
          </cell>
          <cell r="CA102">
            <v>6.1462093369957662</v>
          </cell>
          <cell r="CB102">
            <v>6.2443265889707273</v>
          </cell>
          <cell r="CC102">
            <v>5.8615158304609549</v>
          </cell>
          <cell r="CE102">
            <v>4.9360841904988435</v>
          </cell>
          <cell r="CF102">
            <v>4.4401504890895431</v>
          </cell>
          <cell r="CG102">
            <v>4.5029114837039401</v>
          </cell>
          <cell r="CH102">
            <v>3.8380958449317237</v>
          </cell>
          <cell r="CJ102">
            <v>3.8902472843670473</v>
          </cell>
          <cell r="CK102">
            <v>3.9463244679016194</v>
          </cell>
          <cell r="CL102">
            <v>3.7113761027135026</v>
          </cell>
          <cell r="CM102">
            <v>3.7988481828726446</v>
          </cell>
          <cell r="CO102">
            <v>4.1217659822406789</v>
          </cell>
          <cell r="CP102">
            <v>4.4663188700852565</v>
          </cell>
          <cell r="CQ102">
            <v>4.5483870967741939</v>
          </cell>
          <cell r="CR102">
            <v>4.5335403726708083</v>
          </cell>
          <cell r="CT102">
            <v>5.4171378140599522</v>
          </cell>
          <cell r="CU102">
            <v>6.0711845780335079</v>
          </cell>
          <cell r="CV102">
            <v>6.1657504726238734</v>
          </cell>
          <cell r="CW102">
            <v>5.8243082218985842</v>
          </cell>
          <cell r="CY102">
            <v>4.8320800692320729</v>
          </cell>
          <cell r="CZ102">
            <v>4.3897037018393679</v>
          </cell>
          <cell r="DA102">
            <v>4.4146806910516618</v>
          </cell>
          <cell r="DB102">
            <v>3.8166203433335579</v>
          </cell>
          <cell r="DD102">
            <v>3.8047554391749916</v>
          </cell>
          <cell r="DE102">
            <v>3.8720543135221366</v>
          </cell>
          <cell r="DF102">
            <v>3.7010987223921847</v>
          </cell>
          <cell r="DG102">
            <v>3.7525979317053482</v>
          </cell>
          <cell r="DI102">
            <v>3.8206572047393901</v>
          </cell>
          <cell r="DJ102">
            <v>4.1947412762203848</v>
          </cell>
          <cell r="DK102">
            <v>4.5189490422755831</v>
          </cell>
          <cell r="DL102">
            <v>3.5427625051614648</v>
          </cell>
          <cell r="DN102">
            <v>3.8810222343099325</v>
          </cell>
          <cell r="DO102">
            <v>3.0650697490660859</v>
          </cell>
          <cell r="DP102">
            <v>3.3067683278410822</v>
          </cell>
          <cell r="DQ102">
            <v>2.7096744835118196</v>
          </cell>
          <cell r="DS102">
            <v>1.5317105032991469</v>
          </cell>
          <cell r="DT102">
            <v>1.9871502625416315</v>
          </cell>
          <cell r="DU102">
            <v>2.3701451956046133</v>
          </cell>
          <cell r="DV102">
            <v>1.4093179912830749</v>
          </cell>
          <cell r="DX102">
            <v>1.2814013172273837</v>
          </cell>
          <cell r="DY102">
            <v>1.8541967697350126</v>
          </cell>
          <cell r="DZ102">
            <v>2.8377947491826361</v>
          </cell>
          <cell r="EA102">
            <v>2.0004964823480438</v>
          </cell>
          <cell r="EC102">
            <v>2.3875203956787461</v>
          </cell>
          <cell r="ED102">
            <v>2.795504683334602</v>
          </cell>
          <cell r="EE102">
            <v>3.608113086579587</v>
          </cell>
          <cell r="EF102">
            <v>2.9959771412727267</v>
          </cell>
          <cell r="EH102">
            <v>3.1575183903231059</v>
          </cell>
          <cell r="EI102">
            <v>3.4605721921397756</v>
          </cell>
          <cell r="EJ102">
            <v>4.1654302001967718</v>
          </cell>
          <cell r="EK102">
            <v>3.560733937328739</v>
          </cell>
          <cell r="EM102">
            <v>3.5517149491796443</v>
          </cell>
          <cell r="EN102">
            <v>4.2997480896093228</v>
          </cell>
          <cell r="EO102">
            <v>4.9608896680472903</v>
          </cell>
          <cell r="EP102">
            <v>3.795060998603708</v>
          </cell>
          <cell r="EQ102">
            <v>3.4879462192237565</v>
          </cell>
          <cell r="ER102">
            <v>4.3491333723745491</v>
          </cell>
          <cell r="ES102">
            <v>4.0530806694301615</v>
          </cell>
          <cell r="ET102">
            <v>4.6306935843381165</v>
          </cell>
          <cell r="EU102">
            <v>4.5912679994268775</v>
          </cell>
          <cell r="EW102">
            <v>4.1242652330350804</v>
          </cell>
          <cell r="EX102">
            <v>4.2205195916166103</v>
          </cell>
          <cell r="EZ102">
            <v>5.1711583080492662</v>
          </cell>
          <cell r="FA102">
            <v>4.1204783483944301</v>
          </cell>
          <cell r="FB102">
            <v>3.9865634746309588</v>
          </cell>
          <cell r="FC102">
            <v>4.2305060701914048</v>
          </cell>
          <cell r="FD102">
            <v>3.7204044490228321</v>
          </cell>
          <cell r="FF102">
            <v>4.6963411050816948</v>
          </cell>
          <cell r="FH102">
            <v>6.8280449478568652</v>
          </cell>
          <cell r="FI102">
            <v>5.7500477231527736</v>
          </cell>
          <cell r="FJ102">
            <v>5.6973798736044499</v>
          </cell>
          <cell r="FK102">
            <v>4.7248637806349549</v>
          </cell>
          <cell r="FL102">
            <v>4.3777630848810922</v>
          </cell>
          <cell r="FN102">
            <v>6.8280449478568652</v>
          </cell>
          <cell r="FO102">
            <v>5.9718406868437759</v>
          </cell>
          <cell r="FP102">
            <v>5.9359188958857532</v>
          </cell>
          <cell r="FQ102">
            <v>4.3848096152467386</v>
          </cell>
          <cell r="FR102">
            <v>3.8219132820439725</v>
          </cell>
          <cell r="FT102">
            <v>5.9718406868437759</v>
          </cell>
          <cell r="FU102">
            <v>5.8852736657297333</v>
          </cell>
          <cell r="FV102">
            <v>4.3232545349027189</v>
          </cell>
          <cell r="FW102">
            <v>3.7734932653860631</v>
          </cell>
          <cell r="FX102">
            <v>4.0310911113480259</v>
          </cell>
          <cell r="FY102">
            <v>3.233038442622989</v>
          </cell>
          <cell r="FZ102">
            <v>1.8588130355574934</v>
          </cell>
          <cell r="GA102">
            <v>2.0515213497499958</v>
          </cell>
          <cell r="GB102">
            <v>2.9788778863343506</v>
          </cell>
          <cell r="GC102">
            <v>3.6135925917822798</v>
          </cell>
          <cell r="GE102">
            <v>4.806311255881079</v>
          </cell>
          <cell r="GF102">
            <v>3.7898577097123103</v>
          </cell>
          <cell r="GG102">
            <v>4.1112936867831262</v>
          </cell>
          <cell r="GH102">
            <v>3.4411775789641323</v>
          </cell>
          <cell r="GI102">
            <v>2.1658141855779269</v>
          </cell>
          <cell r="GJ102">
            <v>1.9224664060354439</v>
          </cell>
          <cell r="GL102">
            <v>1.8588130355574934</v>
          </cell>
          <cell r="GM102">
            <v>2.0515213497499958</v>
          </cell>
          <cell r="GN102">
            <v>2.9788778863343506</v>
          </cell>
          <cell r="GO102">
            <v>3.6135925917822798</v>
          </cell>
          <cell r="GP102">
            <v>4.6807983067033918</v>
          </cell>
          <cell r="GQ102">
            <v>4.0854118189579438</v>
          </cell>
          <cell r="GR102">
            <v>1.9905176823226629</v>
          </cell>
          <cell r="GS102">
            <v>4.0912200762246886</v>
          </cell>
          <cell r="GT102">
            <v>4.7924957916450319</v>
          </cell>
          <cell r="GU102">
            <v>4.9940442790833579</v>
          </cell>
          <cell r="GV102">
            <v>4.4963831654352369</v>
          </cell>
          <cell r="GW102">
            <v>1.1000000000000008</v>
          </cell>
          <cell r="GX102">
            <v>2.9999999999999996</v>
          </cell>
          <cell r="GY102">
            <v>3.9999999999999996</v>
          </cell>
          <cell r="GZ102">
            <v>3.9999999999999996</v>
          </cell>
          <cell r="HA102">
            <v>4</v>
          </cell>
          <cell r="HB102">
            <v>4.0000000000000009</v>
          </cell>
          <cell r="HC102">
            <v>4.0000000000000009</v>
          </cell>
          <cell r="HD102">
            <v>3.9000000000000008</v>
          </cell>
          <cell r="HE102">
            <v>3.7000000000000006</v>
          </cell>
          <cell r="HF102">
            <v>3.5000000000000004</v>
          </cell>
          <cell r="HG102">
            <v>3.2999999999999994</v>
          </cell>
          <cell r="HH102">
            <v>3.0999999999999992</v>
          </cell>
          <cell r="HI102">
            <v>2.9999999999999996</v>
          </cell>
        </row>
        <row r="103">
          <cell r="D103">
            <v>0.73698945981554442</v>
          </cell>
          <cell r="E103">
            <v>1.4495303099602423</v>
          </cell>
          <cell r="F103">
            <v>4.773006134969326</v>
          </cell>
          <cell r="G103">
            <v>2.8443376148626749</v>
          </cell>
          <cell r="I103">
            <v>4.4326691824883149</v>
          </cell>
          <cell r="J103">
            <v>4.3041246365365922</v>
          </cell>
          <cell r="K103">
            <v>1.3574731317170792</v>
          </cell>
          <cell r="L103">
            <v>4.3615533805421576</v>
          </cell>
          <cell r="N103">
            <v>3.4494384635059405</v>
          </cell>
          <cell r="O103">
            <v>4.6214318424667953</v>
          </cell>
          <cell r="P103">
            <v>4.7133883595314741</v>
          </cell>
          <cell r="Q103">
            <v>5.0675810057199229</v>
          </cell>
          <cell r="S103">
            <v>3.9457344674259947</v>
          </cell>
          <cell r="T103">
            <v>4.3889587067882161</v>
          </cell>
          <cell r="U103">
            <v>1.4753671363365657</v>
          </cell>
          <cell r="V103">
            <v>4.3816049239344936</v>
          </cell>
          <cell r="X103">
            <v>3.0961973618853142</v>
          </cell>
          <cell r="Y103">
            <v>2.9960074442871414</v>
          </cell>
          <cell r="Z103">
            <v>3.6928813559322009</v>
          </cell>
          <cell r="AA103">
            <v>3.7730548725600901</v>
          </cell>
          <cell r="AC103">
            <v>3.521866416364642</v>
          </cell>
          <cell r="AD103">
            <v>3.4559804042104485</v>
          </cell>
          <cell r="AE103">
            <v>3.5243048609721939</v>
          </cell>
          <cell r="AF103">
            <v>3.7703951248279943</v>
          </cell>
          <cell r="AH103">
            <v>3.7702906757266779</v>
          </cell>
          <cell r="AJ103">
            <v>3.3505842315379271</v>
          </cell>
          <cell r="AK103">
            <v>3.1364079432732632</v>
          </cell>
          <cell r="AL103">
            <v>3.0797991023354756</v>
          </cell>
          <cell r="AM103">
            <v>3.2705912416612866</v>
          </cell>
          <cell r="AO103">
            <v>3.4636176289645983</v>
          </cell>
          <cell r="AP103">
            <v>3.2967011645459641</v>
          </cell>
          <cell r="AQ103">
            <v>3.0800782362659231</v>
          </cell>
          <cell r="AR103">
            <v>3.4347892785484411</v>
          </cell>
          <cell r="AT103">
            <v>3.1323972749587536</v>
          </cell>
          <cell r="AU103">
            <v>3.5865825688073434</v>
          </cell>
          <cell r="AV103">
            <v>3.4150873904772858</v>
          </cell>
          <cell r="AW103">
            <v>2.9370966262426483</v>
          </cell>
          <cell r="AY103">
            <v>3.6110983704823783</v>
          </cell>
          <cell r="AZ103">
            <v>3.1416681827764212</v>
          </cell>
          <cell r="BA103">
            <v>3.26136190136903</v>
          </cell>
          <cell r="BB103">
            <v>3.4389999964989038</v>
          </cell>
          <cell r="BD103">
            <v>3.8789017265167236</v>
          </cell>
          <cell r="BE103">
            <v>3.4602870261203464</v>
          </cell>
          <cell r="BF103">
            <v>3.2065595882180511</v>
          </cell>
          <cell r="BG103">
            <v>3.6404965828871441</v>
          </cell>
          <cell r="BI103">
            <v>3.4470855759320753</v>
          </cell>
          <cell r="BJ103">
            <v>3.0313956960106556</v>
          </cell>
          <cell r="BK103">
            <v>3.3069433516915865</v>
          </cell>
          <cell r="BL103">
            <v>3.5295203097938792</v>
          </cell>
          <cell r="BN103">
            <v>3.6720300835966078</v>
          </cell>
          <cell r="BO103">
            <v>3.5551876629214747</v>
          </cell>
          <cell r="BP103">
            <v>3.4473867984053532</v>
          </cell>
          <cell r="BQ103">
            <v>3.5295203097938792</v>
          </cell>
          <cell r="BS103">
            <v>3.3836382894850976</v>
          </cell>
          <cell r="BT103">
            <v>3.9811983827082953</v>
          </cell>
          <cell r="BU103">
            <v>3.5626027392245114</v>
          </cell>
          <cell r="BV103">
            <v>3.5295203097938792</v>
          </cell>
          <cell r="BX103">
            <v>3.5895284311546538</v>
          </cell>
          <cell r="BZ103">
            <v>4.5918144105212839</v>
          </cell>
          <cell r="CA103">
            <v>5.1321257529174806</v>
          </cell>
          <cell r="CB103">
            <v>5.7570366922143403</v>
          </cell>
          <cell r="CC103">
            <v>4.7860945936759078</v>
          </cell>
          <cell r="CE103">
            <v>3.5035773034465021</v>
          </cell>
          <cell r="CF103">
            <v>2.8997441685477821</v>
          </cell>
          <cell r="CG103">
            <v>2.7505219096287306</v>
          </cell>
          <cell r="CH103">
            <v>2.5086756106212889</v>
          </cell>
          <cell r="CJ103">
            <v>2.5763395098538493</v>
          </cell>
          <cell r="CK103">
            <v>2.5582979750940029</v>
          </cell>
          <cell r="CL103">
            <v>2.423490469778538</v>
          </cell>
          <cell r="CM103">
            <v>3.1776125902205363</v>
          </cell>
          <cell r="CO103">
            <v>3.3915645995517787</v>
          </cell>
          <cell r="CP103">
            <v>3.6578360266361321</v>
          </cell>
          <cell r="CQ103">
            <v>3.7580645161290325</v>
          </cell>
          <cell r="CR103">
            <v>3.7571428571428576</v>
          </cell>
          <cell r="CT103">
            <v>4.6169686606543614</v>
          </cell>
          <cell r="CU103">
            <v>5.0980993205686493</v>
          </cell>
          <cell r="CV103">
            <v>5.6656257419969425</v>
          </cell>
          <cell r="CW103">
            <v>4.787369257248776</v>
          </cell>
          <cell r="CY103">
            <v>3.5993300582211245</v>
          </cell>
          <cell r="CZ103">
            <v>3.0427546088332398</v>
          </cell>
          <cell r="DA103">
            <v>2.8782670768101646</v>
          </cell>
          <cell r="DB103">
            <v>2.6459401930047242</v>
          </cell>
          <cell r="DD103">
            <v>2.6393333979892022</v>
          </cell>
          <cell r="DE103">
            <v>2.6109799221957268</v>
          </cell>
          <cell r="DF103">
            <v>2.5135942756664993</v>
          </cell>
          <cell r="DG103">
            <v>3.1742776942211877</v>
          </cell>
          <cell r="DI103">
            <v>3.1395897009085725</v>
          </cell>
          <cell r="DJ103">
            <v>3.4685634742211624</v>
          </cell>
          <cell r="DK103">
            <v>3.8369483711414807</v>
          </cell>
          <cell r="DL103">
            <v>2.6802301798657608</v>
          </cell>
          <cell r="DN103">
            <v>3.1619965035661974</v>
          </cell>
          <cell r="DO103">
            <v>2.3814161097445372</v>
          </cell>
          <cell r="DP103">
            <v>2.6480442300246372</v>
          </cell>
          <cell r="DQ103">
            <v>1.9646876801262054</v>
          </cell>
          <cell r="DS103">
            <v>0.9241366000357597</v>
          </cell>
          <cell r="DT103">
            <v>1.1532913270708061</v>
          </cell>
          <cell r="DU103">
            <v>1.7495808120173613</v>
          </cell>
          <cell r="DV103">
            <v>0.6894770988686304</v>
          </cell>
          <cell r="DX103">
            <v>0.44735902702470082</v>
          </cell>
          <cell r="DY103">
            <v>1.2632298882007078</v>
          </cell>
          <cell r="DZ103">
            <v>2.5138090678421694</v>
          </cell>
          <cell r="EA103">
            <v>1.6347252925404783</v>
          </cell>
          <cell r="EC103">
            <v>2.0493616153959686</v>
          </cell>
          <cell r="ED103">
            <v>2.4644669587519044</v>
          </cell>
          <cell r="EE103">
            <v>3.3310847232733942</v>
          </cell>
          <cell r="EF103">
            <v>2.6842343461691685</v>
          </cell>
          <cell r="EH103">
            <v>2.8670976685315881</v>
          </cell>
          <cell r="EI103">
            <v>3.1785279541745779</v>
          </cell>
          <cell r="EJ103">
            <v>3.9272917009025883</v>
          </cell>
          <cell r="EK103">
            <v>3.2796213944948089</v>
          </cell>
          <cell r="EM103">
            <v>2.4507975179869841</v>
          </cell>
          <cell r="EN103">
            <v>3.5532845239399062</v>
          </cell>
          <cell r="EO103">
            <v>4.5487089241145782</v>
          </cell>
          <cell r="EP103">
            <v>3.492361160655137</v>
          </cell>
          <cell r="EQ103">
            <v>2.8670301798055142</v>
          </cell>
          <cell r="ER103">
            <v>3.4883619295684758</v>
          </cell>
          <cell r="ES103">
            <v>3.54917993084449</v>
          </cell>
          <cell r="ET103">
            <v>3.4330183195531467</v>
          </cell>
          <cell r="EU103">
            <v>3.5770654012138614</v>
          </cell>
          <cell r="EW103">
            <v>3.0937865704494727</v>
          </cell>
          <cell r="EX103">
            <v>3.201029278046994</v>
          </cell>
          <cell r="EZ103">
            <v>4.5814742102445178</v>
          </cell>
          <cell r="FA103">
            <v>3.2614864804944985</v>
          </cell>
          <cell r="FB103">
            <v>3.0722538895402014</v>
          </cell>
          <cell r="FC103">
            <v>3.308066243717561</v>
          </cell>
          <cell r="FD103">
            <v>3.2490998197666086</v>
          </cell>
          <cell r="FF103">
            <v>3.3592324219118561</v>
          </cell>
          <cell r="FH103">
            <v>6.3566700553834554</v>
          </cell>
          <cell r="FI103">
            <v>4.9662733164177482</v>
          </cell>
          <cell r="FJ103">
            <v>4.8556812387653547</v>
          </cell>
          <cell r="FK103">
            <v>3.5333881541027274</v>
          </cell>
          <cell r="FL103">
            <v>3.6128497221561577</v>
          </cell>
          <cell r="FN103">
            <v>6.3566700553834554</v>
          </cell>
          <cell r="FO103">
            <v>5.4113507553733147</v>
          </cell>
          <cell r="FP103">
            <v>5.0792993220509768</v>
          </cell>
          <cell r="FQ103">
            <v>2.8731583847041637</v>
          </cell>
          <cell r="FR103">
            <v>2.7244327034649265</v>
          </cell>
          <cell r="FT103">
            <v>5.4113507553733147</v>
          </cell>
          <cell r="FU103">
            <v>5.0520457142679769</v>
          </cell>
          <cell r="FV103">
            <v>3.0018068268810856</v>
          </cell>
          <cell r="FW103">
            <v>2.7688837758556311</v>
          </cell>
          <cell r="FX103">
            <v>3.2916342511898997</v>
          </cell>
          <cell r="FY103">
            <v>2.5321302677519197</v>
          </cell>
          <cell r="FZ103">
            <v>1.1653225848043969</v>
          </cell>
          <cell r="GA103">
            <v>1.5410967467566608</v>
          </cell>
          <cell r="GB103">
            <v>2.666064540923776</v>
          </cell>
          <cell r="GC103">
            <v>3.3421644673233852</v>
          </cell>
          <cell r="GE103">
            <v>3.4964348581522642</v>
          </cell>
          <cell r="GF103">
            <v>2.5912175307373166</v>
          </cell>
          <cell r="GG103">
            <v>3.4379841483768541</v>
          </cell>
          <cell r="GH103">
            <v>2.7125613122475083</v>
          </cell>
          <cell r="GI103">
            <v>1.4657777416423168</v>
          </cell>
          <cell r="GJ103">
            <v>1.3285435182669083</v>
          </cell>
          <cell r="GL103">
            <v>1.1653225848043969</v>
          </cell>
          <cell r="GM103">
            <v>1.5410967467566608</v>
          </cell>
          <cell r="GN103">
            <v>2.666064540923776</v>
          </cell>
          <cell r="GO103">
            <v>3.3421644673233852</v>
          </cell>
          <cell r="GP103">
            <v>4.4168231190766765</v>
          </cell>
          <cell r="GQ103">
            <v>3.8237750074371495</v>
          </cell>
          <cell r="GR103">
            <v>1.7024029005392929</v>
          </cell>
          <cell r="GS103">
            <v>3.691782190921288</v>
          </cell>
          <cell r="GT103">
            <v>4.4951924967893557</v>
          </cell>
          <cell r="GU103">
            <v>4.7772801451460172</v>
          </cell>
          <cell r="GV103">
            <v>4.3031967834733669</v>
          </cell>
          <cell r="GW103">
            <v>0.85252601485558011</v>
          </cell>
          <cell r="GX103">
            <v>2.7518980544789606</v>
          </cell>
          <cell r="GY103">
            <v>3.8724409985696586</v>
          </cell>
          <cell r="GZ103">
            <v>3.9211128512472473</v>
          </cell>
          <cell r="HA103">
            <v>3.9654207179159089</v>
          </cell>
          <cell r="HB103">
            <v>4.0058536721438349</v>
          </cell>
          <cell r="HC103">
            <v>4.0476674282461227</v>
          </cell>
          <cell r="HD103">
            <v>3.9897766481633039</v>
          </cell>
          <cell r="HE103">
            <v>3.8356951957648899</v>
          </cell>
          <cell r="HF103">
            <v>3.6768923016689423</v>
          </cell>
          <cell r="HG103">
            <v>3.5139728065914797</v>
          </cell>
          <cell r="HH103">
            <v>3.3469204038149458</v>
          </cell>
          <cell r="HI103">
            <v>3.2765225747686504</v>
          </cell>
        </row>
        <row r="104">
          <cell r="D104">
            <v>9.4972067039106456</v>
          </cell>
          <cell r="E104">
            <v>16.990291262135941</v>
          </cell>
          <cell r="F104">
            <v>17.99485861182519</v>
          </cell>
          <cell r="G104">
            <v>25.440140845070335</v>
          </cell>
          <cell r="I104">
            <v>19.144243493603891</v>
          </cell>
          <cell r="J104">
            <v>15.888240200166825</v>
          </cell>
          <cell r="K104">
            <v>50.05753739930924</v>
          </cell>
          <cell r="L104">
            <v>7.3422957600827159</v>
          </cell>
          <cell r="N104">
            <v>9.5045500505561176</v>
          </cell>
          <cell r="O104">
            <v>18.703550784475656</v>
          </cell>
          <cell r="P104">
            <v>19.491389023016232</v>
          </cell>
          <cell r="Q104">
            <v>21.852433281004711</v>
          </cell>
          <cell r="S104">
            <v>12.910321489001683</v>
          </cell>
          <cell r="T104">
            <v>14.316860465116271</v>
          </cell>
          <cell r="U104">
            <v>11.811685582177461</v>
          </cell>
          <cell r="V104" t="str">
            <v>NM</v>
          </cell>
          <cell r="X104">
            <v>10.242698477992594</v>
          </cell>
          <cell r="Y104">
            <v>12.105123440403522</v>
          </cell>
          <cell r="Z104">
            <v>10.987699651184146</v>
          </cell>
          <cell r="AA104">
            <v>12.448963253542566</v>
          </cell>
          <cell r="AC104">
            <v>11.98942997357495</v>
          </cell>
          <cell r="AD104">
            <v>11.999726346035434</v>
          </cell>
          <cell r="AE104">
            <v>12.067203995913273</v>
          </cell>
          <cell r="AF104">
            <v>12.002085505735137</v>
          </cell>
          <cell r="AH104">
            <v>12.065081351689651</v>
          </cell>
          <cell r="AJ104">
            <v>11.839831718127879</v>
          </cell>
          <cell r="AK104">
            <v>11.686640937097946</v>
          </cell>
          <cell r="AL104">
            <v>11.630769230769243</v>
          </cell>
          <cell r="AM104">
            <v>11.570885165004626</v>
          </cell>
          <cell r="AO104">
            <v>10.643614506652296</v>
          </cell>
          <cell r="AP104">
            <v>10.158319110117104</v>
          </cell>
          <cell r="AQ104">
            <v>10.681257706535158</v>
          </cell>
          <cell r="AR104">
            <v>9.9540107897762393</v>
          </cell>
          <cell r="AT104">
            <v>12.213065139451537</v>
          </cell>
          <cell r="AU104">
            <v>9.3850845249726049</v>
          </cell>
          <cell r="AV104">
            <v>10.948392832077856</v>
          </cell>
          <cell r="AW104">
            <v>12.001430444629829</v>
          </cell>
          <cell r="AY104">
            <v>18.675543097407111</v>
          </cell>
          <cell r="AZ104">
            <v>16.876551153598648</v>
          </cell>
          <cell r="BA104">
            <v>16.568485936097979</v>
          </cell>
          <cell r="BB104">
            <v>7.8525858558436505</v>
          </cell>
          <cell r="BD104">
            <v>18.371183636637063</v>
          </cell>
          <cell r="BE104">
            <v>16.418419556566235</v>
          </cell>
          <cell r="BF104">
            <v>15.788522694420342</v>
          </cell>
          <cell r="BG104">
            <v>8.0696433258479523</v>
          </cell>
          <cell r="BI104">
            <v>12.448388780788765</v>
          </cell>
          <cell r="BJ104">
            <v>12.008485491325104</v>
          </cell>
          <cell r="BK104">
            <v>11.998461735674892</v>
          </cell>
          <cell r="BL104">
            <v>12.879036835658608</v>
          </cell>
          <cell r="BN104">
            <v>13.292725484597584</v>
          </cell>
          <cell r="BO104">
            <v>13.011152416356845</v>
          </cell>
          <cell r="BP104">
            <v>4.9609140108238092</v>
          </cell>
          <cell r="BQ104">
            <v>12.879036835658608</v>
          </cell>
          <cell r="BS104">
            <v>13.467243510506821</v>
          </cell>
          <cell r="BT104">
            <v>10.88654481037117</v>
          </cell>
          <cell r="BU104">
            <v>5.1536327201726397</v>
          </cell>
          <cell r="BV104">
            <v>12.879036835658608</v>
          </cell>
          <cell r="BX104">
            <v>12.720757614538025</v>
          </cell>
          <cell r="BZ104">
            <v>20.287684907886423</v>
          </cell>
          <cell r="CA104">
            <v>22.437398027949161</v>
          </cell>
          <cell r="CB104">
            <v>17.430980709252609</v>
          </cell>
          <cell r="CC104">
            <v>12.795793163891345</v>
          </cell>
          <cell r="CE104">
            <v>18.527736923483033</v>
          </cell>
          <cell r="CF104">
            <v>15.810014116084023</v>
          </cell>
          <cell r="CG104">
            <v>15.302983697323899</v>
          </cell>
          <cell r="CH104">
            <v>3.1881420827173108</v>
          </cell>
          <cell r="CJ104">
            <v>16.642043056141869</v>
          </cell>
          <cell r="CK104">
            <v>11.826507107140843</v>
          </cell>
          <cell r="CL104">
            <v>2.5757024643084527</v>
          </cell>
          <cell r="CM104">
            <v>14.660138248847932</v>
          </cell>
          <cell r="CO104">
            <v>16.219562043795619</v>
          </cell>
          <cell r="CP104">
            <v>13.39134145323326</v>
          </cell>
          <cell r="CQ104">
            <v>11.999999999999998</v>
          </cell>
          <cell r="CR104">
            <v>12</v>
          </cell>
          <cell r="CT104">
            <v>21.253633865636594</v>
          </cell>
          <cell r="CU104">
            <v>23.001886973486453</v>
          </cell>
          <cell r="CV104">
            <v>18.307206705392463</v>
          </cell>
          <cell r="CW104">
            <v>14.104372355430181</v>
          </cell>
          <cell r="CY104">
            <v>19.433144822568412</v>
          </cell>
          <cell r="CZ104">
            <v>17.158167302021184</v>
          </cell>
          <cell r="DA104">
            <v>15.318725099601618</v>
          </cell>
          <cell r="DB104">
            <v>4.8340548340548422</v>
          </cell>
          <cell r="DD104">
            <v>17.974706800992131</v>
          </cell>
          <cell r="DE104">
            <v>13.430587290029356</v>
          </cell>
          <cell r="DF104">
            <v>3.3602232061624324</v>
          </cell>
          <cell r="DG104">
            <v>14.416566541805109</v>
          </cell>
          <cell r="DI104">
            <v>16.580206077624108</v>
          </cell>
          <cell r="DJ104">
            <v>13.553751509873861</v>
          </cell>
          <cell r="DK104">
            <v>13.462064526510579</v>
          </cell>
          <cell r="DL104">
            <v>1.2854301938328037</v>
          </cell>
          <cell r="DN104">
            <v>10.196528970993414</v>
          </cell>
          <cell r="DO104">
            <v>10.482044645745679</v>
          </cell>
          <cell r="DP104">
            <v>10.33377807913554</v>
          </cell>
          <cell r="DQ104">
            <v>10.601896173682078</v>
          </cell>
          <cell r="DS104">
            <v>11.557892879856896</v>
          </cell>
          <cell r="DT104">
            <v>10.011161003971276</v>
          </cell>
          <cell r="DU104">
            <v>9.993321955924916</v>
          </cell>
          <cell r="DV104">
            <v>7.4377814648020806</v>
          </cell>
          <cell r="DX104">
            <v>16.347675924593268</v>
          </cell>
          <cell r="DY104">
            <v>11.935644235549264</v>
          </cell>
          <cell r="DZ104">
            <v>9.9998083960835924</v>
          </cell>
          <cell r="EA104">
            <v>10</v>
          </cell>
          <cell r="EC104">
            <v>10</v>
          </cell>
          <cell r="ED104">
            <v>10</v>
          </cell>
          <cell r="EE104">
            <v>10</v>
          </cell>
          <cell r="EF104">
            <v>10</v>
          </cell>
          <cell r="EH104">
            <v>10</v>
          </cell>
          <cell r="EI104">
            <v>10</v>
          </cell>
          <cell r="EJ104">
            <v>10</v>
          </cell>
          <cell r="EK104">
            <v>10</v>
          </cell>
          <cell r="EM104">
            <v>12</v>
          </cell>
          <cell r="EN104">
            <v>11.999999999999998</v>
          </cell>
          <cell r="EO104">
            <v>18.588800627635589</v>
          </cell>
          <cell r="EP104">
            <v>12</v>
          </cell>
          <cell r="EQ104">
            <v>18.958930276981828</v>
          </cell>
          <cell r="ER104">
            <v>19.27837634678027</v>
          </cell>
          <cell r="ES104">
            <v>8.923618754127272</v>
          </cell>
          <cell r="ET104">
            <v>11.543494190306772</v>
          </cell>
          <cell r="EU104">
            <v>12.016702752861102</v>
          </cell>
          <cell r="EW104">
            <v>11.999999999999998</v>
          </cell>
          <cell r="EX104">
            <v>11.668119066183554</v>
          </cell>
          <cell r="EZ104">
            <v>22.576288793663128</v>
          </cell>
          <cell r="FA104">
            <v>10.791244646862857</v>
          </cell>
          <cell r="FB104">
            <v>5.648423412447003</v>
          </cell>
          <cell r="FC104">
            <v>10.330824625047367</v>
          </cell>
          <cell r="FD104">
            <v>11.080781735681875</v>
          </cell>
          <cell r="FF104">
            <v>14.541934577845538</v>
          </cell>
          <cell r="FH104">
            <v>26.880960791239833</v>
          </cell>
          <cell r="FI104">
            <v>16.70360810280004</v>
          </cell>
          <cell r="FJ104">
            <v>20.647254637941362</v>
          </cell>
          <cell r="FK104">
            <v>14.228045449009032</v>
          </cell>
          <cell r="FL104">
            <v>10.318371204814641</v>
          </cell>
          <cell r="FN104">
            <v>26.880960791239833</v>
          </cell>
          <cell r="FO104">
            <v>20.245436605821386</v>
          </cell>
          <cell r="FP104">
            <v>17.861109462564333</v>
          </cell>
          <cell r="FQ104">
            <v>13.148849402854641</v>
          </cell>
          <cell r="FR104">
            <v>11.348875170994708</v>
          </cell>
          <cell r="FT104">
            <v>20.245436605821386</v>
          </cell>
          <cell r="FU104">
            <v>18.835516515917028</v>
          </cell>
          <cell r="FV104">
            <v>14.103914710715964</v>
          </cell>
          <cell r="FW104">
            <v>11.977788157143605</v>
          </cell>
          <cell r="FX104">
            <v>11.594126545695362</v>
          </cell>
          <cell r="FY104">
            <v>10.379951300658137</v>
          </cell>
          <cell r="FZ104">
            <v>9.9419517658705487</v>
          </cell>
          <cell r="GA104">
            <v>10.788300048597277</v>
          </cell>
          <cell r="GB104">
            <v>10.000000000000004</v>
          </cell>
          <cell r="GC104">
            <v>10</v>
          </cell>
          <cell r="GE104">
            <v>16.377632277473033</v>
          </cell>
          <cell r="GF104">
            <v>9.4170050578271685</v>
          </cell>
          <cell r="GG104">
            <v>14.341579462939055</v>
          </cell>
          <cell r="GH104">
            <v>8.1732963622255408</v>
          </cell>
          <cell r="GI104">
            <v>10.420800460882274</v>
          </cell>
          <cell r="GJ104">
            <v>10.652456855943194</v>
          </cell>
          <cell r="GL104">
            <v>10.379951300658137</v>
          </cell>
          <cell r="GM104">
            <v>9.9419517658705487</v>
          </cell>
          <cell r="GN104">
            <v>10.788300048597277</v>
          </cell>
          <cell r="GO104">
            <v>10.000000000000004</v>
          </cell>
          <cell r="GP104">
            <v>10.000000000000004</v>
          </cell>
          <cell r="GQ104">
            <v>10.000000000000004</v>
          </cell>
          <cell r="GR104">
            <v>10.000000000000004</v>
          </cell>
          <cell r="GS104">
            <v>10.000000000000004</v>
          </cell>
          <cell r="GT104">
            <v>10.000000000000004</v>
          </cell>
          <cell r="GU104">
            <v>10.000000000000004</v>
          </cell>
          <cell r="GV104">
            <v>10.000000000000004</v>
          </cell>
          <cell r="GW104">
            <v>10.000000000000004</v>
          </cell>
          <cell r="GX104">
            <v>10.000000000000004</v>
          </cell>
          <cell r="GY104">
            <v>10.000000000000004</v>
          </cell>
          <cell r="GZ104">
            <v>10.000000000000004</v>
          </cell>
          <cell r="HA104">
            <v>10.000000000000004</v>
          </cell>
          <cell r="HB104">
            <v>10.000000000000004</v>
          </cell>
          <cell r="HC104">
            <v>10.000000000000004</v>
          </cell>
          <cell r="HD104">
            <v>10.000000000000004</v>
          </cell>
          <cell r="HE104">
            <v>10.000000000000004</v>
          </cell>
          <cell r="HF104">
            <v>10.000000000000004</v>
          </cell>
          <cell r="HG104">
            <v>10.000000000000004</v>
          </cell>
          <cell r="HH104">
            <v>10.000000000000004</v>
          </cell>
          <cell r="HI104">
            <v>10.000000000000004</v>
          </cell>
        </row>
        <row r="105">
          <cell r="D105">
            <v>0.66699604743082763</v>
          </cell>
          <cell r="E105">
            <v>1.2032508883650552</v>
          </cell>
          <cell r="F105">
            <v>3.9141104294478533</v>
          </cell>
          <cell r="G105">
            <v>2.1207341195322962</v>
          </cell>
          <cell r="I105">
            <v>3.5840682009268114</v>
          </cell>
          <cell r="J105">
            <v>3.6202749757691008</v>
          </cell>
          <cell r="K105">
            <v>0.67795551112222785</v>
          </cell>
          <cell r="L105">
            <v>4.0413152316088663</v>
          </cell>
          <cell r="N105">
            <v>3.1215848582788848</v>
          </cell>
          <cell r="O105">
            <v>3.7570599908410891</v>
          </cell>
          <cell r="P105">
            <v>3.7946834982096305</v>
          </cell>
          <cell r="Q105">
            <v>3.9601912474841092</v>
          </cell>
          <cell r="S105">
            <v>3.4363274625789502</v>
          </cell>
          <cell r="T105">
            <v>3.7605976128657752</v>
          </cell>
          <cell r="U105">
            <v>1.301101409009715</v>
          </cell>
          <cell r="V105">
            <v>4.3827662292416587</v>
          </cell>
          <cell r="X105">
            <v>2.7790632018238401</v>
          </cell>
          <cell r="Y105">
            <v>2.633337044872504</v>
          </cell>
          <cell r="Z105">
            <v>3.2871186440677942</v>
          </cell>
          <cell r="AA105">
            <v>3.3033486579390878</v>
          </cell>
          <cell r="AC105">
            <v>3.0996147086117496</v>
          </cell>
          <cell r="AD105">
            <v>3.0412722131325851</v>
          </cell>
          <cell r="AE105">
            <v>3.0990198039607915</v>
          </cell>
          <cell r="AF105">
            <v>3.3178690780420697</v>
          </cell>
          <cell r="AH105">
            <v>3.3154020385050846</v>
          </cell>
          <cell r="AJ105">
            <v>2.953880696949708</v>
          </cell>
          <cell r="AK105">
            <v>2.7698672086202984</v>
          </cell>
          <cell r="AL105">
            <v>2.7215947759715338</v>
          </cell>
          <cell r="AM105">
            <v>2.8921548848719598</v>
          </cell>
          <cell r="AO105">
            <v>3.0949635205531565</v>
          </cell>
          <cell r="AP105">
            <v>2.9618117401444386</v>
          </cell>
          <cell r="AQ105">
            <v>2.751087142287457</v>
          </cell>
          <cell r="AR105">
            <v>3.0928899831556516</v>
          </cell>
          <cell r="AT105">
            <v>2.7498355553416358</v>
          </cell>
          <cell r="AU105">
            <v>3.24997876316684</v>
          </cell>
          <cell r="AV105">
            <v>3.041190207409076</v>
          </cell>
          <cell r="AW105">
            <v>2.5846030175525678</v>
          </cell>
          <cell r="AY105">
            <v>2.936706138013176</v>
          </cell>
          <cell r="AZ105">
            <v>2.6114629448338254</v>
          </cell>
          <cell r="BA105">
            <v>2.7210036134154447</v>
          </cell>
          <cell r="BB105">
            <v>3.1689495691913669</v>
          </cell>
          <cell r="BD105">
            <v>3.166301567253651</v>
          </cell>
          <cell r="BE105">
            <v>2.892162584310479</v>
          </cell>
          <cell r="BF105">
            <v>2.7002911999221326</v>
          </cell>
          <cell r="BG105">
            <v>3.3467214933584692</v>
          </cell>
          <cell r="BI105">
            <v>3.0179789618335593</v>
          </cell>
          <cell r="BJ105">
            <v>2.6673709836705624</v>
          </cell>
          <cell r="BK105">
            <v>2.9101610190184273</v>
          </cell>
          <cell r="BL105">
            <v>3.0749520889734741</v>
          </cell>
          <cell r="BN105">
            <v>3.1839172048722721</v>
          </cell>
          <cell r="BO105">
            <v>3.0926167774112465</v>
          </cell>
          <cell r="BP105">
            <v>3.2763649037159719</v>
          </cell>
          <cell r="BQ105">
            <v>3.0749520889734741</v>
          </cell>
          <cell r="BS105">
            <v>2.9279554815253914</v>
          </cell>
          <cell r="BT105">
            <v>3.5477834367849841</v>
          </cell>
          <cell r="BU105">
            <v>3.3789992787660705</v>
          </cell>
          <cell r="BV105">
            <v>3.0749520889734741</v>
          </cell>
          <cell r="BX105">
            <v>3.1329132199225409</v>
          </cell>
          <cell r="BZ105">
            <v>3.6602415713598035</v>
          </cell>
          <cell r="CA105">
            <v>3.9806102704405024</v>
          </cell>
          <cell r="CB105">
            <v>4.7535287369698631</v>
          </cell>
          <cell r="CC105">
            <v>4.1736758288409526</v>
          </cell>
          <cell r="CE105">
            <v>2.8544437177530737</v>
          </cell>
          <cell r="CF105">
            <v>2.4412942061700544</v>
          </cell>
          <cell r="CG105">
            <v>2.3296099902069241</v>
          </cell>
          <cell r="CH105">
            <v>2.428695467760206</v>
          </cell>
          <cell r="CJ105">
            <v>2.1475839793515772</v>
          </cell>
          <cell r="CK105">
            <v>2.2557406832476703</v>
          </cell>
          <cell r="CL105">
            <v>2.3610685660261717</v>
          </cell>
          <cell r="CM105">
            <v>2.7117701914814076</v>
          </cell>
          <cell r="CO105">
            <v>2.8414676750720691</v>
          </cell>
          <cell r="CP105">
            <v>3.1680027145099072</v>
          </cell>
          <cell r="CQ105">
            <v>3.3070967741935484</v>
          </cell>
          <cell r="CR105">
            <v>3.3062857142857149</v>
          </cell>
          <cell r="CT105">
            <v>3.6356950458276978</v>
          </cell>
          <cell r="CU105">
            <v>3.9254402770553676</v>
          </cell>
          <cell r="CV105">
            <v>4.6284079262556368</v>
          </cell>
          <cell r="CW105">
            <v>4.1121408711770169</v>
          </cell>
          <cell r="CY105">
            <v>2.8998670353647773</v>
          </cell>
          <cell r="CZ105">
            <v>2.5206736824596723</v>
          </cell>
          <cell r="DA105">
            <v>2.437353255681276</v>
          </cell>
          <cell r="DB105">
            <v>2.5180339931985789</v>
          </cell>
          <cell r="DD105">
            <v>2.1649209581999806</v>
          </cell>
          <cell r="DE105">
            <v>2.2603099846200889</v>
          </cell>
          <cell r="DF105">
            <v>2.4291318975067826</v>
          </cell>
          <cell r="DG105">
            <v>2.7166558382121129</v>
          </cell>
          <cell r="DI105">
            <v>2.6190392585060684</v>
          </cell>
          <cell r="DJ105">
            <v>2.9984429999629789</v>
          </cell>
          <cell r="DK105">
            <v>3.3204159055695182</v>
          </cell>
          <cell r="DL105">
            <v>2.6457776918695473</v>
          </cell>
          <cell r="DN105">
            <v>2.8395826140182714</v>
          </cell>
          <cell r="DO105">
            <v>2.1317950099201353</v>
          </cell>
          <cell r="DP105">
            <v>2.3744012158565377</v>
          </cell>
          <cell r="DQ105">
            <v>1.756393532142102</v>
          </cell>
          <cell r="DS105">
            <v>0.81732588174007503</v>
          </cell>
          <cell r="DT105">
            <v>1.0378334754729106</v>
          </cell>
          <cell r="DU105">
            <v>1.5747395685933807</v>
          </cell>
          <cell r="DV105">
            <v>0.63819529900492433</v>
          </cell>
          <cell r="DX105">
            <v>0.37422622306728914</v>
          </cell>
          <cell r="DY105">
            <v>1.1124552628679447</v>
          </cell>
          <cell r="DZ105">
            <v>2.2624329776145773</v>
          </cell>
          <cell r="EA105">
            <v>1.4712527632864303</v>
          </cell>
          <cell r="EC105">
            <v>1.8444254538563718</v>
          </cell>
          <cell r="ED105">
            <v>2.2180202628767143</v>
          </cell>
          <cell r="EE105">
            <v>2.9979762509460546</v>
          </cell>
          <cell r="EF105">
            <v>2.415810911552251</v>
          </cell>
          <cell r="EH105">
            <v>2.5803879016784292</v>
          </cell>
          <cell r="EI105">
            <v>2.8606751587571204</v>
          </cell>
          <cell r="EJ105">
            <v>3.5345625308123294</v>
          </cell>
          <cell r="EK105">
            <v>2.9516592550453278</v>
          </cell>
          <cell r="EM105">
            <v>2.1567018158285456</v>
          </cell>
          <cell r="EN105">
            <v>3.1268903810671178</v>
          </cell>
          <cell r="EO105">
            <v>3.7031584910794542</v>
          </cell>
          <cell r="EP105">
            <v>3.0732778213765206</v>
          </cell>
          <cell r="EQ105">
            <v>2.3234719269961603</v>
          </cell>
          <cell r="ER105">
            <v>2.8158623884484593</v>
          </cell>
          <cell r="ES105">
            <v>3.2324646449179295</v>
          </cell>
          <cell r="ET105">
            <v>3.0367280492833619</v>
          </cell>
          <cell r="EU105">
            <v>3.1472200846745535</v>
          </cell>
          <cell r="EW105">
            <v>2.7225321819955361</v>
          </cell>
          <cell r="EX105">
            <v>2.8275293705410758</v>
          </cell>
          <cell r="EZ105">
            <v>3.5471473615325184</v>
          </cell>
          <cell r="FA105">
            <v>2.90953149525998</v>
          </cell>
          <cell r="FB105">
            <v>2.8987199815535991</v>
          </cell>
          <cell r="FC105">
            <v>2.9663157215987077</v>
          </cell>
          <cell r="FD105">
            <v>2.8890741603638377</v>
          </cell>
          <cell r="FF105">
            <v>2.8707350407996577</v>
          </cell>
          <cell r="FH105">
            <v>4.6479360701673453</v>
          </cell>
          <cell r="FI105">
            <v>4.1367264843293974</v>
          </cell>
          <cell r="FJ105">
            <v>3.8531163689907264</v>
          </cell>
          <cell r="FK105">
            <v>3.0306560816470824</v>
          </cell>
          <cell r="FL105">
            <v>3.2400624767519766</v>
          </cell>
          <cell r="FN105">
            <v>4.6479360701673453</v>
          </cell>
          <cell r="FO105">
            <v>4.3157991686755741</v>
          </cell>
          <cell r="FP105">
            <v>4.1720801102081646</v>
          </cell>
          <cell r="FQ105">
            <v>2.4953711155939224</v>
          </cell>
          <cell r="FR105">
            <v>2.4152402368309351</v>
          </cell>
          <cell r="FT105">
            <v>4.3157991686755741</v>
          </cell>
          <cell r="FU105">
            <v>4.1004668093653533</v>
          </cell>
          <cell r="FV105">
            <v>2.578434552237328</v>
          </cell>
          <cell r="FW105">
            <v>2.4372327428661236</v>
          </cell>
          <cell r="FX105">
            <v>2.9099980106854906</v>
          </cell>
          <cell r="FY105">
            <v>2.2692963790900462</v>
          </cell>
          <cell r="FZ105">
            <v>1.049466775506348</v>
          </cell>
          <cell r="GA105">
            <v>1.3748386056773807</v>
          </cell>
          <cell r="GB105">
            <v>2.3994580868313991</v>
          </cell>
          <cell r="GC105">
            <v>3.007948020591046</v>
          </cell>
          <cell r="GE105">
            <v>2.9238016142627004</v>
          </cell>
          <cell r="GF105">
            <v>2.3472024448084792</v>
          </cell>
          <cell r="GG105">
            <v>2.9449229198141391</v>
          </cell>
          <cell r="GH105">
            <v>2.4908556371904451</v>
          </cell>
          <cell r="GI105">
            <v>1.3130319679857443</v>
          </cell>
          <cell r="GJ105">
            <v>1.1870209931710962</v>
          </cell>
          <cell r="GL105">
            <v>1.049466775506348</v>
          </cell>
          <cell r="GM105">
            <v>1.3748386056773807</v>
          </cell>
          <cell r="GN105">
            <v>2.3994580868313991</v>
          </cell>
          <cell r="GO105">
            <v>3.007948020591046</v>
          </cell>
          <cell r="GP105">
            <v>3.9751408071690086</v>
          </cell>
          <cell r="GQ105">
            <v>3.4413975066934346</v>
          </cell>
          <cell r="GR105">
            <v>1.5321626104853636</v>
          </cell>
          <cell r="GS105">
            <v>3.3226039718291593</v>
          </cell>
          <cell r="GT105">
            <v>4.0456732471104191</v>
          </cell>
          <cell r="GU105">
            <v>4.2995521306314153</v>
          </cell>
          <cell r="GV105">
            <v>3.8728771051260305</v>
          </cell>
          <cell r="GW105">
            <v>0.76727341337002208</v>
          </cell>
          <cell r="GX105">
            <v>2.4767082490310646</v>
          </cell>
          <cell r="GY105">
            <v>3.4851968987126933</v>
          </cell>
          <cell r="GZ105">
            <v>3.5290015661225222</v>
          </cell>
          <cell r="HA105">
            <v>3.5688786461243174</v>
          </cell>
          <cell r="HB105">
            <v>3.6052683049294521</v>
          </cell>
          <cell r="HC105">
            <v>3.6429006854215102</v>
          </cell>
          <cell r="HD105">
            <v>3.590798983346974</v>
          </cell>
          <cell r="HE105">
            <v>3.4521256761884009</v>
          </cell>
          <cell r="HF105">
            <v>3.3092030715020475</v>
          </cell>
          <cell r="HG105">
            <v>3.1625755259323309</v>
          </cell>
          <cell r="HH105">
            <v>3.0122283634334508</v>
          </cell>
          <cell r="HI105">
            <v>2.9488703172917856</v>
          </cell>
        </row>
        <row r="106">
          <cell r="DN106">
            <v>10.9</v>
          </cell>
          <cell r="DO106">
            <v>10.9</v>
          </cell>
          <cell r="DP106">
            <v>10.9</v>
          </cell>
          <cell r="DQ106">
            <v>10.9</v>
          </cell>
          <cell r="DS106">
            <v>10.9</v>
          </cell>
          <cell r="DT106">
            <v>10.9</v>
          </cell>
          <cell r="DU106">
            <v>10.9</v>
          </cell>
          <cell r="DV106">
            <v>10.9</v>
          </cell>
          <cell r="DX106">
            <v>10.9</v>
          </cell>
          <cell r="DY106">
            <v>10.9</v>
          </cell>
          <cell r="DZ106">
            <v>10.9</v>
          </cell>
          <cell r="EA106">
            <v>10.9</v>
          </cell>
          <cell r="FX106">
            <v>10.9</v>
          </cell>
          <cell r="FY106">
            <v>10.9</v>
          </cell>
          <cell r="FZ106">
            <v>10.9</v>
          </cell>
          <cell r="GA106">
            <v>10.9</v>
          </cell>
          <cell r="GL106">
            <v>10.9</v>
          </cell>
          <cell r="GM106">
            <v>10.9</v>
          </cell>
          <cell r="GN106">
            <v>10.9</v>
          </cell>
          <cell r="GO106">
            <v>10.9</v>
          </cell>
          <cell r="GP106">
            <v>10.9</v>
          </cell>
          <cell r="GQ106">
            <v>10.9</v>
          </cell>
          <cell r="GR106">
            <v>10.9</v>
          </cell>
          <cell r="GS106">
            <v>10.9</v>
          </cell>
          <cell r="GT106">
            <v>10.9</v>
          </cell>
          <cell r="GU106">
            <v>10.9</v>
          </cell>
          <cell r="GV106">
            <v>10.9</v>
          </cell>
          <cell r="GW106">
            <v>10.9</v>
          </cell>
          <cell r="GX106">
            <v>10.9</v>
          </cell>
          <cell r="GY106">
            <v>10.9</v>
          </cell>
          <cell r="GZ106">
            <v>10.9</v>
          </cell>
        </row>
        <row r="139">
          <cell r="CT139" t="str">
            <v>F1998 Restated for JIT</v>
          </cell>
          <cell r="CY139" t="str">
            <v>F1999 Restated for JIT</v>
          </cell>
          <cell r="DD139" t="str">
            <v>F2000 Restated for JIT</v>
          </cell>
          <cell r="DI139" t="str">
            <v>F2001 Restated for JIT</v>
          </cell>
          <cell r="DN139" t="str">
            <v>F2002</v>
          </cell>
          <cell r="DS139" t="str">
            <v>F2003</v>
          </cell>
          <cell r="DX139" t="str">
            <v>F2004E</v>
          </cell>
        </row>
        <row r="140">
          <cell r="CT140" t="str">
            <v>6/97</v>
          </cell>
          <cell r="CU140" t="str">
            <v>9/97</v>
          </cell>
          <cell r="CV140" t="str">
            <v xml:space="preserve"> 12/97</v>
          </cell>
          <cell r="CW140" t="str">
            <v xml:space="preserve"> 3/98</v>
          </cell>
          <cell r="CY140" t="str">
            <v>6/98</v>
          </cell>
          <cell r="CZ140" t="str">
            <v>9/98</v>
          </cell>
          <cell r="DA140" t="str">
            <v xml:space="preserve"> 12/98</v>
          </cell>
          <cell r="DB140" t="str">
            <v xml:space="preserve"> 3/99</v>
          </cell>
          <cell r="DD140" t="str">
            <v>6/99</v>
          </cell>
          <cell r="DE140" t="str">
            <v>9/99</v>
          </cell>
          <cell r="DF140" t="str">
            <v xml:space="preserve"> 12/99</v>
          </cell>
          <cell r="DG140" t="str">
            <v xml:space="preserve"> 3/00</v>
          </cell>
          <cell r="DI140" t="str">
            <v>6/00</v>
          </cell>
          <cell r="DJ140" t="str">
            <v>9/00</v>
          </cell>
          <cell r="DK140" t="str">
            <v xml:space="preserve"> 12/00</v>
          </cell>
          <cell r="DL140" t="str">
            <v xml:space="preserve"> 3/01</v>
          </cell>
          <cell r="DN140" t="str">
            <v>6/01</v>
          </cell>
          <cell r="DO140" t="str">
            <v>9/01</v>
          </cell>
          <cell r="DP140" t="str">
            <v xml:space="preserve"> 12/01</v>
          </cell>
          <cell r="DQ140" t="str">
            <v xml:space="preserve"> 3/02</v>
          </cell>
          <cell r="DS140" t="str">
            <v>6/02</v>
          </cell>
          <cell r="DT140" t="str">
            <v>9/02</v>
          </cell>
          <cell r="DU140" t="str">
            <v xml:space="preserve"> 12/02</v>
          </cell>
          <cell r="DV140" t="str">
            <v xml:space="preserve"> 3/03</v>
          </cell>
          <cell r="DX140" t="str">
            <v>6/03</v>
          </cell>
          <cell r="DY140" t="str">
            <v>9/03</v>
          </cell>
          <cell r="DZ140" t="str">
            <v xml:space="preserve"> 12/03</v>
          </cell>
          <cell r="EA140" t="str">
            <v xml:space="preserve"> 3/04E</v>
          </cell>
          <cell r="FV140" t="str">
            <v>F1999</v>
          </cell>
          <cell r="FW140" t="str">
            <v>F2000</v>
          </cell>
          <cell r="FX140" t="str">
            <v>F2001</v>
          </cell>
          <cell r="FY140" t="str">
            <v>F2002</v>
          </cell>
          <cell r="FZ140" t="str">
            <v>F2003</v>
          </cell>
          <cell r="GA140" t="str">
            <v>F2004E</v>
          </cell>
          <cell r="GE140" t="str">
            <v>C1998</v>
          </cell>
          <cell r="GF140" t="str">
            <v>C1999</v>
          </cell>
          <cell r="GG140" t="str">
            <v>C2000</v>
          </cell>
          <cell r="GH140" t="str">
            <v>C2001</v>
          </cell>
          <cell r="GI140" t="str">
            <v>C2002</v>
          </cell>
          <cell r="GJ140" t="str">
            <v>C2003</v>
          </cell>
          <cell r="GL140">
            <v>2003</v>
          </cell>
          <cell r="GM140">
            <v>2004</v>
          </cell>
          <cell r="GN140">
            <v>2005</v>
          </cell>
          <cell r="GO140">
            <v>2006</v>
          </cell>
          <cell r="GP140">
            <v>2007</v>
          </cell>
          <cell r="GQ140">
            <v>2008</v>
          </cell>
          <cell r="GR140">
            <v>2009</v>
          </cell>
          <cell r="GS140">
            <v>2010</v>
          </cell>
          <cell r="GT140">
            <v>2011</v>
          </cell>
          <cell r="GU140">
            <v>2012</v>
          </cell>
          <cell r="GV140">
            <v>2013</v>
          </cell>
          <cell r="GW140">
            <v>2014</v>
          </cell>
          <cell r="GX140">
            <v>2015</v>
          </cell>
          <cell r="GY140">
            <v>2016</v>
          </cell>
          <cell r="GZ140">
            <v>2017</v>
          </cell>
        </row>
        <row r="142">
          <cell r="CT142">
            <v>29.462999999999973</v>
          </cell>
          <cell r="CU142">
            <v>37.234999999999964</v>
          </cell>
          <cell r="CV142">
            <v>41.02899999999994</v>
          </cell>
          <cell r="CW142">
            <v>43.991000000000007</v>
          </cell>
          <cell r="CY142">
            <v>40.592999999999947</v>
          </cell>
          <cell r="CZ142">
            <v>40.114999999999938</v>
          </cell>
          <cell r="DA142">
            <v>46.197999999999951</v>
          </cell>
          <cell r="DB142">
            <v>43.982999999999947</v>
          </cell>
          <cell r="DD142">
            <v>47.076999999999998</v>
          </cell>
          <cell r="DE142">
            <v>59.063000000000073</v>
          </cell>
          <cell r="DF142">
            <v>72.827999999999975</v>
          </cell>
          <cell r="DG142">
            <v>83.63399999999983</v>
          </cell>
          <cell r="DI142">
            <v>102.27800000000025</v>
          </cell>
          <cell r="DJ142">
            <v>129.15600000000012</v>
          </cell>
          <cell r="DK142">
            <v>146.38200000000001</v>
          </cell>
          <cell r="DL142">
            <v>110.33700000000042</v>
          </cell>
          <cell r="DN142">
            <v>120.72300000000007</v>
          </cell>
          <cell r="DO142">
            <v>99.459000000000245</v>
          </cell>
          <cell r="DP142">
            <v>114.18400000000044</v>
          </cell>
          <cell r="DQ142">
            <v>89.319000000000116</v>
          </cell>
          <cell r="DS142">
            <v>47.897001000000216</v>
          </cell>
          <cell r="DT142">
            <v>66.382999999999868</v>
          </cell>
          <cell r="DU142">
            <v>91.285999999999945</v>
          </cell>
          <cell r="DV142">
            <v>43.119000000000014</v>
          </cell>
          <cell r="DX142">
            <v>39.809000000000168</v>
          </cell>
          <cell r="DY142">
            <v>64.957000000000249</v>
          </cell>
          <cell r="DZ142">
            <v>117.83500000000025</v>
          </cell>
          <cell r="EA142">
            <v>70.997788536320002</v>
          </cell>
          <cell r="FV142">
            <v>170.88899999999978</v>
          </cell>
          <cell r="FW142">
            <v>262.60199999999986</v>
          </cell>
          <cell r="FX142">
            <v>488.15300000000082</v>
          </cell>
          <cell r="FY142">
            <v>423.68500000000085</v>
          </cell>
          <cell r="FZ142">
            <v>248.68500100000006</v>
          </cell>
          <cell r="GA142">
            <v>293.59878853632068</v>
          </cell>
          <cell r="GF142">
            <v>222.95099999999999</v>
          </cell>
          <cell r="GG142">
            <v>461.45000000000022</v>
          </cell>
          <cell r="GH142">
            <v>444.70300000000117</v>
          </cell>
          <cell r="GI142">
            <v>294.88500100000016</v>
          </cell>
          <cell r="GJ142">
            <v>265.72000000000071</v>
          </cell>
          <cell r="GL142">
            <v>248.68500100000006</v>
          </cell>
          <cell r="GM142">
            <v>293.59878853632068</v>
          </cell>
          <cell r="GN142">
            <v>493.19856537251758</v>
          </cell>
          <cell r="GO142">
            <v>699.88518750136461</v>
          </cell>
          <cell r="GP142">
            <v>1096.9653589814729</v>
          </cell>
          <cell r="GQ142">
            <v>1120.1977291561973</v>
          </cell>
          <cell r="GR142">
            <v>545.78913617375463</v>
          </cell>
          <cell r="GS142">
            <v>1211.5335474886931</v>
          </cell>
          <cell r="GT142">
            <v>1660.4668299259754</v>
          </cell>
          <cell r="GU142">
            <v>2180.1752142778428</v>
          </cell>
          <cell r="GV142">
            <v>2237.7273698490662</v>
          </cell>
          <cell r="GW142">
            <v>465.32402017975096</v>
          </cell>
          <cell r="GX142">
            <v>1332.5187850601949</v>
          </cell>
          <cell r="GY142">
            <v>1989.8947190232248</v>
          </cell>
          <cell r="GZ142">
            <v>2208.7831381157794</v>
          </cell>
        </row>
        <row r="143">
          <cell r="CT143">
            <v>14.079000000000001</v>
          </cell>
          <cell r="CU143">
            <v>15.21</v>
          </cell>
          <cell r="CV143">
            <v>16.878</v>
          </cell>
          <cell r="CW143">
            <v>21.064</v>
          </cell>
          <cell r="CY143">
            <v>28.660999999999998</v>
          </cell>
          <cell r="CZ143">
            <v>30.161000000000001</v>
          </cell>
          <cell r="DA143">
            <v>32.420999999999999</v>
          </cell>
          <cell r="DB143">
            <v>34.115000000000002</v>
          </cell>
          <cell r="DD143">
            <v>40.142000000000003</v>
          </cell>
          <cell r="DE143">
            <v>41.954999999999998</v>
          </cell>
          <cell r="DF143">
            <v>48.2</v>
          </cell>
          <cell r="DG143">
            <v>57.3</v>
          </cell>
          <cell r="DI143">
            <v>57.711999999999996</v>
          </cell>
          <cell r="DJ143">
            <v>65.875</v>
          </cell>
          <cell r="DK143">
            <v>73.097000000000008</v>
          </cell>
          <cell r="DL143">
            <v>85.028999999999996</v>
          </cell>
          <cell r="DN143">
            <v>73.578000000000003</v>
          </cell>
          <cell r="DO143">
            <v>81.194000000000003</v>
          </cell>
          <cell r="DP143">
            <v>84.472999999999999</v>
          </cell>
          <cell r="DQ143">
            <v>80.662000000000006</v>
          </cell>
          <cell r="DS143">
            <v>82.331999999999994</v>
          </cell>
          <cell r="DT143">
            <v>85.123999999999995</v>
          </cell>
          <cell r="DU143">
            <v>89.858000000000004</v>
          </cell>
          <cell r="DV143">
            <v>92.202999999999989</v>
          </cell>
          <cell r="DX143">
            <v>91.194999999999993</v>
          </cell>
          <cell r="DY143">
            <v>83.429000000000002</v>
          </cell>
          <cell r="DZ143">
            <v>85.581000000000003</v>
          </cell>
          <cell r="EA143">
            <v>84.395395780436118</v>
          </cell>
          <cell r="FV143">
            <v>125.358</v>
          </cell>
          <cell r="FW143">
            <v>187.59700000000004</v>
          </cell>
          <cell r="FX143">
            <v>281.71299999999997</v>
          </cell>
          <cell r="FY143">
            <v>319.90700000000004</v>
          </cell>
          <cell r="FZ143">
            <v>349.51699999999994</v>
          </cell>
          <cell r="GA143">
            <v>344.60039578043609</v>
          </cell>
          <cell r="GF143">
            <v>164.41200000000001</v>
          </cell>
          <cell r="GG143">
            <v>253.98400000000001</v>
          </cell>
          <cell r="GH143">
            <v>324.274</v>
          </cell>
          <cell r="GI143">
            <v>337.976</v>
          </cell>
          <cell r="GJ143">
            <v>352.40800000000002</v>
          </cell>
          <cell r="GL143">
            <v>349.51699999999994</v>
          </cell>
          <cell r="GM143">
            <v>344.60039578043609</v>
          </cell>
          <cell r="GN143">
            <v>303.47634416587994</v>
          </cell>
          <cell r="GO143">
            <v>284.99435535065123</v>
          </cell>
          <cell r="GP143">
            <v>324.69731327519764</v>
          </cell>
          <cell r="GQ143">
            <v>373.08169449908894</v>
          </cell>
          <cell r="GR143">
            <v>366.05558652080828</v>
          </cell>
          <cell r="GS143">
            <v>360.17849323509233</v>
          </cell>
          <cell r="GT143">
            <v>421.05014190253354</v>
          </cell>
          <cell r="GU143">
            <v>656.11001822468256</v>
          </cell>
          <cell r="GV143">
            <v>857.71678101386976</v>
          </cell>
          <cell r="GW143">
            <v>885.48692906294809</v>
          </cell>
          <cell r="GX143">
            <v>878.93077020466376</v>
          </cell>
          <cell r="GY143">
            <v>868.58384192582889</v>
          </cell>
          <cell r="GZ143">
            <v>886.12680411651036</v>
          </cell>
        </row>
        <row r="144">
          <cell r="S144">
            <v>10.269000000000004</v>
          </cell>
          <cell r="T144">
            <v>12.770000000000003</v>
          </cell>
          <cell r="U144">
            <v>7.6709999999999852</v>
          </cell>
          <cell r="V144">
            <v>13.368999999999986</v>
          </cell>
          <cell r="X144">
            <v>16.161999999999999</v>
          </cell>
          <cell r="Y144">
            <v>19.469999999999988</v>
          </cell>
          <cell r="Z144">
            <v>22.018999999999991</v>
          </cell>
          <cell r="AA144">
            <v>24.840999999999983</v>
          </cell>
          <cell r="AC144">
            <v>28.833999999999982</v>
          </cell>
          <cell r="AD144">
            <v>31.519000000000005</v>
          </cell>
          <cell r="AE144">
            <v>38.155999999999992</v>
          </cell>
          <cell r="AF144">
            <v>34.946000000000012</v>
          </cell>
          <cell r="AH144">
            <v>38.228999999999942</v>
          </cell>
          <cell r="AJ144">
            <v>30.219999999999985</v>
          </cell>
          <cell r="AK144">
            <v>33.274000000000036</v>
          </cell>
          <cell r="AL144">
            <v>40.369999999999983</v>
          </cell>
          <cell r="AM144">
            <v>37.221000000000004</v>
          </cell>
          <cell r="AY144">
            <v>51.884000000000043</v>
          </cell>
          <cell r="AZ144">
            <v>53.163000000000039</v>
          </cell>
          <cell r="BA144">
            <v>60.897000000000034</v>
          </cell>
          <cell r="BB144">
            <v>61.270999999999916</v>
          </cell>
          <cell r="BI144">
            <v>39.460999999999999</v>
          </cell>
          <cell r="BJ144">
            <v>50.91</v>
          </cell>
          <cell r="BK144">
            <v>64.131000000000057</v>
          </cell>
          <cell r="BL144">
            <v>93.247999999999919</v>
          </cell>
          <cell r="BN144">
            <v>66.522999999999968</v>
          </cell>
          <cell r="BO144">
            <v>81.2680000000001</v>
          </cell>
          <cell r="BP144">
            <v>99.321000000000041</v>
          </cell>
          <cell r="BQ144">
            <v>106.24799999999992</v>
          </cell>
          <cell r="BU144">
            <v>106.65700000000004</v>
          </cell>
          <cell r="BV144">
            <v>116.04799999999992</v>
          </cell>
          <cell r="BX144">
            <v>138.68999999999988</v>
          </cell>
          <cell r="BZ144">
            <v>39.31099999999995</v>
          </cell>
          <cell r="CA144">
            <v>48.184000000000054</v>
          </cell>
          <cell r="CB144">
            <v>53.646000000000029</v>
          </cell>
          <cell r="CC144">
            <v>60.79399999999994</v>
          </cell>
          <cell r="CE144">
            <v>65.105000000000018</v>
          </cell>
          <cell r="CF144">
            <v>66.12700000000001</v>
          </cell>
          <cell r="CG144">
            <v>73.77600000000001</v>
          </cell>
          <cell r="CH144">
            <v>73.249000000000024</v>
          </cell>
          <cell r="CJ144">
            <v>81.592999999999932</v>
          </cell>
          <cell r="CK144">
            <v>95.392000000000024</v>
          </cell>
          <cell r="CL144">
            <v>113.45499999999993</v>
          </cell>
          <cell r="CM144">
            <v>132.88799999999998</v>
          </cell>
          <cell r="CO144">
            <v>159.19999999999999</v>
          </cell>
          <cell r="CP144">
            <v>199.72800000000009</v>
          </cell>
          <cell r="CQ144">
            <v>211</v>
          </cell>
          <cell r="CR144">
            <v>219.98000000000002</v>
          </cell>
          <cell r="CT144">
            <v>43.541999999999973</v>
          </cell>
          <cell r="CU144">
            <v>52.444999999999965</v>
          </cell>
          <cell r="CV144">
            <v>57.90699999999994</v>
          </cell>
          <cell r="CW144">
            <v>65.055000000000007</v>
          </cell>
          <cell r="CY144">
            <v>69.253999999999948</v>
          </cell>
          <cell r="CZ144">
            <v>70.275999999999939</v>
          </cell>
          <cell r="DA144">
            <v>78.618999999999943</v>
          </cell>
          <cell r="DB144">
            <v>78.097999999999956</v>
          </cell>
          <cell r="DD144">
            <v>87.218999999999994</v>
          </cell>
          <cell r="DE144">
            <v>101.01800000000007</v>
          </cell>
          <cell r="DF144">
            <v>121.02799999999998</v>
          </cell>
          <cell r="DG144">
            <v>140.93399999999983</v>
          </cell>
          <cell r="DI144">
            <v>159.99000000000024</v>
          </cell>
          <cell r="DJ144">
            <v>195.03100000000012</v>
          </cell>
          <cell r="DK144">
            <v>219.47900000000001</v>
          </cell>
          <cell r="DL144">
            <v>195.36600000000041</v>
          </cell>
          <cell r="DN144">
            <v>194.30100000000007</v>
          </cell>
          <cell r="DO144">
            <v>180.65300000000025</v>
          </cell>
          <cell r="DP144">
            <v>198.65700000000044</v>
          </cell>
          <cell r="DQ144">
            <v>169.98100000000011</v>
          </cell>
          <cell r="DS144">
            <v>130.22900100000021</v>
          </cell>
          <cell r="DT144">
            <v>151.50699999999986</v>
          </cell>
          <cell r="DU144">
            <v>181.14399999999995</v>
          </cell>
          <cell r="DV144">
            <v>135.322</v>
          </cell>
          <cell r="DX144">
            <v>131.00400000000016</v>
          </cell>
          <cell r="DY144">
            <v>148.38600000000025</v>
          </cell>
          <cell r="DZ144">
            <v>203.41600000000025</v>
          </cell>
          <cell r="EA144">
            <v>155.39318431675611</v>
          </cell>
          <cell r="EC144">
            <v>168.29419525057071</v>
          </cell>
          <cell r="ED144">
            <v>190.09823126930584</v>
          </cell>
          <cell r="EE144">
            <v>242.02594966246386</v>
          </cell>
          <cell r="EF144">
            <v>196.25653335605722</v>
          </cell>
          <cell r="EH144">
            <v>211.85001937901927</v>
          </cell>
          <cell r="EI144">
            <v>236.05309752554982</v>
          </cell>
          <cell r="EJ144">
            <v>296.78277764792597</v>
          </cell>
          <cell r="EK144">
            <v>240.19364829952079</v>
          </cell>
          <cell r="EM144" t="str">
            <v>--</v>
          </cell>
          <cell r="EN144" t="str">
            <v>--</v>
          </cell>
          <cell r="EO144" t="str">
            <v>--</v>
          </cell>
          <cell r="EP144" t="str">
            <v>--</v>
          </cell>
          <cell r="EQ144" t="str">
            <v>--</v>
          </cell>
          <cell r="ER144">
            <v>38.742999999999988</v>
          </cell>
          <cell r="ES144">
            <v>44.078999999999894</v>
          </cell>
          <cell r="ET144">
            <v>82.491999999999791</v>
          </cell>
          <cell r="EU144">
            <v>133.4550000000001</v>
          </cell>
          <cell r="EW144">
            <v>83.276999999999887</v>
          </cell>
          <cell r="EX144">
            <v>141.08500000000001</v>
          </cell>
          <cell r="FB144">
            <v>88.817999999999984</v>
          </cell>
          <cell r="FC144">
            <v>150.91400000000007</v>
          </cell>
          <cell r="FD144">
            <v>242.87200000000001</v>
          </cell>
          <cell r="FF144">
            <v>227.21500000000003</v>
          </cell>
          <cell r="FH144" t="str">
            <v>--</v>
          </cell>
          <cell r="FI144" t="str">
            <v>--</v>
          </cell>
          <cell r="FJ144" t="str">
            <v>--</v>
          </cell>
          <cell r="FK144">
            <v>122.16799999999995</v>
          </cell>
          <cell r="FL144">
            <v>383.3249999999997</v>
          </cell>
          <cell r="FN144" t="str">
            <v>--</v>
          </cell>
          <cell r="FO144">
            <v>135.1220000000001</v>
          </cell>
          <cell r="FP144">
            <v>201.93499999999997</v>
          </cell>
          <cell r="FQ144">
            <v>278.25700000000006</v>
          </cell>
          <cell r="FR144">
            <v>423.32799999999986</v>
          </cell>
          <cell r="FT144">
            <v>89.478000000000094</v>
          </cell>
          <cell r="FU144">
            <v>218.94899999999987</v>
          </cell>
          <cell r="FV144">
            <v>296.24699999999979</v>
          </cell>
          <cell r="FW144">
            <v>450.1989999999999</v>
          </cell>
          <cell r="FX144">
            <v>769.86600000000078</v>
          </cell>
          <cell r="FY144">
            <v>743.59200000000089</v>
          </cell>
          <cell r="FZ144">
            <v>598.20200100000011</v>
          </cell>
          <cell r="GA144">
            <v>638.19918431675683</v>
          </cell>
          <cell r="GB144">
            <v>796.67490953839751</v>
          </cell>
          <cell r="GC144">
            <v>984.87954285201579</v>
          </cell>
          <cell r="GF144">
            <v>387.363</v>
          </cell>
          <cell r="GG144">
            <v>715.4340000000002</v>
          </cell>
          <cell r="GH144">
            <v>768.97700000000123</v>
          </cell>
          <cell r="GI144">
            <v>632.86100100000021</v>
          </cell>
          <cell r="GJ144">
            <v>618.12800000000061</v>
          </cell>
          <cell r="GL144">
            <v>598.20200100000011</v>
          </cell>
          <cell r="GM144">
            <v>638.19918431675683</v>
          </cell>
          <cell r="GN144">
            <v>796.67490953839751</v>
          </cell>
          <cell r="GO144">
            <v>984.87954285201579</v>
          </cell>
          <cell r="GP144">
            <v>1421.6626722566707</v>
          </cell>
          <cell r="GQ144">
            <v>1493.2794236552863</v>
          </cell>
          <cell r="GR144">
            <v>911.84472269456296</v>
          </cell>
          <cell r="GS144">
            <v>1571.7120407237853</v>
          </cell>
          <cell r="GT144">
            <v>2081.5169718285088</v>
          </cell>
          <cell r="GU144">
            <v>2836.2852325025251</v>
          </cell>
          <cell r="GV144">
            <v>3095.4441508629361</v>
          </cell>
          <cell r="GW144">
            <v>1350.8109492426991</v>
          </cell>
          <cell r="GX144">
            <v>2211.4495552648586</v>
          </cell>
          <cell r="GY144">
            <v>2858.4785609490536</v>
          </cell>
          <cell r="GZ144">
            <v>3094.9099422322897</v>
          </cell>
          <cell r="HA144">
            <v>3345.0654219259523</v>
          </cell>
          <cell r="HB144">
            <v>3536.2386594207596</v>
          </cell>
          <cell r="HC144">
            <v>3596.7551607584314</v>
          </cell>
          <cell r="HD144">
            <v>3563.4085209436817</v>
          </cell>
          <cell r="HE144">
            <v>3571.1635671164322</v>
          </cell>
          <cell r="HF144">
            <v>3533.6701227671315</v>
          </cell>
          <cell r="HG144">
            <v>3440.9059114833922</v>
          </cell>
          <cell r="HH144">
            <v>3320.8953378580936</v>
          </cell>
          <cell r="HI144">
            <v>3277.0714729828464</v>
          </cell>
        </row>
        <row r="145">
          <cell r="CT145" t="str">
            <v xml:space="preserve"> --</v>
          </cell>
          <cell r="CU145" t="str">
            <v xml:space="preserve"> --</v>
          </cell>
          <cell r="CV145" t="str">
            <v xml:space="preserve"> --</v>
          </cell>
          <cell r="CW145" t="str">
            <v xml:space="preserve"> --</v>
          </cell>
          <cell r="CY145">
            <v>0.59051031188277969</v>
          </cell>
          <cell r="CZ145">
            <v>0.33999427972161289</v>
          </cell>
          <cell r="DA145">
            <v>0.35767696478836797</v>
          </cell>
          <cell r="DB145">
            <v>0.2004918914764422</v>
          </cell>
          <cell r="DD145">
            <v>0.25940739885060871</v>
          </cell>
          <cell r="DE145">
            <v>0.43744663896636338</v>
          </cell>
          <cell r="DF145">
            <v>0.5394243121891662</v>
          </cell>
          <cell r="DG145">
            <v>0.8045788624548631</v>
          </cell>
          <cell r="DI145">
            <v>0.83434802050012324</v>
          </cell>
          <cell r="DJ145">
            <v>0.93065592270684405</v>
          </cell>
          <cell r="DK145">
            <v>0.81345639025680061</v>
          </cell>
          <cell r="DL145">
            <v>0.38622333858402258</v>
          </cell>
          <cell r="DN145">
            <v>0.21445715357209694</v>
          </cell>
          <cell r="DO145">
            <v>-7.3721613487085946E-2</v>
          </cell>
          <cell r="DP145">
            <v>-9.4870124248787269E-2</v>
          </cell>
          <cell r="DQ145">
            <v>-0.12993560803824744</v>
          </cell>
          <cell r="DS145">
            <v>-0.32975640372411796</v>
          </cell>
          <cell r="DT145">
            <v>-0.16133692770117491</v>
          </cell>
          <cell r="DU145">
            <v>-8.8156974080955908E-2</v>
          </cell>
          <cell r="DV145">
            <v>-0.20389925932898434</v>
          </cell>
          <cell r="DX145">
            <v>5.9510477240007909E-3</v>
          </cell>
          <cell r="DY145">
            <v>-2.0599708264302019E-2</v>
          </cell>
          <cell r="DZ145">
            <v>0.12295190566621206</v>
          </cell>
          <cell r="EA145">
            <v>0.14832166474598441</v>
          </cell>
          <cell r="FV145">
            <v>0.35304111916473691</v>
          </cell>
          <cell r="FW145">
            <v>0.51967446083842272</v>
          </cell>
          <cell r="FX145">
            <v>0.71005710807887401</v>
          </cell>
          <cell r="FY145">
            <v>-3.4128017083492224E-2</v>
          </cell>
          <cell r="FZ145">
            <v>-0.1955238880999266</v>
          </cell>
          <cell r="GA145">
            <v>6.6862336217355267E-2</v>
          </cell>
          <cell r="GL145">
            <v>-0.1955238880999266</v>
          </cell>
          <cell r="GM145">
            <v>6.6862336217355267E-2</v>
          </cell>
          <cell r="GN145">
            <v>0.24831702878357897</v>
          </cell>
          <cell r="GO145">
            <v>0.23623768121763256</v>
          </cell>
          <cell r="GP145">
            <v>0.44348888407187093</v>
          </cell>
          <cell r="GQ145">
            <v>5.0375347680005511E-2</v>
          </cell>
          <cell r="GR145">
            <v>-0.3893676506554099</v>
          </cell>
          <cell r="GS145">
            <v>0.72366193673772616</v>
          </cell>
          <cell r="GT145">
            <v>0.32436280813243279</v>
          </cell>
          <cell r="GU145">
            <v>0.36260490348584096</v>
          </cell>
          <cell r="GV145">
            <v>9.1372657231567844E-2</v>
          </cell>
          <cell r="GW145">
            <v>-0.56361320592195951</v>
          </cell>
          <cell r="GX145">
            <v>0.63712735413098098</v>
          </cell>
          <cell r="GY145">
            <v>0.29258139944625694</v>
          </cell>
          <cell r="GZ145">
            <v>8.2712315744896792E-2</v>
          </cell>
        </row>
        <row r="146">
          <cell r="S146">
            <v>6.8559640010148096E-2</v>
          </cell>
          <cell r="T146">
            <v>8.1463666694310322E-2</v>
          </cell>
          <cell r="U146">
            <v>4.7572683072038012E-2</v>
          </cell>
          <cell r="V146">
            <v>7.7627453257461301E-2</v>
          </cell>
          <cell r="X146">
            <v>6.8614756290676593E-2</v>
          </cell>
          <cell r="Y146">
            <v>7.7425358296085336E-2</v>
          </cell>
          <cell r="Z146">
            <v>7.464067796610166E-2</v>
          </cell>
          <cell r="AA146">
            <v>7.5035190208362232E-2</v>
          </cell>
          <cell r="AC146">
            <v>7.6670061343494272E-2</v>
          </cell>
          <cell r="AD146">
            <v>7.4522163481089893E-2</v>
          </cell>
          <cell r="AE146">
            <v>7.6327265453090598E-2</v>
          </cell>
          <cell r="AF146">
            <v>6.8696677806172626E-2</v>
          </cell>
          <cell r="AH146">
            <v>7.2157417893544629E-2</v>
          </cell>
          <cell r="AJ146">
            <v>7.6068406188172358E-2</v>
          </cell>
          <cell r="AK146">
            <v>7.0662088092947675E-2</v>
          </cell>
          <cell r="AL146">
            <v>6.9556078188130477E-2</v>
          </cell>
          <cell r="AM146">
            <v>6.2575653647514523E-2</v>
          </cell>
          <cell r="AY146">
            <v>8.2059490125309859E-2</v>
          </cell>
          <cell r="AZ146">
            <v>7.6762802463894983E-2</v>
          </cell>
          <cell r="BA146">
            <v>7.7481042292228658E-2</v>
          </cell>
          <cell r="BB146">
            <v>7.1505011804494603E-2</v>
          </cell>
          <cell r="BI146">
            <v>6.4555760956696712E-2</v>
          </cell>
          <cell r="BJ146">
            <v>5.8462139133230742E-2</v>
          </cell>
          <cell r="BK146">
            <v>5.4371896958680423E-2</v>
          </cell>
          <cell r="BL146">
            <v>4.9162117206055594E-2</v>
          </cell>
          <cell r="BN146">
            <v>7.749578289111933E-2</v>
          </cell>
          <cell r="BO146">
            <v>7.0662050232415868E-2</v>
          </cell>
          <cell r="BP146">
            <v>6.4341157585015393E-2</v>
          </cell>
          <cell r="BQ146">
            <v>5.6015964191285558E-2</v>
          </cell>
          <cell r="BV146">
            <v>6.1182710380151217E-2</v>
          </cell>
          <cell r="BX146">
            <v>6.0676404757863074E-2</v>
          </cell>
          <cell r="BZ146">
            <v>8.1907984523097527E-2</v>
          </cell>
          <cell r="CA146">
            <v>8.7708855529040092E-2</v>
          </cell>
          <cell r="CB146">
            <v>8.9188515187284961E-2</v>
          </cell>
          <cell r="CC146">
            <v>8.7934308902636329E-2</v>
          </cell>
          <cell r="CE146">
            <v>8.6020439846469954E-2</v>
          </cell>
          <cell r="CF146">
            <v>7.9611136192626053E-2</v>
          </cell>
          <cell r="CG146">
            <v>7.8023109967998008E-2</v>
          </cell>
          <cell r="CH146">
            <v>6.9660707305962591E-2</v>
          </cell>
          <cell r="CJ146">
            <v>7.3945149017695735E-2</v>
          </cell>
          <cell r="CK146">
            <v>6.8554739153931968E-2</v>
          </cell>
          <cell r="CL146">
            <v>6.250730000198336E-2</v>
          </cell>
          <cell r="CM146">
            <v>6.4010820684153938E-2</v>
          </cell>
          <cell r="CO146">
            <v>6.3058345605680952E-2</v>
          </cell>
          <cell r="CP146">
            <v>6.7770454256266738E-2</v>
          </cell>
          <cell r="CQ146">
            <v>6.8064516129032263E-2</v>
          </cell>
          <cell r="CR146">
            <v>6.8316770186335404E-2</v>
          </cell>
          <cell r="CT146">
            <v>8.0057365067983069E-2</v>
          </cell>
          <cell r="CU146">
            <v>8.5511823605469953E-2</v>
          </cell>
          <cell r="CV146">
            <v>8.7021402573358053E-2</v>
          </cell>
          <cell r="CW146">
            <v>8.6131338540977112E-2</v>
          </cell>
          <cell r="CY146">
            <v>8.24380738340596E-2</v>
          </cell>
          <cell r="CZ146">
            <v>7.6901612202533637E-2</v>
          </cell>
          <cell r="DA146">
            <v>7.5128313184508147E-2</v>
          </cell>
          <cell r="DB146">
            <v>6.7769459921711656E-2</v>
          </cell>
          <cell r="DD146">
            <v>7.0490253127727664E-2</v>
          </cell>
          <cell r="DE146">
            <v>6.622541737523982E-2</v>
          </cell>
          <cell r="DF146">
            <v>6.1506093284681908E-2</v>
          </cell>
          <cell r="DG146">
            <v>6.3236080649850784E-2</v>
          </cell>
          <cell r="DI146">
            <v>5.9765242396825756E-2</v>
          </cell>
          <cell r="DJ146">
            <v>6.3342360079480436E-2</v>
          </cell>
          <cell r="DK146">
            <v>6.7755216956292622E-2</v>
          </cell>
          <cell r="DL146">
            <v>6.2729215003432537E-2</v>
          </cell>
          <cell r="DN146">
            <v>6.2464194987587623E-2</v>
          </cell>
          <cell r="DO146">
            <v>5.567259326738002E-2</v>
          </cell>
          <cell r="DP146">
            <v>5.7531061769067894E-2</v>
          </cell>
          <cell r="DQ146">
            <v>5.1567211722234052E-2</v>
          </cell>
          <cell r="DS146">
            <v>4.1646266885447487E-2</v>
          </cell>
          <cell r="DT146">
            <v>4.5353053466534399E-2</v>
          </cell>
          <cell r="DU146">
            <v>4.7032138697347042E-2</v>
          </cell>
          <cell r="DV146">
            <v>4.4229163296089474E-2</v>
          </cell>
          <cell r="DX146">
            <v>4.2168529267767506E-2</v>
          </cell>
          <cell r="DY146">
            <v>4.2356765533183335E-2</v>
          </cell>
          <cell r="DZ146">
            <v>4.8988234115477966E-2</v>
          </cell>
          <cell r="EA146">
            <v>4.3784957956472796E-2</v>
          </cell>
          <cell r="EC146">
            <v>4.4540387038465801E-2</v>
          </cell>
          <cell r="ED146">
            <v>4.6739705585925106E-2</v>
          </cell>
          <cell r="EE146">
            <v>5.2327099957948944E-2</v>
          </cell>
          <cell r="EF146">
            <v>4.8035683867297549E-2</v>
          </cell>
          <cell r="EH146">
            <v>4.7998559110943369E-2</v>
          </cell>
          <cell r="EI146">
            <v>4.9637632928257937E-2</v>
          </cell>
          <cell r="EJ146">
            <v>5.4718513111120852E-2</v>
          </cell>
          <cell r="EK146">
            <v>5.0301113852630142E-2</v>
          </cell>
          <cell r="EM146" t="str">
            <v>--</v>
          </cell>
          <cell r="EN146" t="str">
            <v>--</v>
          </cell>
          <cell r="EO146" t="str">
            <v>--</v>
          </cell>
          <cell r="EP146" t="str">
            <v>--</v>
          </cell>
          <cell r="EQ146" t="str">
            <v>--</v>
          </cell>
          <cell r="ER146">
            <v>6.772718929454849E-2</v>
          </cell>
          <cell r="ES146">
            <v>6.8872684205016355E-2</v>
          </cell>
          <cell r="ET146">
            <v>7.4111940546576729E-2</v>
          </cell>
          <cell r="EU146">
            <v>7.3828837475873113E-2</v>
          </cell>
          <cell r="EW146">
            <v>6.991052674879146E-2</v>
          </cell>
          <cell r="EX146">
            <v>6.9045118514770187E-2</v>
          </cell>
          <cell r="FB146">
            <v>6.6492384122321183E-2</v>
          </cell>
          <cell r="FC146">
            <v>6.7577225229356191E-2</v>
          </cell>
          <cell r="FD146">
            <v>5.6387535919565246E-2</v>
          </cell>
          <cell r="FF146">
            <v>7.6563380319657981E-2</v>
          </cell>
          <cell r="FH146" t="str">
            <v>--</v>
          </cell>
          <cell r="FI146" t="str">
            <v>--</v>
          </cell>
          <cell r="FJ146" t="str">
            <v>--</v>
          </cell>
          <cell r="FK146">
            <v>3.7555198622820279E-2</v>
          </cell>
          <cell r="FL146">
            <v>6.6784442138879185E-2</v>
          </cell>
          <cell r="FN146" t="str">
            <v>--</v>
          </cell>
          <cell r="FO146">
            <v>9.0181615289535361E-2</v>
          </cell>
          <cell r="FP146">
            <v>8.6960322563002998E-2</v>
          </cell>
          <cell r="FQ146">
            <v>7.7626607695176847E-2</v>
          </cell>
          <cell r="FR146">
            <v>6.6290113200928882E-2</v>
          </cell>
          <cell r="FT146">
            <v>5.9718406868437761E-2</v>
          </cell>
          <cell r="FU146">
            <v>8.493222846582868E-2</v>
          </cell>
          <cell r="FV146">
            <v>7.4946379591508308E-2</v>
          </cell>
          <cell r="FW146">
            <v>6.4691925217002941E-2</v>
          </cell>
          <cell r="FX146">
            <v>6.3574329964766321E-2</v>
          </cell>
          <cell r="FY146">
            <v>5.6741719004140136E-2</v>
          </cell>
          <cell r="FZ146">
            <v>4.4713017386817662E-2</v>
          </cell>
          <cell r="GA146">
            <v>4.4594163979559141E-2</v>
          </cell>
          <cell r="GB146">
            <v>4.8118495008777101E-2</v>
          </cell>
          <cell r="GC146">
            <v>5.0850532107325437E-2</v>
          </cell>
          <cell r="GL146">
            <v>4.4713017386817662E-2</v>
          </cell>
          <cell r="GM146">
            <v>4.4594163979559141E-2</v>
          </cell>
          <cell r="GN146">
            <v>4.8118495008777101E-2</v>
          </cell>
          <cell r="GO146">
            <v>5.0850532107325437E-2</v>
          </cell>
          <cell r="GP146">
            <v>6.0662956897573589E-2</v>
          </cell>
          <cell r="GQ146">
            <v>5.4460576446654745E-2</v>
          </cell>
          <cell r="GR146">
            <v>3.3255389742281434E-2</v>
          </cell>
          <cell r="GS146">
            <v>5.307504582421179E-2</v>
          </cell>
          <cell r="GT146">
            <v>6.0077450196162965E-2</v>
          </cell>
          <cell r="GU146">
            <v>6.4969704941442899E-2</v>
          </cell>
          <cell r="GV146">
            <v>6.2198385545169696E-2</v>
          </cell>
          <cell r="GW146">
            <v>3.1932416546925337E-2</v>
          </cell>
          <cell r="GX146">
            <v>4.9788031059501171E-2</v>
          </cell>
          <cell r="GY146">
            <v>5.745989541300333E-2</v>
          </cell>
          <cell r="GZ146">
            <v>5.6047330112677839E-2</v>
          </cell>
          <cell r="HA146">
            <v>5.5070477728861179E-2</v>
          </cell>
          <cell r="HB146">
            <v>5.3410826405813683E-2</v>
          </cell>
          <cell r="HC146">
            <v>5.0300795095989406E-2</v>
          </cell>
          <cell r="HD146">
            <v>4.6574243666700835E-2</v>
          </cell>
          <cell r="HE146">
            <v>4.4033587920678657E-2</v>
          </cell>
          <cell r="HF146">
            <v>4.1496458829625757E-2</v>
          </cell>
          <cell r="HG146">
            <v>3.8482965445697029E-2</v>
          </cell>
          <cell r="HH146">
            <v>3.5372163423056519E-2</v>
          </cell>
          <cell r="HI146">
            <v>3.3243217322100636E-2</v>
          </cell>
        </row>
        <row r="148">
          <cell r="CT148">
            <v>10.005055147058817</v>
          </cell>
          <cell r="CU148">
            <v>8.7877010723860529</v>
          </cell>
          <cell r="CV148">
            <v>17.399939903846136</v>
          </cell>
          <cell r="CW148">
            <v>8.3063074565883568</v>
          </cell>
          <cell r="CY148">
            <v>6.6873310158362251</v>
          </cell>
          <cell r="CZ148">
            <v>5.7093183849215974</v>
          </cell>
          <cell r="DA148">
            <v>4.8898494837666346</v>
          </cell>
          <cell r="DB148">
            <v>5.7888963012378589</v>
          </cell>
          <cell r="DD148">
            <v>6.0484743411927875</v>
          </cell>
          <cell r="DE148">
            <v>5.2515075899355415</v>
          </cell>
          <cell r="DF148">
            <v>5.179441092138485</v>
          </cell>
          <cell r="DG148">
            <v>10.934440220342916</v>
          </cell>
          <cell r="DI148">
            <v>8.7752303641948348</v>
          </cell>
          <cell r="DJ148">
            <v>8.7227067400152105</v>
          </cell>
          <cell r="DK148">
            <v>9.9347727684229596</v>
          </cell>
          <cell r="DL148">
            <v>7.272679894278391</v>
          </cell>
          <cell r="DN148">
            <v>8.6873379236340913</v>
          </cell>
          <cell r="DO148">
            <v>8.14339163360982</v>
          </cell>
          <cell r="DP148">
            <v>8.7337114217884668</v>
          </cell>
          <cell r="DQ148">
            <v>6.9218959970680505</v>
          </cell>
          <cell r="DS148">
            <v>6.8545187115111439</v>
          </cell>
          <cell r="DT148">
            <v>5.4389359563469215</v>
          </cell>
          <cell r="DU148">
            <v>7.5789297518932237</v>
          </cell>
          <cell r="DV148">
            <v>6.1442971304031966</v>
          </cell>
          <cell r="DX148">
            <v>5.0559221952066746</v>
          </cell>
          <cell r="DY148">
            <v>7.1673670482538885</v>
          </cell>
          <cell r="DZ148">
            <v>15.120493570207408</v>
          </cell>
          <cell r="EA148">
            <v>11.970586852263665</v>
          </cell>
          <cell r="FV148">
            <v>5.6715357812918752</v>
          </cell>
          <cell r="FW148">
            <v>6.4395096692985456</v>
          </cell>
          <cell r="FX148">
            <v>8.5974359547048547</v>
          </cell>
          <cell r="FY148">
            <v>8.0954568713052488</v>
          </cell>
          <cell r="FZ148">
            <v>6.4475318064237994</v>
          </cell>
          <cell r="GA148">
            <v>8.7366799558722388</v>
          </cell>
          <cell r="GL148">
            <v>6.4475318064237994</v>
          </cell>
          <cell r="GM148">
            <v>8.7366799558722388</v>
          </cell>
          <cell r="GN148">
            <v>61.588060434235899</v>
          </cell>
          <cell r="GO148">
            <v>74.997673063739327</v>
          </cell>
          <cell r="GP148">
            <v>22.98055262048209</v>
          </cell>
          <cell r="GQ148">
            <v>20.815334100005412</v>
          </cell>
          <cell r="GR148">
            <v>11.542410124339185</v>
          </cell>
          <cell r="GS148">
            <v>13.287434111037731</v>
          </cell>
          <cell r="GT148" t="str">
            <v>NM</v>
          </cell>
          <cell r="GU148" t="str">
            <v>NM</v>
          </cell>
          <cell r="GV148" t="str">
            <v>NM</v>
          </cell>
          <cell r="GW148" t="str">
            <v>NM</v>
          </cell>
          <cell r="GX148" t="str">
            <v>NM</v>
          </cell>
          <cell r="GY148" t="str">
            <v>NM</v>
          </cell>
          <cell r="GZ148" t="str">
            <v>NM</v>
          </cell>
        </row>
        <row r="150">
          <cell r="CT150" t="str">
            <v>--</v>
          </cell>
          <cell r="CU150" t="str">
            <v>--</v>
          </cell>
          <cell r="CV150" t="str">
            <v>--</v>
          </cell>
          <cell r="CW150" t="str">
            <v>--</v>
          </cell>
          <cell r="CY150" t="str">
            <v>--</v>
          </cell>
          <cell r="CZ150" t="str">
            <v>--</v>
          </cell>
          <cell r="DA150" t="str">
            <v>--</v>
          </cell>
          <cell r="DB150" t="str">
            <v>--</v>
          </cell>
          <cell r="DD150">
            <v>-0.14928883413596131</v>
          </cell>
          <cell r="DE150">
            <v>1.7645165032774506</v>
          </cell>
          <cell r="DF150">
            <v>2.0753572250464706E-2</v>
          </cell>
          <cell r="DG150">
            <v>-1.3402867241436327</v>
          </cell>
          <cell r="DI150">
            <v>-1.8000884312019414</v>
          </cell>
          <cell r="DJ150">
            <v>-0.50780962284179099</v>
          </cell>
          <cell r="DK150">
            <v>-0.22688224027966269</v>
          </cell>
          <cell r="DL150">
            <v>-1.3406390699141879</v>
          </cell>
          <cell r="DN150">
            <v>4.8814305769404918</v>
          </cell>
          <cell r="DO150">
            <v>1.9558221900975754</v>
          </cell>
          <cell r="DP150">
            <v>2.6356096549537043</v>
          </cell>
          <cell r="DQ150" t="str">
            <v>NM</v>
          </cell>
          <cell r="DS150" t="str">
            <v>NM</v>
          </cell>
          <cell r="DT150" t="str">
            <v>NM</v>
          </cell>
          <cell r="DU150" t="str">
            <v>NM</v>
          </cell>
          <cell r="DV150" t="str">
            <v>NM</v>
          </cell>
          <cell r="DX150" t="str">
            <v>NM</v>
          </cell>
          <cell r="DY150">
            <v>3.6845940675356488</v>
          </cell>
          <cell r="DZ150">
            <v>3.8402133185727627</v>
          </cell>
          <cell r="EA150">
            <v>0.60281585260343395</v>
          </cell>
          <cell r="FV150">
            <v>1.5785125588697051</v>
          </cell>
          <cell r="FW150">
            <v>-0.13748599728789665</v>
          </cell>
          <cell r="FX150">
            <v>-0.87391597993143577</v>
          </cell>
          <cell r="FY150">
            <v>3.7601819844781819</v>
          </cell>
          <cell r="FZ150" t="str">
            <v>NM</v>
          </cell>
          <cell r="GA150" t="str">
            <v>NM</v>
          </cell>
          <cell r="GL150" t="str">
            <v>NM</v>
          </cell>
          <cell r="GM150" t="str">
            <v>NM</v>
          </cell>
          <cell r="GN150">
            <v>0.66599423960959625</v>
          </cell>
          <cell r="GO150">
            <v>0.63897279625920944</v>
          </cell>
          <cell r="GP150">
            <v>1.0585248707985389</v>
          </cell>
          <cell r="GQ150">
            <v>0.71088113720512525</v>
          </cell>
          <cell r="GR150">
            <v>-0.26765438478127673</v>
          </cell>
          <cell r="GS150">
            <v>1.7363280612216951</v>
          </cell>
          <cell r="GT150">
            <v>1.2006171622732138</v>
          </cell>
          <cell r="GU150">
            <v>1.0235289726506873</v>
          </cell>
          <cell r="GV150">
            <v>0.7173842171777699</v>
          </cell>
          <cell r="GW150">
            <v>1.0816317299145608</v>
          </cell>
          <cell r="GX150">
            <v>3.1479282560551014</v>
          </cell>
          <cell r="GY150">
            <v>1.2594531938784048</v>
          </cell>
          <cell r="GZ150">
            <v>1.2101680806605124</v>
          </cell>
        </row>
        <row r="152">
          <cell r="FY152">
            <v>78000</v>
          </cell>
        </row>
        <row r="160">
          <cell r="CT160" t="str">
            <v>F1998 Restated for JIT</v>
          </cell>
          <cell r="CY160" t="str">
            <v>F1999 Restated for JIT</v>
          </cell>
          <cell r="DD160" t="str">
            <v>F2000 Restated for JIT</v>
          </cell>
          <cell r="DI160" t="str">
            <v>F2001 Restated for JIT</v>
          </cell>
          <cell r="DN160" t="str">
            <v>F2002</v>
          </cell>
          <cell r="DS160" t="str">
            <v>F2003</v>
          </cell>
          <cell r="DX160" t="str">
            <v>F2004E</v>
          </cell>
        </row>
        <row r="161">
          <cell r="CT161" t="str">
            <v>6/97</v>
          </cell>
          <cell r="CU161" t="str">
            <v>9/97</v>
          </cell>
          <cell r="CV161" t="str">
            <v xml:space="preserve"> 12/97</v>
          </cell>
          <cell r="CW161" t="str">
            <v xml:space="preserve"> 3/98</v>
          </cell>
          <cell r="CY161" t="str">
            <v>6/98</v>
          </cell>
          <cell r="CZ161" t="str">
            <v>9/98</v>
          </cell>
          <cell r="DA161" t="str">
            <v xml:space="preserve"> 12/98</v>
          </cell>
          <cell r="DB161" t="str">
            <v xml:space="preserve"> 3/99</v>
          </cell>
          <cell r="DD161" t="str">
            <v>6/99</v>
          </cell>
          <cell r="DE161" t="str">
            <v>9/99</v>
          </cell>
          <cell r="DF161" t="str">
            <v xml:space="preserve"> 12/99</v>
          </cell>
          <cell r="DG161" t="str">
            <v xml:space="preserve"> 3/00</v>
          </cell>
          <cell r="DI161" t="str">
            <v>6/00</v>
          </cell>
          <cell r="DJ161" t="str">
            <v>9/00</v>
          </cell>
          <cell r="DK161" t="str">
            <v xml:space="preserve"> 12/00</v>
          </cell>
          <cell r="DL161" t="str">
            <v xml:space="preserve"> 3/01</v>
          </cell>
          <cell r="DN161" t="str">
            <v>6/01</v>
          </cell>
          <cell r="DO161" t="str">
            <v>9/01</v>
          </cell>
          <cell r="DP161" t="str">
            <v xml:space="preserve"> 12/01</v>
          </cell>
          <cell r="DQ161" t="str">
            <v xml:space="preserve"> 3/02</v>
          </cell>
          <cell r="DS161" t="str">
            <v>6/02</v>
          </cell>
          <cell r="DT161" t="str">
            <v>9/02</v>
          </cell>
          <cell r="DU161" t="str">
            <v xml:space="preserve"> 12/02</v>
          </cell>
          <cell r="DV161" t="str">
            <v xml:space="preserve"> 3/03</v>
          </cell>
          <cell r="DX161" t="str">
            <v>6/03</v>
          </cell>
          <cell r="DY161" t="str">
            <v>9/03</v>
          </cell>
          <cell r="DZ161" t="str">
            <v xml:space="preserve"> 12/03</v>
          </cell>
          <cell r="EA161" t="str">
            <v xml:space="preserve"> 3/04E</v>
          </cell>
          <cell r="FV161" t="str">
            <v>F1999</v>
          </cell>
          <cell r="FW161" t="str">
            <v>F2000</v>
          </cell>
          <cell r="FX161" t="str">
            <v>F2001</v>
          </cell>
          <cell r="FY161" t="str">
            <v>F2002</v>
          </cell>
          <cell r="FZ161" t="str">
            <v>F2003</v>
          </cell>
          <cell r="GA161" t="str">
            <v>F2004E</v>
          </cell>
          <cell r="GE161" t="str">
            <v>C1998</v>
          </cell>
          <cell r="GF161" t="str">
            <v>C1999</v>
          </cell>
          <cell r="GG161" t="str">
            <v>C2000</v>
          </cell>
          <cell r="GH161" t="str">
            <v>C2001</v>
          </cell>
          <cell r="GI161" t="str">
            <v>C2002</v>
          </cell>
          <cell r="GJ161" t="str">
            <v>C2003</v>
          </cell>
          <cell r="GL161">
            <v>2002</v>
          </cell>
          <cell r="GM161">
            <v>2003</v>
          </cell>
          <cell r="GN161">
            <v>2004</v>
          </cell>
          <cell r="GO161">
            <v>2005</v>
          </cell>
          <cell r="GP161">
            <v>2006</v>
          </cell>
          <cell r="GQ161">
            <v>2007</v>
          </cell>
          <cell r="GR161">
            <v>2008</v>
          </cell>
          <cell r="GS161">
            <v>2009</v>
          </cell>
          <cell r="GT161">
            <v>2010</v>
          </cell>
          <cell r="GU161">
            <v>2011</v>
          </cell>
          <cell r="GV161">
            <v>2012</v>
          </cell>
          <cell r="GW161">
            <v>2013</v>
          </cell>
          <cell r="GX161">
            <v>2014</v>
          </cell>
          <cell r="GY161">
            <v>2015</v>
          </cell>
          <cell r="GZ161">
            <v>2016</v>
          </cell>
        </row>
        <row r="166">
          <cell r="CT166" t="str">
            <v xml:space="preserve"> --</v>
          </cell>
          <cell r="CU166" t="str">
            <v xml:space="preserve"> --</v>
          </cell>
          <cell r="CV166" t="str">
            <v xml:space="preserve"> --</v>
          </cell>
          <cell r="CW166" t="str">
            <v xml:space="preserve"> --</v>
          </cell>
          <cell r="CY166" t="str">
            <v xml:space="preserve"> --</v>
          </cell>
          <cell r="CZ166" t="str">
            <v xml:space="preserve"> --</v>
          </cell>
          <cell r="DA166" t="str">
            <v xml:space="preserve"> --</v>
          </cell>
          <cell r="DB166" t="str">
            <v xml:space="preserve"> --</v>
          </cell>
          <cell r="DD166" t="str">
            <v xml:space="preserve"> --</v>
          </cell>
          <cell r="DE166" t="str">
            <v xml:space="preserve"> --</v>
          </cell>
          <cell r="DF166" t="str">
            <v xml:space="preserve"> --</v>
          </cell>
          <cell r="DG166" t="str">
            <v xml:space="preserve"> --</v>
          </cell>
          <cell r="DI166" t="str">
            <v xml:space="preserve"> --</v>
          </cell>
          <cell r="DJ166" t="str">
            <v xml:space="preserve"> --</v>
          </cell>
          <cell r="DK166" t="str">
            <v xml:space="preserve"> --</v>
          </cell>
          <cell r="DL166" t="str">
            <v xml:space="preserve"> --</v>
          </cell>
        </row>
        <row r="167">
          <cell r="CT167" t="str">
            <v xml:space="preserve"> --</v>
          </cell>
          <cell r="CU167" t="str">
            <v xml:space="preserve"> --</v>
          </cell>
          <cell r="CV167" t="str">
            <v xml:space="preserve"> --</v>
          </cell>
          <cell r="CW167" t="str">
            <v xml:space="preserve"> --</v>
          </cell>
          <cell r="CY167" t="str">
            <v xml:space="preserve"> --</v>
          </cell>
          <cell r="CZ167" t="str">
            <v xml:space="preserve"> --</v>
          </cell>
          <cell r="DA167" t="str">
            <v xml:space="preserve"> --</v>
          </cell>
          <cell r="DB167" t="str">
            <v xml:space="preserve"> --</v>
          </cell>
          <cell r="DD167" t="str">
            <v xml:space="preserve"> --</v>
          </cell>
          <cell r="DE167" t="str">
            <v xml:space="preserve"> --</v>
          </cell>
          <cell r="DF167" t="str">
            <v xml:space="preserve"> --</v>
          </cell>
          <cell r="DG167" t="str">
            <v xml:space="preserve"> --</v>
          </cell>
          <cell r="DI167" t="str">
            <v xml:space="preserve"> --</v>
          </cell>
          <cell r="DJ167" t="str">
            <v xml:space="preserve"> --</v>
          </cell>
          <cell r="DK167" t="str">
            <v xml:space="preserve"> --</v>
          </cell>
          <cell r="DL167" t="str">
            <v xml:space="preserve"> --</v>
          </cell>
        </row>
        <row r="168">
          <cell r="CT168" t="str">
            <v xml:space="preserve"> --</v>
          </cell>
          <cell r="CU168" t="str">
            <v xml:space="preserve"> --</v>
          </cell>
          <cell r="CV168" t="str">
            <v xml:space="preserve"> --</v>
          </cell>
          <cell r="CW168" t="str">
            <v xml:space="preserve"> --</v>
          </cell>
          <cell r="CY168" t="str">
            <v xml:space="preserve"> --</v>
          </cell>
          <cell r="CZ168" t="str">
            <v xml:space="preserve"> --</v>
          </cell>
          <cell r="DA168" t="str">
            <v xml:space="preserve"> --</v>
          </cell>
          <cell r="DB168" t="str">
            <v xml:space="preserve"> --</v>
          </cell>
          <cell r="DD168" t="str">
            <v xml:space="preserve"> --</v>
          </cell>
          <cell r="DE168" t="str">
            <v xml:space="preserve"> --</v>
          </cell>
          <cell r="DF168" t="str">
            <v xml:space="preserve"> --</v>
          </cell>
          <cell r="DG168" t="str">
            <v xml:space="preserve"> --</v>
          </cell>
          <cell r="DI168" t="str">
            <v xml:space="preserve"> --</v>
          </cell>
          <cell r="DJ168" t="str">
            <v xml:space="preserve"> --</v>
          </cell>
          <cell r="DK168" t="str">
            <v xml:space="preserve"> --</v>
          </cell>
          <cell r="DL168" t="str">
            <v xml:space="preserve"> --</v>
          </cell>
        </row>
        <row r="169">
          <cell r="CT169" t="str">
            <v xml:space="preserve"> --</v>
          </cell>
          <cell r="CU169" t="str">
            <v xml:space="preserve"> --</v>
          </cell>
          <cell r="CV169" t="str">
            <v xml:space="preserve"> --</v>
          </cell>
          <cell r="CW169" t="str">
            <v xml:space="preserve"> --</v>
          </cell>
          <cell r="CY169" t="str">
            <v xml:space="preserve"> --</v>
          </cell>
          <cell r="CZ169" t="str">
            <v xml:space="preserve"> --</v>
          </cell>
          <cell r="DA169" t="str">
            <v xml:space="preserve"> --</v>
          </cell>
          <cell r="DB169" t="str">
            <v xml:space="preserve"> --</v>
          </cell>
          <cell r="DD169" t="str">
            <v xml:space="preserve"> --</v>
          </cell>
          <cell r="DE169" t="str">
            <v xml:space="preserve"> --</v>
          </cell>
          <cell r="DF169" t="str">
            <v xml:space="preserve"> --</v>
          </cell>
          <cell r="DG169" t="str">
            <v xml:space="preserve"> --</v>
          </cell>
          <cell r="DI169" t="str">
            <v xml:space="preserve"> --</v>
          </cell>
          <cell r="DJ169" t="str">
            <v xml:space="preserve"> --</v>
          </cell>
          <cell r="DK169" t="str">
            <v xml:space="preserve"> --</v>
          </cell>
          <cell r="DL169" t="str">
            <v xml:space="preserve"> --</v>
          </cell>
        </row>
        <row r="170">
          <cell r="CT170" t="str">
            <v xml:space="preserve"> --</v>
          </cell>
          <cell r="CU170" t="str">
            <v xml:space="preserve"> --</v>
          </cell>
          <cell r="CV170" t="str">
            <v xml:space="preserve"> --</v>
          </cell>
          <cell r="CW170" t="str">
            <v xml:space="preserve"> --</v>
          </cell>
          <cell r="CY170" t="str">
            <v xml:space="preserve"> --</v>
          </cell>
          <cell r="CZ170" t="str">
            <v xml:space="preserve"> --</v>
          </cell>
          <cell r="DA170" t="str">
            <v xml:space="preserve"> --</v>
          </cell>
          <cell r="DB170" t="str">
            <v xml:space="preserve"> --</v>
          </cell>
          <cell r="DD170" t="str">
            <v xml:space="preserve"> --</v>
          </cell>
          <cell r="DE170" t="str">
            <v xml:space="preserve"> --</v>
          </cell>
          <cell r="DF170" t="str">
            <v xml:space="preserve"> --</v>
          </cell>
          <cell r="DG170" t="str">
            <v xml:space="preserve"> --</v>
          </cell>
          <cell r="DI170" t="str">
            <v xml:space="preserve"> --</v>
          </cell>
          <cell r="DJ170" t="str">
            <v xml:space="preserve"> --</v>
          </cell>
          <cell r="DK170" t="str">
            <v xml:space="preserve"> --</v>
          </cell>
          <cell r="DL170" t="str">
            <v xml:space="preserve"> --</v>
          </cell>
        </row>
        <row r="171">
          <cell r="CT171" t="str">
            <v xml:space="preserve"> --</v>
          </cell>
          <cell r="CU171" t="str">
            <v xml:space="preserve"> --</v>
          </cell>
          <cell r="CV171" t="str">
            <v xml:space="preserve"> --</v>
          </cell>
          <cell r="CW171" t="str">
            <v xml:space="preserve"> --</v>
          </cell>
          <cell r="CY171" t="str">
            <v xml:space="preserve"> --</v>
          </cell>
          <cell r="CZ171" t="str">
            <v xml:space="preserve"> --</v>
          </cell>
          <cell r="DA171" t="str">
            <v xml:space="preserve"> --</v>
          </cell>
          <cell r="DB171" t="str">
            <v xml:space="preserve"> --</v>
          </cell>
          <cell r="DD171" t="str">
            <v xml:space="preserve"> --</v>
          </cell>
          <cell r="DE171" t="str">
            <v xml:space="preserve"> --</v>
          </cell>
          <cell r="DF171" t="str">
            <v xml:space="preserve"> --</v>
          </cell>
          <cell r="DG171" t="str">
            <v xml:space="preserve"> --</v>
          </cell>
          <cell r="DI171" t="str">
            <v xml:space="preserve"> --</v>
          </cell>
          <cell r="DJ171" t="str">
            <v xml:space="preserve"> --</v>
          </cell>
          <cell r="DK171" t="str">
            <v xml:space="preserve"> --</v>
          </cell>
          <cell r="DL171" t="str">
            <v xml:space="preserve"> --</v>
          </cell>
        </row>
        <row r="172">
          <cell r="CT172" t="str">
            <v xml:space="preserve"> --</v>
          </cell>
          <cell r="CU172" t="str">
            <v xml:space="preserve"> --</v>
          </cell>
          <cell r="CV172" t="str">
            <v xml:space="preserve"> --</v>
          </cell>
          <cell r="CW172" t="str">
            <v xml:space="preserve"> --</v>
          </cell>
          <cell r="CY172" t="str">
            <v xml:space="preserve"> --</v>
          </cell>
          <cell r="CZ172" t="str">
            <v xml:space="preserve"> --</v>
          </cell>
          <cell r="DA172" t="str">
            <v xml:space="preserve"> --</v>
          </cell>
          <cell r="DB172" t="str">
            <v xml:space="preserve"> --</v>
          </cell>
          <cell r="DD172" t="str">
            <v xml:space="preserve"> --</v>
          </cell>
          <cell r="DE172" t="str">
            <v xml:space="preserve"> --</v>
          </cell>
          <cell r="DF172" t="str">
            <v xml:space="preserve"> --</v>
          </cell>
          <cell r="DG172" t="str">
            <v xml:space="preserve"> --</v>
          </cell>
          <cell r="DI172" t="str">
            <v xml:space="preserve"> --</v>
          </cell>
          <cell r="DJ172" t="str">
            <v xml:space="preserve"> --</v>
          </cell>
          <cell r="DK172" t="str">
            <v xml:space="preserve"> --</v>
          </cell>
          <cell r="DL172" t="str">
            <v xml:space="preserve"> --</v>
          </cell>
        </row>
        <row r="174">
          <cell r="CT174" t="str">
            <v xml:space="preserve"> --</v>
          </cell>
          <cell r="CU174" t="str">
            <v xml:space="preserve"> --</v>
          </cell>
          <cell r="CV174" t="str">
            <v xml:space="preserve"> --</v>
          </cell>
          <cell r="CW174" t="str">
            <v xml:space="preserve"> --</v>
          </cell>
          <cell r="CY174" t="str">
            <v xml:space="preserve"> --</v>
          </cell>
          <cell r="CZ174" t="str">
            <v xml:space="preserve"> --</v>
          </cell>
          <cell r="DA174" t="str">
            <v xml:space="preserve"> --</v>
          </cell>
          <cell r="DB174" t="str">
            <v xml:space="preserve"> --</v>
          </cell>
          <cell r="DD174" t="str">
            <v xml:space="preserve"> --</v>
          </cell>
          <cell r="DE174" t="str">
            <v xml:space="preserve"> --</v>
          </cell>
          <cell r="DF174" t="str">
            <v xml:space="preserve"> --</v>
          </cell>
          <cell r="DG174" t="str">
            <v xml:space="preserve"> --</v>
          </cell>
          <cell r="DI174" t="str">
            <v xml:space="preserve"> --</v>
          </cell>
          <cell r="DJ174" t="str">
            <v xml:space="preserve"> --</v>
          </cell>
          <cell r="DK174" t="str">
            <v xml:space="preserve"> --</v>
          </cell>
          <cell r="DL174" t="str">
            <v xml:space="preserve"> --</v>
          </cell>
        </row>
        <row r="175">
          <cell r="CT175" t="str">
            <v xml:space="preserve"> --</v>
          </cell>
          <cell r="CU175" t="str">
            <v xml:space="preserve"> --</v>
          </cell>
          <cell r="CV175" t="str">
            <v xml:space="preserve"> --</v>
          </cell>
          <cell r="CW175" t="str">
            <v xml:space="preserve"> --</v>
          </cell>
          <cell r="CY175" t="str">
            <v xml:space="preserve"> --</v>
          </cell>
          <cell r="CZ175" t="str">
            <v xml:space="preserve"> --</v>
          </cell>
          <cell r="DA175" t="str">
            <v xml:space="preserve"> --</v>
          </cell>
          <cell r="DB175" t="str">
            <v xml:space="preserve"> --</v>
          </cell>
          <cell r="DD175" t="str">
            <v xml:space="preserve"> --</v>
          </cell>
          <cell r="DE175" t="str">
            <v xml:space="preserve"> --</v>
          </cell>
          <cell r="DF175" t="str">
            <v xml:space="preserve"> --</v>
          </cell>
          <cell r="DG175" t="str">
            <v xml:space="preserve"> --</v>
          </cell>
          <cell r="DI175" t="str">
            <v xml:space="preserve"> --</v>
          </cell>
          <cell r="DJ175" t="str">
            <v xml:space="preserve"> --</v>
          </cell>
          <cell r="DK175" t="str">
            <v xml:space="preserve"> --</v>
          </cell>
          <cell r="DL175" t="str">
            <v xml:space="preserve"> --</v>
          </cell>
        </row>
        <row r="176">
          <cell r="CT176" t="str">
            <v xml:space="preserve"> --</v>
          </cell>
          <cell r="CU176" t="str">
            <v xml:space="preserve"> --</v>
          </cell>
          <cell r="CV176" t="str">
            <v xml:space="preserve"> --</v>
          </cell>
          <cell r="CW176" t="str">
            <v xml:space="preserve"> --</v>
          </cell>
          <cell r="CY176" t="str">
            <v xml:space="preserve"> --</v>
          </cell>
          <cell r="CZ176" t="str">
            <v xml:space="preserve"> --</v>
          </cell>
          <cell r="DA176" t="str">
            <v xml:space="preserve"> --</v>
          </cell>
          <cell r="DB176" t="str">
            <v xml:space="preserve"> --</v>
          </cell>
          <cell r="DD176" t="str">
            <v xml:space="preserve"> --</v>
          </cell>
          <cell r="DE176" t="str">
            <v xml:space="preserve"> --</v>
          </cell>
          <cell r="DF176" t="str">
            <v xml:space="preserve"> --</v>
          </cell>
          <cell r="DG176" t="str">
            <v xml:space="preserve"> --</v>
          </cell>
          <cell r="DI176" t="str">
            <v xml:space="preserve"> --</v>
          </cell>
          <cell r="DJ176" t="str">
            <v xml:space="preserve"> --</v>
          </cell>
          <cell r="DK176" t="str">
            <v xml:space="preserve"> --</v>
          </cell>
          <cell r="DL176" t="str">
            <v xml:space="preserve"> --</v>
          </cell>
        </row>
        <row r="177">
          <cell r="CT177" t="str">
            <v xml:space="preserve"> --</v>
          </cell>
          <cell r="CU177" t="str">
            <v xml:space="preserve"> --</v>
          </cell>
          <cell r="CV177" t="str">
            <v xml:space="preserve"> --</v>
          </cell>
          <cell r="CW177" t="str">
            <v xml:space="preserve"> --</v>
          </cell>
          <cell r="CY177" t="str">
            <v xml:space="preserve"> --</v>
          </cell>
          <cell r="CZ177" t="str">
            <v xml:space="preserve"> --</v>
          </cell>
          <cell r="DA177" t="str">
            <v xml:space="preserve"> --</v>
          </cell>
          <cell r="DB177" t="str">
            <v xml:space="preserve"> --</v>
          </cell>
          <cell r="DD177" t="str">
            <v xml:space="preserve"> --</v>
          </cell>
          <cell r="DE177" t="str">
            <v xml:space="preserve"> --</v>
          </cell>
          <cell r="DF177" t="str">
            <v xml:space="preserve"> --</v>
          </cell>
          <cell r="DG177" t="str">
            <v xml:space="preserve"> --</v>
          </cell>
          <cell r="DI177" t="str">
            <v xml:space="preserve"> --</v>
          </cell>
          <cell r="DJ177" t="str">
            <v xml:space="preserve"> --</v>
          </cell>
          <cell r="DK177" t="str">
            <v xml:space="preserve"> --</v>
          </cell>
          <cell r="DL177" t="str">
            <v xml:space="preserve"> --</v>
          </cell>
        </row>
        <row r="178">
          <cell r="CT178" t="str">
            <v xml:space="preserve"> --</v>
          </cell>
          <cell r="CU178" t="str">
            <v xml:space="preserve"> --</v>
          </cell>
          <cell r="CV178" t="str">
            <v xml:space="preserve"> --</v>
          </cell>
          <cell r="CW178" t="str">
            <v xml:space="preserve"> --</v>
          </cell>
          <cell r="CY178" t="str">
            <v xml:space="preserve"> --</v>
          </cell>
          <cell r="CZ178" t="str">
            <v xml:space="preserve"> --</v>
          </cell>
          <cell r="DA178" t="str">
            <v xml:space="preserve"> --</v>
          </cell>
          <cell r="DB178" t="str">
            <v xml:space="preserve"> --</v>
          </cell>
          <cell r="DD178" t="str">
            <v xml:space="preserve"> --</v>
          </cell>
          <cell r="DE178" t="str">
            <v xml:space="preserve"> --</v>
          </cell>
          <cell r="DF178" t="str">
            <v xml:space="preserve"> --</v>
          </cell>
          <cell r="DG178" t="str">
            <v xml:space="preserve"> --</v>
          </cell>
          <cell r="DI178" t="str">
            <v xml:space="preserve"> --</v>
          </cell>
          <cell r="DJ178" t="str">
            <v xml:space="preserve"> --</v>
          </cell>
          <cell r="DK178" t="str">
            <v xml:space="preserve"> --</v>
          </cell>
          <cell r="DL178" t="str">
            <v xml:space="preserve"> --</v>
          </cell>
        </row>
        <row r="179">
          <cell r="CT179" t="str">
            <v xml:space="preserve"> --</v>
          </cell>
          <cell r="CU179" t="str">
            <v xml:space="preserve"> --</v>
          </cell>
          <cell r="CV179" t="str">
            <v xml:space="preserve"> --</v>
          </cell>
          <cell r="CW179" t="str">
            <v xml:space="preserve"> --</v>
          </cell>
          <cell r="CY179" t="str">
            <v xml:space="preserve"> --</v>
          </cell>
          <cell r="CZ179" t="str">
            <v xml:space="preserve"> --</v>
          </cell>
          <cell r="DA179" t="str">
            <v xml:space="preserve"> --</v>
          </cell>
          <cell r="DB179" t="str">
            <v xml:space="preserve"> --</v>
          </cell>
          <cell r="DD179" t="str">
            <v xml:space="preserve"> --</v>
          </cell>
          <cell r="DE179" t="str">
            <v xml:space="preserve"> --</v>
          </cell>
          <cell r="DF179" t="str">
            <v xml:space="preserve"> --</v>
          </cell>
          <cell r="DG179" t="str">
            <v xml:space="preserve"> --</v>
          </cell>
          <cell r="DI179" t="str">
            <v xml:space="preserve"> --</v>
          </cell>
          <cell r="DJ179" t="str">
            <v xml:space="preserve"> --</v>
          </cell>
          <cell r="DK179" t="str">
            <v xml:space="preserve"> --</v>
          </cell>
          <cell r="DL179" t="str">
            <v xml:space="preserve"> --</v>
          </cell>
        </row>
        <row r="180">
          <cell r="CT180" t="str">
            <v xml:space="preserve"> --</v>
          </cell>
          <cell r="CU180" t="str">
            <v xml:space="preserve"> --</v>
          </cell>
          <cell r="CV180" t="str">
            <v xml:space="preserve"> --</v>
          </cell>
          <cell r="CW180" t="str">
            <v xml:space="preserve"> --</v>
          </cell>
          <cell r="CY180" t="str">
            <v xml:space="preserve"> --</v>
          </cell>
          <cell r="CZ180" t="str">
            <v xml:space="preserve"> --</v>
          </cell>
          <cell r="DA180" t="str">
            <v xml:space="preserve"> --</v>
          </cell>
          <cell r="DB180" t="str">
            <v xml:space="preserve"> --</v>
          </cell>
          <cell r="DD180" t="str">
            <v xml:space="preserve"> --</v>
          </cell>
          <cell r="DE180" t="str">
            <v xml:space="preserve"> --</v>
          </cell>
          <cell r="DF180" t="str">
            <v xml:space="preserve"> --</v>
          </cell>
          <cell r="DG180" t="str">
            <v xml:space="preserve"> --</v>
          </cell>
          <cell r="DI180" t="str">
            <v xml:space="preserve"> --</v>
          </cell>
          <cell r="DJ180" t="str">
            <v xml:space="preserve"> --</v>
          </cell>
          <cell r="DK180" t="str">
            <v xml:space="preserve"> --</v>
          </cell>
          <cell r="DL180" t="str">
            <v xml:space="preserve"> --</v>
          </cell>
        </row>
        <row r="181">
          <cell r="CT181" t="str">
            <v xml:space="preserve"> --</v>
          </cell>
          <cell r="CU181" t="str">
            <v xml:space="preserve"> --</v>
          </cell>
          <cell r="CV181" t="str">
            <v xml:space="preserve"> --</v>
          </cell>
          <cell r="CW181" t="str">
            <v xml:space="preserve"> --</v>
          </cell>
          <cell r="CY181" t="str">
            <v xml:space="preserve"> --</v>
          </cell>
          <cell r="CZ181" t="str">
            <v xml:space="preserve"> --</v>
          </cell>
          <cell r="DA181" t="str">
            <v xml:space="preserve"> --</v>
          </cell>
          <cell r="DB181" t="str">
            <v xml:space="preserve"> --</v>
          </cell>
          <cell r="DD181" t="str">
            <v xml:space="preserve"> --</v>
          </cell>
          <cell r="DE181" t="str">
            <v xml:space="preserve"> --</v>
          </cell>
          <cell r="DF181" t="str">
            <v xml:space="preserve"> --</v>
          </cell>
          <cell r="DG181" t="str">
            <v xml:space="preserve"> --</v>
          </cell>
          <cell r="DI181" t="str">
            <v xml:space="preserve"> --</v>
          </cell>
          <cell r="DJ181" t="str">
            <v xml:space="preserve"> --</v>
          </cell>
          <cell r="DK181" t="str">
            <v xml:space="preserve"> --</v>
          </cell>
          <cell r="DL181" t="str">
            <v xml:space="preserve"> --</v>
          </cell>
        </row>
        <row r="183">
          <cell r="CT183" t="str">
            <v xml:space="preserve"> --</v>
          </cell>
          <cell r="CU183" t="str">
            <v xml:space="preserve"> --</v>
          </cell>
          <cell r="CV183" t="str">
            <v xml:space="preserve"> --</v>
          </cell>
          <cell r="CW183" t="str">
            <v xml:space="preserve"> --</v>
          </cell>
          <cell r="CY183" t="str">
            <v xml:space="preserve"> --</v>
          </cell>
          <cell r="CZ183" t="str">
            <v xml:space="preserve"> --</v>
          </cell>
          <cell r="DA183" t="str">
            <v xml:space="preserve"> --</v>
          </cell>
          <cell r="DB183" t="str">
            <v xml:space="preserve"> --</v>
          </cell>
          <cell r="DD183" t="str">
            <v xml:space="preserve"> --</v>
          </cell>
          <cell r="DE183" t="str">
            <v xml:space="preserve"> --</v>
          </cell>
          <cell r="DF183" t="str">
            <v xml:space="preserve"> --</v>
          </cell>
          <cell r="DG183" t="str">
            <v xml:space="preserve"> --</v>
          </cell>
          <cell r="DI183" t="str">
            <v xml:space="preserve"> --</v>
          </cell>
          <cell r="DJ183" t="str">
            <v xml:space="preserve"> --</v>
          </cell>
          <cell r="DK183" t="str">
            <v xml:space="preserve"> --</v>
          </cell>
          <cell r="DL183" t="str">
            <v xml:space="preserve"> --</v>
          </cell>
        </row>
        <row r="184">
          <cell r="CT184" t="str">
            <v xml:space="preserve"> --</v>
          </cell>
          <cell r="CU184" t="str">
            <v xml:space="preserve"> --</v>
          </cell>
          <cell r="CV184" t="str">
            <v xml:space="preserve"> --</v>
          </cell>
          <cell r="CW184" t="str">
            <v xml:space="preserve"> --</v>
          </cell>
          <cell r="CY184" t="str">
            <v xml:space="preserve"> --</v>
          </cell>
          <cell r="CZ184" t="str">
            <v xml:space="preserve"> --</v>
          </cell>
          <cell r="DA184" t="str">
            <v xml:space="preserve"> --</v>
          </cell>
          <cell r="DB184" t="str">
            <v xml:space="preserve"> --</v>
          </cell>
          <cell r="DD184" t="str">
            <v xml:space="preserve"> --</v>
          </cell>
          <cell r="DE184" t="str">
            <v xml:space="preserve"> --</v>
          </cell>
          <cell r="DF184" t="str">
            <v xml:space="preserve"> --</v>
          </cell>
          <cell r="DG184" t="str">
            <v xml:space="preserve"> --</v>
          </cell>
          <cell r="DI184" t="str">
            <v xml:space="preserve"> --</v>
          </cell>
          <cell r="DJ184" t="str">
            <v xml:space="preserve"> --</v>
          </cell>
          <cell r="DK184" t="str">
            <v xml:space="preserve"> --</v>
          </cell>
          <cell r="DL184" t="str">
            <v xml:space="preserve"> --</v>
          </cell>
        </row>
        <row r="185">
          <cell r="CT185" t="str">
            <v xml:space="preserve"> --</v>
          </cell>
          <cell r="CU185" t="str">
            <v xml:space="preserve"> --</v>
          </cell>
          <cell r="CV185" t="str">
            <v xml:space="preserve"> --</v>
          </cell>
          <cell r="CW185" t="str">
            <v xml:space="preserve"> --</v>
          </cell>
          <cell r="CY185" t="str">
            <v xml:space="preserve"> --</v>
          </cell>
          <cell r="CZ185" t="str">
            <v xml:space="preserve"> --</v>
          </cell>
          <cell r="DA185" t="str">
            <v xml:space="preserve"> --</v>
          </cell>
          <cell r="DB185" t="str">
            <v xml:space="preserve"> --</v>
          </cell>
          <cell r="DD185" t="str">
            <v xml:space="preserve"> --</v>
          </cell>
          <cell r="DE185" t="str">
            <v xml:space="preserve"> --</v>
          </cell>
          <cell r="DF185" t="str">
            <v xml:space="preserve"> --</v>
          </cell>
          <cell r="DG185" t="str">
            <v xml:space="preserve"> --</v>
          </cell>
          <cell r="DI185" t="str">
            <v xml:space="preserve"> --</v>
          </cell>
          <cell r="DJ185" t="str">
            <v xml:space="preserve"> --</v>
          </cell>
          <cell r="DK185" t="str">
            <v xml:space="preserve"> --</v>
          </cell>
          <cell r="DL185" t="str">
            <v xml:space="preserve"> --</v>
          </cell>
        </row>
        <row r="186">
          <cell r="CT186" t="str">
            <v xml:space="preserve"> --</v>
          </cell>
          <cell r="CU186" t="str">
            <v xml:space="preserve"> --</v>
          </cell>
          <cell r="CV186" t="str">
            <v xml:space="preserve"> --</v>
          </cell>
          <cell r="CW186" t="str">
            <v xml:space="preserve"> --</v>
          </cell>
          <cell r="CY186" t="str">
            <v xml:space="preserve"> --</v>
          </cell>
          <cell r="CZ186" t="str">
            <v xml:space="preserve"> --</v>
          </cell>
          <cell r="DA186" t="str">
            <v xml:space="preserve"> --</v>
          </cell>
          <cell r="DB186" t="str">
            <v xml:space="preserve"> --</v>
          </cell>
          <cell r="DD186" t="str">
            <v xml:space="preserve"> --</v>
          </cell>
          <cell r="DE186" t="str">
            <v xml:space="preserve"> --</v>
          </cell>
          <cell r="DF186" t="str">
            <v xml:space="preserve"> --</v>
          </cell>
          <cell r="DG186" t="str">
            <v xml:space="preserve"> --</v>
          </cell>
          <cell r="DI186" t="str">
            <v xml:space="preserve"> --</v>
          </cell>
          <cell r="DJ186" t="str">
            <v xml:space="preserve"> --</v>
          </cell>
          <cell r="DK186" t="str">
            <v xml:space="preserve"> --</v>
          </cell>
          <cell r="DL186" t="str">
            <v xml:space="preserve"> --</v>
          </cell>
        </row>
        <row r="187">
          <cell r="CT187" t="str">
            <v xml:space="preserve"> --</v>
          </cell>
          <cell r="CU187" t="str">
            <v xml:space="preserve"> --</v>
          </cell>
          <cell r="CV187" t="str">
            <v xml:space="preserve"> --</v>
          </cell>
          <cell r="CW187" t="str">
            <v xml:space="preserve"> --</v>
          </cell>
          <cell r="CY187" t="str">
            <v xml:space="preserve"> --</v>
          </cell>
          <cell r="CZ187" t="str">
            <v xml:space="preserve"> --</v>
          </cell>
          <cell r="DA187" t="str">
            <v xml:space="preserve"> --</v>
          </cell>
          <cell r="DB187" t="str">
            <v xml:space="preserve"> --</v>
          </cell>
          <cell r="DD187" t="str">
            <v xml:space="preserve"> --</v>
          </cell>
          <cell r="DE187" t="str">
            <v xml:space="preserve"> --</v>
          </cell>
          <cell r="DF187" t="str">
            <v xml:space="preserve"> --</v>
          </cell>
          <cell r="DG187" t="str">
            <v xml:space="preserve"> --</v>
          </cell>
          <cell r="DI187" t="str">
            <v xml:space="preserve"> --</v>
          </cell>
          <cell r="DJ187" t="str">
            <v xml:space="preserve"> --</v>
          </cell>
          <cell r="DK187" t="str">
            <v xml:space="preserve"> --</v>
          </cell>
          <cell r="DL187" t="str">
            <v xml:space="preserve"> --</v>
          </cell>
        </row>
        <row r="188">
          <cell r="CT188" t="str">
            <v xml:space="preserve"> --</v>
          </cell>
          <cell r="CU188" t="str">
            <v xml:space="preserve"> --</v>
          </cell>
          <cell r="CV188" t="str">
            <v xml:space="preserve"> --</v>
          </cell>
          <cell r="CW188" t="str">
            <v xml:space="preserve"> --</v>
          </cell>
          <cell r="CY188" t="str">
            <v xml:space="preserve"> --</v>
          </cell>
          <cell r="CZ188" t="str">
            <v xml:space="preserve"> --</v>
          </cell>
          <cell r="DA188" t="str">
            <v xml:space="preserve"> --</v>
          </cell>
          <cell r="DB188" t="str">
            <v xml:space="preserve"> --</v>
          </cell>
          <cell r="DD188" t="str">
            <v xml:space="preserve"> --</v>
          </cell>
          <cell r="DE188" t="str">
            <v xml:space="preserve"> --</v>
          </cell>
          <cell r="DF188" t="str">
            <v xml:space="preserve"> --</v>
          </cell>
          <cell r="DG188" t="str">
            <v xml:space="preserve"> --</v>
          </cell>
          <cell r="DI188" t="str">
            <v xml:space="preserve"> --</v>
          </cell>
          <cell r="DJ188" t="str">
            <v xml:space="preserve"> --</v>
          </cell>
          <cell r="DK188" t="str">
            <v xml:space="preserve"> --</v>
          </cell>
          <cell r="DL188" t="str">
            <v xml:space="preserve"> --</v>
          </cell>
        </row>
        <row r="189">
          <cell r="CT189" t="str">
            <v xml:space="preserve"> --</v>
          </cell>
          <cell r="CU189" t="str">
            <v xml:space="preserve"> --</v>
          </cell>
          <cell r="CV189" t="str">
            <v xml:space="preserve"> --</v>
          </cell>
          <cell r="CW189" t="str">
            <v xml:space="preserve"> --</v>
          </cell>
          <cell r="CY189" t="str">
            <v xml:space="preserve"> --</v>
          </cell>
          <cell r="CZ189" t="str">
            <v xml:space="preserve"> --</v>
          </cell>
          <cell r="DA189" t="str">
            <v xml:space="preserve"> --</v>
          </cell>
          <cell r="DB189" t="str">
            <v xml:space="preserve"> --</v>
          </cell>
          <cell r="DD189" t="str">
            <v xml:space="preserve"> --</v>
          </cell>
          <cell r="DE189" t="str">
            <v xml:space="preserve"> --</v>
          </cell>
          <cell r="DF189" t="str">
            <v xml:space="preserve"> --</v>
          </cell>
          <cell r="DG189" t="str">
            <v xml:space="preserve"> --</v>
          </cell>
          <cell r="DI189" t="str">
            <v xml:space="preserve"> --</v>
          </cell>
          <cell r="DJ189" t="str">
            <v xml:space="preserve"> --</v>
          </cell>
          <cell r="DK189" t="str">
            <v xml:space="preserve"> --</v>
          </cell>
          <cell r="DL189" t="str">
            <v xml:space="preserve"> --</v>
          </cell>
        </row>
        <row r="190">
          <cell r="CT190" t="str">
            <v xml:space="preserve"> --</v>
          </cell>
          <cell r="CU190" t="str">
            <v xml:space="preserve"> --</v>
          </cell>
          <cell r="CV190" t="str">
            <v xml:space="preserve"> --</v>
          </cell>
          <cell r="CW190" t="str">
            <v xml:space="preserve"> --</v>
          </cell>
          <cell r="CY190" t="str">
            <v xml:space="preserve"> --</v>
          </cell>
          <cell r="CZ190" t="str">
            <v xml:space="preserve"> --</v>
          </cell>
          <cell r="DA190" t="str">
            <v xml:space="preserve"> --</v>
          </cell>
          <cell r="DB190" t="str">
            <v xml:space="preserve"> --</v>
          </cell>
          <cell r="DD190" t="str">
            <v xml:space="preserve"> --</v>
          </cell>
          <cell r="DE190" t="str">
            <v xml:space="preserve"> --</v>
          </cell>
          <cell r="DF190" t="str">
            <v xml:space="preserve"> --</v>
          </cell>
          <cell r="DG190" t="str">
            <v xml:space="preserve"> --</v>
          </cell>
          <cell r="DI190" t="str">
            <v xml:space="preserve"> --</v>
          </cell>
          <cell r="DJ190" t="str">
            <v xml:space="preserve"> --</v>
          </cell>
          <cell r="DK190" t="str">
            <v xml:space="preserve"> --</v>
          </cell>
          <cell r="DL190" t="str">
            <v xml:space="preserve"> --</v>
          </cell>
        </row>
        <row r="197">
          <cell r="CT197" t="str">
            <v>F1998 Restated for JIT</v>
          </cell>
          <cell r="CY197" t="str">
            <v>F1999 Restated for JIT</v>
          </cell>
          <cell r="DD197" t="str">
            <v>F2000 Restated for JIT</v>
          </cell>
          <cell r="DI197" t="str">
            <v>F2001 Restated for JIT</v>
          </cell>
          <cell r="DN197" t="str">
            <v>F2002</v>
          </cell>
          <cell r="DS197" t="str">
            <v>F2003</v>
          </cell>
          <cell r="DX197" t="str">
            <v>F2004E</v>
          </cell>
        </row>
        <row r="198">
          <cell r="CT198" t="str">
            <v>6/97</v>
          </cell>
          <cell r="CU198" t="str">
            <v>9/97</v>
          </cell>
          <cell r="CV198" t="str">
            <v xml:space="preserve"> 12/97</v>
          </cell>
          <cell r="CW198" t="str">
            <v xml:space="preserve"> 3/98</v>
          </cell>
          <cell r="CY198" t="str">
            <v>6/98</v>
          </cell>
          <cell r="CZ198" t="str">
            <v>9/98</v>
          </cell>
          <cell r="DA198" t="str">
            <v xml:space="preserve"> 12/98</v>
          </cell>
          <cell r="DB198" t="str">
            <v xml:space="preserve"> 3/99</v>
          </cell>
          <cell r="DD198" t="str">
            <v>6/99</v>
          </cell>
          <cell r="DE198" t="str">
            <v>9/99</v>
          </cell>
          <cell r="DF198" t="str">
            <v xml:space="preserve"> 12/99</v>
          </cell>
          <cell r="DG198" t="str">
            <v xml:space="preserve"> 3/00</v>
          </cell>
          <cell r="DI198" t="str">
            <v>6/00</v>
          </cell>
          <cell r="DJ198" t="str">
            <v>9/00</v>
          </cell>
          <cell r="DK198" t="str">
            <v xml:space="preserve"> 12/00</v>
          </cell>
          <cell r="DL198" t="str">
            <v xml:space="preserve"> 3/01</v>
          </cell>
          <cell r="DN198" t="str">
            <v>6/01</v>
          </cell>
          <cell r="DO198" t="str">
            <v>9/01</v>
          </cell>
          <cell r="DP198" t="str">
            <v xml:space="preserve"> 12/01</v>
          </cell>
          <cell r="DQ198" t="str">
            <v xml:space="preserve"> 3/02</v>
          </cell>
          <cell r="DS198" t="str">
            <v>6/02</v>
          </cell>
          <cell r="DT198" t="str">
            <v>9/02</v>
          </cell>
          <cell r="DU198" t="str">
            <v xml:space="preserve"> 12/02</v>
          </cell>
          <cell r="DV198" t="str">
            <v xml:space="preserve"> 3/03</v>
          </cell>
          <cell r="DX198" t="str">
            <v>6/03</v>
          </cell>
          <cell r="DY198" t="str">
            <v>9/03</v>
          </cell>
          <cell r="DZ198" t="str">
            <v xml:space="preserve"> 12/03</v>
          </cell>
          <cell r="EA198" t="str">
            <v xml:space="preserve"> 3/04E</v>
          </cell>
          <cell r="FV198" t="str">
            <v>F1999</v>
          </cell>
          <cell r="FW198" t="str">
            <v>F2000</v>
          </cell>
          <cell r="FX198" t="str">
            <v>F2001</v>
          </cell>
          <cell r="FY198" t="str">
            <v>F2002</v>
          </cell>
          <cell r="FZ198" t="str">
            <v>F2003</v>
          </cell>
          <cell r="GA198" t="str">
            <v>F2004E</v>
          </cell>
          <cell r="GE198" t="str">
            <v>C1998</v>
          </cell>
          <cell r="GF198" t="str">
            <v>C1999</v>
          </cell>
          <cell r="GG198" t="str">
            <v>C2000</v>
          </cell>
          <cell r="GH198" t="str">
            <v>C2001</v>
          </cell>
          <cell r="GI198" t="str">
            <v>C2002</v>
          </cell>
          <cell r="GJ198" t="str">
            <v>C2003</v>
          </cell>
          <cell r="GL198">
            <v>2002</v>
          </cell>
          <cell r="GM198">
            <v>2003</v>
          </cell>
          <cell r="GN198">
            <v>2004</v>
          </cell>
          <cell r="GO198">
            <v>2005</v>
          </cell>
          <cell r="GP198">
            <v>2006</v>
          </cell>
          <cell r="GQ198">
            <v>2007</v>
          </cell>
          <cell r="GR198">
            <v>2008</v>
          </cell>
          <cell r="GS198">
            <v>2009</v>
          </cell>
          <cell r="GT198">
            <v>2010</v>
          </cell>
          <cell r="GU198">
            <v>2011</v>
          </cell>
          <cell r="GV198">
            <v>2012</v>
          </cell>
          <cell r="GW198">
            <v>2013</v>
          </cell>
          <cell r="GX198">
            <v>2014</v>
          </cell>
          <cell r="GY198">
            <v>2015</v>
          </cell>
          <cell r="GZ198">
            <v>2016</v>
          </cell>
        </row>
        <row r="201">
          <cell r="DD201" t="str">
            <v xml:space="preserve"> --</v>
          </cell>
          <cell r="DE201" t="str">
            <v xml:space="preserve"> --</v>
          </cell>
          <cell r="DF201">
            <v>0.53</v>
          </cell>
          <cell r="DG201">
            <v>0.54</v>
          </cell>
          <cell r="DI201">
            <v>0.53</v>
          </cell>
          <cell r="DJ201">
            <v>0.52</v>
          </cell>
          <cell r="DK201">
            <v>0.53</v>
          </cell>
          <cell r="DL201">
            <v>0.49</v>
          </cell>
          <cell r="DN201">
            <v>0.55000000000000004</v>
          </cell>
          <cell r="DO201">
            <v>0.56999999999999995</v>
          </cell>
          <cell r="DP201" t="str">
            <v>--</v>
          </cell>
          <cell r="DQ201" t="str">
            <v>--</v>
          </cell>
        </row>
        <row r="202">
          <cell r="DD202" t="str">
            <v xml:space="preserve"> --</v>
          </cell>
          <cell r="DE202" t="str">
            <v xml:space="preserve"> --</v>
          </cell>
          <cell r="DF202">
            <v>0.17</v>
          </cell>
          <cell r="DG202">
            <v>0.17</v>
          </cell>
          <cell r="DI202">
            <v>0.18</v>
          </cell>
          <cell r="DJ202">
            <v>0.22</v>
          </cell>
          <cell r="DK202">
            <v>0.23</v>
          </cell>
          <cell r="DL202">
            <v>0.17</v>
          </cell>
          <cell r="DN202">
            <v>0.11</v>
          </cell>
          <cell r="DO202">
            <v>0.1</v>
          </cell>
          <cell r="DP202" t="str">
            <v>--</v>
          </cell>
          <cell r="DQ202" t="str">
            <v>--</v>
          </cell>
        </row>
        <row r="203">
          <cell r="DD203" t="str">
            <v xml:space="preserve"> --</v>
          </cell>
          <cell r="DE203" t="str">
            <v xml:space="preserve"> --</v>
          </cell>
          <cell r="DF203">
            <v>0.36</v>
          </cell>
          <cell r="DG203">
            <v>0.37</v>
          </cell>
          <cell r="DI203">
            <v>0.35</v>
          </cell>
          <cell r="DJ203">
            <v>0.3</v>
          </cell>
          <cell r="DK203">
            <v>0.3</v>
          </cell>
          <cell r="DL203">
            <v>0.32</v>
          </cell>
          <cell r="DN203">
            <v>0.44</v>
          </cell>
          <cell r="DO203">
            <v>0.47</v>
          </cell>
          <cell r="DP203" t="str">
            <v>--</v>
          </cell>
          <cell r="DQ203" t="str">
            <v>--</v>
          </cell>
        </row>
        <row r="204">
          <cell r="DD204" t="str">
            <v xml:space="preserve"> --</v>
          </cell>
          <cell r="DE204" t="str">
            <v xml:space="preserve"> --</v>
          </cell>
          <cell r="DF204">
            <v>0.09</v>
          </cell>
          <cell r="DG204">
            <v>7.0000000000000007E-2</v>
          </cell>
          <cell r="DI204">
            <v>7.0000000000000007E-2</v>
          </cell>
          <cell r="DJ204">
            <v>0.06</v>
          </cell>
          <cell r="DK204">
            <v>0.05</v>
          </cell>
          <cell r="DL204">
            <v>0.06</v>
          </cell>
          <cell r="DN204">
            <v>0.06</v>
          </cell>
          <cell r="DO204">
            <v>0.06</v>
          </cell>
          <cell r="DP204" t="str">
            <v>--</v>
          </cell>
          <cell r="DQ204" t="str">
            <v>--</v>
          </cell>
        </row>
        <row r="205">
          <cell r="DD205" t="str">
            <v xml:space="preserve"> --</v>
          </cell>
          <cell r="DE205" t="str">
            <v xml:space="preserve"> --</v>
          </cell>
          <cell r="DF205">
            <v>0.26</v>
          </cell>
          <cell r="DG205">
            <v>0.28000000000000003</v>
          </cell>
          <cell r="DI205">
            <v>0.28999999999999998</v>
          </cell>
          <cell r="DJ205">
            <v>0.28999999999999998</v>
          </cell>
          <cell r="DK205">
            <v>0.28999999999999998</v>
          </cell>
          <cell r="DL205">
            <v>0.3</v>
          </cell>
          <cell r="DN205">
            <v>0.21</v>
          </cell>
          <cell r="DO205">
            <v>0.2</v>
          </cell>
          <cell r="DP205" t="str">
            <v>--</v>
          </cell>
          <cell r="DQ205" t="str">
            <v>--</v>
          </cell>
        </row>
        <row r="206">
          <cell r="DD206" t="str">
            <v xml:space="preserve"> --</v>
          </cell>
          <cell r="DE206" t="str">
            <v xml:space="preserve"> --</v>
          </cell>
          <cell r="DF206">
            <v>0.12</v>
          </cell>
          <cell r="DG206">
            <v>0.10999999999999988</v>
          </cell>
          <cell r="DI206">
            <v>0.10999999999999999</v>
          </cell>
          <cell r="DJ206">
            <v>0.13</v>
          </cell>
          <cell r="DK206">
            <v>0.13</v>
          </cell>
          <cell r="DL206">
            <v>0.15</v>
          </cell>
          <cell r="DN206">
            <v>0.18</v>
          </cell>
          <cell r="DO206">
            <v>0.17</v>
          </cell>
          <cell r="DP206" t="str">
            <v>--</v>
          </cell>
          <cell r="DQ206" t="str">
            <v>--</v>
          </cell>
        </row>
        <row r="208">
          <cell r="DD208" t="str">
            <v xml:space="preserve"> --</v>
          </cell>
          <cell r="DE208" t="str">
            <v xml:space="preserve"> --</v>
          </cell>
          <cell r="DF208">
            <v>5882.8329999999996</v>
          </cell>
          <cell r="DG208">
            <v>6959.1219999999994</v>
          </cell>
          <cell r="DI208">
            <v>8398.7759999999998</v>
          </cell>
          <cell r="DJ208">
            <v>9952.4079999999994</v>
          </cell>
          <cell r="DK208">
            <v>11223.960999999999</v>
          </cell>
          <cell r="DL208">
            <v>12109.699000000001</v>
          </cell>
          <cell r="DN208">
            <v>12543.323</v>
          </cell>
          <cell r="DO208">
            <v>12709.243</v>
          </cell>
          <cell r="DP208" t="str">
            <v>--</v>
          </cell>
          <cell r="DQ208" t="str">
            <v>--</v>
          </cell>
        </row>
        <row r="209">
          <cell r="DD209" t="str">
            <v xml:space="preserve"> --</v>
          </cell>
          <cell r="DE209" t="str">
            <v xml:space="preserve"> --</v>
          </cell>
          <cell r="DF209">
            <v>3117.9014899999997</v>
          </cell>
          <cell r="DG209">
            <v>3757.9258799999998</v>
          </cell>
          <cell r="DI209">
            <v>4451.3512799999999</v>
          </cell>
          <cell r="DJ209">
            <v>5175.25216</v>
          </cell>
          <cell r="DK209">
            <v>5948.6993300000004</v>
          </cell>
          <cell r="DL209">
            <v>5933.7525100000003</v>
          </cell>
          <cell r="DN209">
            <v>6898.8276500000011</v>
          </cell>
          <cell r="DO209">
            <v>7244.2685099999999</v>
          </cell>
          <cell r="DP209" t="str">
            <v>--</v>
          </cell>
          <cell r="DQ209" t="str">
            <v>--</v>
          </cell>
        </row>
        <row r="210">
          <cell r="DD210" t="str">
            <v xml:space="preserve"> --</v>
          </cell>
          <cell r="DE210" t="str">
            <v xml:space="preserve"> --</v>
          </cell>
          <cell r="DF210">
            <v>1000.08161</v>
          </cell>
          <cell r="DG210">
            <v>1183.0507399999999</v>
          </cell>
          <cell r="DI210">
            <v>1511.7796799999999</v>
          </cell>
          <cell r="DJ210">
            <v>2189.5297599999999</v>
          </cell>
          <cell r="DK210">
            <v>2581.5110300000001</v>
          </cell>
          <cell r="DL210">
            <v>2058.6488300000001</v>
          </cell>
          <cell r="DN210">
            <v>1379.7655300000001</v>
          </cell>
          <cell r="DO210">
            <v>1270.9243000000001</v>
          </cell>
          <cell r="DP210" t="str">
            <v>--</v>
          </cell>
          <cell r="DQ210" t="str">
            <v>--</v>
          </cell>
        </row>
        <row r="211">
          <cell r="DD211" t="str">
            <v xml:space="preserve"> --</v>
          </cell>
          <cell r="DE211" t="str">
            <v xml:space="preserve"> --</v>
          </cell>
          <cell r="DF211">
            <v>2117.81988</v>
          </cell>
          <cell r="DG211">
            <v>2574.8751399999996</v>
          </cell>
          <cell r="DI211">
            <v>2939.5715999999998</v>
          </cell>
          <cell r="DJ211">
            <v>2985.7223999999997</v>
          </cell>
          <cell r="DK211">
            <v>3367.1882999999998</v>
          </cell>
          <cell r="DL211">
            <v>3875.1036800000002</v>
          </cell>
          <cell r="DN211">
            <v>5519.0621200000005</v>
          </cell>
          <cell r="DO211">
            <v>5973.3442100000002</v>
          </cell>
          <cell r="DP211" t="str">
            <v>--</v>
          </cell>
          <cell r="DQ211" t="str">
            <v>--</v>
          </cell>
        </row>
        <row r="212">
          <cell r="DD212" t="str">
            <v xml:space="preserve"> --</v>
          </cell>
          <cell r="DE212" t="str">
            <v xml:space="preserve"> --</v>
          </cell>
          <cell r="DF212">
            <v>529.45497</v>
          </cell>
          <cell r="DG212">
            <v>487.13853999999998</v>
          </cell>
          <cell r="DI212">
            <v>587.91432000000009</v>
          </cell>
          <cell r="DJ212">
            <v>597.14447999999993</v>
          </cell>
          <cell r="DK212">
            <v>561.19804999999997</v>
          </cell>
          <cell r="DL212">
            <v>726.58194000000003</v>
          </cell>
          <cell r="DN212">
            <v>752.59938</v>
          </cell>
          <cell r="DO212">
            <v>762.55457999999999</v>
          </cell>
          <cell r="DP212" t="str">
            <v>--</v>
          </cell>
          <cell r="DQ212" t="str">
            <v>--</v>
          </cell>
        </row>
        <row r="213">
          <cell r="DD213" t="str">
            <v xml:space="preserve"> --</v>
          </cell>
          <cell r="DE213" t="str">
            <v xml:space="preserve"> --</v>
          </cell>
          <cell r="DF213">
            <v>1529.53658</v>
          </cell>
          <cell r="DG213">
            <v>1948.5541599999999</v>
          </cell>
          <cell r="DI213">
            <v>2435.6450399999999</v>
          </cell>
          <cell r="DJ213">
            <v>2886.1983199999995</v>
          </cell>
          <cell r="DK213">
            <v>3254.9486899999997</v>
          </cell>
          <cell r="DL213">
            <v>3632.9097000000002</v>
          </cell>
          <cell r="DN213">
            <v>2634.0978300000002</v>
          </cell>
          <cell r="DO213">
            <v>2541.8486000000003</v>
          </cell>
          <cell r="DP213" t="str">
            <v>--</v>
          </cell>
          <cell r="DQ213" t="str">
            <v>--</v>
          </cell>
        </row>
        <row r="214">
          <cell r="DD214" t="str">
            <v xml:space="preserve"> --</v>
          </cell>
          <cell r="DE214" t="str">
            <v xml:space="preserve"> --</v>
          </cell>
          <cell r="DF214">
            <v>705.93995999999993</v>
          </cell>
          <cell r="DG214">
            <v>765.5034199999991</v>
          </cell>
          <cell r="DI214">
            <v>923.8653599999999</v>
          </cell>
          <cell r="DJ214">
            <v>1293.81304</v>
          </cell>
          <cell r="DK214">
            <v>1459.11493</v>
          </cell>
          <cell r="DL214">
            <v>1816.4548500000001</v>
          </cell>
          <cell r="DN214">
            <v>2257.7981399999999</v>
          </cell>
          <cell r="DO214">
            <v>2160.5713100000003</v>
          </cell>
          <cell r="DP214" t="str">
            <v>--</v>
          </cell>
          <cell r="DQ214" t="str">
            <v>--</v>
          </cell>
        </row>
        <row r="221">
          <cell r="CT221" t="str">
            <v>F1998 Restated for JIT</v>
          </cell>
          <cell r="CY221" t="str">
            <v>F1999 Restated for JIT</v>
          </cell>
          <cell r="DD221" t="str">
            <v>F2000 Restated for JIT</v>
          </cell>
          <cell r="DI221" t="str">
            <v>F2001 Restated for JIT</v>
          </cell>
          <cell r="DN221" t="str">
            <v>F2002</v>
          </cell>
          <cell r="DS221" t="str">
            <v>F2003</v>
          </cell>
          <cell r="DX221" t="str">
            <v>F2004E</v>
          </cell>
        </row>
        <row r="222">
          <cell r="CT222" t="str">
            <v>6/97</v>
          </cell>
          <cell r="CU222" t="str">
            <v>9/97</v>
          </cell>
          <cell r="CV222" t="str">
            <v xml:space="preserve"> 12/97</v>
          </cell>
          <cell r="CW222" t="str">
            <v xml:space="preserve"> 3/98</v>
          </cell>
          <cell r="CY222" t="str">
            <v>6/98</v>
          </cell>
          <cell r="CZ222" t="str">
            <v>9/98</v>
          </cell>
          <cell r="DA222" t="str">
            <v xml:space="preserve"> 12/98</v>
          </cell>
          <cell r="DB222" t="str">
            <v xml:space="preserve"> 3/99</v>
          </cell>
          <cell r="DD222" t="str">
            <v>6/99</v>
          </cell>
          <cell r="DE222" t="str">
            <v>9/99</v>
          </cell>
          <cell r="DF222" t="str">
            <v xml:space="preserve"> 12/99</v>
          </cell>
          <cell r="DG222" t="str">
            <v xml:space="preserve"> 3/00</v>
          </cell>
          <cell r="DI222" t="str">
            <v>6/00</v>
          </cell>
          <cell r="DJ222" t="str">
            <v>9/00</v>
          </cell>
          <cell r="DK222" t="str">
            <v xml:space="preserve"> 12/00</v>
          </cell>
          <cell r="DL222" t="str">
            <v xml:space="preserve"> 3/01</v>
          </cell>
          <cell r="DN222" t="str">
            <v>6/01</v>
          </cell>
          <cell r="DO222" t="str">
            <v>9/01</v>
          </cell>
          <cell r="DP222" t="str">
            <v xml:space="preserve"> 12/01</v>
          </cell>
          <cell r="DQ222" t="str">
            <v xml:space="preserve"> 3/02E</v>
          </cell>
          <cell r="DS222" t="str">
            <v>6/02</v>
          </cell>
          <cell r="DT222" t="str">
            <v>9/02</v>
          </cell>
          <cell r="DU222" t="str">
            <v xml:space="preserve"> 12/02</v>
          </cell>
          <cell r="DV222" t="str">
            <v xml:space="preserve"> 3/03</v>
          </cell>
          <cell r="DX222" t="str">
            <v>6/03</v>
          </cell>
          <cell r="DY222" t="str">
            <v>9/03</v>
          </cell>
          <cell r="DZ222" t="str">
            <v xml:space="preserve"> 12/03</v>
          </cell>
          <cell r="EA222" t="str">
            <v xml:space="preserve"> 3/04E</v>
          </cell>
          <cell r="FV222" t="str">
            <v>F1999</v>
          </cell>
          <cell r="FW222" t="str">
            <v>F2000</v>
          </cell>
          <cell r="FX222" t="str">
            <v>F2001</v>
          </cell>
          <cell r="FY222" t="str">
            <v>F2002</v>
          </cell>
          <cell r="FZ222" t="str">
            <v>F2003</v>
          </cell>
          <cell r="GA222" t="str">
            <v>F2004E</v>
          </cell>
          <cell r="GE222" t="str">
            <v>C1998</v>
          </cell>
          <cell r="GF222" t="str">
            <v>C1999</v>
          </cell>
          <cell r="GG222" t="str">
            <v>C2000</v>
          </cell>
          <cell r="GH222" t="str">
            <v>C2001</v>
          </cell>
          <cell r="GI222" t="str">
            <v>C2002</v>
          </cell>
          <cell r="GJ222" t="str">
            <v>C2003</v>
          </cell>
          <cell r="GL222">
            <v>2003</v>
          </cell>
          <cell r="GM222">
            <v>2004</v>
          </cell>
          <cell r="GN222">
            <v>2005</v>
          </cell>
          <cell r="GO222">
            <v>2006</v>
          </cell>
          <cell r="GP222">
            <v>2007</v>
          </cell>
          <cell r="GQ222">
            <v>2008</v>
          </cell>
          <cell r="GR222">
            <v>2009</v>
          </cell>
          <cell r="GS222">
            <v>2010</v>
          </cell>
          <cell r="GT222">
            <v>2011</v>
          </cell>
          <cell r="GU222">
            <v>2012</v>
          </cell>
          <cell r="GV222">
            <v>2013</v>
          </cell>
          <cell r="GW222">
            <v>2014</v>
          </cell>
          <cell r="GX222">
            <v>2015</v>
          </cell>
          <cell r="GY222">
            <v>2016</v>
          </cell>
          <cell r="GZ222">
            <v>2017</v>
          </cell>
        </row>
        <row r="224">
          <cell r="DN224">
            <v>3110.598</v>
          </cell>
          <cell r="DO224">
            <v>3244.9180000000001</v>
          </cell>
          <cell r="DP224">
            <v>3453.0390000000002</v>
          </cell>
          <cell r="DQ224">
            <v>3296.3</v>
          </cell>
          <cell r="DS224">
            <v>3127.027</v>
          </cell>
          <cell r="DT224">
            <v>3340.6129999999998</v>
          </cell>
          <cell r="DU224">
            <v>3851.4940000000001</v>
          </cell>
          <cell r="DV224">
            <v>3059.5650000000001</v>
          </cell>
          <cell r="DX224">
            <v>3106.6770000000001</v>
          </cell>
          <cell r="DY224">
            <v>3503.2420000000002</v>
          </cell>
          <cell r="DZ224">
            <v>4152.3440000000001</v>
          </cell>
          <cell r="EA224">
            <v>3549.0084168000003</v>
          </cell>
          <cell r="FV224">
            <v>3952.7860000000001</v>
          </cell>
          <cell r="FW224">
            <v>6959.1219999999994</v>
          </cell>
          <cell r="FX224">
            <v>12109.699000000001</v>
          </cell>
          <cell r="FY224">
            <v>13104.855</v>
          </cell>
          <cell r="FZ224">
            <v>13378.699000000001</v>
          </cell>
          <cell r="GA224">
            <v>14311.271416799998</v>
          </cell>
        </row>
        <row r="225">
          <cell r="DN225">
            <v>749.65411799999993</v>
          </cell>
          <cell r="DO225">
            <v>600.30983000000003</v>
          </cell>
          <cell r="DP225">
            <v>441.98899200000005</v>
          </cell>
          <cell r="DQ225">
            <v>527.40800000000002</v>
          </cell>
          <cell r="DS225">
            <v>500.32432</v>
          </cell>
          <cell r="DT225">
            <v>501.09194999999994</v>
          </cell>
          <cell r="DU225">
            <v>539.20916000000011</v>
          </cell>
          <cell r="DV225">
            <v>458.93475000000001</v>
          </cell>
          <cell r="DX225">
            <v>466.00155000000001</v>
          </cell>
          <cell r="DY225">
            <v>490.45388000000008</v>
          </cell>
          <cell r="DZ225">
            <v>581.32816000000003</v>
          </cell>
          <cell r="EA225">
            <v>534.82190720000006</v>
          </cell>
          <cell r="FV225" t="str">
            <v>--</v>
          </cell>
          <cell r="FW225" t="str">
            <v>--</v>
          </cell>
          <cell r="FX225" t="str">
            <v>--</v>
          </cell>
          <cell r="FY225">
            <v>2319.36094</v>
          </cell>
          <cell r="FZ225">
            <v>1999.5601799999999</v>
          </cell>
          <cell r="GA225">
            <v>2072.6054972000002</v>
          </cell>
        </row>
        <row r="226">
          <cell r="DN226">
            <v>842.97205800000006</v>
          </cell>
          <cell r="DO226">
            <v>1184.39507</v>
          </cell>
          <cell r="DP226">
            <v>1322.5139370000002</v>
          </cell>
          <cell r="DQ226">
            <v>1071.2975000000001</v>
          </cell>
          <cell r="DS226">
            <v>969.37837000000002</v>
          </cell>
          <cell r="DT226">
            <v>968.77776999999992</v>
          </cell>
          <cell r="DU226">
            <v>1309.5079600000001</v>
          </cell>
          <cell r="DV226">
            <v>887.27384999999992</v>
          </cell>
          <cell r="DX226">
            <v>963.06987000000004</v>
          </cell>
          <cell r="DY226">
            <v>1050.9726000000001</v>
          </cell>
          <cell r="DZ226">
            <v>1411.7969600000001</v>
          </cell>
          <cell r="EA226">
            <v>1058.8477200000002</v>
          </cell>
          <cell r="FV226" t="str">
            <v>--</v>
          </cell>
          <cell r="FW226" t="str">
            <v>--</v>
          </cell>
          <cell r="FX226" t="str">
            <v>--</v>
          </cell>
          <cell r="FY226">
            <v>4421.1785650000002</v>
          </cell>
          <cell r="FZ226">
            <v>4134.9379499999995</v>
          </cell>
          <cell r="GA226">
            <v>4484.6871499999997</v>
          </cell>
        </row>
        <row r="227">
          <cell r="DN227">
            <v>718.54813799999999</v>
          </cell>
          <cell r="DO227">
            <v>648.98360000000002</v>
          </cell>
          <cell r="DP227">
            <v>545.58016200000009</v>
          </cell>
          <cell r="DQ227">
            <v>395.55599999999998</v>
          </cell>
          <cell r="DS227">
            <v>250.16216</v>
          </cell>
          <cell r="DT227">
            <v>267.24903999999998</v>
          </cell>
          <cell r="DU227">
            <v>269.60458000000006</v>
          </cell>
          <cell r="DV227">
            <v>305.95650000000001</v>
          </cell>
          <cell r="DX227">
            <v>279.60093000000001</v>
          </cell>
          <cell r="DY227">
            <v>245.22694000000004</v>
          </cell>
          <cell r="DZ227">
            <v>290.66408000000001</v>
          </cell>
          <cell r="EA227">
            <v>281.94415759999998</v>
          </cell>
          <cell r="FV227" t="str">
            <v>--</v>
          </cell>
          <cell r="FW227" t="str">
            <v>--</v>
          </cell>
          <cell r="FX227" t="str">
            <v>--</v>
          </cell>
          <cell r="FY227">
            <v>2308.6679000000004</v>
          </cell>
          <cell r="FZ227">
            <v>1092.97228</v>
          </cell>
          <cell r="GA227">
            <v>1097.4361076</v>
          </cell>
        </row>
        <row r="228">
          <cell r="DN228">
            <v>345.27637800000002</v>
          </cell>
          <cell r="DO228">
            <v>421.83934000000005</v>
          </cell>
          <cell r="DP228">
            <v>493.78457700000001</v>
          </cell>
          <cell r="DQ228">
            <v>692.22299999999996</v>
          </cell>
          <cell r="DS228">
            <v>844.29729000000009</v>
          </cell>
          <cell r="DT228">
            <v>1002.1838999999999</v>
          </cell>
          <cell r="DU228">
            <v>847.32868000000008</v>
          </cell>
          <cell r="DV228">
            <v>795.48689999999999</v>
          </cell>
          <cell r="DX228">
            <v>807.73602000000005</v>
          </cell>
          <cell r="DY228">
            <v>980.90776000000017</v>
          </cell>
          <cell r="DZ228">
            <v>1038.086</v>
          </cell>
          <cell r="EA228">
            <v>934.27740000000006</v>
          </cell>
          <cell r="FV228" t="str">
            <v>--</v>
          </cell>
          <cell r="FW228" t="str">
            <v>--</v>
          </cell>
          <cell r="FX228" t="str">
            <v>--</v>
          </cell>
          <cell r="FY228">
            <v>1953.1232949999999</v>
          </cell>
          <cell r="FZ228">
            <v>3489.2967699999999</v>
          </cell>
          <cell r="GA228">
            <v>3761.0071800000005</v>
          </cell>
        </row>
        <row r="229">
          <cell r="DN229">
            <v>283.06441799999999</v>
          </cell>
          <cell r="DO229">
            <v>194.69507999999999</v>
          </cell>
          <cell r="DP229">
            <v>155.38675499999999</v>
          </cell>
          <cell r="DQ229">
            <v>115.37050000000002</v>
          </cell>
          <cell r="DS229">
            <v>187.62162000000001</v>
          </cell>
          <cell r="DT229">
            <v>233.84291000000002</v>
          </cell>
          <cell r="DU229">
            <v>269.60458000000006</v>
          </cell>
          <cell r="DV229">
            <v>214.16955000000002</v>
          </cell>
          <cell r="DX229">
            <v>248.53416000000001</v>
          </cell>
          <cell r="DY229">
            <v>280.25936000000002</v>
          </cell>
          <cell r="DZ229">
            <v>373.71096</v>
          </cell>
          <cell r="EA229">
            <v>373.71096</v>
          </cell>
          <cell r="FV229" t="str">
            <v>--</v>
          </cell>
          <cell r="FW229" t="str">
            <v>--</v>
          </cell>
          <cell r="FX229" t="str">
            <v>--</v>
          </cell>
          <cell r="FY229">
            <v>748.51675299999999</v>
          </cell>
          <cell r="FZ229">
            <v>905.23866000000021</v>
          </cell>
          <cell r="GA229">
            <v>1276.2154399999999</v>
          </cell>
        </row>
        <row r="230">
          <cell r="DN230">
            <v>171.08288999999999</v>
          </cell>
          <cell r="DO230">
            <v>194.69507999999999</v>
          </cell>
          <cell r="DP230">
            <v>493.78457700000001</v>
          </cell>
          <cell r="DQ230">
            <v>494.44499999999999</v>
          </cell>
          <cell r="DS230">
            <v>375.24324000000001</v>
          </cell>
          <cell r="DT230">
            <v>367.46742999999998</v>
          </cell>
          <cell r="DU230">
            <v>616.23904000000005</v>
          </cell>
          <cell r="DV230">
            <v>397.74345</v>
          </cell>
          <cell r="DX230">
            <v>341.73447000000004</v>
          </cell>
          <cell r="DY230">
            <v>455.42146000000002</v>
          </cell>
          <cell r="DZ230">
            <v>456.75783999999999</v>
          </cell>
          <cell r="EA230">
            <v>365.406272</v>
          </cell>
          <cell r="FV230" t="str">
            <v>--</v>
          </cell>
          <cell r="FW230" t="str">
            <v>--</v>
          </cell>
          <cell r="FX230" t="str">
            <v>--</v>
          </cell>
          <cell r="FY230">
            <v>1354.0075469999999</v>
          </cell>
          <cell r="FZ230">
            <v>1756.6931599999998</v>
          </cell>
          <cell r="GA230">
            <v>1619.3200420000001</v>
          </cell>
        </row>
        <row r="233">
          <cell r="DN233">
            <v>0.24099999999999999</v>
          </cell>
          <cell r="DO233">
            <v>0.185</v>
          </cell>
          <cell r="DP233">
            <v>0.128</v>
          </cell>
          <cell r="DQ233">
            <v>0.16</v>
          </cell>
          <cell r="DS233">
            <v>0.16</v>
          </cell>
          <cell r="DT233">
            <v>0.15</v>
          </cell>
          <cell r="DU233">
            <v>0.14000000000000001</v>
          </cell>
          <cell r="DV233">
            <v>0.15</v>
          </cell>
          <cell r="DX233">
            <v>0.15</v>
          </cell>
          <cell r="DY233">
            <v>0.14000000000000001</v>
          </cell>
          <cell r="DZ233">
            <v>0.14000000000000001</v>
          </cell>
          <cell r="EA233">
            <v>0.15069615069615069</v>
          </cell>
          <cell r="FV233" t="str">
            <v>--</v>
          </cell>
          <cell r="FW233" t="str">
            <v>--</v>
          </cell>
          <cell r="FX233" t="str">
            <v>--</v>
          </cell>
          <cell r="FY233">
            <v>0.17698486095420363</v>
          </cell>
          <cell r="FZ233">
            <v>0.14945849218971141</v>
          </cell>
          <cell r="GA233">
            <v>0.14482329604670688</v>
          </cell>
        </row>
        <row r="234">
          <cell r="DN234">
            <v>0.27100000000000002</v>
          </cell>
          <cell r="DO234">
            <v>0.36499999999999999</v>
          </cell>
          <cell r="DP234">
            <v>0.38300000000000001</v>
          </cell>
          <cell r="DQ234">
            <v>0.32500000000000001</v>
          </cell>
          <cell r="DS234">
            <v>0.31</v>
          </cell>
          <cell r="DT234">
            <v>0.28999999999999998</v>
          </cell>
          <cell r="DU234">
            <v>0.34</v>
          </cell>
          <cell r="DV234">
            <v>0.28999999999999998</v>
          </cell>
          <cell r="DX234">
            <v>0.31</v>
          </cell>
          <cell r="DY234">
            <v>0.3</v>
          </cell>
          <cell r="DZ234">
            <v>0.34</v>
          </cell>
          <cell r="EA234">
            <v>0.29835029835029836</v>
          </cell>
          <cell r="FV234" t="str">
            <v>--</v>
          </cell>
          <cell r="FW234" t="str">
            <v>--</v>
          </cell>
          <cell r="FX234" t="str">
            <v>--</v>
          </cell>
          <cell r="FY234">
            <v>0.33736951419912697</v>
          </cell>
          <cell r="FZ234">
            <v>0.30906876296417157</v>
          </cell>
          <cell r="GA234">
            <v>0.31336748632517908</v>
          </cell>
        </row>
        <row r="235">
          <cell r="DN235">
            <v>0.23100000000000001</v>
          </cell>
          <cell r="DO235">
            <v>0.2</v>
          </cell>
          <cell r="DP235">
            <v>0.158</v>
          </cell>
          <cell r="DQ235">
            <v>0.11999999999999998</v>
          </cell>
          <cell r="DS235">
            <v>0.08</v>
          </cell>
          <cell r="DT235">
            <v>0.08</v>
          </cell>
          <cell r="DU235">
            <v>7.0000000000000007E-2</v>
          </cell>
          <cell r="DV235">
            <v>0.1</v>
          </cell>
          <cell r="DX235">
            <v>0.09</v>
          </cell>
          <cell r="DY235">
            <v>7.0000000000000007E-2</v>
          </cell>
          <cell r="DZ235">
            <v>7.0000000000000007E-2</v>
          </cell>
          <cell r="EA235">
            <v>7.9443079443079434E-2</v>
          </cell>
          <cell r="FV235" t="str">
            <v>--</v>
          </cell>
          <cell r="FW235" t="str">
            <v>--</v>
          </cell>
          <cell r="FX235" t="str">
            <v>--</v>
          </cell>
          <cell r="FY235">
            <v>0.17616890076235109</v>
          </cell>
          <cell r="FZ235">
            <v>8.1694960025634769E-2</v>
          </cell>
          <cell r="GA235">
            <v>7.668334109796282E-2</v>
          </cell>
        </row>
        <row r="236">
          <cell r="DN236">
            <v>0.11100000000000002</v>
          </cell>
          <cell r="DO236">
            <v>0.13</v>
          </cell>
          <cell r="DP236">
            <v>0.14299999999999999</v>
          </cell>
          <cell r="DQ236">
            <v>0.20999999999999996</v>
          </cell>
          <cell r="DS236">
            <v>0.27</v>
          </cell>
          <cell r="DT236">
            <v>0.3</v>
          </cell>
          <cell r="DU236">
            <v>0.22</v>
          </cell>
          <cell r="DV236">
            <v>0.26</v>
          </cell>
          <cell r="DX236">
            <v>0.26</v>
          </cell>
          <cell r="DY236">
            <v>0.28000000000000003</v>
          </cell>
          <cell r="DZ236">
            <v>0.25</v>
          </cell>
          <cell r="EA236">
            <v>0.26325026325026324</v>
          </cell>
          <cell r="FV236" t="str">
            <v>--</v>
          </cell>
          <cell r="FW236" t="str">
            <v>--</v>
          </cell>
          <cell r="FX236" t="str">
            <v>--</v>
          </cell>
          <cell r="FY236">
            <v>0.14903814616796598</v>
          </cell>
          <cell r="FZ236">
            <v>0.26080987172220554</v>
          </cell>
          <cell r="GA236">
            <v>0.26280035298505727</v>
          </cell>
        </row>
        <row r="237">
          <cell r="DN237">
            <v>9.0999999999999998E-2</v>
          </cell>
          <cell r="DO237">
            <v>0.06</v>
          </cell>
          <cell r="DP237">
            <v>4.4999999999999998E-2</v>
          </cell>
          <cell r="DQ237">
            <v>3.5000000000000003E-2</v>
          </cell>
          <cell r="DS237">
            <v>6.0000000000000005E-2</v>
          </cell>
          <cell r="DT237">
            <v>7.0000000000000007E-2</v>
          </cell>
          <cell r="DU237">
            <v>7.0000000000000007E-2</v>
          </cell>
          <cell r="DV237">
            <v>7.0000000000000007E-2</v>
          </cell>
          <cell r="DX237">
            <v>0.08</v>
          </cell>
          <cell r="DY237">
            <v>0.08</v>
          </cell>
          <cell r="DZ237">
            <v>0.09</v>
          </cell>
          <cell r="EA237">
            <v>0.10530010530010529</v>
          </cell>
          <cell r="FV237" t="str">
            <v>--</v>
          </cell>
          <cell r="FW237" t="str">
            <v>--</v>
          </cell>
          <cell r="FX237" t="str">
            <v>--</v>
          </cell>
          <cell r="FY237">
            <v>5.7117515073612034E-2</v>
          </cell>
          <cell r="FZ237">
            <v>6.766268229818162E-2</v>
          </cell>
          <cell r="GA237">
            <v>8.9175545822005084E-2</v>
          </cell>
        </row>
        <row r="238">
          <cell r="DN238">
            <v>5.5E-2</v>
          </cell>
          <cell r="DO238">
            <v>0.06</v>
          </cell>
          <cell r="DP238">
            <v>0.14299999999999999</v>
          </cell>
          <cell r="DQ238">
            <v>0.15</v>
          </cell>
          <cell r="DS238">
            <v>0.12000000000000001</v>
          </cell>
          <cell r="DT238">
            <v>0.11</v>
          </cell>
          <cell r="DU238">
            <v>0.16</v>
          </cell>
          <cell r="DV238">
            <v>0.13</v>
          </cell>
          <cell r="DX238">
            <v>0.11000000000000001</v>
          </cell>
          <cell r="DY238">
            <v>0.13</v>
          </cell>
          <cell r="DZ238">
            <v>0.11</v>
          </cell>
          <cell r="EA238">
            <v>0.10296010296010295</v>
          </cell>
          <cell r="FV238" t="str">
            <v>--</v>
          </cell>
          <cell r="FW238" t="str">
            <v>--</v>
          </cell>
          <cell r="FX238" t="str">
            <v>--</v>
          </cell>
          <cell r="FY238">
            <v>0.10332106284274034</v>
          </cell>
          <cell r="FZ238">
            <v>0.13130523080009496</v>
          </cell>
          <cell r="GA238">
            <v>0.11314997772308899</v>
          </cell>
        </row>
        <row r="240">
          <cell r="DN240" t="str">
            <v>--</v>
          </cell>
          <cell r="DO240" t="str">
            <v>--</v>
          </cell>
          <cell r="DP240" t="str">
            <v>--</v>
          </cell>
          <cell r="DQ240" t="str">
            <v>--</v>
          </cell>
          <cell r="DS240">
            <v>5.2816210902213445E-3</v>
          </cell>
          <cell r="DT240">
            <v>2.9490729811970429E-2</v>
          </cell>
          <cell r="DU240">
            <v>0.11539255710694252</v>
          </cell>
          <cell r="DV240">
            <v>-7.1818402451233276E-2</v>
          </cell>
          <cell r="DX240">
            <v>-6.5077787943628174E-3</v>
          </cell>
          <cell r="DY240">
            <v>4.868238254476065E-2</v>
          </cell>
          <cell r="DZ240">
            <v>7.8112545417440504E-2</v>
          </cell>
          <cell r="EA240">
            <v>0.15997157007613838</v>
          </cell>
          <cell r="FV240" t="str">
            <v>--</v>
          </cell>
          <cell r="FW240" t="str">
            <v>--</v>
          </cell>
          <cell r="FX240" t="str">
            <v>--</v>
          </cell>
          <cell r="FY240" t="str">
            <v>--</v>
          </cell>
          <cell r="FZ240">
            <v>2.0896377716502768E-2</v>
          </cell>
          <cell r="GA240">
            <v>6.970576263058148E-2</v>
          </cell>
        </row>
        <row r="241">
          <cell r="DN241" t="str">
            <v>--</v>
          </cell>
          <cell r="DO241" t="str">
            <v>--</v>
          </cell>
          <cell r="DP241" t="str">
            <v>--</v>
          </cell>
          <cell r="DQ241" t="str">
            <v>--</v>
          </cell>
          <cell r="DS241">
            <v>-0.33259311462889873</v>
          </cell>
          <cell r="DT241">
            <v>-0.16527778663894288</v>
          </cell>
          <cell r="DU241">
            <v>0.21996060933571848</v>
          </cell>
          <cell r="DV241">
            <v>-0.12982975229803118</v>
          </cell>
          <cell r="DX241">
            <v>-6.8601042619715114E-2</v>
          </cell>
          <cell r="DY241">
            <v>-2.1229776291556535E-2</v>
          </cell>
          <cell r="DZ241">
            <v>7.8112545417440504E-2</v>
          </cell>
          <cell r="EA241">
            <v>0.16535500351629517</v>
          </cell>
          <cell r="FV241" t="str">
            <v>--</v>
          </cell>
          <cell r="FW241" t="str">
            <v>--</v>
          </cell>
          <cell r="FX241" t="str">
            <v>--</v>
          </cell>
          <cell r="FY241" t="str">
            <v>--</v>
          </cell>
          <cell r="FZ241">
            <v>-0.13788313603315239</v>
          </cell>
          <cell r="GA241">
            <v>3.653069206449211E-2</v>
          </cell>
        </row>
        <row r="242">
          <cell r="DN242" t="str">
            <v>--</v>
          </cell>
          <cell r="DO242" t="str">
            <v>--</v>
          </cell>
          <cell r="DP242" t="str">
            <v>--</v>
          </cell>
          <cell r="DQ242" t="str">
            <v>--</v>
          </cell>
          <cell r="DS242">
            <v>0.14995314589656306</v>
          </cell>
          <cell r="DT242">
            <v>-0.18204846124528373</v>
          </cell>
          <cell r="DU242">
            <v>-9.8342835081971502E-3</v>
          </cell>
          <cell r="DV242">
            <v>-0.17177642064879284</v>
          </cell>
          <cell r="DX242">
            <v>-6.5077787943628174E-3</v>
          </cell>
          <cell r="DY242">
            <v>8.4843844011821323E-2</v>
          </cell>
          <cell r="DZ242">
            <v>7.8112545417440504E-2</v>
          </cell>
          <cell r="EA242">
            <v>0.19337194486234477</v>
          </cell>
          <cell r="FV242" t="str">
            <v>--</v>
          </cell>
          <cell r="FW242" t="str">
            <v>--</v>
          </cell>
          <cell r="FX242" t="str">
            <v>--</v>
          </cell>
          <cell r="FY242" t="str">
            <v>--</v>
          </cell>
          <cell r="FZ242">
            <v>-6.4743056809785426E-2</v>
          </cell>
          <cell r="GA242">
            <v>8.4583905303826867E-2</v>
          </cell>
        </row>
        <row r="243">
          <cell r="DN243" t="str">
            <v>--</v>
          </cell>
          <cell r="DO243" t="str">
            <v>--</v>
          </cell>
          <cell r="DP243" t="str">
            <v>--</v>
          </cell>
          <cell r="DQ243" t="str">
            <v>--</v>
          </cell>
          <cell r="DS243">
            <v>-0.65185052083455541</v>
          </cell>
          <cell r="DT243">
            <v>-0.58820370807521183</v>
          </cell>
          <cell r="DU243">
            <v>-0.50583874052224065</v>
          </cell>
          <cell r="DV243">
            <v>-0.22651533537602764</v>
          </cell>
          <cell r="DX243">
            <v>0.11767874885634177</v>
          </cell>
          <cell r="DY243">
            <v>-8.2402915273334321E-2</v>
          </cell>
          <cell r="DZ243">
            <v>7.8112545417440504E-2</v>
          </cell>
          <cell r="EA243">
            <v>-7.8482864067277558E-2</v>
          </cell>
          <cell r="FV243" t="str">
            <v>--</v>
          </cell>
          <cell r="FW243" t="str">
            <v>--</v>
          </cell>
          <cell r="FX243" t="str">
            <v>--</v>
          </cell>
          <cell r="FY243" t="str">
            <v>--</v>
          </cell>
          <cell r="FZ243">
            <v>-0.52657882062638817</v>
          </cell>
          <cell r="GA243">
            <v>4.0841178515524934E-3</v>
          </cell>
        </row>
        <row r="244">
          <cell r="DN244" t="str">
            <v>--</v>
          </cell>
          <cell r="DO244" t="str">
            <v>--</v>
          </cell>
          <cell r="DP244" t="str">
            <v>--</v>
          </cell>
          <cell r="DQ244" t="str">
            <v>--</v>
          </cell>
          <cell r="DS244">
            <v>1.4452796188681059</v>
          </cell>
          <cell r="DT244">
            <v>1.3757478380276238</v>
          </cell>
          <cell r="DU244">
            <v>0.71598854939529644</v>
          </cell>
          <cell r="DV244">
            <v>0.14917721601275891</v>
          </cell>
          <cell r="DX244">
            <v>-4.3303786987164194E-2</v>
          </cell>
          <cell r="DY244">
            <v>-2.1229776291556535E-2</v>
          </cell>
          <cell r="DZ244">
            <v>0.2251278925198188</v>
          </cell>
          <cell r="EA244">
            <v>0.17447238917447927</v>
          </cell>
          <cell r="FV244" t="str">
            <v>--</v>
          </cell>
          <cell r="FW244" t="str">
            <v>--</v>
          </cell>
          <cell r="FX244" t="str">
            <v>--</v>
          </cell>
          <cell r="FY244" t="str">
            <v>--</v>
          </cell>
          <cell r="FZ244">
            <v>0.78652150580181379</v>
          </cell>
          <cell r="GA244">
            <v>7.7869676301566271E-2</v>
          </cell>
        </row>
        <row r="245">
          <cell r="DN245" t="str">
            <v>--</v>
          </cell>
          <cell r="DO245" t="str">
            <v>--</v>
          </cell>
          <cell r="DP245" t="str">
            <v>--</v>
          </cell>
          <cell r="DQ245" t="str">
            <v>--</v>
          </cell>
          <cell r="DS245">
            <v>-0.33717695312732665</v>
          </cell>
          <cell r="DT245">
            <v>0.20107251811396587</v>
          </cell>
          <cell r="DU245">
            <v>0.73505508883302229</v>
          </cell>
          <cell r="DV245">
            <v>0.85636319509753345</v>
          </cell>
          <cell r="DX245">
            <v>0.32465629494084958</v>
          </cell>
          <cell r="DY245">
            <v>0.19849415147972627</v>
          </cell>
          <cell r="DZ245">
            <v>0.38614470125099487</v>
          </cell>
          <cell r="EA245">
            <v>0.74493040677351186</v>
          </cell>
          <cell r="FV245" t="str">
            <v>--</v>
          </cell>
          <cell r="FW245" t="str">
            <v>--</v>
          </cell>
          <cell r="FX245" t="str">
            <v>--</v>
          </cell>
          <cell r="FY245" t="str">
            <v>--</v>
          </cell>
          <cell r="FZ245">
            <v>0.20937661898931492</v>
          </cell>
          <cell r="GA245">
            <v>0.40981102154872584</v>
          </cell>
        </row>
        <row r="246">
          <cell r="DN246" t="str">
            <v>--</v>
          </cell>
          <cell r="DO246" t="str">
            <v>--</v>
          </cell>
          <cell r="DP246" t="str">
            <v>--</v>
          </cell>
          <cell r="DQ246" t="str">
            <v>--</v>
          </cell>
          <cell r="DS246">
            <v>1.193341718742301</v>
          </cell>
          <cell r="DT246">
            <v>0.88739967132194608</v>
          </cell>
          <cell r="DU246">
            <v>0.2479916722874882</v>
          </cell>
          <cell r="DV246">
            <v>-0.19557594879106877</v>
          </cell>
          <cell r="DX246">
            <v>-8.9298797228165805E-2</v>
          </cell>
          <cell r="DY246">
            <v>0.2393519066438079</v>
          </cell>
          <cell r="DZ246">
            <v>-0.25879762502550963</v>
          </cell>
          <cell r="EA246">
            <v>-8.130159780129631E-2</v>
          </cell>
          <cell r="FV246" t="str">
            <v>--</v>
          </cell>
          <cell r="FW246" t="str">
            <v>--</v>
          </cell>
          <cell r="FX246" t="str">
            <v>--</v>
          </cell>
          <cell r="FY246" t="str">
            <v>--</v>
          </cell>
          <cell r="FZ246">
            <v>0.29740278323574221</v>
          </cell>
          <cell r="GA246">
            <v>-7.8199836561098524E-2</v>
          </cell>
        </row>
        <row r="248">
          <cell r="DN248" t="str">
            <v>--</v>
          </cell>
          <cell r="DO248">
            <v>4.3181407562147278E-2</v>
          </cell>
          <cell r="DP248">
            <v>6.4137522119203094E-2</v>
          </cell>
          <cell r="DQ248">
            <v>-4.5391610115032011E-2</v>
          </cell>
          <cell r="DS248">
            <v>-5.1352425446713035E-2</v>
          </cell>
          <cell r="DT248">
            <v>6.8303215802101969E-2</v>
          </cell>
          <cell r="DU248">
            <v>0.15293031548401448</v>
          </cell>
          <cell r="DV248">
            <v>-0.2056160544453659</v>
          </cell>
          <cell r="DX248">
            <v>1.5398267400758003E-2</v>
          </cell>
          <cell r="DY248">
            <v>0.12764925352716094</v>
          </cell>
          <cell r="DZ248">
            <v>0.18528608643079747</v>
          </cell>
          <cell r="EA248">
            <v>-0.14529999999999998</v>
          </cell>
          <cell r="FV248" t="str">
            <v>--</v>
          </cell>
          <cell r="FW248" t="str">
            <v>--</v>
          </cell>
          <cell r="FX248" t="str">
            <v>--</v>
          </cell>
          <cell r="FY248" t="str">
            <v>--</v>
          </cell>
          <cell r="FZ248" t="str">
            <v>--</v>
          </cell>
          <cell r="GA248" t="str">
            <v>--</v>
          </cell>
        </row>
        <row r="249">
          <cell r="DN249" t="str">
            <v>--</v>
          </cell>
          <cell r="DO249">
            <v>-0.19921759170540554</v>
          </cell>
          <cell r="DP249">
            <v>-0.26373187658779462</v>
          </cell>
          <cell r="DQ249">
            <v>0.19326048735620982</v>
          </cell>
          <cell r="DS249">
            <v>-5.1352425446713035E-2</v>
          </cell>
          <cell r="DT249">
            <v>1.5342648144707205E-3</v>
          </cell>
          <cell r="DU249">
            <v>7.6068294451747231E-2</v>
          </cell>
          <cell r="DV249">
            <v>-0.14887434404860644</v>
          </cell>
          <cell r="DX249">
            <v>1.5398267400758003E-2</v>
          </cell>
          <cell r="DY249">
            <v>5.2472636625350511E-2</v>
          </cell>
          <cell r="DZ249">
            <v>0.18528608643079747</v>
          </cell>
          <cell r="EA249">
            <v>-7.999999999999996E-2</v>
          </cell>
          <cell r="FV249" t="str">
            <v>--</v>
          </cell>
          <cell r="FW249" t="str">
            <v>--</v>
          </cell>
          <cell r="FX249" t="str">
            <v>--</v>
          </cell>
          <cell r="FY249" t="str">
            <v>--</v>
          </cell>
          <cell r="FZ249" t="str">
            <v>--</v>
          </cell>
          <cell r="GA249" t="str">
            <v>--</v>
          </cell>
        </row>
        <row r="250">
          <cell r="DN250" t="str">
            <v>--</v>
          </cell>
          <cell r="DO250">
            <v>0.40502292900436787</v>
          </cell>
          <cell r="DP250">
            <v>0.11661553690864324</v>
          </cell>
          <cell r="DQ250">
            <v>-0.1899537161550533</v>
          </cell>
          <cell r="DS250">
            <v>-9.5136159656864727E-2</v>
          </cell>
          <cell r="DT250">
            <v>-6.1957231416265302E-4</v>
          </cell>
          <cell r="DU250">
            <v>0.35171140436056891</v>
          </cell>
          <cell r="DV250">
            <v>-0.32243722290928278</v>
          </cell>
          <cell r="DX250">
            <v>8.5425734118051766E-2</v>
          </cell>
          <cell r="DY250">
            <v>9.1273471155317143E-2</v>
          </cell>
          <cell r="DZ250">
            <v>0.34332423128823719</v>
          </cell>
          <cell r="EA250">
            <v>-0.24999999999999989</v>
          </cell>
          <cell r="FV250" t="str">
            <v>--</v>
          </cell>
          <cell r="FW250" t="str">
            <v>--</v>
          </cell>
          <cell r="FX250" t="str">
            <v>--</v>
          </cell>
          <cell r="FY250" t="str">
            <v>--</v>
          </cell>
          <cell r="FZ250" t="str">
            <v>--</v>
          </cell>
          <cell r="GA250" t="str">
            <v>--</v>
          </cell>
        </row>
        <row r="251">
          <cell r="DN251" t="str">
            <v>--</v>
          </cell>
          <cell r="DO251">
            <v>-9.6812634145327037E-2</v>
          </cell>
          <cell r="DP251">
            <v>-0.1593313575258295</v>
          </cell>
          <cell r="DQ251">
            <v>-0.27498096970761943</v>
          </cell>
          <cell r="DS251">
            <v>-0.36756828363114191</v>
          </cell>
          <cell r="DT251">
            <v>6.8303215802101969E-2</v>
          </cell>
          <cell r="DU251">
            <v>8.8140260485130018E-3</v>
          </cell>
          <cell r="DV251">
            <v>0.13483420793519141</v>
          </cell>
          <cell r="DX251">
            <v>-8.6141559339317886E-2</v>
          </cell>
          <cell r="DY251">
            <v>-0.12293946947887469</v>
          </cell>
          <cell r="DZ251">
            <v>0.18528608643079747</v>
          </cell>
          <cell r="EA251">
            <v>-3.0000000000000138E-2</v>
          </cell>
          <cell r="FV251" t="str">
            <v>--</v>
          </cell>
          <cell r="FW251" t="str">
            <v>--</v>
          </cell>
          <cell r="FX251" t="str">
            <v>--</v>
          </cell>
          <cell r="FY251" t="str">
            <v>--</v>
          </cell>
          <cell r="FZ251" t="str">
            <v>--</v>
          </cell>
          <cell r="GA251" t="str">
            <v>--</v>
          </cell>
        </row>
        <row r="252">
          <cell r="DN252" t="str">
            <v>--</v>
          </cell>
          <cell r="DO252">
            <v>0.22174399083855079</v>
          </cell>
          <cell r="DP252">
            <v>0.17055127433112327</v>
          </cell>
          <cell r="DQ252">
            <v>0.40187246067023263</v>
          </cell>
          <cell r="DS252">
            <v>0.21968973871136921</v>
          </cell>
          <cell r="DT252">
            <v>0.18700357311344651</v>
          </cell>
          <cell r="DU252">
            <v>-0.15451776864505584</v>
          </cell>
          <cell r="DV252">
            <v>-6.1182609799068866E-2</v>
          </cell>
          <cell r="DX252">
            <v>1.5398267400758003E-2</v>
          </cell>
          <cell r="DY252">
            <v>0.21439150379848115</v>
          </cell>
          <cell r="DZ252">
            <v>5.8291148598926146E-2</v>
          </cell>
          <cell r="EA252">
            <v>-9.9999999999999978E-2</v>
          </cell>
          <cell r="FV252" t="str">
            <v>--</v>
          </cell>
          <cell r="FW252" t="str">
            <v>--</v>
          </cell>
          <cell r="FX252" t="str">
            <v>--</v>
          </cell>
          <cell r="FY252" t="str">
            <v>--</v>
          </cell>
          <cell r="FZ252" t="str">
            <v>--</v>
          </cell>
          <cell r="GA252" t="str">
            <v>--</v>
          </cell>
        </row>
        <row r="253">
          <cell r="DN253" t="str">
            <v>--</v>
          </cell>
          <cell r="DO253">
            <v>-0.31218808292605682</v>
          </cell>
          <cell r="DP253">
            <v>-0.20189685841059768</v>
          </cell>
          <cell r="DQ253">
            <v>-0.25752680786724691</v>
          </cell>
          <cell r="DS253">
            <v>0.62625298494849169</v>
          </cell>
          <cell r="DT253">
            <v>0.24635375176911922</v>
          </cell>
          <cell r="DU253">
            <v>0.1529303154840147</v>
          </cell>
          <cell r="DV253">
            <v>-0.20561605444536601</v>
          </cell>
          <cell r="DX253">
            <v>0.1604551627437234</v>
          </cell>
          <cell r="DY253">
            <v>0.12764925352716094</v>
          </cell>
          <cell r="DZ253">
            <v>0.33344684723464724</v>
          </cell>
          <cell r="EA253">
            <v>0</v>
          </cell>
          <cell r="FV253" t="str">
            <v>--</v>
          </cell>
          <cell r="FW253" t="str">
            <v>--</v>
          </cell>
          <cell r="FX253" t="str">
            <v>--</v>
          </cell>
          <cell r="FY253" t="str">
            <v>--</v>
          </cell>
          <cell r="FZ253" t="str">
            <v>--</v>
          </cell>
          <cell r="GA253" t="str">
            <v>--</v>
          </cell>
        </row>
        <row r="254">
          <cell r="DN254" t="str">
            <v>--</v>
          </cell>
          <cell r="DO254">
            <v>0.13801608097688778</v>
          </cell>
          <cell r="DP254">
            <v>1.536194427717434</v>
          </cell>
          <cell r="DQ254">
            <v>1.3374719073091512E-3</v>
          </cell>
          <cell r="DS254">
            <v>-0.24108194035737029</v>
          </cell>
          <cell r="DT254">
            <v>-2.0722052181406436E-2</v>
          </cell>
          <cell r="DU254">
            <v>0.67698954979493031</v>
          </cell>
          <cell r="DV254">
            <v>-0.3545630442368598</v>
          </cell>
          <cell r="DX254">
            <v>-0.140816850660897</v>
          </cell>
          <cell r="DY254">
            <v>0.3326763905320993</v>
          </cell>
          <cell r="DZ254">
            <v>2.9343808260593462E-3</v>
          </cell>
          <cell r="EA254">
            <v>-0.19999999999999996</v>
          </cell>
          <cell r="FV254" t="str">
            <v>--</v>
          </cell>
          <cell r="FW254" t="str">
            <v>--</v>
          </cell>
          <cell r="FX254" t="str">
            <v>--</v>
          </cell>
          <cell r="FY254" t="str">
            <v>--</v>
          </cell>
          <cell r="FZ254" t="str">
            <v>--</v>
          </cell>
          <cell r="GA254" t="str">
            <v>--</v>
          </cell>
        </row>
        <row r="256">
          <cell r="DS256">
            <v>60</v>
          </cell>
          <cell r="DT256">
            <v>69</v>
          </cell>
          <cell r="DU256">
            <v>73</v>
          </cell>
          <cell r="DV256">
            <v>73</v>
          </cell>
          <cell r="DX256">
            <v>73</v>
          </cell>
          <cell r="DY256">
            <v>75</v>
          </cell>
          <cell r="DZ256">
            <v>93.75</v>
          </cell>
          <cell r="EA256">
            <v>85</v>
          </cell>
          <cell r="FW256">
            <v>415</v>
          </cell>
          <cell r="FX256">
            <v>606</v>
          </cell>
          <cell r="FY256">
            <v>253</v>
          </cell>
          <cell r="FZ256">
            <v>275</v>
          </cell>
          <cell r="GA256">
            <v>326.75</v>
          </cell>
        </row>
        <row r="257">
          <cell r="DS257">
            <v>-25</v>
          </cell>
          <cell r="DT257">
            <v>-20</v>
          </cell>
          <cell r="DU257">
            <v>-15</v>
          </cell>
          <cell r="DV257">
            <v>-10</v>
          </cell>
          <cell r="DX257">
            <v>-7.5</v>
          </cell>
          <cell r="DY257">
            <v>-3.5</v>
          </cell>
          <cell r="DZ257">
            <v>3</v>
          </cell>
          <cell r="EA257">
            <v>3</v>
          </cell>
        </row>
        <row r="258">
          <cell r="DS258">
            <v>-0.41666666666666669</v>
          </cell>
          <cell r="DT258">
            <v>-0.28985507246376813</v>
          </cell>
          <cell r="DU258">
            <v>-0.20547945205479451</v>
          </cell>
          <cell r="DV258">
            <v>-0.13698630136986301</v>
          </cell>
          <cell r="DX258">
            <v>-0.10273972602739725</v>
          </cell>
          <cell r="DY258">
            <v>-4.6666666666666669E-2</v>
          </cell>
          <cell r="DZ258">
            <v>3.2000000000000001E-2</v>
          </cell>
          <cell r="EA258">
            <v>3.5294117647058823E-2</v>
          </cell>
        </row>
        <row r="259">
          <cell r="DS259">
            <v>0.4</v>
          </cell>
          <cell r="DT259">
            <v>0.43</v>
          </cell>
          <cell r="DU259">
            <v>0.45</v>
          </cell>
          <cell r="DV259">
            <v>0.45</v>
          </cell>
          <cell r="DX259">
            <v>0.45</v>
          </cell>
          <cell r="DY259">
            <v>0.47</v>
          </cell>
          <cell r="DZ259">
            <v>0.5</v>
          </cell>
          <cell r="EA259">
            <v>0.56666666666666665</v>
          </cell>
        </row>
        <row r="260">
          <cell r="DS260">
            <v>-4.7624308971276827E-2</v>
          </cell>
          <cell r="DT260">
            <v>-3.8135043817165343E-2</v>
          </cell>
          <cell r="DU260">
            <v>-2.8493221462614043E-2</v>
          </cell>
          <cell r="DV260">
            <v>-1.8828207667599288E-2</v>
          </cell>
          <cell r="DX260">
            <v>-1.3636487604432767E-2</v>
          </cell>
          <cell r="DY260">
            <v>-6.2867324797746841E-3</v>
          </cell>
          <cell r="DZ260">
            <v>5.3434217135284751E-3</v>
          </cell>
          <cell r="EA260">
            <v>5.3150213132354658E-3</v>
          </cell>
        </row>
        <row r="261">
          <cell r="DO261" t="str">
            <v xml:space="preserve"> </v>
          </cell>
        </row>
        <row r="266">
          <cell r="CT266" t="str">
            <v>F1998 Restated for JIT</v>
          </cell>
          <cell r="CY266" t="str">
            <v>F1999 Restated for JIT</v>
          </cell>
          <cell r="DD266" t="str">
            <v>F2000 Restated for JIT</v>
          </cell>
          <cell r="DI266" t="str">
            <v>F2001 Restated for JIT</v>
          </cell>
          <cell r="DN266" t="str">
            <v>F2002</v>
          </cell>
          <cell r="DS266" t="str">
            <v>F2003</v>
          </cell>
          <cell r="DX266" t="str">
            <v>F2004E</v>
          </cell>
        </row>
        <row r="267">
          <cell r="CT267" t="str">
            <v>6/97</v>
          </cell>
          <cell r="CU267" t="str">
            <v>9/97</v>
          </cell>
          <cell r="CV267" t="str">
            <v xml:space="preserve"> 12/97</v>
          </cell>
          <cell r="CW267" t="str">
            <v xml:space="preserve"> 3/98</v>
          </cell>
          <cell r="CY267" t="str">
            <v>6/98</v>
          </cell>
          <cell r="CZ267" t="str">
            <v>9/98</v>
          </cell>
          <cell r="DA267" t="str">
            <v xml:space="preserve"> 12/98</v>
          </cell>
          <cell r="DB267" t="str">
            <v xml:space="preserve"> 3/99</v>
          </cell>
          <cell r="DD267" t="str">
            <v>6/99</v>
          </cell>
          <cell r="DE267" t="str">
            <v>9/99</v>
          </cell>
          <cell r="DF267" t="str">
            <v xml:space="preserve"> 12/99</v>
          </cell>
          <cell r="DG267" t="str">
            <v xml:space="preserve"> 3/00</v>
          </cell>
          <cell r="DI267" t="str">
            <v>6/00</v>
          </cell>
          <cell r="DJ267" t="str">
            <v>9/00</v>
          </cell>
          <cell r="DK267" t="str">
            <v xml:space="preserve"> 12/00</v>
          </cell>
          <cell r="DL267" t="str">
            <v xml:space="preserve"> 3/01</v>
          </cell>
          <cell r="DN267" t="str">
            <v>6/01</v>
          </cell>
          <cell r="DO267" t="str">
            <v>9/01</v>
          </cell>
          <cell r="DP267" t="str">
            <v xml:space="preserve"> 12/01</v>
          </cell>
          <cell r="DQ267" t="str">
            <v xml:space="preserve"> 3/02</v>
          </cell>
          <cell r="DS267" t="str">
            <v>6/02</v>
          </cell>
          <cell r="DT267" t="str">
            <v>9/02</v>
          </cell>
          <cell r="DU267" t="str">
            <v xml:space="preserve"> 12/02</v>
          </cell>
          <cell r="DV267" t="str">
            <v xml:space="preserve"> 3/03</v>
          </cell>
          <cell r="DX267" t="str">
            <v>6/03</v>
          </cell>
          <cell r="DY267" t="str">
            <v>9/03</v>
          </cell>
          <cell r="DZ267" t="str">
            <v xml:space="preserve"> 12/03</v>
          </cell>
          <cell r="EA267" t="str">
            <v xml:space="preserve"> 3/04E</v>
          </cell>
          <cell r="FV267" t="str">
            <v>F1999</v>
          </cell>
          <cell r="FW267" t="str">
            <v>F2000</v>
          </cell>
          <cell r="FX267" t="str">
            <v>F2001</v>
          </cell>
          <cell r="FY267" t="str">
            <v>F2002</v>
          </cell>
          <cell r="FZ267" t="str">
            <v>F2003</v>
          </cell>
          <cell r="GA267" t="str">
            <v>F2004E</v>
          </cell>
          <cell r="GE267" t="str">
            <v>C1998</v>
          </cell>
          <cell r="GF267" t="str">
            <v>C1999</v>
          </cell>
          <cell r="GG267" t="str">
            <v>C2000</v>
          </cell>
          <cell r="GH267" t="str">
            <v>C2001</v>
          </cell>
          <cell r="GI267" t="str">
            <v>C2002</v>
          </cell>
          <cell r="GJ267" t="str">
            <v>C2003</v>
          </cell>
          <cell r="GL267">
            <v>2003</v>
          </cell>
          <cell r="GM267">
            <v>2004</v>
          </cell>
          <cell r="GN267">
            <v>2005</v>
          </cell>
          <cell r="GO267">
            <v>2006</v>
          </cell>
          <cell r="GP267">
            <v>2007</v>
          </cell>
          <cell r="GQ267">
            <v>2008</v>
          </cell>
          <cell r="GR267">
            <v>2009</v>
          </cell>
          <cell r="GS267">
            <v>2010</v>
          </cell>
          <cell r="GT267">
            <v>2011</v>
          </cell>
          <cell r="GU267">
            <v>2012</v>
          </cell>
          <cell r="GV267">
            <v>2013</v>
          </cell>
          <cell r="GW267">
            <v>2014</v>
          </cell>
          <cell r="GX267">
            <v>2015</v>
          </cell>
          <cell r="GY267">
            <v>2016</v>
          </cell>
          <cell r="GZ267">
            <v>2017</v>
          </cell>
        </row>
        <row r="269">
          <cell r="DK269" t="str">
            <v xml:space="preserve"> --</v>
          </cell>
          <cell r="DL269" t="str">
            <v xml:space="preserve"> --</v>
          </cell>
          <cell r="DN269" t="str">
            <v xml:space="preserve"> --</v>
          </cell>
          <cell r="DO269" t="str">
            <v xml:space="preserve"> --</v>
          </cell>
          <cell r="DP269" t="str">
            <v>&lt; 5%</v>
          </cell>
          <cell r="DQ269">
            <v>0.16</v>
          </cell>
          <cell r="DS269">
            <v>0.11</v>
          </cell>
          <cell r="DT269">
            <v>0.1</v>
          </cell>
          <cell r="DU269">
            <v>0.11</v>
          </cell>
          <cell r="DV269">
            <v>0.12</v>
          </cell>
          <cell r="DX269">
            <v>0.12</v>
          </cell>
          <cell r="DY269">
            <v>0.12</v>
          </cell>
          <cell r="DZ269">
            <v>0.11</v>
          </cell>
        </row>
        <row r="270">
          <cell r="DK270" t="str">
            <v xml:space="preserve"> --</v>
          </cell>
          <cell r="DL270" t="str">
            <v xml:space="preserve"> --</v>
          </cell>
          <cell r="DN270" t="str">
            <v xml:space="preserve"> --</v>
          </cell>
          <cell r="DO270" t="str">
            <v xml:space="preserve"> --</v>
          </cell>
          <cell r="DP270" t="str">
            <v xml:space="preserve"> --</v>
          </cell>
          <cell r="DQ270" t="str">
            <v xml:space="preserve"> --</v>
          </cell>
          <cell r="DS270" t="str">
            <v xml:space="preserve"> --</v>
          </cell>
          <cell r="DT270" t="str">
            <v xml:space="preserve"> --</v>
          </cell>
          <cell r="DU270">
            <v>0.11</v>
          </cell>
          <cell r="DV270" t="str">
            <v xml:space="preserve"> --</v>
          </cell>
          <cell r="DX270" t="str">
            <v xml:space="preserve"> --</v>
          </cell>
          <cell r="FV270" t="str">
            <v>--</v>
          </cell>
          <cell r="FW270" t="str">
            <v>--</v>
          </cell>
          <cell r="FX270" t="str">
            <v>--</v>
          </cell>
          <cell r="FY270" t="str">
            <v>--</v>
          </cell>
        </row>
        <row r="271">
          <cell r="DK271" t="str">
            <v xml:space="preserve"> --</v>
          </cell>
          <cell r="DL271" t="str">
            <v xml:space="preserve"> --</v>
          </cell>
          <cell r="DN271" t="str">
            <v xml:space="preserve"> --</v>
          </cell>
          <cell r="DO271" t="str">
            <v xml:space="preserve"> --</v>
          </cell>
          <cell r="DP271" t="str">
            <v xml:space="preserve"> --</v>
          </cell>
          <cell r="DQ271" t="str">
            <v xml:space="preserve"> --</v>
          </cell>
          <cell r="DS271">
            <v>0.13</v>
          </cell>
          <cell r="DT271">
            <v>0.17</v>
          </cell>
          <cell r="DU271" t="str">
            <v xml:space="preserve"> --</v>
          </cell>
          <cell r="DV271">
            <v>0.1</v>
          </cell>
          <cell r="DX271">
            <v>0.11</v>
          </cell>
          <cell r="DY271">
            <v>0.14000000000000001</v>
          </cell>
          <cell r="DZ271">
            <v>0.13</v>
          </cell>
        </row>
        <row r="272">
          <cell r="DI272" t="str">
            <v>&gt;10%</v>
          </cell>
          <cell r="DK272">
            <v>0.11</v>
          </cell>
          <cell r="DL272" t="str">
            <v xml:space="preserve"> --</v>
          </cell>
          <cell r="DN272">
            <v>0.13</v>
          </cell>
          <cell r="DO272">
            <v>0.18</v>
          </cell>
          <cell r="DP272">
            <v>0.16</v>
          </cell>
          <cell r="DQ272">
            <v>0.06</v>
          </cell>
          <cell r="DS272" t="str">
            <v xml:space="preserve"> --</v>
          </cell>
          <cell r="DT272" t="str">
            <v xml:space="preserve"> --</v>
          </cell>
          <cell r="DU272" t="str">
            <v xml:space="preserve"> --</v>
          </cell>
          <cell r="DV272" t="str">
            <v xml:space="preserve"> --</v>
          </cell>
          <cell r="DX272" t="str">
            <v xml:space="preserve"> --</v>
          </cell>
          <cell r="FV272" t="str">
            <v>--</v>
          </cell>
          <cell r="FW272">
            <v>0.12</v>
          </cell>
          <cell r="FX272" t="str">
            <v>--</v>
          </cell>
          <cell r="FY272">
            <v>0.15</v>
          </cell>
        </row>
        <row r="273">
          <cell r="DK273" t="str">
            <v xml:space="preserve"> --</v>
          </cell>
          <cell r="DL273" t="str">
            <v xml:space="preserve"> --</v>
          </cell>
          <cell r="DN273" t="str">
            <v xml:space="preserve"> --</v>
          </cell>
          <cell r="DO273" t="str">
            <v xml:space="preserve"> --</v>
          </cell>
          <cell r="DP273" t="str">
            <v xml:space="preserve"> --</v>
          </cell>
          <cell r="DQ273" t="str">
            <v xml:space="preserve"> --</v>
          </cell>
          <cell r="DS273" t="str">
            <v xml:space="preserve"> --</v>
          </cell>
          <cell r="DT273" t="str">
            <v xml:space="preserve"> --</v>
          </cell>
          <cell r="DU273" t="str">
            <v xml:space="preserve"> --</v>
          </cell>
          <cell r="DV273" t="str">
            <v xml:space="preserve"> --</v>
          </cell>
          <cell r="DX273" t="str">
            <v xml:space="preserve"> --</v>
          </cell>
          <cell r="FV273" t="str">
            <v>--</v>
          </cell>
          <cell r="FW273" t="str">
            <v>--</v>
          </cell>
          <cell r="FX273" t="str">
            <v>--</v>
          </cell>
          <cell r="FY273" t="str">
            <v>--</v>
          </cell>
        </row>
        <row r="274">
          <cell r="DK274">
            <v>0.1</v>
          </cell>
          <cell r="DL274" t="str">
            <v xml:space="preserve"> --</v>
          </cell>
          <cell r="DN274" t="str">
            <v xml:space="preserve"> --</v>
          </cell>
          <cell r="DO274" t="str">
            <v xml:space="preserve"> --</v>
          </cell>
          <cell r="DP274" t="str">
            <v xml:space="preserve"> --</v>
          </cell>
          <cell r="DQ274" t="str">
            <v xml:space="preserve"> --</v>
          </cell>
          <cell r="DS274" t="str">
            <v xml:space="preserve"> --</v>
          </cell>
          <cell r="DT274" t="str">
            <v xml:space="preserve"> --</v>
          </cell>
          <cell r="DU274" t="str">
            <v xml:space="preserve"> --</v>
          </cell>
          <cell r="DV274" t="str">
            <v xml:space="preserve"> --</v>
          </cell>
          <cell r="DX274" t="str">
            <v xml:space="preserve"> --</v>
          </cell>
          <cell r="FV274" t="str">
            <v>--</v>
          </cell>
          <cell r="FW274" t="str">
            <v>--</v>
          </cell>
          <cell r="FX274" t="str">
            <v>--</v>
          </cell>
          <cell r="FY274" t="str">
            <v>--</v>
          </cell>
        </row>
        <row r="275">
          <cell r="DK275" t="str">
            <v xml:space="preserve"> --</v>
          </cell>
          <cell r="DL275" t="str">
            <v xml:space="preserve"> --</v>
          </cell>
          <cell r="DN275" t="str">
            <v xml:space="preserve"> --</v>
          </cell>
          <cell r="DO275" t="str">
            <v xml:space="preserve"> --</v>
          </cell>
          <cell r="DP275" t="str">
            <v xml:space="preserve"> --</v>
          </cell>
          <cell r="DQ275" t="str">
            <v xml:space="preserve"> --</v>
          </cell>
          <cell r="DS275" t="str">
            <v xml:space="preserve"> --</v>
          </cell>
          <cell r="DT275" t="str">
            <v xml:space="preserve"> --</v>
          </cell>
          <cell r="DU275" t="str">
            <v xml:space="preserve"> --</v>
          </cell>
          <cell r="DV275" t="str">
            <v xml:space="preserve"> --</v>
          </cell>
          <cell r="DX275" t="str">
            <v xml:space="preserve"> --</v>
          </cell>
          <cell r="FV275" t="str">
            <v>--</v>
          </cell>
          <cell r="FW275" t="str">
            <v>--</v>
          </cell>
          <cell r="FX275" t="str">
            <v>--</v>
          </cell>
          <cell r="FY275" t="str">
            <v>--</v>
          </cell>
        </row>
        <row r="276">
          <cell r="DK276" t="str">
            <v xml:space="preserve"> --</v>
          </cell>
          <cell r="DL276" t="str">
            <v xml:space="preserve"> --</v>
          </cell>
          <cell r="DN276" t="str">
            <v xml:space="preserve"> --</v>
          </cell>
          <cell r="DO276" t="str">
            <v xml:space="preserve"> --</v>
          </cell>
          <cell r="DP276" t="str">
            <v xml:space="preserve"> --</v>
          </cell>
          <cell r="DQ276" t="str">
            <v xml:space="preserve"> --</v>
          </cell>
          <cell r="DS276" t="str">
            <v xml:space="preserve"> --</v>
          </cell>
          <cell r="DT276" t="str">
            <v xml:space="preserve"> --</v>
          </cell>
          <cell r="DU276" t="str">
            <v xml:space="preserve"> --</v>
          </cell>
          <cell r="DV276" t="str">
            <v xml:space="preserve"> --</v>
          </cell>
          <cell r="DX276" t="str">
            <v xml:space="preserve"> --</v>
          </cell>
          <cell r="FV276" t="str">
            <v>--</v>
          </cell>
          <cell r="FW276" t="str">
            <v>--</v>
          </cell>
          <cell r="FX276" t="str">
            <v>--</v>
          </cell>
          <cell r="FY276" t="str">
            <v>--</v>
          </cell>
        </row>
        <row r="277">
          <cell r="DK277" t="str">
            <v xml:space="preserve"> --</v>
          </cell>
          <cell r="DL277" t="str">
            <v xml:space="preserve"> --</v>
          </cell>
          <cell r="DN277" t="str">
            <v xml:space="preserve"> --</v>
          </cell>
          <cell r="DO277" t="str">
            <v xml:space="preserve"> --</v>
          </cell>
          <cell r="DP277" t="str">
            <v xml:space="preserve"> --</v>
          </cell>
          <cell r="DQ277" t="str">
            <v xml:space="preserve"> --</v>
          </cell>
          <cell r="DS277" t="str">
            <v xml:space="preserve"> --</v>
          </cell>
          <cell r="DT277" t="str">
            <v xml:space="preserve"> --</v>
          </cell>
          <cell r="DU277" t="str">
            <v xml:space="preserve"> --</v>
          </cell>
          <cell r="DV277" t="str">
            <v xml:space="preserve"> --</v>
          </cell>
          <cell r="DX277" t="str">
            <v xml:space="preserve"> --</v>
          </cell>
          <cell r="FV277" t="str">
            <v>--</v>
          </cell>
          <cell r="FW277" t="str">
            <v>--</v>
          </cell>
          <cell r="FX277" t="str">
            <v>--</v>
          </cell>
          <cell r="FY277" t="str">
            <v>--</v>
          </cell>
        </row>
        <row r="278">
          <cell r="DK278" t="str">
            <v xml:space="preserve"> --</v>
          </cell>
          <cell r="DL278" t="str">
            <v xml:space="preserve"> --</v>
          </cell>
          <cell r="DN278" t="str">
            <v xml:space="preserve"> --</v>
          </cell>
          <cell r="DO278" t="str">
            <v xml:space="preserve"> --</v>
          </cell>
          <cell r="DP278" t="str">
            <v xml:space="preserve"> --</v>
          </cell>
          <cell r="DQ278" t="str">
            <v xml:space="preserve"> --</v>
          </cell>
          <cell r="DS278" t="str">
            <v xml:space="preserve"> --</v>
          </cell>
          <cell r="DT278" t="str">
            <v xml:space="preserve"> --</v>
          </cell>
          <cell r="DU278" t="str">
            <v xml:space="preserve"> --</v>
          </cell>
          <cell r="DV278" t="str">
            <v xml:space="preserve"> --</v>
          </cell>
          <cell r="DX278" t="str">
            <v xml:space="preserve"> --</v>
          </cell>
          <cell r="FV278" t="str">
            <v>--</v>
          </cell>
          <cell r="FW278" t="str">
            <v>--</v>
          </cell>
          <cell r="FX278" t="str">
            <v>--</v>
          </cell>
          <cell r="FY278" t="str">
            <v>--</v>
          </cell>
        </row>
        <row r="279">
          <cell r="DK279" t="str">
            <v xml:space="preserve"> --</v>
          </cell>
          <cell r="DL279" t="str">
            <v xml:space="preserve"> --</v>
          </cell>
          <cell r="DN279" t="str">
            <v xml:space="preserve"> --</v>
          </cell>
          <cell r="DO279" t="str">
            <v xml:space="preserve"> --</v>
          </cell>
          <cell r="DP279" t="str">
            <v xml:space="preserve"> --</v>
          </cell>
          <cell r="DQ279" t="str">
            <v xml:space="preserve"> --</v>
          </cell>
          <cell r="DS279" t="str">
            <v xml:space="preserve"> --</v>
          </cell>
          <cell r="DT279" t="str">
            <v xml:space="preserve"> --</v>
          </cell>
          <cell r="DU279" t="str">
            <v xml:space="preserve"> --</v>
          </cell>
          <cell r="DV279" t="str">
            <v xml:space="preserve"> --</v>
          </cell>
          <cell r="DX279" t="str">
            <v xml:space="preserve"> --</v>
          </cell>
          <cell r="FV279" t="str">
            <v>--</v>
          </cell>
          <cell r="FW279" t="str">
            <v>--</v>
          </cell>
          <cell r="FX279" t="str">
            <v>--</v>
          </cell>
          <cell r="FY279" t="str">
            <v>--</v>
          </cell>
        </row>
        <row r="281">
          <cell r="FV281" t="str">
            <v>--</v>
          </cell>
          <cell r="FW281" t="str">
            <v>--</v>
          </cell>
          <cell r="FX281" t="str">
            <v>--</v>
          </cell>
          <cell r="FY281" t="str">
            <v>--</v>
          </cell>
          <cell r="FZ281" t="str">
            <v>--</v>
          </cell>
          <cell r="GA281" t="str">
            <v>--</v>
          </cell>
        </row>
        <row r="282">
          <cell r="DI282">
            <v>0.57999999999999996</v>
          </cell>
          <cell r="DJ282">
            <v>0.57999999999999996</v>
          </cell>
          <cell r="DK282">
            <v>0.56999999999999995</v>
          </cell>
          <cell r="DL282">
            <v>0.56999999999999995</v>
          </cell>
          <cell r="DN282">
            <v>0.62</v>
          </cell>
          <cell r="DO282">
            <v>0.62</v>
          </cell>
          <cell r="DP282">
            <v>0.61</v>
          </cell>
          <cell r="DQ282">
            <v>0.64</v>
          </cell>
          <cell r="DS282">
            <v>0.72</v>
          </cell>
          <cell r="DT282">
            <v>0.7</v>
          </cell>
          <cell r="DU282">
            <v>0.68</v>
          </cell>
          <cell r="DV282">
            <v>0.62</v>
          </cell>
          <cell r="DX282">
            <v>0.61</v>
          </cell>
          <cell r="DY282">
            <v>0.68</v>
          </cell>
          <cell r="DZ282">
            <v>0.64</v>
          </cell>
          <cell r="FV282" t="str">
            <v>--</v>
          </cell>
          <cell r="FW282">
            <v>0.56999999999999995</v>
          </cell>
          <cell r="FX282">
            <v>0.59</v>
          </cell>
          <cell r="FY282">
            <v>0.64</v>
          </cell>
          <cell r="FZ282" t="str">
            <v>--</v>
          </cell>
          <cell r="GA282" t="str">
            <v>--</v>
          </cell>
        </row>
        <row r="284">
          <cell r="DO284">
            <v>6577.2171428571428</v>
          </cell>
          <cell r="DP284">
            <v>6577.2171428571428</v>
          </cell>
          <cell r="DQ284">
            <v>6278.666666666667</v>
          </cell>
          <cell r="DS284">
            <v>5685.5036363636364</v>
          </cell>
          <cell r="DT284">
            <v>6681.2259999999997</v>
          </cell>
          <cell r="DU284">
            <v>7702.9880000000003</v>
          </cell>
          <cell r="DV284">
            <v>5099.2750000000005</v>
          </cell>
          <cell r="DX284">
            <v>5177.7950000000001</v>
          </cell>
        </row>
        <row r="285">
          <cell r="DO285">
            <v>0.49335728614707219</v>
          </cell>
          <cell r="DP285" t="str">
            <v>50-55%</v>
          </cell>
          <cell r="DQ285" t="str">
            <v>50-55%</v>
          </cell>
          <cell r="DS285">
            <v>0.55000000000000004</v>
          </cell>
          <cell r="DT285">
            <v>0.5</v>
          </cell>
          <cell r="DU285">
            <v>0.5</v>
          </cell>
          <cell r="DV285">
            <v>0.6</v>
          </cell>
          <cell r="DX285">
            <v>0.6</v>
          </cell>
        </row>
        <row r="295">
          <cell r="CT295" t="str">
            <v>F1998 Restated for JIT</v>
          </cell>
          <cell r="CY295" t="str">
            <v>F1999 Restated for JIT</v>
          </cell>
          <cell r="DD295" t="str">
            <v>F2000 Restated for JIT</v>
          </cell>
          <cell r="DI295" t="str">
            <v>F2001 Restated for JIT</v>
          </cell>
          <cell r="DN295" t="str">
            <v>F2002</v>
          </cell>
          <cell r="DS295" t="str">
            <v>F2003</v>
          </cell>
          <cell r="DX295" t="str">
            <v>F2004E</v>
          </cell>
        </row>
        <row r="296">
          <cell r="CT296" t="str">
            <v>6/97</v>
          </cell>
          <cell r="CU296" t="str">
            <v>9/97</v>
          </cell>
          <cell r="CV296" t="str">
            <v xml:space="preserve"> 12/97</v>
          </cell>
          <cell r="CW296" t="str">
            <v xml:space="preserve"> 3/98</v>
          </cell>
          <cell r="CY296" t="str">
            <v>6/98</v>
          </cell>
          <cell r="CZ296" t="str">
            <v>9/98</v>
          </cell>
          <cell r="DA296" t="str">
            <v xml:space="preserve"> 12/98</v>
          </cell>
          <cell r="DB296" t="str">
            <v xml:space="preserve"> 3/99</v>
          </cell>
          <cell r="DD296" t="str">
            <v>6/99</v>
          </cell>
          <cell r="DE296" t="str">
            <v>9/99</v>
          </cell>
          <cell r="DF296" t="str">
            <v xml:space="preserve"> 12/99</v>
          </cell>
          <cell r="DG296" t="str">
            <v xml:space="preserve"> 3/00</v>
          </cell>
          <cell r="DI296" t="str">
            <v>6/00</v>
          </cell>
          <cell r="DJ296" t="str">
            <v>9/00</v>
          </cell>
          <cell r="DK296" t="str">
            <v xml:space="preserve"> 12/00</v>
          </cell>
          <cell r="DL296" t="str">
            <v xml:space="preserve"> 3/01</v>
          </cell>
          <cell r="DN296" t="str">
            <v>6/01</v>
          </cell>
          <cell r="DO296" t="str">
            <v>9/01</v>
          </cell>
          <cell r="DP296" t="str">
            <v xml:space="preserve"> 12/01</v>
          </cell>
          <cell r="DQ296" t="str">
            <v xml:space="preserve"> 3/02</v>
          </cell>
          <cell r="DS296" t="str">
            <v>6/02</v>
          </cell>
          <cell r="DT296" t="str">
            <v>9/02</v>
          </cell>
          <cell r="DU296" t="str">
            <v xml:space="preserve"> 12/02</v>
          </cell>
          <cell r="DV296" t="str">
            <v xml:space="preserve"> 3/03</v>
          </cell>
          <cell r="DX296" t="str">
            <v>6/03</v>
          </cell>
          <cell r="DY296" t="str">
            <v>9/03</v>
          </cell>
          <cell r="DZ296" t="str">
            <v xml:space="preserve"> 12/03</v>
          </cell>
          <cell r="EA296" t="str">
            <v xml:space="preserve"> 3/04E</v>
          </cell>
          <cell r="FV296" t="str">
            <v>F1999</v>
          </cell>
          <cell r="FW296" t="str">
            <v>F2000</v>
          </cell>
          <cell r="FX296" t="str">
            <v>F2001</v>
          </cell>
          <cell r="FY296" t="str">
            <v>F2002</v>
          </cell>
          <cell r="FZ296" t="str">
            <v>F2003</v>
          </cell>
          <cell r="GA296" t="str">
            <v>F2004E</v>
          </cell>
          <cell r="GE296" t="str">
            <v>C1998</v>
          </cell>
          <cell r="GF296" t="str">
            <v>C1999</v>
          </cell>
          <cell r="GG296" t="str">
            <v>C2000</v>
          </cell>
          <cell r="GH296" t="str">
            <v>C2001</v>
          </cell>
          <cell r="GI296" t="str">
            <v>C2002</v>
          </cell>
          <cell r="GJ296" t="str">
            <v>C2003</v>
          </cell>
          <cell r="GL296">
            <v>2003</v>
          </cell>
          <cell r="GM296">
            <v>2004</v>
          </cell>
          <cell r="GN296">
            <v>2005</v>
          </cell>
          <cell r="GO296">
            <v>2006</v>
          </cell>
          <cell r="GP296">
            <v>2007</v>
          </cell>
          <cell r="GQ296">
            <v>2008</v>
          </cell>
          <cell r="GR296">
            <v>2009</v>
          </cell>
          <cell r="GS296">
            <v>2010</v>
          </cell>
          <cell r="GT296">
            <v>2011</v>
          </cell>
          <cell r="GU296">
            <v>2012</v>
          </cell>
          <cell r="GV296">
            <v>2013</v>
          </cell>
          <cell r="GW296">
            <v>2014</v>
          </cell>
          <cell r="GX296">
            <v>2015</v>
          </cell>
          <cell r="GY296">
            <v>2016</v>
          </cell>
          <cell r="GZ296">
            <v>2017</v>
          </cell>
        </row>
        <row r="298">
          <cell r="DN298">
            <v>3110.598</v>
          </cell>
          <cell r="DO298">
            <v>3244.9180000000001</v>
          </cell>
          <cell r="DP298">
            <v>3453.0390000000002</v>
          </cell>
          <cell r="DQ298">
            <v>3296.3</v>
          </cell>
          <cell r="DS298">
            <v>3127.027</v>
          </cell>
          <cell r="DT298">
            <v>3340.6129999999998</v>
          </cell>
          <cell r="DU298">
            <v>3851.4940000000001</v>
          </cell>
          <cell r="DV298">
            <v>3059.5650000000001</v>
          </cell>
          <cell r="DX298">
            <v>3106.6770000000001</v>
          </cell>
          <cell r="DY298">
            <v>3503.2420000000002</v>
          </cell>
          <cell r="DZ298">
            <v>4152.3440000000001</v>
          </cell>
        </row>
        <row r="299">
          <cell r="DN299" t="str">
            <v>--</v>
          </cell>
          <cell r="DO299">
            <v>1070.82294</v>
          </cell>
          <cell r="DP299">
            <v>1139.50287</v>
          </cell>
          <cell r="DQ299">
            <v>922.96400000000017</v>
          </cell>
          <cell r="DS299">
            <v>875.56756000000007</v>
          </cell>
          <cell r="DT299">
            <v>868.55938000000003</v>
          </cell>
          <cell r="DU299">
            <v>731.78386</v>
          </cell>
          <cell r="DV299">
            <v>458.93475000000001</v>
          </cell>
          <cell r="DX299">
            <v>0</v>
          </cell>
          <cell r="DZ299">
            <v>539.80471999999997</v>
          </cell>
        </row>
        <row r="300">
          <cell r="DN300" t="str">
            <v>--</v>
          </cell>
          <cell r="DO300">
            <v>1297.9672</v>
          </cell>
          <cell r="DP300">
            <v>1450.27638</v>
          </cell>
          <cell r="DQ300">
            <v>1483.335</v>
          </cell>
          <cell r="DS300">
            <v>906.83782999999994</v>
          </cell>
          <cell r="DT300">
            <v>1302.83907</v>
          </cell>
          <cell r="DU300">
            <v>1617.6274800000001</v>
          </cell>
          <cell r="DV300">
            <v>1376.8042500000001</v>
          </cell>
          <cell r="DX300">
            <v>0</v>
          </cell>
          <cell r="DZ300">
            <v>1743.9844799999998</v>
          </cell>
        </row>
        <row r="301">
          <cell r="DN301" t="str">
            <v>--</v>
          </cell>
          <cell r="DO301">
            <v>876.12786000000006</v>
          </cell>
          <cell r="DP301">
            <v>863.25975000000005</v>
          </cell>
          <cell r="DQ301">
            <v>890.00100000000009</v>
          </cell>
          <cell r="DS301">
            <v>1344.6216099999999</v>
          </cell>
          <cell r="DT301">
            <v>1169.2145499999999</v>
          </cell>
          <cell r="DU301">
            <v>1502.08266</v>
          </cell>
          <cell r="DV301">
            <v>1223.826</v>
          </cell>
          <cell r="DX301">
            <v>0</v>
          </cell>
          <cell r="DZ301">
            <v>1868.5548000000001</v>
          </cell>
        </row>
        <row r="304">
          <cell r="CT304" t="str">
            <v xml:space="preserve"> --</v>
          </cell>
          <cell r="CU304" t="str">
            <v xml:space="preserve"> --</v>
          </cell>
          <cell r="CV304" t="str">
            <v xml:space="preserve"> --</v>
          </cell>
          <cell r="CW304" t="str">
            <v xml:space="preserve"> --</v>
          </cell>
          <cell r="CY304" t="str">
            <v xml:space="preserve"> --</v>
          </cell>
          <cell r="CZ304" t="str">
            <v xml:space="preserve"> --</v>
          </cell>
          <cell r="DA304" t="str">
            <v xml:space="preserve"> --</v>
          </cell>
          <cell r="DB304" t="str">
            <v xml:space="preserve"> --</v>
          </cell>
          <cell r="DD304" t="str">
            <v xml:space="preserve"> --</v>
          </cell>
          <cell r="DE304" t="str">
            <v xml:space="preserve"> --</v>
          </cell>
          <cell r="DF304" t="str">
            <v xml:space="preserve"> --</v>
          </cell>
          <cell r="DG304">
            <v>0.41</v>
          </cell>
          <cell r="DI304">
            <v>0.43</v>
          </cell>
          <cell r="DJ304">
            <v>0.46</v>
          </cell>
          <cell r="DK304">
            <v>0.42</v>
          </cell>
          <cell r="DL304">
            <v>0.38</v>
          </cell>
          <cell r="DN304" t="str">
            <v>--</v>
          </cell>
          <cell r="DO304">
            <v>0.33</v>
          </cell>
          <cell r="DP304">
            <v>0.33</v>
          </cell>
          <cell r="DQ304">
            <v>0.28000000000000003</v>
          </cell>
          <cell r="DS304">
            <v>0.28000000000000003</v>
          </cell>
          <cell r="DT304">
            <v>0.26</v>
          </cell>
          <cell r="DU304">
            <v>0.19</v>
          </cell>
          <cell r="DV304">
            <v>0.15</v>
          </cell>
          <cell r="DZ304">
            <v>0.13</v>
          </cell>
          <cell r="FW304">
            <v>0.41</v>
          </cell>
          <cell r="FX304">
            <v>0.38</v>
          </cell>
          <cell r="FY304">
            <v>0.28000000000000003</v>
          </cell>
        </row>
        <row r="305">
          <cell r="CT305" t="str">
            <v xml:space="preserve"> --</v>
          </cell>
          <cell r="CU305" t="str">
            <v xml:space="preserve"> --</v>
          </cell>
          <cell r="CV305" t="str">
            <v xml:space="preserve"> --</v>
          </cell>
          <cell r="CW305" t="str">
            <v xml:space="preserve"> --</v>
          </cell>
          <cell r="CY305" t="str">
            <v xml:space="preserve"> --</v>
          </cell>
          <cell r="CZ305" t="str">
            <v xml:space="preserve"> --</v>
          </cell>
          <cell r="DA305" t="str">
            <v xml:space="preserve"> --</v>
          </cell>
          <cell r="DB305" t="str">
            <v xml:space="preserve"> --</v>
          </cell>
          <cell r="DD305" t="str">
            <v xml:space="preserve"> --</v>
          </cell>
          <cell r="DE305" t="str">
            <v xml:space="preserve"> --</v>
          </cell>
          <cell r="DF305" t="str">
            <v xml:space="preserve"> --</v>
          </cell>
          <cell r="DG305">
            <v>0.38</v>
          </cell>
          <cell r="DI305">
            <v>0.37</v>
          </cell>
          <cell r="DJ305">
            <v>0.35</v>
          </cell>
          <cell r="DK305">
            <v>0.36</v>
          </cell>
          <cell r="DL305">
            <v>0.41</v>
          </cell>
          <cell r="DN305" t="str">
            <v>--</v>
          </cell>
          <cell r="DO305">
            <v>0.4</v>
          </cell>
          <cell r="DP305">
            <v>0.42</v>
          </cell>
          <cell r="DQ305">
            <v>0.45</v>
          </cell>
          <cell r="DS305">
            <v>0.28999999999999998</v>
          </cell>
          <cell r="DT305">
            <v>0.39</v>
          </cell>
          <cell r="DU305">
            <v>0.42</v>
          </cell>
          <cell r="DV305">
            <v>0.45</v>
          </cell>
          <cell r="DZ305">
            <v>0.42</v>
          </cell>
          <cell r="FW305">
            <v>0.38</v>
          </cell>
          <cell r="FX305">
            <v>0.41</v>
          </cell>
          <cell r="FY305">
            <v>0.45</v>
          </cell>
        </row>
        <row r="306">
          <cell r="CT306" t="str">
            <v xml:space="preserve"> --</v>
          </cell>
          <cell r="CU306" t="str">
            <v xml:space="preserve"> --</v>
          </cell>
          <cell r="CV306" t="str">
            <v xml:space="preserve"> --</v>
          </cell>
          <cell r="CW306" t="str">
            <v xml:space="preserve"> --</v>
          </cell>
          <cell r="CY306" t="str">
            <v xml:space="preserve"> --</v>
          </cell>
          <cell r="CZ306" t="str">
            <v xml:space="preserve"> --</v>
          </cell>
          <cell r="DA306" t="str">
            <v xml:space="preserve"> --</v>
          </cell>
          <cell r="DB306" t="str">
            <v xml:space="preserve"> --</v>
          </cell>
          <cell r="DD306" t="str">
            <v xml:space="preserve"> --</v>
          </cell>
          <cell r="DE306" t="str">
            <v xml:space="preserve"> --</v>
          </cell>
          <cell r="DF306" t="str">
            <v xml:space="preserve"> --</v>
          </cell>
          <cell r="DG306">
            <v>0.21</v>
          </cell>
          <cell r="DI306">
            <v>0.2</v>
          </cell>
          <cell r="DJ306">
            <v>0.19</v>
          </cell>
          <cell r="DK306">
            <v>0.22</v>
          </cell>
          <cell r="DL306">
            <v>0.21</v>
          </cell>
          <cell r="DN306" t="str">
            <v>--</v>
          </cell>
          <cell r="DO306">
            <v>0.27</v>
          </cell>
          <cell r="DP306">
            <v>0.25</v>
          </cell>
          <cell r="DQ306">
            <v>0.27</v>
          </cell>
          <cell r="DS306">
            <v>0.43</v>
          </cell>
          <cell r="DT306">
            <v>0.35</v>
          </cell>
          <cell r="DU306">
            <v>0.39</v>
          </cell>
          <cell r="DV306">
            <v>0.4</v>
          </cell>
          <cell r="DZ306">
            <v>0.45</v>
          </cell>
          <cell r="FW306">
            <v>0.21</v>
          </cell>
          <cell r="FX306">
            <v>0.21</v>
          </cell>
          <cell r="FY306">
            <v>0.27</v>
          </cell>
        </row>
        <row r="309">
          <cell r="CT309" t="str">
            <v xml:space="preserve"> --</v>
          </cell>
          <cell r="CU309" t="str">
            <v xml:space="preserve"> --</v>
          </cell>
          <cell r="CV309" t="str">
            <v xml:space="preserve"> --</v>
          </cell>
          <cell r="CW309" t="str">
            <v xml:space="preserve"> --</v>
          </cell>
          <cell r="CY309" t="str">
            <v xml:space="preserve"> --</v>
          </cell>
          <cell r="CZ309" t="str">
            <v xml:space="preserve"> --</v>
          </cell>
          <cell r="DA309" t="str">
            <v xml:space="preserve"> --</v>
          </cell>
          <cell r="DB309" t="str">
            <v xml:space="preserve"> --</v>
          </cell>
          <cell r="DD309" t="str">
            <v xml:space="preserve"> --</v>
          </cell>
          <cell r="DE309" t="str">
            <v xml:space="preserve"> --</v>
          </cell>
          <cell r="DF309">
            <v>0.45</v>
          </cell>
          <cell r="DG309">
            <v>0.45</v>
          </cell>
          <cell r="DI309">
            <v>0.48</v>
          </cell>
          <cell r="DJ309">
            <v>0.51</v>
          </cell>
          <cell r="DK309">
            <v>0.49</v>
          </cell>
          <cell r="DL309">
            <v>0.44</v>
          </cell>
          <cell r="DN309">
            <v>0.42</v>
          </cell>
          <cell r="DO309" t="str">
            <v>--</v>
          </cell>
          <cell r="DP309" t="str">
            <v>--</v>
          </cell>
          <cell r="DQ309" t="str">
            <v>--</v>
          </cell>
          <cell r="DS309" t="str">
            <v>--</v>
          </cell>
          <cell r="DT309" t="str">
            <v>--</v>
          </cell>
          <cell r="DU309" t="str">
            <v>--</v>
          </cell>
          <cell r="FW309">
            <v>0.45</v>
          </cell>
          <cell r="FX309">
            <v>0.44</v>
          </cell>
          <cell r="FY309" t="str">
            <v>--</v>
          </cell>
        </row>
        <row r="310">
          <cell r="CT310" t="str">
            <v xml:space="preserve"> --</v>
          </cell>
          <cell r="CU310" t="str">
            <v xml:space="preserve"> --</v>
          </cell>
          <cell r="CV310" t="str">
            <v xml:space="preserve"> --</v>
          </cell>
          <cell r="CW310" t="str">
            <v xml:space="preserve"> --</v>
          </cell>
          <cell r="CY310" t="str">
            <v xml:space="preserve"> --</v>
          </cell>
          <cell r="CZ310" t="str">
            <v xml:space="preserve"> --</v>
          </cell>
          <cell r="DA310" t="str">
            <v xml:space="preserve"> --</v>
          </cell>
          <cell r="DB310" t="str">
            <v xml:space="preserve"> --</v>
          </cell>
          <cell r="DD310" t="str">
            <v xml:space="preserve"> --</v>
          </cell>
          <cell r="DE310" t="str">
            <v xml:space="preserve"> --</v>
          </cell>
          <cell r="DF310">
            <v>0.41</v>
          </cell>
          <cell r="DG310">
            <v>0.42</v>
          </cell>
          <cell r="DI310">
            <v>0.4</v>
          </cell>
          <cell r="DJ310">
            <v>0.38</v>
          </cell>
          <cell r="DK310">
            <v>0.38</v>
          </cell>
          <cell r="DL310">
            <v>0.44</v>
          </cell>
          <cell r="DN310">
            <v>0.42</v>
          </cell>
          <cell r="DO310" t="str">
            <v>--</v>
          </cell>
          <cell r="DP310" t="str">
            <v>--</v>
          </cell>
          <cell r="DQ310" t="str">
            <v>--</v>
          </cell>
          <cell r="DS310" t="str">
            <v>--</v>
          </cell>
          <cell r="DT310" t="str">
            <v>--</v>
          </cell>
          <cell r="DU310" t="str">
            <v>--</v>
          </cell>
          <cell r="FW310">
            <v>0.42</v>
          </cell>
          <cell r="FX310">
            <v>0.44</v>
          </cell>
          <cell r="FY310" t="str">
            <v>--</v>
          </cell>
        </row>
        <row r="311">
          <cell r="CT311" t="str">
            <v xml:space="preserve"> --</v>
          </cell>
          <cell r="CU311" t="str">
            <v xml:space="preserve"> --</v>
          </cell>
          <cell r="CV311" t="str">
            <v xml:space="preserve"> --</v>
          </cell>
          <cell r="CW311" t="str">
            <v xml:space="preserve"> --</v>
          </cell>
          <cell r="CY311" t="str">
            <v xml:space="preserve"> --</v>
          </cell>
          <cell r="CZ311" t="str">
            <v xml:space="preserve"> --</v>
          </cell>
          <cell r="DA311" t="str">
            <v xml:space="preserve"> --</v>
          </cell>
          <cell r="DB311" t="str">
            <v xml:space="preserve"> --</v>
          </cell>
          <cell r="DD311" t="str">
            <v xml:space="preserve"> --</v>
          </cell>
          <cell r="DE311" t="str">
            <v xml:space="preserve"> --</v>
          </cell>
          <cell r="DF311">
            <v>0.14000000000000001</v>
          </cell>
          <cell r="DG311">
            <v>0.13</v>
          </cell>
          <cell r="DI311">
            <v>0.12</v>
          </cell>
          <cell r="DJ311">
            <v>0.11</v>
          </cell>
          <cell r="DK311">
            <v>0.13</v>
          </cell>
          <cell r="DL311">
            <v>0.12</v>
          </cell>
          <cell r="DN311">
            <v>0.16</v>
          </cell>
          <cell r="DO311" t="str">
            <v>--</v>
          </cell>
          <cell r="DP311" t="str">
            <v>--</v>
          </cell>
          <cell r="DQ311" t="str">
            <v>--</v>
          </cell>
          <cell r="DS311" t="str">
            <v>--</v>
          </cell>
          <cell r="DT311" t="str">
            <v>--</v>
          </cell>
          <cell r="DU311" t="str">
            <v>--</v>
          </cell>
          <cell r="FW311">
            <v>0.13</v>
          </cell>
          <cell r="FX311">
            <v>0.12</v>
          </cell>
          <cell r="FY311" t="str">
            <v>--</v>
          </cell>
        </row>
        <row r="319">
          <cell r="CT319" t="str">
            <v>F1998 Restated for JIT</v>
          </cell>
          <cell r="CY319" t="str">
            <v>F1999 Restated for JIT</v>
          </cell>
          <cell r="DD319" t="str">
            <v>F2000 Restated for JIT</v>
          </cell>
          <cell r="DI319" t="str">
            <v>F2001 Restated for JIT</v>
          </cell>
          <cell r="DN319" t="str">
            <v>F2002</v>
          </cell>
          <cell r="DS319" t="str">
            <v>F2003</v>
          </cell>
          <cell r="DX319" t="str">
            <v>F2004E</v>
          </cell>
        </row>
        <row r="320">
          <cell r="CT320" t="str">
            <v>6/97</v>
          </cell>
          <cell r="CU320" t="str">
            <v>9/97</v>
          </cell>
          <cell r="CV320" t="str">
            <v xml:space="preserve"> 12/97</v>
          </cell>
          <cell r="CW320" t="str">
            <v xml:space="preserve"> 3/98</v>
          </cell>
          <cell r="CY320" t="str">
            <v>6/98</v>
          </cell>
          <cell r="CZ320" t="str">
            <v>9/98</v>
          </cell>
          <cell r="DA320" t="str">
            <v xml:space="preserve"> 12/98</v>
          </cell>
          <cell r="DB320" t="str">
            <v xml:space="preserve"> 3/99</v>
          </cell>
          <cell r="DD320" t="str">
            <v>6/99</v>
          </cell>
          <cell r="DE320" t="str">
            <v>9/99</v>
          </cell>
          <cell r="DF320" t="str">
            <v xml:space="preserve"> 12/99</v>
          </cell>
          <cell r="DG320" t="str">
            <v xml:space="preserve"> 3/00</v>
          </cell>
          <cell r="DI320" t="str">
            <v>6/00</v>
          </cell>
          <cell r="DJ320" t="str">
            <v>9/00</v>
          </cell>
          <cell r="DK320" t="str">
            <v xml:space="preserve"> 12/00</v>
          </cell>
          <cell r="DL320" t="str">
            <v xml:space="preserve"> 3/01</v>
          </cell>
          <cell r="DN320" t="str">
            <v>6/01</v>
          </cell>
          <cell r="DO320" t="str">
            <v>9/01</v>
          </cell>
          <cell r="DP320" t="str">
            <v xml:space="preserve"> 12/01</v>
          </cell>
          <cell r="DQ320" t="str">
            <v xml:space="preserve"> 3/02</v>
          </cell>
          <cell r="DS320" t="str">
            <v>6/02</v>
          </cell>
          <cell r="DT320" t="str">
            <v>9/02</v>
          </cell>
          <cell r="DU320" t="str">
            <v xml:space="preserve"> 12/02</v>
          </cell>
          <cell r="DV320" t="str">
            <v xml:space="preserve"> 3/03</v>
          </cell>
          <cell r="DX320" t="str">
            <v>6/03</v>
          </cell>
          <cell r="DY320" t="str">
            <v>9/03</v>
          </cell>
          <cell r="DZ320" t="str">
            <v xml:space="preserve"> 12/03</v>
          </cell>
          <cell r="EA320" t="str">
            <v xml:space="preserve"> 3/04E</v>
          </cell>
          <cell r="FV320" t="str">
            <v>F1999</v>
          </cell>
          <cell r="FW320" t="str">
            <v>F2000</v>
          </cell>
          <cell r="FX320" t="str">
            <v>F2001</v>
          </cell>
          <cell r="FY320" t="str">
            <v>F2002</v>
          </cell>
          <cell r="FZ320" t="str">
            <v>F2003</v>
          </cell>
          <cell r="GA320" t="str">
            <v>F2004E</v>
          </cell>
          <cell r="GE320" t="str">
            <v>C1998</v>
          </cell>
          <cell r="GF320" t="str">
            <v>C1999</v>
          </cell>
          <cell r="GG320" t="str">
            <v>C2000</v>
          </cell>
          <cell r="GH320" t="str">
            <v>C2001</v>
          </cell>
          <cell r="GI320" t="str">
            <v>C2002</v>
          </cell>
          <cell r="GJ320" t="str">
            <v>C2003</v>
          </cell>
          <cell r="GL320">
            <v>2003</v>
          </cell>
          <cell r="GM320">
            <v>2004</v>
          </cell>
          <cell r="GN320">
            <v>2005</v>
          </cell>
          <cell r="GO320">
            <v>2006</v>
          </cell>
          <cell r="GP320">
            <v>2007</v>
          </cell>
          <cell r="GQ320">
            <v>2008</v>
          </cell>
          <cell r="GR320">
            <v>2009</v>
          </cell>
          <cell r="GS320">
            <v>2010</v>
          </cell>
          <cell r="GT320">
            <v>2011</v>
          </cell>
          <cell r="GU320">
            <v>2012</v>
          </cell>
          <cell r="GV320">
            <v>2013</v>
          </cell>
          <cell r="GW320">
            <v>2014</v>
          </cell>
          <cell r="GX320">
            <v>2015</v>
          </cell>
          <cell r="GY320">
            <v>2016</v>
          </cell>
          <cell r="GZ320">
            <v>2017</v>
          </cell>
        </row>
        <row r="324">
          <cell r="CT324">
            <v>543.88499999999999</v>
          </cell>
          <cell r="CU324">
            <v>613.30700000000002</v>
          </cell>
          <cell r="CV324">
            <v>665.43399999999997</v>
          </cell>
          <cell r="CW324">
            <v>755.3</v>
          </cell>
          <cell r="CY324">
            <v>840.07299999999998</v>
          </cell>
          <cell r="CZ324">
            <v>913.84299999999996</v>
          </cell>
          <cell r="DA324">
            <v>1046.463</v>
          </cell>
          <cell r="DB324">
            <v>1152.4069999999999</v>
          </cell>
          <cell r="DD324">
            <v>1237.32</v>
          </cell>
          <cell r="DE324">
            <v>1525.366</v>
          </cell>
          <cell r="DF324">
            <v>1967.74</v>
          </cell>
          <cell r="DG324">
            <v>2228.6959999999999</v>
          </cell>
          <cell r="DI324">
            <v>2676.9740000000002</v>
          </cell>
          <cell r="DJ324">
            <v>3078.998</v>
          </cell>
          <cell r="DK324">
            <v>3239.2930000000001</v>
          </cell>
          <cell r="DL324">
            <v>3114.4339999999993</v>
          </cell>
          <cell r="DN324">
            <v>3110.598</v>
          </cell>
          <cell r="DO324">
            <v>3244.9180000000001</v>
          </cell>
          <cell r="DP324">
            <v>3453.0390000000002</v>
          </cell>
          <cell r="DQ324">
            <v>3296.3</v>
          </cell>
          <cell r="DS324">
            <v>3127.027</v>
          </cell>
          <cell r="DT324">
            <v>3340.6129999999998</v>
          </cell>
          <cell r="DU324">
            <v>3851.4940000000001</v>
          </cell>
          <cell r="DV324">
            <v>3059.5650000000001</v>
          </cell>
          <cell r="DX324">
            <v>3106.6770000000001</v>
          </cell>
          <cell r="DY324">
            <v>3503.2420000000002</v>
          </cell>
          <cell r="FV324">
            <v>3952.7860000000001</v>
          </cell>
          <cell r="FW324">
            <v>6959.1219999999994</v>
          </cell>
          <cell r="FX324">
            <v>12109.699000000001</v>
          </cell>
          <cell r="FY324">
            <v>13104.855</v>
          </cell>
          <cell r="FZ324">
            <v>13378.699000000001</v>
          </cell>
        </row>
        <row r="325">
          <cell r="CT325" t="str">
            <v xml:space="preserve"> --</v>
          </cell>
          <cell r="CU325" t="str">
            <v xml:space="preserve"> --</v>
          </cell>
          <cell r="CV325" t="str">
            <v xml:space="preserve"> --</v>
          </cell>
          <cell r="CW325" t="str">
            <v xml:space="preserve"> --</v>
          </cell>
          <cell r="CY325" t="str">
            <v xml:space="preserve"> --</v>
          </cell>
          <cell r="CZ325" t="str">
            <v xml:space="preserve"> --</v>
          </cell>
          <cell r="DA325" t="str">
            <v xml:space="preserve"> --</v>
          </cell>
          <cell r="DB325" t="str">
            <v xml:space="preserve"> --</v>
          </cell>
          <cell r="DD325" t="str">
            <v xml:space="preserve"> --</v>
          </cell>
          <cell r="DE325" t="str">
            <v xml:space="preserve"> --</v>
          </cell>
          <cell r="DF325">
            <v>794.44799999999998</v>
          </cell>
          <cell r="DG325" t="str">
            <v xml:space="preserve"> --</v>
          </cell>
          <cell r="DI325">
            <v>1199.0640000000001</v>
          </cell>
          <cell r="DJ325">
            <v>1487.4110000000001</v>
          </cell>
          <cell r="DK325">
            <v>1526.1120000000001</v>
          </cell>
          <cell r="DL325">
            <v>1253.9599999999991</v>
          </cell>
          <cell r="DN325">
            <v>1128.596</v>
          </cell>
          <cell r="DO325">
            <v>966.78700000000003</v>
          </cell>
          <cell r="DP325">
            <v>1047.3510000000001</v>
          </cell>
          <cell r="DQ325">
            <v>1012.5</v>
          </cell>
          <cell r="DS325">
            <v>922.678</v>
          </cell>
          <cell r="DT325">
            <v>906.77</v>
          </cell>
          <cell r="DU325">
            <v>855.07399999999996</v>
          </cell>
          <cell r="DV325">
            <v>417.06700000000012</v>
          </cell>
          <cell r="DX325">
            <v>472.43400000000003</v>
          </cell>
          <cell r="DY325">
            <v>495.37799999999999</v>
          </cell>
          <cell r="FV325">
            <v>1875.6769999999999</v>
          </cell>
          <cell r="FW325">
            <v>2936.4409999999998</v>
          </cell>
          <cell r="FX325">
            <v>5466.5469999999996</v>
          </cell>
          <cell r="FY325">
            <v>4155.8</v>
          </cell>
          <cell r="FZ325">
            <v>3101.5889999999999</v>
          </cell>
        </row>
        <row r="326">
          <cell r="CT326" t="str">
            <v xml:space="preserve"> --</v>
          </cell>
          <cell r="CU326" t="str">
            <v xml:space="preserve"> --</v>
          </cell>
          <cell r="CV326" t="str">
            <v xml:space="preserve"> --</v>
          </cell>
          <cell r="CW326" t="str">
            <v xml:space="preserve"> --</v>
          </cell>
          <cell r="CY326" t="str">
            <v xml:space="preserve"> --</v>
          </cell>
          <cell r="CZ326" t="str">
            <v xml:space="preserve"> --</v>
          </cell>
          <cell r="DA326" t="str">
            <v xml:space="preserve"> --</v>
          </cell>
          <cell r="DB326" t="str">
            <v xml:space="preserve"> --</v>
          </cell>
          <cell r="DD326" t="str">
            <v xml:space="preserve"> --</v>
          </cell>
          <cell r="DE326" t="str">
            <v xml:space="preserve"> --</v>
          </cell>
          <cell r="DF326">
            <v>468.02300000000002</v>
          </cell>
          <cell r="DG326" t="str">
            <v xml:space="preserve"> --</v>
          </cell>
          <cell r="DI326">
            <v>545.245</v>
          </cell>
          <cell r="DJ326">
            <v>619.48199999999997</v>
          </cell>
          <cell r="DK326">
            <v>710.63499999999999</v>
          </cell>
          <cell r="DL326">
            <v>592.26700000000005</v>
          </cell>
          <cell r="DN326">
            <v>628.11900000000003</v>
          </cell>
          <cell r="DO326">
            <v>878.89499999999998</v>
          </cell>
          <cell r="DP326">
            <v>953.447</v>
          </cell>
          <cell r="DQ326">
            <v>914.3</v>
          </cell>
          <cell r="DS326">
            <v>984.73099999999999</v>
          </cell>
          <cell r="DT326">
            <v>1231.615</v>
          </cell>
          <cell r="DU326">
            <v>1573.6310000000001</v>
          </cell>
          <cell r="DV326">
            <v>1270.1080000000004</v>
          </cell>
          <cell r="DX326">
            <v>1398.2650000000001</v>
          </cell>
          <cell r="DY326">
            <v>1756.356</v>
          </cell>
          <cell r="FV326">
            <v>898.30399999999997</v>
          </cell>
          <cell r="FW326">
            <v>1588.665</v>
          </cell>
          <cell r="FX326">
            <v>2467.6289999999999</v>
          </cell>
          <cell r="FY326">
            <v>3374.8</v>
          </cell>
          <cell r="FZ326">
            <v>5060.085</v>
          </cell>
        </row>
        <row r="327">
          <cell r="CT327" t="str">
            <v xml:space="preserve"> --</v>
          </cell>
          <cell r="CU327" t="str">
            <v xml:space="preserve"> --</v>
          </cell>
          <cell r="CV327" t="str">
            <v xml:space="preserve"> --</v>
          </cell>
          <cell r="CW327" t="str">
            <v xml:space="preserve"> --</v>
          </cell>
          <cell r="CY327" t="str">
            <v xml:space="preserve"> --</v>
          </cell>
          <cell r="CZ327" t="str">
            <v xml:space="preserve"> --</v>
          </cell>
          <cell r="DA327" t="str">
            <v xml:space="preserve"> --</v>
          </cell>
          <cell r="DB327" t="str">
            <v xml:space="preserve"> --</v>
          </cell>
          <cell r="DD327" t="str">
            <v xml:space="preserve"> --</v>
          </cell>
          <cell r="DE327" t="str">
            <v xml:space="preserve"> --</v>
          </cell>
          <cell r="DF327">
            <v>408.17700000000002</v>
          </cell>
          <cell r="DG327" t="str">
            <v xml:space="preserve"> --</v>
          </cell>
          <cell r="DI327">
            <v>515.97500000000002</v>
          </cell>
          <cell r="DJ327">
            <v>556.55100000000004</v>
          </cell>
          <cell r="DK327">
            <v>611.07100000000003</v>
          </cell>
          <cell r="DL327">
            <v>672.68399999999974</v>
          </cell>
          <cell r="DN327">
            <v>618.31899999999996</v>
          </cell>
          <cell r="DO327">
            <v>871.94299999999998</v>
          </cell>
          <cell r="DP327">
            <v>891.14800000000002</v>
          </cell>
          <cell r="DQ327">
            <v>891.1</v>
          </cell>
          <cell r="DS327">
            <v>1463.4659999999999</v>
          </cell>
          <cell r="DT327">
            <v>1355.1420000000001</v>
          </cell>
          <cell r="DU327">
            <v>1669.6179999999999</v>
          </cell>
          <cell r="DV327">
            <v>1445.6330000000003</v>
          </cell>
          <cell r="DX327">
            <v>1395.1210000000001</v>
          </cell>
          <cell r="DY327">
            <v>1338.723</v>
          </cell>
          <cell r="FV327">
            <v>666.76300000000003</v>
          </cell>
          <cell r="FW327">
            <v>1391.9649999999999</v>
          </cell>
          <cell r="FX327">
            <v>2356.2809999999999</v>
          </cell>
          <cell r="FY327">
            <v>3272</v>
          </cell>
          <cell r="FZ327">
            <v>5933.8590000000004</v>
          </cell>
        </row>
        <row r="328">
          <cell r="CT328" t="str">
            <v xml:space="preserve"> --</v>
          </cell>
          <cell r="CU328" t="str">
            <v xml:space="preserve"> --</v>
          </cell>
          <cell r="CV328" t="str">
            <v xml:space="preserve"> --</v>
          </cell>
          <cell r="CW328" t="str">
            <v xml:space="preserve"> --</v>
          </cell>
          <cell r="CY328" t="str">
            <v xml:space="preserve"> --</v>
          </cell>
          <cell r="CZ328" t="str">
            <v xml:space="preserve"> --</v>
          </cell>
          <cell r="DA328" t="str">
            <v xml:space="preserve"> --</v>
          </cell>
          <cell r="DB328" t="str">
            <v xml:space="preserve"> --</v>
          </cell>
          <cell r="DD328" t="str">
            <v xml:space="preserve"> --</v>
          </cell>
          <cell r="DE328" t="str">
            <v xml:space="preserve"> --</v>
          </cell>
          <cell r="DF328">
            <v>322.88</v>
          </cell>
          <cell r="DG328" t="str">
            <v xml:space="preserve"> --</v>
          </cell>
          <cell r="DI328">
            <v>461.05200000000002</v>
          </cell>
          <cell r="DJ328">
            <v>505.96</v>
          </cell>
          <cell r="DK328">
            <v>495.85199999999998</v>
          </cell>
          <cell r="DL328">
            <v>684.92399999999998</v>
          </cell>
          <cell r="DN328">
            <v>756.38900000000001</v>
          </cell>
          <cell r="DO328">
            <v>709.98</v>
          </cell>
          <cell r="DP328">
            <v>794.55899999999997</v>
          </cell>
          <cell r="DQ328">
            <v>750.7</v>
          </cell>
          <cell r="FV328">
            <v>572.28899999999999</v>
          </cell>
          <cell r="FW328">
            <v>1132.242</v>
          </cell>
          <cell r="FX328">
            <v>2147.788</v>
          </cell>
          <cell r="FY328">
            <v>3011.6</v>
          </cell>
        </row>
        <row r="329">
          <cell r="CT329" t="str">
            <v xml:space="preserve"> --</v>
          </cell>
          <cell r="CU329" t="str">
            <v xml:space="preserve"> --</v>
          </cell>
          <cell r="CV329" t="str">
            <v xml:space="preserve"> --</v>
          </cell>
          <cell r="CW329" t="str">
            <v xml:space="preserve"> --</v>
          </cell>
          <cell r="CY329" t="str">
            <v xml:space="preserve"> --</v>
          </cell>
          <cell r="CZ329" t="str">
            <v xml:space="preserve"> --</v>
          </cell>
          <cell r="DA329" t="str">
            <v xml:space="preserve"> --</v>
          </cell>
          <cell r="DB329" t="str">
            <v xml:space="preserve"> --</v>
          </cell>
          <cell r="DD329" t="str">
            <v xml:space="preserve"> --</v>
          </cell>
          <cell r="DE329" t="str">
            <v xml:space="preserve"> --</v>
          </cell>
          <cell r="DF329">
            <v>-25.788</v>
          </cell>
          <cell r="DG329" t="str">
            <v xml:space="preserve"> --</v>
          </cell>
          <cell r="DI329">
            <v>-44.361999999999966</v>
          </cell>
          <cell r="DJ329">
            <v>-90.406000000000006</v>
          </cell>
          <cell r="DK329">
            <v>-104.377</v>
          </cell>
          <cell r="DL329">
            <v>-89.40100000000001</v>
          </cell>
          <cell r="DN329">
            <v>-20.825000000000159</v>
          </cell>
          <cell r="DO329">
            <v>-182.68700000000001</v>
          </cell>
          <cell r="DP329">
            <v>-233.46600000000001</v>
          </cell>
          <cell r="DQ329">
            <v>-272.3</v>
          </cell>
          <cell r="DS329">
            <v>-243.84800000000001</v>
          </cell>
          <cell r="DT329">
            <v>-152.91399999999999</v>
          </cell>
          <cell r="DU329">
            <v>-246.82900000000001</v>
          </cell>
          <cell r="DV329">
            <v>-73.242999999999938</v>
          </cell>
          <cell r="DX329">
            <v>-159.143</v>
          </cell>
          <cell r="DY329">
            <v>-87.215000000000003</v>
          </cell>
          <cell r="FV329">
            <v>-60.247</v>
          </cell>
          <cell r="FW329">
            <v>-90.191000000000003</v>
          </cell>
          <cell r="FX329">
            <v>-328.54599999999999</v>
          </cell>
          <cell r="FY329">
            <v>-709.2</v>
          </cell>
          <cell r="FZ329">
            <v>-716.83399999999995</v>
          </cell>
        </row>
        <row r="332">
          <cell r="CT332" t="str">
            <v xml:space="preserve"> --</v>
          </cell>
          <cell r="CU332" t="str">
            <v xml:space="preserve"> --</v>
          </cell>
          <cell r="CV332" t="str">
            <v xml:space="preserve"> --</v>
          </cell>
          <cell r="CW332" t="str">
            <v xml:space="preserve"> --</v>
          </cell>
          <cell r="CY332" t="str">
            <v xml:space="preserve"> --</v>
          </cell>
          <cell r="CZ332" t="str">
            <v xml:space="preserve"> --</v>
          </cell>
          <cell r="DA332" t="str">
            <v xml:space="preserve"> --</v>
          </cell>
          <cell r="DB332" t="str">
            <v xml:space="preserve"> --</v>
          </cell>
          <cell r="DD332" t="str">
            <v xml:space="preserve"> --</v>
          </cell>
          <cell r="DE332" t="str">
            <v xml:space="preserve"> --</v>
          </cell>
          <cell r="DF332">
            <v>0.40373626597009765</v>
          </cell>
          <cell r="DG332" t="str">
            <v xml:space="preserve"> --</v>
          </cell>
          <cell r="DI332">
            <v>0.44791768616355632</v>
          </cell>
          <cell r="DJ332">
            <v>0.48308280810835214</v>
          </cell>
          <cell r="DK332">
            <v>0.4711250263560598</v>
          </cell>
          <cell r="DL332">
            <v>0.40262853539358978</v>
          </cell>
          <cell r="DN332">
            <v>0.36282283985265856</v>
          </cell>
          <cell r="DO332">
            <v>0.29793880769868453</v>
          </cell>
          <cell r="DP332">
            <v>0.30331282096726969</v>
          </cell>
          <cell r="DQ332">
            <v>0.30716257622182447</v>
          </cell>
          <cell r="DS332">
            <v>0.2950655686695382</v>
          </cell>
          <cell r="DT332">
            <v>0.2714382061016945</v>
          </cell>
          <cell r="DU332">
            <v>0.22201099105957323</v>
          </cell>
          <cell r="DV332">
            <v>0.13631578345287651</v>
          </cell>
          <cell r="DX332">
            <v>0.15207052422894302</v>
          </cell>
          <cell r="DY332">
            <v>0.14140558945114268</v>
          </cell>
          <cell r="FV332">
            <v>0.47452024976813817</v>
          </cell>
          <cell r="FW332">
            <v>0.42195567199425443</v>
          </cell>
          <cell r="FX332">
            <v>0.45141889984218431</v>
          </cell>
          <cell r="FY332">
            <v>0.31711911348885585</v>
          </cell>
          <cell r="FZ332">
            <v>0.23183038948704951</v>
          </cell>
        </row>
        <row r="333">
          <cell r="CT333" t="str">
            <v xml:space="preserve"> --</v>
          </cell>
          <cell r="CU333" t="str">
            <v xml:space="preserve"> --</v>
          </cell>
          <cell r="CV333" t="str">
            <v xml:space="preserve"> --</v>
          </cell>
          <cell r="CW333" t="str">
            <v xml:space="preserve"> --</v>
          </cell>
          <cell r="CY333" t="str">
            <v xml:space="preserve"> --</v>
          </cell>
          <cell r="CZ333" t="str">
            <v xml:space="preserve"> --</v>
          </cell>
          <cell r="DA333" t="str">
            <v xml:space="preserve"> --</v>
          </cell>
          <cell r="DB333" t="str">
            <v xml:space="preserve"> --</v>
          </cell>
          <cell r="DD333" t="str">
            <v xml:space="preserve"> --</v>
          </cell>
          <cell r="DE333" t="str">
            <v xml:space="preserve"> --</v>
          </cell>
          <cell r="DF333">
            <v>0.23784798804720136</v>
          </cell>
          <cell r="DG333" t="str">
            <v xml:space="preserve"> --</v>
          </cell>
          <cell r="DI333">
            <v>0.20367960241675861</v>
          </cell>
          <cell r="DJ333">
            <v>0.20119597349527346</v>
          </cell>
          <cell r="DK333">
            <v>0.21937966093218489</v>
          </cell>
          <cell r="DL333">
            <v>0.19016842225585778</v>
          </cell>
          <cell r="DN333">
            <v>0.20192869666861485</v>
          </cell>
          <cell r="DO333">
            <v>0.27085276114835566</v>
          </cell>
          <cell r="DP333">
            <v>0.27611822513443951</v>
          </cell>
          <cell r="DQ333">
            <v>0.2773715984588781</v>
          </cell>
          <cell r="DS333">
            <v>0.31490965700008344</v>
          </cell>
          <cell r="DT333">
            <v>0.36867934118678219</v>
          </cell>
          <cell r="DU333">
            <v>0.40857677566160039</v>
          </cell>
          <cell r="DV333">
            <v>0.41512698700632295</v>
          </cell>
          <cell r="DX333">
            <v>0.45008380336932358</v>
          </cell>
          <cell r="DY333">
            <v>0.50135160517029653</v>
          </cell>
          <cell r="FV333">
            <v>0.22725844505622109</v>
          </cell>
          <cell r="FW333">
            <v>0.22828526357204257</v>
          </cell>
          <cell r="FX333">
            <v>0.20377294266356247</v>
          </cell>
          <cell r="FY333">
            <v>0.25752287987925088</v>
          </cell>
          <cell r="FZ333">
            <v>0.37821951147865723</v>
          </cell>
        </row>
        <row r="334">
          <cell r="CT334" t="str">
            <v xml:space="preserve"> --</v>
          </cell>
          <cell r="CU334" t="str">
            <v xml:space="preserve"> --</v>
          </cell>
          <cell r="CV334" t="str">
            <v xml:space="preserve"> --</v>
          </cell>
          <cell r="CW334" t="str">
            <v xml:space="preserve"> --</v>
          </cell>
          <cell r="CY334" t="str">
            <v xml:space="preserve"> --</v>
          </cell>
          <cell r="CZ334" t="str">
            <v xml:space="preserve"> --</v>
          </cell>
          <cell r="DA334" t="str">
            <v xml:space="preserve"> --</v>
          </cell>
          <cell r="DB334" t="str">
            <v xml:space="preserve"> --</v>
          </cell>
          <cell r="DD334" t="str">
            <v xml:space="preserve"> --</v>
          </cell>
          <cell r="DE334" t="str">
            <v xml:space="preserve"> --</v>
          </cell>
          <cell r="DF334">
            <v>0.20743441714860705</v>
          </cell>
          <cell r="DG334" t="str">
            <v xml:space="preserve"> --</v>
          </cell>
          <cell r="DI334">
            <v>0.1927456150115765</v>
          </cell>
          <cell r="DJ334">
            <v>0.18075718139472649</v>
          </cell>
          <cell r="DK334">
            <v>0.18864332433033998</v>
          </cell>
          <cell r="DL334">
            <v>0.21598916528653356</v>
          </cell>
          <cell r="DN334">
            <v>0.19877817705791617</v>
          </cell>
          <cell r="DO334">
            <v>0.26871033412862821</v>
          </cell>
          <cell r="DP334">
            <v>0.25807643643758438</v>
          </cell>
          <cell r="DQ334">
            <v>0.27033340411977064</v>
          </cell>
          <cell r="DS334">
            <v>0.46800555287818107</v>
          </cell>
          <cell r="DT334">
            <v>0.40565668636265262</v>
          </cell>
          <cell r="DU334">
            <v>0.43349879293593602</v>
          </cell>
          <cell r="DV334">
            <v>0.47249625355238417</v>
          </cell>
          <cell r="DX334">
            <v>0.44907178956808191</v>
          </cell>
          <cell r="DY334">
            <v>0.38213831645087604</v>
          </cell>
          <cell r="FV334">
            <v>0.16868178545461354</v>
          </cell>
          <cell r="FW334">
            <v>0.20002020369811019</v>
          </cell>
          <cell r="FX334">
            <v>0.19457799900724204</v>
          </cell>
          <cell r="FY334">
            <v>0.24967845886123885</v>
          </cell>
          <cell r="FZ334">
            <v>0.4435303462616208</v>
          </cell>
        </row>
        <row r="335">
          <cell r="CT335" t="str">
            <v xml:space="preserve"> --</v>
          </cell>
          <cell r="CU335" t="str">
            <v xml:space="preserve"> --</v>
          </cell>
          <cell r="CV335" t="str">
            <v xml:space="preserve"> --</v>
          </cell>
          <cell r="CW335" t="str">
            <v xml:space="preserve"> --</v>
          </cell>
          <cell r="CY335" t="str">
            <v xml:space="preserve"> --</v>
          </cell>
          <cell r="CZ335" t="str">
            <v xml:space="preserve"> --</v>
          </cell>
          <cell r="DA335" t="str">
            <v xml:space="preserve"> --</v>
          </cell>
          <cell r="DB335" t="str">
            <v xml:space="preserve"> --</v>
          </cell>
          <cell r="DD335" t="str">
            <v xml:space="preserve"> --</v>
          </cell>
          <cell r="DE335" t="str">
            <v xml:space="preserve"> --</v>
          </cell>
          <cell r="DF335">
            <v>0.16408671877382175</v>
          </cell>
          <cell r="DG335" t="str">
            <v xml:space="preserve"> --</v>
          </cell>
          <cell r="DI335">
            <v>0.17222879265917412</v>
          </cell>
          <cell r="DJ335">
            <v>0.16432618663604198</v>
          </cell>
          <cell r="DK335">
            <v>0.15307414303059338</v>
          </cell>
          <cell r="DL335">
            <v>0.21991925338600854</v>
          </cell>
          <cell r="DN335">
            <v>0.24316514059354505</v>
          </cell>
          <cell r="DO335">
            <v>0.21879751660904836</v>
          </cell>
          <cell r="DP335">
            <v>0.23010426467815739</v>
          </cell>
          <cell r="DQ335">
            <v>0.22774019355034433</v>
          </cell>
          <cell r="FV335">
            <v>0.1447811745943241</v>
          </cell>
          <cell r="FW335">
            <v>0.16269897265775771</v>
          </cell>
          <cell r="FX335">
            <v>0.17736097321659275</v>
          </cell>
          <cell r="FY335">
            <v>0.22980796048487373</v>
          </cell>
        </row>
        <row r="336">
          <cell r="DD336" t="str">
            <v xml:space="preserve"> --</v>
          </cell>
          <cell r="DE336" t="str">
            <v xml:space="preserve"> --</v>
          </cell>
          <cell r="DF336">
            <v>-1.310538993972781E-2</v>
          </cell>
          <cell r="DG336" t="str">
            <v xml:space="preserve"> --</v>
          </cell>
          <cell r="DI336">
            <v>-1.6571696251065554E-2</v>
          </cell>
          <cell r="DJ336">
            <v>-2.9362149634394048E-2</v>
          </cell>
          <cell r="DK336">
            <v>-3.2222154649178075E-2</v>
          </cell>
          <cell r="DL336">
            <v>-2.8705376321989814E-2</v>
          </cell>
          <cell r="DN336">
            <v>-6.6948541727346834E-3</v>
          </cell>
          <cell r="DO336">
            <v>-5.6299419584716778E-2</v>
          </cell>
          <cell r="DP336">
            <v>-6.7611747217451057E-2</v>
          </cell>
          <cell r="DQ336">
            <v>-8.2607772350817579E-2</v>
          </cell>
          <cell r="DS336">
            <v>-7.7980778547802762E-2</v>
          </cell>
          <cell r="DT336">
            <v>-4.5774233651129294E-2</v>
          </cell>
          <cell r="DU336">
            <v>-6.4086559657109687E-2</v>
          </cell>
          <cell r="DV336">
            <v>-2.3939024011583324E-2</v>
          </cell>
          <cell r="DX336">
            <v>-5.1226117166348478E-2</v>
          </cell>
          <cell r="DY336">
            <v>-2.4895511072315302E-2</v>
          </cell>
          <cell r="FX336" t="str">
            <v xml:space="preserve"> --</v>
          </cell>
          <cell r="FY336" t="str">
            <v xml:space="preserve"> --</v>
          </cell>
          <cell r="FZ336" t="str">
            <v xml:space="preserve"> --</v>
          </cell>
        </row>
        <row r="338">
          <cell r="CY338" t="str">
            <v xml:space="preserve"> --</v>
          </cell>
          <cell r="CZ338" t="str">
            <v xml:space="preserve"> --</v>
          </cell>
          <cell r="DA338" t="str">
            <v xml:space="preserve"> --</v>
          </cell>
          <cell r="DB338" t="str">
            <v xml:space="preserve"> --</v>
          </cell>
          <cell r="DD338">
            <v>0.47287200040948818</v>
          </cell>
          <cell r="DE338">
            <v>0.6691773094503104</v>
          </cell>
          <cell r="DF338">
            <v>0.88037226352006726</v>
          </cell>
          <cell r="DG338">
            <v>0.93394868306075907</v>
          </cell>
          <cell r="DI338">
            <v>1.1635260078233602</v>
          </cell>
          <cell r="DJ338">
            <v>1.0185306346149057</v>
          </cell>
          <cell r="DK338">
            <v>0.646199701180034</v>
          </cell>
          <cell r="DL338">
            <v>0.3974243234608934</v>
          </cell>
          <cell r="DN338">
            <v>0.16198289561273271</v>
          </cell>
          <cell r="DO338">
            <v>5.3887660855901798E-2</v>
          </cell>
          <cell r="DP338">
            <v>6.598538631732298E-2</v>
          </cell>
          <cell r="DQ338">
            <v>5.8394559011364811E-2</v>
          </cell>
          <cell r="DS338">
            <v>5.2816210902213445E-3</v>
          </cell>
          <cell r="DT338">
            <v>2.9490729811970429E-2</v>
          </cell>
          <cell r="DU338">
            <v>0.11539255710694252</v>
          </cell>
          <cell r="DV338">
            <v>-7.1818402451233276E-2</v>
          </cell>
          <cell r="DX338">
            <v>-6.5077787943628174E-3</v>
          </cell>
          <cell r="DY338">
            <v>4.868238254476065E-2</v>
          </cell>
        </row>
        <row r="339">
          <cell r="CT339" t="str">
            <v xml:space="preserve"> --</v>
          </cell>
          <cell r="CU339" t="str">
            <v xml:space="preserve"> --</v>
          </cell>
          <cell r="CV339" t="str">
            <v xml:space="preserve"> --</v>
          </cell>
          <cell r="CW339" t="str">
            <v xml:space="preserve"> --</v>
          </cell>
          <cell r="CY339" t="str">
            <v xml:space="preserve"> --</v>
          </cell>
          <cell r="CZ339" t="str">
            <v xml:space="preserve"> --</v>
          </cell>
          <cell r="DA339" t="str">
            <v xml:space="preserve"> --</v>
          </cell>
          <cell r="DB339" t="str">
            <v xml:space="preserve"> --</v>
          </cell>
          <cell r="DD339" t="str">
            <v xml:space="preserve"> --</v>
          </cell>
          <cell r="DE339" t="str">
            <v xml:space="preserve"> --</v>
          </cell>
          <cell r="DF339" t="str">
            <v xml:space="preserve"> --</v>
          </cell>
          <cell r="DG339" t="str">
            <v xml:space="preserve"> --</v>
          </cell>
          <cell r="DI339" t="str">
            <v xml:space="preserve"> --</v>
          </cell>
          <cell r="DJ339" t="str">
            <v xml:space="preserve"> --</v>
          </cell>
          <cell r="DK339">
            <v>0.9209715425049847</v>
          </cell>
          <cell r="DL339" t="str">
            <v xml:space="preserve"> --</v>
          </cell>
          <cell r="DN339">
            <v>-5.87691732884984E-2</v>
          </cell>
          <cell r="DO339">
            <v>-0.35002027012036352</v>
          </cell>
          <cell r="DP339">
            <v>-0.31371288607913439</v>
          </cell>
          <cell r="DQ339">
            <v>-0.19255797633098293</v>
          </cell>
          <cell r="DS339">
            <v>-0.18245501490347305</v>
          </cell>
          <cell r="DT339">
            <v>-6.207882398087694E-2</v>
          </cell>
          <cell r="DU339">
            <v>-0.18358410886130838</v>
          </cell>
          <cell r="DV339">
            <v>-0.58808197530864192</v>
          </cell>
          <cell r="DX339">
            <v>-0.48797521995755833</v>
          </cell>
          <cell r="DY339">
            <v>-0.45368946921490561</v>
          </cell>
          <cell r="FV339" t="str">
            <v>--</v>
          </cell>
          <cell r="FW339">
            <v>0.56553660358366598</v>
          </cell>
          <cell r="FX339">
            <v>0.86162330521880048</v>
          </cell>
          <cell r="FY339">
            <v>-0.23977604143895581</v>
          </cell>
          <cell r="FZ339">
            <v>-0.25367221714230714</v>
          </cell>
        </row>
        <row r="340">
          <cell r="CT340" t="str">
            <v xml:space="preserve"> --</v>
          </cell>
          <cell r="CU340" t="str">
            <v xml:space="preserve"> --</v>
          </cell>
          <cell r="CV340" t="str">
            <v xml:space="preserve"> --</v>
          </cell>
          <cell r="CW340" t="str">
            <v xml:space="preserve"> --</v>
          </cell>
          <cell r="CY340" t="str">
            <v xml:space="preserve"> --</v>
          </cell>
          <cell r="CZ340" t="str">
            <v xml:space="preserve"> --</v>
          </cell>
          <cell r="DA340" t="str">
            <v xml:space="preserve"> --</v>
          </cell>
          <cell r="DB340" t="str">
            <v xml:space="preserve"> --</v>
          </cell>
          <cell r="DD340" t="str">
            <v xml:space="preserve"> --</v>
          </cell>
          <cell r="DE340" t="str">
            <v xml:space="preserve"> --</v>
          </cell>
          <cell r="DF340" t="str">
            <v xml:space="preserve"> --</v>
          </cell>
          <cell r="DG340" t="str">
            <v xml:space="preserve"> --</v>
          </cell>
          <cell r="DI340" t="str">
            <v xml:space="preserve"> --</v>
          </cell>
          <cell r="DJ340" t="str">
            <v xml:space="preserve"> --</v>
          </cell>
          <cell r="DK340">
            <v>0.51837623364663687</v>
          </cell>
          <cell r="DL340" t="str">
            <v xml:space="preserve"> --</v>
          </cell>
          <cell r="DN340">
            <v>0.151994057717173</v>
          </cell>
          <cell r="DO340">
            <v>0.41875793001249439</v>
          </cell>
          <cell r="DP340">
            <v>0.34168314254152987</v>
          </cell>
          <cell r="DQ340">
            <v>0.54372943284025599</v>
          </cell>
          <cell r="DS340">
            <v>0.56774592075705388</v>
          </cell>
          <cell r="DT340">
            <v>0.40132211470084589</v>
          </cell>
          <cell r="DU340">
            <v>0.6504651018882015</v>
          </cell>
          <cell r="DV340">
            <v>0.38915891939188496</v>
          </cell>
          <cell r="DX340">
            <v>0.41994615788474232</v>
          </cell>
          <cell r="DY340">
            <v>0.42605927988860159</v>
          </cell>
          <cell r="FV340" t="str">
            <v>--</v>
          </cell>
          <cell r="FW340">
            <v>0.768516003491023</v>
          </cell>
          <cell r="FX340">
            <v>0.553272086940922</v>
          </cell>
          <cell r="FY340">
            <v>0.36762860219263116</v>
          </cell>
          <cell r="FZ340">
            <v>0.49937329619533011</v>
          </cell>
        </row>
        <row r="341">
          <cell r="CT341" t="str">
            <v xml:space="preserve"> --</v>
          </cell>
          <cell r="CU341" t="str">
            <v xml:space="preserve"> --</v>
          </cell>
          <cell r="CV341" t="str">
            <v xml:space="preserve"> --</v>
          </cell>
          <cell r="CW341" t="str">
            <v xml:space="preserve"> --</v>
          </cell>
          <cell r="CY341" t="str">
            <v xml:space="preserve"> --</v>
          </cell>
          <cell r="CZ341" t="str">
            <v xml:space="preserve"> --</v>
          </cell>
          <cell r="DA341" t="str">
            <v xml:space="preserve"> --</v>
          </cell>
          <cell r="DB341" t="str">
            <v xml:space="preserve"> --</v>
          </cell>
          <cell r="DD341" t="str">
            <v xml:space="preserve"> --</v>
          </cell>
          <cell r="DE341" t="str">
            <v xml:space="preserve"> --</v>
          </cell>
          <cell r="DF341" t="str">
            <v xml:space="preserve"> --</v>
          </cell>
          <cell r="DG341" t="str">
            <v xml:space="preserve"> --</v>
          </cell>
          <cell r="DI341" t="str">
            <v xml:space="preserve"> --</v>
          </cell>
          <cell r="DJ341" t="str">
            <v xml:space="preserve"> --</v>
          </cell>
          <cell r="DK341">
            <v>0.49707357347425263</v>
          </cell>
          <cell r="DL341" t="str">
            <v xml:space="preserve"> --</v>
          </cell>
          <cell r="DN341">
            <v>0.19835069528562421</v>
          </cell>
          <cell r="DO341">
            <v>0.5666902044915918</v>
          </cell>
          <cell r="DP341">
            <v>0.45833790181501</v>
          </cell>
          <cell r="DQ341">
            <v>0.32469331811073299</v>
          </cell>
          <cell r="DS341">
            <v>6.4564983982052793E-2</v>
          </cell>
          <cell r="DT341">
            <v>-0.14335779933663018</v>
          </cell>
          <cell r="DU341">
            <v>-9.5443632849598892E-3</v>
          </cell>
          <cell r="DV341">
            <v>-0.11948288463881096</v>
          </cell>
          <cell r="DX341">
            <v>-4.6700777469377397E-2</v>
          </cell>
          <cell r="DY341">
            <v>-1.211607344470178E-2</v>
          </cell>
          <cell r="FV341" t="str">
            <v>--</v>
          </cell>
          <cell r="FW341">
            <v>1.0876458351768168</v>
          </cell>
          <cell r="FX341">
            <v>0.69277316599196115</v>
          </cell>
          <cell r="FY341">
            <v>0.38862894535923354</v>
          </cell>
          <cell r="FZ341">
            <v>-5.57E-2</v>
          </cell>
        </row>
        <row r="342">
          <cell r="CT342" t="str">
            <v xml:space="preserve"> --</v>
          </cell>
          <cell r="CU342" t="str">
            <v xml:space="preserve"> --</v>
          </cell>
          <cell r="CV342" t="str">
            <v xml:space="preserve"> --</v>
          </cell>
          <cell r="CW342" t="str">
            <v xml:space="preserve"> --</v>
          </cell>
          <cell r="CY342" t="str">
            <v xml:space="preserve"> --</v>
          </cell>
          <cell r="CZ342" t="str">
            <v xml:space="preserve"> --</v>
          </cell>
          <cell r="DA342" t="str">
            <v xml:space="preserve"> --</v>
          </cell>
          <cell r="DB342" t="str">
            <v xml:space="preserve"> --</v>
          </cell>
          <cell r="DD342" t="str">
            <v xml:space="preserve"> --</v>
          </cell>
          <cell r="DE342" t="str">
            <v xml:space="preserve"> --</v>
          </cell>
          <cell r="DF342" t="str">
            <v xml:space="preserve"> --</v>
          </cell>
          <cell r="DG342" t="str">
            <v xml:space="preserve"> --</v>
          </cell>
          <cell r="DI342" t="str">
            <v xml:space="preserve"> --</v>
          </cell>
          <cell r="DJ342" t="str">
            <v xml:space="preserve"> --</v>
          </cell>
          <cell r="DK342">
            <v>0.53571605550049539</v>
          </cell>
          <cell r="DL342" t="str">
            <v xml:space="preserve"> --</v>
          </cell>
          <cell r="DN342">
            <v>0.6405719962173464</v>
          </cell>
          <cell r="DO342">
            <v>0.4032334571902918</v>
          </cell>
          <cell r="DP342">
            <v>0.60241160668909277</v>
          </cell>
          <cell r="DQ342">
            <v>9.6034012532777435E-2</v>
          </cell>
          <cell r="FV342" t="str">
            <v>--</v>
          </cell>
          <cell r="FW342">
            <v>0.97844445725848295</v>
          </cell>
          <cell r="FX342">
            <v>0.89693369438688908</v>
          </cell>
          <cell r="FY342">
            <v>0.4021868080089841</v>
          </cell>
        </row>
        <row r="344">
          <cell r="CT344" t="str">
            <v xml:space="preserve"> --</v>
          </cell>
          <cell r="CU344">
            <v>0.12764095351039284</v>
          </cell>
          <cell r="CV344">
            <v>8.4993323082893202E-2</v>
          </cell>
          <cell r="CW344">
            <v>0.13504870505564792</v>
          </cell>
          <cell r="CY344">
            <v>0.11223752151463007</v>
          </cell>
          <cell r="CZ344">
            <v>8.7813797134296712E-2</v>
          </cell>
          <cell r="DA344">
            <v>0.14512339646963435</v>
          </cell>
          <cell r="DB344">
            <v>0.10124008206692436</v>
          </cell>
          <cell r="DD344">
            <v>7.3683169227538592E-2</v>
          </cell>
          <cell r="DE344">
            <v>0.23279830601622864</v>
          </cell>
          <cell r="DF344">
            <v>0.29001170866533021</v>
          </cell>
          <cell r="DG344">
            <v>0.1326171140496204</v>
          </cell>
          <cell r="DI344">
            <v>0.20113914145311895</v>
          </cell>
          <cell r="DJ344">
            <v>0.15017852246603813</v>
          </cell>
          <cell r="DK344">
            <v>5.2060767821219711E-2</v>
          </cell>
          <cell r="DL344">
            <v>-3.8545139325155464E-2</v>
          </cell>
          <cell r="DN344">
            <v>-1.2316844730051457E-3</v>
          </cell>
          <cell r="DO344">
            <v>4.3181407562147278E-2</v>
          </cell>
          <cell r="DP344">
            <v>6.4137522119203094E-2</v>
          </cell>
          <cell r="DQ344">
            <v>-4.5391610115032011E-2</v>
          </cell>
          <cell r="DS344">
            <v>-5.1352425446713035E-2</v>
          </cell>
          <cell r="DT344">
            <v>6.8303215802101969E-2</v>
          </cell>
          <cell r="DU344">
            <v>0.15293031548401448</v>
          </cell>
          <cell r="DV344">
            <v>-0.2056160544453659</v>
          </cell>
          <cell r="DX344">
            <v>1.5398267400758003E-2</v>
          </cell>
          <cell r="DY344">
            <v>0.12764925352716094</v>
          </cell>
        </row>
        <row r="345">
          <cell r="CT345" t="str">
            <v xml:space="preserve"> --</v>
          </cell>
          <cell r="CU345" t="str">
            <v xml:space="preserve"> --</v>
          </cell>
          <cell r="CV345" t="str">
            <v xml:space="preserve"> --</v>
          </cell>
          <cell r="CW345" t="str">
            <v xml:space="preserve"> --</v>
          </cell>
          <cell r="CY345" t="str">
            <v xml:space="preserve"> --</v>
          </cell>
          <cell r="CZ345" t="str">
            <v xml:space="preserve"> --</v>
          </cell>
          <cell r="DA345" t="str">
            <v xml:space="preserve"> --</v>
          </cell>
          <cell r="DB345" t="str">
            <v xml:space="preserve"> --</v>
          </cell>
          <cell r="DD345" t="str">
            <v xml:space="preserve"> --</v>
          </cell>
          <cell r="DE345" t="str">
            <v xml:space="preserve"> --</v>
          </cell>
          <cell r="DF345" t="str">
            <v xml:space="preserve"> --</v>
          </cell>
          <cell r="DG345" t="str">
            <v xml:space="preserve"> --</v>
          </cell>
          <cell r="DI345" t="str">
            <v xml:space="preserve"> --</v>
          </cell>
          <cell r="DJ345">
            <v>0.24047673852271445</v>
          </cell>
          <cell r="DK345">
            <v>2.6019035760795006E-2</v>
          </cell>
          <cell r="DL345">
            <v>-0.17833029292738733</v>
          </cell>
          <cell r="DN345">
            <v>-9.9974480844683411E-2</v>
          </cell>
          <cell r="DO345">
            <v>-0.14337194177544488</v>
          </cell>
          <cell r="DP345">
            <v>8.3331695606167822E-2</v>
          </cell>
          <cell r="DQ345">
            <v>-3.3275377595476718E-2</v>
          </cell>
          <cell r="DS345">
            <v>-8.8713086419753062E-2</v>
          </cell>
          <cell r="DT345">
            <v>-1.7241117703034048E-2</v>
          </cell>
          <cell r="DU345">
            <v>-5.7011149464583077E-2</v>
          </cell>
          <cell r="DV345">
            <v>-0.5122445542724956</v>
          </cell>
          <cell r="DX345">
            <v>0.13275325067674948</v>
          </cell>
          <cell r="DY345">
            <v>4.8565513913054525E-2</v>
          </cell>
        </row>
        <row r="346">
          <cell r="CT346" t="str">
            <v xml:space="preserve"> --</v>
          </cell>
          <cell r="CU346" t="str">
            <v xml:space="preserve"> --</v>
          </cell>
          <cell r="CV346" t="str">
            <v xml:space="preserve"> --</v>
          </cell>
          <cell r="CW346" t="str">
            <v xml:space="preserve"> --</v>
          </cell>
          <cell r="CY346" t="str">
            <v xml:space="preserve"> --</v>
          </cell>
          <cell r="CZ346" t="str">
            <v xml:space="preserve"> --</v>
          </cell>
          <cell r="DA346" t="str">
            <v xml:space="preserve"> --</v>
          </cell>
          <cell r="DB346" t="str">
            <v xml:space="preserve"> --</v>
          </cell>
          <cell r="DD346" t="str">
            <v xml:space="preserve"> --</v>
          </cell>
          <cell r="DE346" t="str">
            <v xml:space="preserve"> --</v>
          </cell>
          <cell r="DF346" t="str">
            <v xml:space="preserve"> --</v>
          </cell>
          <cell r="DG346" t="str">
            <v xml:space="preserve"> --</v>
          </cell>
          <cell r="DI346" t="str">
            <v xml:space="preserve"> --</v>
          </cell>
          <cell r="DJ346">
            <v>0.13615347229227215</v>
          </cell>
          <cell r="DK346">
            <v>0.14714390410052269</v>
          </cell>
          <cell r="DL346">
            <v>-0.16656652149134221</v>
          </cell>
          <cell r="DN346">
            <v>6.0533509380059858E-2</v>
          </cell>
          <cell r="DO346">
            <v>0.39924918685790423</v>
          </cell>
          <cell r="DP346">
            <v>8.4824694644980436E-2</v>
          </cell>
          <cell r="DQ346">
            <v>-4.1058391289709895E-2</v>
          </cell>
          <cell r="DS346">
            <v>7.703270261402162E-2</v>
          </cell>
          <cell r="DT346">
            <v>0.25071212341238369</v>
          </cell>
          <cell r="DU346">
            <v>0.27769716997600713</v>
          </cell>
          <cell r="DV346">
            <v>-0.19288066897512801</v>
          </cell>
          <cell r="DX346">
            <v>0.10090244294185968</v>
          </cell>
          <cell r="DY346">
            <v>0.25609666264978381</v>
          </cell>
        </row>
        <row r="347">
          <cell r="CT347" t="str">
            <v xml:space="preserve"> --</v>
          </cell>
          <cell r="CU347" t="str">
            <v xml:space="preserve"> --</v>
          </cell>
          <cell r="CV347" t="str">
            <v xml:space="preserve"> --</v>
          </cell>
          <cell r="CW347" t="str">
            <v xml:space="preserve"> --</v>
          </cell>
          <cell r="CY347" t="str">
            <v xml:space="preserve"> --</v>
          </cell>
          <cell r="CZ347" t="str">
            <v xml:space="preserve"> --</v>
          </cell>
          <cell r="DA347" t="str">
            <v xml:space="preserve"> --</v>
          </cell>
          <cell r="DB347" t="str">
            <v xml:space="preserve"> --</v>
          </cell>
          <cell r="DD347" t="str">
            <v xml:space="preserve"> --</v>
          </cell>
          <cell r="DE347" t="str">
            <v xml:space="preserve"> --</v>
          </cell>
          <cell r="DF347" t="str">
            <v xml:space="preserve"> --</v>
          </cell>
          <cell r="DG347" t="str">
            <v xml:space="preserve"> --</v>
          </cell>
          <cell r="DI347" t="str">
            <v xml:space="preserve"> --</v>
          </cell>
          <cell r="DJ347">
            <v>7.8639468966519743E-2</v>
          </cell>
          <cell r="DK347">
            <v>9.7960474421930677E-2</v>
          </cell>
          <cell r="DL347">
            <v>0.10082789070337106</v>
          </cell>
          <cell r="DN347">
            <v>-8.0818036403422444E-2</v>
          </cell>
          <cell r="DO347">
            <v>0.41018309319299595</v>
          </cell>
          <cell r="DP347">
            <v>2.2025522310518131E-2</v>
          </cell>
          <cell r="DQ347">
            <v>-5.3863106913798475E-5</v>
          </cell>
          <cell r="DS347">
            <v>-0.1086210257034963</v>
          </cell>
          <cell r="DT347">
            <v>-7.4018801940051837E-2</v>
          </cell>
          <cell r="DU347">
            <v>0.23206128951799876</v>
          </cell>
          <cell r="DV347">
            <v>-0.13415344108652383</v>
          </cell>
          <cell r="DX347">
            <v>-3.4941095008207634E-2</v>
          </cell>
          <cell r="DY347">
            <v>-4.0425167422754149E-2</v>
          </cell>
        </row>
        <row r="348">
          <cell r="CT348" t="str">
            <v xml:space="preserve"> --</v>
          </cell>
          <cell r="CU348" t="str">
            <v xml:space="preserve"> --</v>
          </cell>
          <cell r="CV348" t="str">
            <v xml:space="preserve"> --</v>
          </cell>
          <cell r="CW348" t="str">
            <v xml:space="preserve"> --</v>
          </cell>
          <cell r="CY348" t="str">
            <v xml:space="preserve"> --</v>
          </cell>
          <cell r="CZ348" t="str">
            <v xml:space="preserve"> --</v>
          </cell>
          <cell r="DA348" t="str">
            <v xml:space="preserve"> --</v>
          </cell>
          <cell r="DB348" t="str">
            <v xml:space="preserve"> --</v>
          </cell>
          <cell r="DD348" t="str">
            <v xml:space="preserve"> --</v>
          </cell>
          <cell r="DE348" t="str">
            <v xml:space="preserve"> --</v>
          </cell>
          <cell r="DF348" t="str">
            <v xml:space="preserve"> --</v>
          </cell>
          <cell r="DG348" t="str">
            <v xml:space="preserve"> --</v>
          </cell>
          <cell r="DI348" t="str">
            <v xml:space="preserve"> --</v>
          </cell>
          <cell r="DJ348">
            <v>9.7403329776250658E-2</v>
          </cell>
          <cell r="DK348">
            <v>-1.9977863862755907E-2</v>
          </cell>
          <cell r="DL348">
            <v>0.38130732557295333</v>
          </cell>
          <cell r="DN348">
            <v>0.10434004356687754</v>
          </cell>
          <cell r="DO348">
            <v>-6.1355995393904461E-2</v>
          </cell>
          <cell r="DP348">
            <v>0.11912870785092533</v>
          </cell>
          <cell r="DQ348">
            <v>-5.5199173377936561E-2</v>
          </cell>
        </row>
        <row r="350">
          <cell r="CT350">
            <v>25.110999999999972</v>
          </cell>
          <cell r="CU350">
            <v>31.266999999999964</v>
          </cell>
          <cell r="CV350">
            <v>37.700999999999937</v>
          </cell>
          <cell r="CW350">
            <v>36.159000000000006</v>
          </cell>
          <cell r="CY350">
            <v>30.236999999999945</v>
          </cell>
          <cell r="CZ350">
            <v>27.805999999999941</v>
          </cell>
          <cell r="DA350">
            <v>30.119999999999951</v>
          </cell>
          <cell r="DB350">
            <v>30.491999999999948</v>
          </cell>
          <cell r="DD350">
            <v>32.656999999999996</v>
          </cell>
          <cell r="DE350">
            <v>39.827000000000069</v>
          </cell>
          <cell r="DF350">
            <v>49.46099999999997</v>
          </cell>
          <cell r="DG350">
            <v>70.744999999999834</v>
          </cell>
          <cell r="DI350">
            <v>84.046000000000248</v>
          </cell>
          <cell r="DJ350">
            <v>106.79700000000011</v>
          </cell>
          <cell r="DK350">
            <v>124.29</v>
          </cell>
          <cell r="DL350">
            <v>83.474000000000416</v>
          </cell>
          <cell r="DN350">
            <v>98.35700000000007</v>
          </cell>
          <cell r="DO350">
            <v>77.275000000000247</v>
          </cell>
          <cell r="DP350">
            <v>91.438000000000443</v>
          </cell>
          <cell r="DQ350">
            <v>64.762000000000114</v>
          </cell>
          <cell r="DS350">
            <v>28.898001000000217</v>
          </cell>
          <cell r="DT350">
            <v>38.526999999999866</v>
          </cell>
          <cell r="DU350">
            <v>67.384999999999948</v>
          </cell>
          <cell r="DV350">
            <v>21.095000000000013</v>
          </cell>
          <cell r="DX350">
            <v>13.898000000000167</v>
          </cell>
          <cell r="DY350">
            <v>44.254000000000246</v>
          </cell>
          <cell r="FV350">
            <v>118.65499999999979</v>
          </cell>
          <cell r="FW350">
            <v>192.68999999999988</v>
          </cell>
          <cell r="FX350">
            <v>398.60700000000077</v>
          </cell>
          <cell r="FY350">
            <v>331.83200000000085</v>
          </cell>
          <cell r="FZ350">
            <v>155.90500100000003</v>
          </cell>
        </row>
        <row r="351">
          <cell r="CT351" t="str">
            <v xml:space="preserve"> --</v>
          </cell>
          <cell r="CU351" t="str">
            <v xml:space="preserve"> --</v>
          </cell>
          <cell r="CV351" t="str">
            <v xml:space="preserve"> --</v>
          </cell>
          <cell r="CW351" t="str">
            <v xml:space="preserve"> --</v>
          </cell>
          <cell r="CY351" t="str">
            <v xml:space="preserve"> --</v>
          </cell>
          <cell r="CZ351" t="str">
            <v xml:space="preserve"> --</v>
          </cell>
          <cell r="DA351" t="str">
            <v xml:space="preserve"> --</v>
          </cell>
          <cell r="DB351" t="str">
            <v xml:space="preserve"> --</v>
          </cell>
          <cell r="DD351" t="str">
            <v xml:space="preserve"> --</v>
          </cell>
          <cell r="DE351" t="str">
            <v xml:space="preserve"> --</v>
          </cell>
          <cell r="DF351">
            <v>-7.2560000000000002</v>
          </cell>
          <cell r="DG351" t="str">
            <v xml:space="preserve"> --</v>
          </cell>
          <cell r="DI351" t="str">
            <v xml:space="preserve"> --</v>
          </cell>
          <cell r="DJ351" t="str">
            <v xml:space="preserve"> --</v>
          </cell>
          <cell r="DK351" t="str">
            <v xml:space="preserve"> --</v>
          </cell>
          <cell r="DL351" t="str">
            <v xml:space="preserve"> --</v>
          </cell>
          <cell r="DN351">
            <v>26.09099999999998</v>
          </cell>
          <cell r="DO351">
            <v>23.450000000000017</v>
          </cell>
          <cell r="DP351">
            <v>36.258000000000003</v>
          </cell>
          <cell r="DQ351">
            <v>27.543000000000006</v>
          </cell>
          <cell r="DS351">
            <v>-3.2549999999999955</v>
          </cell>
          <cell r="DT351">
            <v>-13.834</v>
          </cell>
          <cell r="DU351">
            <v>17.315999999999988</v>
          </cell>
          <cell r="DV351">
            <v>-57.82099999999997</v>
          </cell>
          <cell r="DX351">
            <v>-8.7650000000000006</v>
          </cell>
          <cell r="DY351">
            <v>-13.849999999999994</v>
          </cell>
          <cell r="FV351" t="str">
            <v xml:space="preserve"> </v>
          </cell>
          <cell r="FW351" t="str">
            <v xml:space="preserve"> </v>
          </cell>
          <cell r="FX351" t="str">
            <v xml:space="preserve"> </v>
          </cell>
          <cell r="FY351">
            <v>113.3</v>
          </cell>
          <cell r="FZ351">
            <v>-57.59399999999998</v>
          </cell>
        </row>
        <row r="352">
          <cell r="CT352" t="str">
            <v xml:space="preserve"> --</v>
          </cell>
          <cell r="CU352" t="str">
            <v xml:space="preserve"> --</v>
          </cell>
          <cell r="CV352" t="str">
            <v xml:space="preserve"> --</v>
          </cell>
          <cell r="CW352" t="str">
            <v xml:space="preserve"> --</v>
          </cell>
          <cell r="CY352" t="str">
            <v xml:space="preserve"> --</v>
          </cell>
          <cell r="CZ352" t="str">
            <v xml:space="preserve"> --</v>
          </cell>
          <cell r="DA352" t="str">
            <v xml:space="preserve"> --</v>
          </cell>
          <cell r="DB352" t="str">
            <v xml:space="preserve"> --</v>
          </cell>
          <cell r="DD352" t="str">
            <v xml:space="preserve"> --</v>
          </cell>
          <cell r="DE352" t="str">
            <v xml:space="preserve"> --</v>
          </cell>
          <cell r="DF352">
            <v>31.765999999999998</v>
          </cell>
          <cell r="DG352" t="str">
            <v xml:space="preserve"> --</v>
          </cell>
          <cell r="DI352" t="str">
            <v xml:space="preserve"> --</v>
          </cell>
          <cell r="DJ352" t="str">
            <v xml:space="preserve"> --</v>
          </cell>
          <cell r="DK352" t="str">
            <v xml:space="preserve"> --</v>
          </cell>
          <cell r="DL352" t="str">
            <v xml:space="preserve"> --</v>
          </cell>
          <cell r="DN352">
            <v>43.967999999999996</v>
          </cell>
          <cell r="DO352">
            <v>40.895000000000003</v>
          </cell>
          <cell r="DP352">
            <v>44.142000000000003</v>
          </cell>
          <cell r="DQ352">
            <v>45.416999999999994</v>
          </cell>
          <cell r="DS352">
            <v>38.588999999999999</v>
          </cell>
          <cell r="DT352">
            <v>52.515000000000001</v>
          </cell>
          <cell r="DU352">
            <v>49.447000000000003</v>
          </cell>
          <cell r="DV352">
            <v>49.033999999999992</v>
          </cell>
          <cell r="DX352">
            <v>50.483999999999995</v>
          </cell>
          <cell r="DY352">
            <v>61.802999999999997</v>
          </cell>
          <cell r="FY352">
            <v>174.4</v>
          </cell>
          <cell r="FZ352">
            <v>189.58499999999998</v>
          </cell>
        </row>
        <row r="353">
          <cell r="CT353" t="str">
            <v xml:space="preserve"> --</v>
          </cell>
          <cell r="CU353" t="str">
            <v xml:space="preserve"> --</v>
          </cell>
          <cell r="CV353" t="str">
            <v xml:space="preserve"> --</v>
          </cell>
          <cell r="CW353" t="str">
            <v xml:space="preserve"> --</v>
          </cell>
          <cell r="CY353" t="str">
            <v xml:space="preserve"> --</v>
          </cell>
          <cell r="CZ353" t="str">
            <v xml:space="preserve"> --</v>
          </cell>
          <cell r="DA353" t="str">
            <v xml:space="preserve"> --</v>
          </cell>
          <cell r="DB353" t="str">
            <v xml:space="preserve"> --</v>
          </cell>
          <cell r="DD353" t="str">
            <v xml:space="preserve"> --</v>
          </cell>
          <cell r="DE353" t="str">
            <v xml:space="preserve"> --</v>
          </cell>
          <cell r="DF353">
            <v>13.753</v>
          </cell>
          <cell r="DG353" t="str">
            <v xml:space="preserve"> --</v>
          </cell>
          <cell r="DI353" t="str">
            <v xml:space="preserve"> --</v>
          </cell>
          <cell r="DJ353" t="str">
            <v xml:space="preserve"> --</v>
          </cell>
          <cell r="DK353" t="str">
            <v xml:space="preserve"> --</v>
          </cell>
          <cell r="DL353" t="str">
            <v xml:space="preserve"> --</v>
          </cell>
          <cell r="DN353">
            <v>8.5269999999999868</v>
          </cell>
          <cell r="DO353">
            <v>13.638000000000005</v>
          </cell>
          <cell r="DP353">
            <v>8.0739999999999998</v>
          </cell>
          <cell r="DQ353">
            <v>17.704000000000022</v>
          </cell>
          <cell r="DS353">
            <v>7.835000000000008</v>
          </cell>
          <cell r="DT353">
            <v>27.638000000000002</v>
          </cell>
          <cell r="DU353">
            <v>19.435999999999993</v>
          </cell>
          <cell r="DV353">
            <v>46.063999999999993</v>
          </cell>
          <cell r="DX353">
            <v>-2.242999999999995</v>
          </cell>
          <cell r="DY353">
            <v>19.847999999999985</v>
          </cell>
          <cell r="FY353">
            <v>47.9</v>
          </cell>
          <cell r="FZ353">
            <v>100.973</v>
          </cell>
        </row>
        <row r="354">
          <cell r="CT354" t="str">
            <v xml:space="preserve"> --</v>
          </cell>
          <cell r="CU354" t="str">
            <v xml:space="preserve"> --</v>
          </cell>
          <cell r="CV354" t="str">
            <v xml:space="preserve"> --</v>
          </cell>
          <cell r="CW354" t="str">
            <v xml:space="preserve"> --</v>
          </cell>
          <cell r="CY354" t="str">
            <v xml:space="preserve"> --</v>
          </cell>
          <cell r="CZ354" t="str">
            <v xml:space="preserve"> --</v>
          </cell>
          <cell r="DA354" t="str">
            <v xml:space="preserve"> --</v>
          </cell>
          <cell r="DB354" t="str">
            <v xml:space="preserve"> --</v>
          </cell>
          <cell r="DD354" t="str">
            <v xml:space="preserve"> --</v>
          </cell>
          <cell r="DE354" t="str">
            <v xml:space="preserve"> --</v>
          </cell>
          <cell r="DF354">
            <v>13.644</v>
          </cell>
          <cell r="DG354" t="str">
            <v xml:space="preserve"> --</v>
          </cell>
          <cell r="DI354" t="str">
            <v xml:space="preserve"> --</v>
          </cell>
          <cell r="DJ354" t="str">
            <v xml:space="preserve"> --</v>
          </cell>
          <cell r="DK354" t="str">
            <v xml:space="preserve"> --</v>
          </cell>
          <cell r="DL354" t="str">
            <v xml:space="preserve"> --</v>
          </cell>
          <cell r="DN354">
            <v>15.613</v>
          </cell>
          <cell r="DO354">
            <v>0.4480000000000004</v>
          </cell>
          <cell r="DP354">
            <v>15.917999999999999</v>
          </cell>
          <cell r="DQ354">
            <v>15.347999999999999</v>
          </cell>
          <cell r="FY354">
            <v>47.3</v>
          </cell>
        </row>
        <row r="355">
          <cell r="CT355" t="str">
            <v xml:space="preserve"> --</v>
          </cell>
          <cell r="CU355" t="str">
            <v xml:space="preserve"> --</v>
          </cell>
          <cell r="CV355" t="str">
            <v xml:space="preserve"> --</v>
          </cell>
          <cell r="CW355" t="str">
            <v xml:space="preserve"> --</v>
          </cell>
          <cell r="CY355" t="str">
            <v xml:space="preserve"> --</v>
          </cell>
          <cell r="CZ355" t="str">
            <v xml:space="preserve"> --</v>
          </cell>
          <cell r="DA355" t="str">
            <v xml:space="preserve"> --</v>
          </cell>
          <cell r="DB355" t="str">
            <v xml:space="preserve"> --</v>
          </cell>
          <cell r="DD355" t="str">
            <v xml:space="preserve"> --</v>
          </cell>
          <cell r="DE355" t="str">
            <v xml:space="preserve"> --</v>
          </cell>
          <cell r="DF355">
            <v>-2.4460000000000002</v>
          </cell>
          <cell r="DG355" t="str">
            <v xml:space="preserve"> --</v>
          </cell>
          <cell r="DI355" t="str">
            <v xml:space="preserve"> --</v>
          </cell>
          <cell r="DJ355" t="str">
            <v xml:space="preserve"> --</v>
          </cell>
          <cell r="DK355" t="str">
            <v xml:space="preserve"> --</v>
          </cell>
          <cell r="DL355" t="str">
            <v xml:space="preserve"> --</v>
          </cell>
          <cell r="DN355">
            <v>4.1580000000000004</v>
          </cell>
          <cell r="DO355">
            <v>-1.151</v>
          </cell>
          <cell r="DP355">
            <v>-12.954000000000001</v>
          </cell>
          <cell r="DQ355">
            <v>-41.288999999999994</v>
          </cell>
          <cell r="DS355">
            <v>-13.026999999999999</v>
          </cell>
          <cell r="DT355">
            <v>-27.792000000000002</v>
          </cell>
          <cell r="DU355">
            <v>-18.802</v>
          </cell>
          <cell r="DV355">
            <v>-16.181999999999995</v>
          </cell>
          <cell r="DX355">
            <v>-34.280999999999999</v>
          </cell>
          <cell r="DY355">
            <v>-118.71299999999999</v>
          </cell>
          <cell r="FY355">
            <v>-51.2</v>
          </cell>
          <cell r="FZ355">
            <v>-75.802999999999997</v>
          </cell>
        </row>
        <row r="357">
          <cell r="CT357">
            <v>4.6169686606543615E-2</v>
          </cell>
          <cell r="CU357">
            <v>5.0980993205686491E-2</v>
          </cell>
          <cell r="CV357">
            <v>5.6656257419969429E-2</v>
          </cell>
          <cell r="CW357">
            <v>4.7873692572487761E-2</v>
          </cell>
          <cell r="CY357">
            <v>3.5993300582211243E-2</v>
          </cell>
          <cell r="CZ357">
            <v>3.0427546088332397E-2</v>
          </cell>
          <cell r="DA357">
            <v>2.8782670768101645E-2</v>
          </cell>
          <cell r="DB357">
            <v>2.6459401930047241E-2</v>
          </cell>
          <cell r="DD357">
            <v>2.6393333979892023E-2</v>
          </cell>
          <cell r="DE357">
            <v>2.6109799221957268E-2</v>
          </cell>
          <cell r="DF357">
            <v>2.5135942756664992E-2</v>
          </cell>
          <cell r="DG357">
            <v>3.1742776942211878E-2</v>
          </cell>
          <cell r="DI357">
            <v>3.1395897009085724E-2</v>
          </cell>
          <cell r="DJ357">
            <v>3.4685634742211625E-2</v>
          </cell>
          <cell r="DK357">
            <v>3.8369483711414805E-2</v>
          </cell>
          <cell r="DL357">
            <v>2.6802301798657616E-2</v>
          </cell>
          <cell r="DN357">
            <v>3.1619965035661973E-2</v>
          </cell>
          <cell r="DO357">
            <v>2.3814161097445372E-2</v>
          </cell>
          <cell r="DP357">
            <v>2.6480442300246373E-2</v>
          </cell>
          <cell r="DQ357">
            <v>1.9646876801262054E-2</v>
          </cell>
          <cell r="DS357">
            <v>9.2413660003575968E-3</v>
          </cell>
          <cell r="DT357">
            <v>1.1532913270708061E-2</v>
          </cell>
          <cell r="DU357">
            <v>1.7495808120173612E-2</v>
          </cell>
          <cell r="DV357">
            <v>6.8947709886863044E-3</v>
          </cell>
          <cell r="DX357">
            <v>4.4735902702470083E-3</v>
          </cell>
          <cell r="DY357">
            <v>1.2632298882007079E-2</v>
          </cell>
          <cell r="FX357">
            <v>3.2916342511898997E-2</v>
          </cell>
          <cell r="FY357">
            <v>2.5321302677519197E-2</v>
          </cell>
          <cell r="FZ357">
            <v>1.165322584804397E-2</v>
          </cell>
        </row>
        <row r="358">
          <cell r="CT358" t="str">
            <v xml:space="preserve"> --</v>
          </cell>
          <cell r="CU358" t="str">
            <v xml:space="preserve"> --</v>
          </cell>
          <cell r="CV358" t="str">
            <v xml:space="preserve"> --</v>
          </cell>
          <cell r="CW358" t="str">
            <v xml:space="preserve"> --</v>
          </cell>
          <cell r="CY358" t="str">
            <v xml:space="preserve"> --</v>
          </cell>
          <cell r="CZ358" t="str">
            <v xml:space="preserve"> --</v>
          </cell>
          <cell r="DA358" t="str">
            <v xml:space="preserve"> --</v>
          </cell>
          <cell r="DB358" t="str">
            <v xml:space="preserve"> --</v>
          </cell>
          <cell r="DD358" t="str">
            <v xml:space="preserve"> --</v>
          </cell>
          <cell r="DE358" t="str">
            <v xml:space="preserve"> --</v>
          </cell>
          <cell r="DF358">
            <v>-9.1333856967353438E-3</v>
          </cell>
          <cell r="DG358" t="str">
            <v xml:space="preserve"> --</v>
          </cell>
          <cell r="DI358" t="str">
            <v xml:space="preserve"> --</v>
          </cell>
          <cell r="DJ358" t="str">
            <v xml:space="preserve"> --</v>
          </cell>
          <cell r="DK358" t="str">
            <v xml:space="preserve"> --</v>
          </cell>
          <cell r="DL358" t="str">
            <v xml:space="preserve"> --</v>
          </cell>
          <cell r="DN358">
            <v>2.3118104264059042E-2</v>
          </cell>
          <cell r="DO358">
            <v>2.4255601285495167E-2</v>
          </cell>
          <cell r="DP358">
            <v>3.4618766774462427E-2</v>
          </cell>
          <cell r="DQ358">
            <v>2.720296296296297E-2</v>
          </cell>
          <cell r="DS358">
            <v>-3.5277745865838306E-3</v>
          </cell>
          <cell r="DT358">
            <v>-1.5256349460171818E-2</v>
          </cell>
          <cell r="DU358">
            <v>2.0250878871302353E-2</v>
          </cell>
          <cell r="DV358">
            <v>-0.13863719738075644</v>
          </cell>
          <cell r="DX358">
            <v>-1.8552856060317421E-2</v>
          </cell>
          <cell r="DY358">
            <v>-2.7958447892316565E-2</v>
          </cell>
          <cell r="FY358">
            <v>2.726310217046056E-2</v>
          </cell>
          <cell r="FZ358">
            <v>-1.8569191469275905E-2</v>
          </cell>
        </row>
        <row r="359">
          <cell r="CT359" t="str">
            <v xml:space="preserve"> --</v>
          </cell>
          <cell r="CU359" t="str">
            <v xml:space="preserve"> --</v>
          </cell>
          <cell r="CV359" t="str">
            <v xml:space="preserve"> --</v>
          </cell>
          <cell r="CW359" t="str">
            <v xml:space="preserve"> --</v>
          </cell>
          <cell r="CY359" t="str">
            <v xml:space="preserve"> --</v>
          </cell>
          <cell r="CZ359" t="str">
            <v xml:space="preserve"> --</v>
          </cell>
          <cell r="DA359" t="str">
            <v xml:space="preserve"> --</v>
          </cell>
          <cell r="DB359" t="str">
            <v xml:space="preserve"> --</v>
          </cell>
          <cell r="DD359" t="str">
            <v xml:space="preserve"> --</v>
          </cell>
          <cell r="DE359" t="str">
            <v xml:space="preserve"> --</v>
          </cell>
          <cell r="DF359">
            <v>6.7872732750313552E-2</v>
          </cell>
          <cell r="DG359" t="str">
            <v xml:space="preserve"> --</v>
          </cell>
          <cell r="DI359" t="str">
            <v xml:space="preserve"> --</v>
          </cell>
          <cell r="DJ359" t="str">
            <v xml:space="preserve"> --</v>
          </cell>
          <cell r="DK359" t="str">
            <v xml:space="preserve"> --</v>
          </cell>
          <cell r="DL359" t="str">
            <v xml:space="preserve"> --</v>
          </cell>
          <cell r="DN359">
            <v>6.9999474621847121E-2</v>
          </cell>
          <cell r="DO359">
            <v>4.653001780645015E-2</v>
          </cell>
          <cell r="DP359">
            <v>4.6297277142830176E-2</v>
          </cell>
          <cell r="DQ359">
            <v>4.9674067592693862E-2</v>
          </cell>
          <cell r="DS359">
            <v>3.9187351672690308E-2</v>
          </cell>
          <cell r="DT359">
            <v>4.2639136418442448E-2</v>
          </cell>
          <cell r="DU359">
            <v>3.1422233039384712E-2</v>
          </cell>
          <cell r="DV359">
            <v>3.8606165774878971E-2</v>
          </cell>
          <cell r="DX359">
            <v>3.6104744093573102E-2</v>
          </cell>
          <cell r="DY359">
            <v>3.5188196470419437E-2</v>
          </cell>
          <cell r="FY359">
            <v>5.1677136422899131E-2</v>
          </cell>
          <cell r="FZ359">
            <v>3.7466761921983519E-2</v>
          </cell>
        </row>
        <row r="360">
          <cell r="CT360" t="str">
            <v xml:space="preserve"> --</v>
          </cell>
          <cell r="CU360" t="str">
            <v xml:space="preserve"> --</v>
          </cell>
          <cell r="CV360" t="str">
            <v xml:space="preserve"> --</v>
          </cell>
          <cell r="CW360" t="str">
            <v xml:space="preserve"> --</v>
          </cell>
          <cell r="CY360" t="str">
            <v xml:space="preserve"> --</v>
          </cell>
          <cell r="CZ360" t="str">
            <v xml:space="preserve"> --</v>
          </cell>
          <cell r="DA360" t="str">
            <v xml:space="preserve"> --</v>
          </cell>
          <cell r="DB360" t="str">
            <v xml:space="preserve"> --</v>
          </cell>
          <cell r="DD360" t="str">
            <v xml:space="preserve"> --</v>
          </cell>
          <cell r="DE360" t="str">
            <v xml:space="preserve"> --</v>
          </cell>
          <cell r="DF360">
            <v>3.3693716206449655E-2</v>
          </cell>
          <cell r="DG360" t="str">
            <v xml:space="preserve"> --</v>
          </cell>
          <cell r="DI360" t="str">
            <v xml:space="preserve"> --</v>
          </cell>
          <cell r="DJ360" t="str">
            <v xml:space="preserve"> --</v>
          </cell>
          <cell r="DK360" t="str">
            <v xml:space="preserve"> --</v>
          </cell>
          <cell r="DL360" t="str">
            <v xml:space="preserve"> --</v>
          </cell>
          <cell r="DN360">
            <v>1.3790616170617411E-2</v>
          </cell>
          <cell r="DO360">
            <v>1.5640930657164522E-2</v>
          </cell>
          <cell r="DP360">
            <v>9.060223442121847E-3</v>
          </cell>
          <cell r="DQ360">
            <v>1.9867579396251847E-2</v>
          </cell>
          <cell r="DS360">
            <v>5.3537287507875201E-3</v>
          </cell>
          <cell r="DT360">
            <v>2.0394910644050586E-2</v>
          </cell>
          <cell r="DU360">
            <v>1.1640986141740202E-2</v>
          </cell>
          <cell r="DV360">
            <v>3.1864242169347259E-2</v>
          </cell>
          <cell r="DX360">
            <v>-1.6077458514351048E-3</v>
          </cell>
          <cell r="DY360">
            <v>1.4826069321286021E-2</v>
          </cell>
          <cell r="FY360">
            <v>1.4639364303178484E-2</v>
          </cell>
          <cell r="FZ360">
            <v>1.7016413770532802E-2</v>
          </cell>
        </row>
        <row r="361">
          <cell r="CT361" t="str">
            <v xml:space="preserve"> --</v>
          </cell>
          <cell r="CU361" t="str">
            <v xml:space="preserve"> --</v>
          </cell>
          <cell r="CV361" t="str">
            <v xml:space="preserve"> --</v>
          </cell>
          <cell r="CW361" t="str">
            <v xml:space="preserve"> --</v>
          </cell>
          <cell r="CY361" t="str">
            <v xml:space="preserve"> --</v>
          </cell>
          <cell r="CZ361" t="str">
            <v xml:space="preserve"> --</v>
          </cell>
          <cell r="DA361" t="str">
            <v xml:space="preserve"> --</v>
          </cell>
          <cell r="DB361" t="str">
            <v xml:space="preserve"> --</v>
          </cell>
          <cell r="DD361" t="str">
            <v xml:space="preserve"> --</v>
          </cell>
          <cell r="DE361" t="str">
            <v xml:space="preserve"> --</v>
          </cell>
          <cell r="DF361">
            <v>4.2257185332011893E-2</v>
          </cell>
          <cell r="DG361" t="str">
            <v xml:space="preserve"> --</v>
          </cell>
          <cell r="DI361" t="str">
            <v xml:space="preserve"> --</v>
          </cell>
          <cell r="DJ361" t="str">
            <v xml:space="preserve"> --</v>
          </cell>
          <cell r="DK361" t="str">
            <v xml:space="preserve"> --</v>
          </cell>
          <cell r="DL361" t="str">
            <v xml:space="preserve"> --</v>
          </cell>
          <cell r="DN361">
            <v>2.0641495315241232E-2</v>
          </cell>
          <cell r="DO361">
            <v>6.310036902447962E-4</v>
          </cell>
          <cell r="DP361">
            <v>2.0033754573291599E-2</v>
          </cell>
          <cell r="DQ361">
            <v>2.0444918076461965E-2</v>
          </cell>
          <cell r="FY361">
            <v>1.5705937043432063E-2</v>
          </cell>
        </row>
        <row r="364">
          <cell r="CT364" t="str">
            <v xml:space="preserve"> --</v>
          </cell>
          <cell r="CU364" t="str">
            <v xml:space="preserve"> --</v>
          </cell>
          <cell r="CV364" t="str">
            <v xml:space="preserve"> --</v>
          </cell>
          <cell r="CW364" t="str">
            <v xml:space="preserve"> --</v>
          </cell>
          <cell r="CY364" t="str">
            <v xml:space="preserve"> --</v>
          </cell>
          <cell r="CZ364" t="str">
            <v xml:space="preserve"> --</v>
          </cell>
          <cell r="DA364" t="str">
            <v xml:space="preserve"> --</v>
          </cell>
          <cell r="DB364" t="str">
            <v xml:space="preserve"> --</v>
          </cell>
          <cell r="DD364" t="str">
            <v xml:space="preserve"> --</v>
          </cell>
          <cell r="DE364" t="str">
            <v xml:space="preserve"> --</v>
          </cell>
          <cell r="DF364" t="str">
            <v xml:space="preserve"> --</v>
          </cell>
          <cell r="DG364" t="str">
            <v xml:space="preserve"> --</v>
          </cell>
          <cell r="DI364" t="str">
            <v xml:space="preserve"> --</v>
          </cell>
          <cell r="DJ364" t="str">
            <v xml:space="preserve"> --</v>
          </cell>
          <cell r="DK364" t="str">
            <v xml:space="preserve"> --</v>
          </cell>
          <cell r="DL364" t="str">
            <v xml:space="preserve"> --</v>
          </cell>
          <cell r="DN364" t="str">
            <v xml:space="preserve"> --</v>
          </cell>
          <cell r="DO364" t="str">
            <v xml:space="preserve"> --</v>
          </cell>
          <cell r="DP364" t="str">
            <v xml:space="preserve"> --</v>
          </cell>
          <cell r="DQ364" t="str">
            <v xml:space="preserve"> --</v>
          </cell>
          <cell r="DS364" t="str">
            <v xml:space="preserve"> --</v>
          </cell>
          <cell r="DT364" t="str">
            <v xml:space="preserve"> --</v>
          </cell>
          <cell r="DU364" t="str">
            <v xml:space="preserve"> --</v>
          </cell>
          <cell r="DV364" t="str">
            <v xml:space="preserve"> --</v>
          </cell>
          <cell r="FX364" t="str">
            <v xml:space="preserve"> </v>
          </cell>
        </row>
        <row r="365">
          <cell r="CT365" t="str">
            <v xml:space="preserve"> --</v>
          </cell>
          <cell r="CU365" t="str">
            <v xml:space="preserve"> --</v>
          </cell>
          <cell r="CV365" t="str">
            <v xml:space="preserve"> --</v>
          </cell>
          <cell r="CW365" t="str">
            <v xml:space="preserve"> --</v>
          </cell>
          <cell r="CY365" t="str">
            <v xml:space="preserve"> --</v>
          </cell>
          <cell r="CZ365" t="str">
            <v xml:space="preserve"> --</v>
          </cell>
          <cell r="DA365" t="str">
            <v xml:space="preserve"> --</v>
          </cell>
          <cell r="DB365" t="str">
            <v xml:space="preserve"> --</v>
          </cell>
          <cell r="DD365" t="str">
            <v xml:space="preserve"> --</v>
          </cell>
          <cell r="DE365" t="str">
            <v xml:space="preserve"> --</v>
          </cell>
          <cell r="DF365" t="str">
            <v xml:space="preserve"> --</v>
          </cell>
          <cell r="DG365" t="str">
            <v xml:space="preserve"> --</v>
          </cell>
          <cell r="DI365" t="str">
            <v xml:space="preserve"> --</v>
          </cell>
          <cell r="DJ365" t="str">
            <v xml:space="preserve"> --</v>
          </cell>
          <cell r="DK365" t="str">
            <v xml:space="preserve"> --</v>
          </cell>
          <cell r="DL365" t="str">
            <v xml:space="preserve"> --</v>
          </cell>
          <cell r="DN365" t="str">
            <v xml:space="preserve"> --</v>
          </cell>
          <cell r="DO365" t="str">
            <v xml:space="preserve"> --</v>
          </cell>
          <cell r="DP365" t="str">
            <v xml:space="preserve"> --</v>
          </cell>
          <cell r="DQ365" t="str">
            <v xml:space="preserve"> --</v>
          </cell>
          <cell r="DS365" t="str">
            <v xml:space="preserve"> --</v>
          </cell>
          <cell r="DT365" t="str">
            <v xml:space="preserve"> --</v>
          </cell>
          <cell r="DU365" t="str">
            <v xml:space="preserve"> --</v>
          </cell>
          <cell r="DV365" t="str">
            <v xml:space="preserve"> --</v>
          </cell>
        </row>
        <row r="366">
          <cell r="CT366" t="str">
            <v xml:space="preserve"> --</v>
          </cell>
          <cell r="CU366" t="str">
            <v xml:space="preserve"> --</v>
          </cell>
          <cell r="CV366" t="str">
            <v xml:space="preserve"> --</v>
          </cell>
          <cell r="CW366" t="str">
            <v xml:space="preserve"> --</v>
          </cell>
          <cell r="CY366" t="str">
            <v xml:space="preserve"> --</v>
          </cell>
          <cell r="CZ366" t="str">
            <v xml:space="preserve"> --</v>
          </cell>
          <cell r="DA366" t="str">
            <v xml:space="preserve"> --</v>
          </cell>
          <cell r="DB366" t="str">
            <v xml:space="preserve"> --</v>
          </cell>
          <cell r="DD366" t="str">
            <v xml:space="preserve"> --</v>
          </cell>
          <cell r="DE366" t="str">
            <v xml:space="preserve"> --</v>
          </cell>
          <cell r="DF366" t="str">
            <v xml:space="preserve"> --</v>
          </cell>
          <cell r="DG366" t="str">
            <v xml:space="preserve"> --</v>
          </cell>
          <cell r="DI366" t="str">
            <v xml:space="preserve"> --</v>
          </cell>
          <cell r="DJ366" t="str">
            <v xml:space="preserve"> --</v>
          </cell>
          <cell r="DK366" t="str">
            <v xml:space="preserve"> --</v>
          </cell>
          <cell r="DL366" t="str">
            <v xml:space="preserve"> --</v>
          </cell>
          <cell r="DN366" t="str">
            <v xml:space="preserve"> --</v>
          </cell>
          <cell r="DO366" t="str">
            <v xml:space="preserve"> --</v>
          </cell>
          <cell r="DP366" t="str">
            <v xml:space="preserve"> --</v>
          </cell>
          <cell r="DQ366" t="str">
            <v xml:space="preserve"> --</v>
          </cell>
          <cell r="DS366" t="str">
            <v xml:space="preserve"> --</v>
          </cell>
          <cell r="DT366" t="str">
            <v xml:space="preserve"> --</v>
          </cell>
          <cell r="DU366" t="str">
            <v xml:space="preserve"> --</v>
          </cell>
          <cell r="DV366" t="str">
            <v xml:space="preserve"> --</v>
          </cell>
        </row>
        <row r="367">
          <cell r="CT367" t="str">
            <v xml:space="preserve"> --</v>
          </cell>
          <cell r="CU367" t="str">
            <v xml:space="preserve"> --</v>
          </cell>
          <cell r="CV367" t="str">
            <v xml:space="preserve"> --</v>
          </cell>
          <cell r="CW367" t="str">
            <v xml:space="preserve"> --</v>
          </cell>
          <cell r="CY367" t="str">
            <v xml:space="preserve"> --</v>
          </cell>
          <cell r="CZ367" t="str">
            <v xml:space="preserve"> --</v>
          </cell>
          <cell r="DA367" t="str">
            <v xml:space="preserve"> --</v>
          </cell>
          <cell r="DB367" t="str">
            <v xml:space="preserve"> --</v>
          </cell>
          <cell r="DD367" t="str">
            <v xml:space="preserve"> --</v>
          </cell>
          <cell r="DE367" t="str">
            <v xml:space="preserve"> --</v>
          </cell>
          <cell r="DF367" t="str">
            <v xml:space="preserve"> --</v>
          </cell>
          <cell r="DG367" t="str">
            <v xml:space="preserve"> --</v>
          </cell>
          <cell r="DI367" t="str">
            <v xml:space="preserve"> --</v>
          </cell>
          <cell r="DJ367" t="str">
            <v xml:space="preserve"> --</v>
          </cell>
          <cell r="DK367" t="str">
            <v xml:space="preserve"> --</v>
          </cell>
          <cell r="DL367" t="str">
            <v xml:space="preserve"> --</v>
          </cell>
          <cell r="DN367" t="str">
            <v xml:space="preserve"> --</v>
          </cell>
          <cell r="DO367" t="str">
            <v xml:space="preserve"> --</v>
          </cell>
          <cell r="DP367" t="str">
            <v xml:space="preserve"> --</v>
          </cell>
          <cell r="DQ367" t="str">
            <v xml:space="preserve"> --</v>
          </cell>
          <cell r="DS367" t="str">
            <v xml:space="preserve"> --</v>
          </cell>
          <cell r="DT367" t="str">
            <v xml:space="preserve"> --</v>
          </cell>
          <cell r="DU367" t="str">
            <v xml:space="preserve"> --</v>
          </cell>
          <cell r="DV367" t="str">
            <v xml:space="preserve"> --</v>
          </cell>
        </row>
        <row r="368">
          <cell r="CT368" t="str">
            <v xml:space="preserve"> --</v>
          </cell>
          <cell r="CU368" t="str">
            <v xml:space="preserve"> --</v>
          </cell>
          <cell r="CV368" t="str">
            <v xml:space="preserve"> --</v>
          </cell>
          <cell r="CW368" t="str">
            <v xml:space="preserve"> --</v>
          </cell>
          <cell r="CY368" t="str">
            <v xml:space="preserve"> --</v>
          </cell>
          <cell r="CZ368" t="str">
            <v xml:space="preserve"> --</v>
          </cell>
          <cell r="DA368" t="str">
            <v xml:space="preserve"> --</v>
          </cell>
          <cell r="DB368" t="str">
            <v xml:space="preserve"> --</v>
          </cell>
          <cell r="DD368" t="str">
            <v xml:space="preserve"> --</v>
          </cell>
          <cell r="DE368" t="str">
            <v xml:space="preserve"> --</v>
          </cell>
          <cell r="DF368" t="str">
            <v xml:space="preserve"> --</v>
          </cell>
          <cell r="DG368" t="str">
            <v xml:space="preserve"> --</v>
          </cell>
          <cell r="DI368" t="str">
            <v xml:space="preserve"> --</v>
          </cell>
          <cell r="DJ368" t="str">
            <v xml:space="preserve"> --</v>
          </cell>
          <cell r="DK368" t="str">
            <v xml:space="preserve"> --</v>
          </cell>
          <cell r="DL368" t="str">
            <v xml:space="preserve"> --</v>
          </cell>
          <cell r="DN368" t="str">
            <v xml:space="preserve"> --</v>
          </cell>
          <cell r="DO368" t="str">
            <v xml:space="preserve"> --</v>
          </cell>
          <cell r="DP368" t="str">
            <v xml:space="preserve"> --</v>
          </cell>
          <cell r="DQ368" t="str">
            <v xml:space="preserve"> --</v>
          </cell>
          <cell r="DS368" t="str">
            <v xml:space="preserve"> --</v>
          </cell>
          <cell r="DT368" t="str">
            <v xml:space="preserve"> --</v>
          </cell>
          <cell r="DU368" t="str">
            <v xml:space="preserve"> --</v>
          </cell>
          <cell r="DV368" t="str">
            <v xml:space="preserve"> --</v>
          </cell>
        </row>
        <row r="369">
          <cell r="CT369" t="str">
            <v xml:space="preserve"> --</v>
          </cell>
          <cell r="CU369" t="str">
            <v xml:space="preserve"> --</v>
          </cell>
          <cell r="CV369" t="str">
            <v xml:space="preserve"> --</v>
          </cell>
          <cell r="CW369" t="str">
            <v xml:space="preserve"> --</v>
          </cell>
          <cell r="CY369" t="str">
            <v xml:space="preserve"> --</v>
          </cell>
          <cell r="CZ369" t="str">
            <v xml:space="preserve"> --</v>
          </cell>
          <cell r="DA369" t="str">
            <v xml:space="preserve"> --</v>
          </cell>
          <cell r="DB369" t="str">
            <v xml:space="preserve"> --</v>
          </cell>
          <cell r="DD369" t="str">
            <v xml:space="preserve"> --</v>
          </cell>
          <cell r="DE369" t="str">
            <v xml:space="preserve"> --</v>
          </cell>
          <cell r="DF369" t="str">
            <v xml:space="preserve"> --</v>
          </cell>
          <cell r="DG369" t="str">
            <v xml:space="preserve"> --</v>
          </cell>
          <cell r="DI369" t="str">
            <v xml:space="preserve"> --</v>
          </cell>
          <cell r="DJ369" t="str">
            <v xml:space="preserve"> --</v>
          </cell>
          <cell r="DK369" t="str">
            <v xml:space="preserve"> --</v>
          </cell>
          <cell r="DL369" t="str">
            <v xml:space="preserve"> --</v>
          </cell>
          <cell r="DN369" t="str">
            <v xml:space="preserve"> --</v>
          </cell>
          <cell r="DO369" t="str">
            <v xml:space="preserve"> --</v>
          </cell>
          <cell r="DP369" t="str">
            <v xml:space="preserve"> --</v>
          </cell>
          <cell r="DQ369" t="str">
            <v xml:space="preserve"> --</v>
          </cell>
          <cell r="DS369" t="str">
            <v xml:space="preserve"> --</v>
          </cell>
          <cell r="DT369" t="str">
            <v xml:space="preserve"> --</v>
          </cell>
          <cell r="DU369" t="str">
            <v xml:space="preserve"> --</v>
          </cell>
          <cell r="DV369" t="str">
            <v xml:space="preserve"> --</v>
          </cell>
        </row>
        <row r="372">
          <cell r="CT372" t="str">
            <v xml:space="preserve"> --</v>
          </cell>
          <cell r="CU372" t="str">
            <v xml:space="preserve"> --</v>
          </cell>
          <cell r="CV372" t="str">
            <v xml:space="preserve"> --</v>
          </cell>
          <cell r="CW372" t="str">
            <v xml:space="preserve"> --</v>
          </cell>
          <cell r="CY372" t="str">
            <v xml:space="preserve"> --</v>
          </cell>
          <cell r="CZ372" t="str">
            <v xml:space="preserve"> --</v>
          </cell>
          <cell r="DA372" t="str">
            <v xml:space="preserve"> --</v>
          </cell>
          <cell r="DB372" t="str">
            <v xml:space="preserve"> --</v>
          </cell>
          <cell r="DD372" t="str">
            <v xml:space="preserve"> --</v>
          </cell>
          <cell r="DE372" t="str">
            <v xml:space="preserve"> --</v>
          </cell>
          <cell r="DF372" t="str">
            <v xml:space="preserve"> --</v>
          </cell>
          <cell r="DG372" t="str">
            <v xml:space="preserve"> --</v>
          </cell>
          <cell r="DI372" t="str">
            <v xml:space="preserve"> --</v>
          </cell>
          <cell r="DJ372" t="str">
            <v xml:space="preserve"> --</v>
          </cell>
          <cell r="DK372" t="str">
            <v xml:space="preserve"> --</v>
          </cell>
          <cell r="DL372" t="str">
            <v xml:space="preserve"> --</v>
          </cell>
          <cell r="DN372" t="str">
            <v xml:space="preserve"> --</v>
          </cell>
          <cell r="DO372" t="str">
            <v xml:space="preserve"> --</v>
          </cell>
          <cell r="DP372" t="str">
            <v xml:space="preserve"> --</v>
          </cell>
          <cell r="DQ372" t="str">
            <v xml:space="preserve"> --</v>
          </cell>
          <cell r="DS372" t="str">
            <v xml:space="preserve"> --</v>
          </cell>
          <cell r="DT372" t="str">
            <v xml:space="preserve"> --</v>
          </cell>
          <cell r="DU372" t="str">
            <v xml:space="preserve"> --</v>
          </cell>
          <cell r="DV372" t="str">
            <v xml:space="preserve"> --</v>
          </cell>
          <cell r="FV372" t="str">
            <v>--</v>
          </cell>
          <cell r="FW372">
            <v>0.11</v>
          </cell>
          <cell r="FX372">
            <v>0.1</v>
          </cell>
        </row>
        <row r="373">
          <cell r="CT373" t="str">
            <v xml:space="preserve"> --</v>
          </cell>
          <cell r="CU373" t="str">
            <v xml:space="preserve"> --</v>
          </cell>
          <cell r="CV373" t="str">
            <v xml:space="preserve"> --</v>
          </cell>
          <cell r="CW373" t="str">
            <v xml:space="preserve"> --</v>
          </cell>
          <cell r="CY373" t="str">
            <v xml:space="preserve"> --</v>
          </cell>
          <cell r="CZ373" t="str">
            <v xml:space="preserve"> --</v>
          </cell>
          <cell r="DA373" t="str">
            <v xml:space="preserve"> --</v>
          </cell>
          <cell r="DB373" t="str">
            <v xml:space="preserve"> --</v>
          </cell>
          <cell r="DD373" t="str">
            <v xml:space="preserve"> --</v>
          </cell>
          <cell r="DE373" t="str">
            <v xml:space="preserve"> --</v>
          </cell>
          <cell r="DF373" t="str">
            <v xml:space="preserve"> --</v>
          </cell>
          <cell r="DG373" t="str">
            <v xml:space="preserve"> --</v>
          </cell>
          <cell r="DI373" t="str">
            <v xml:space="preserve"> --</v>
          </cell>
          <cell r="DJ373" t="str">
            <v xml:space="preserve"> --</v>
          </cell>
          <cell r="DK373" t="str">
            <v xml:space="preserve"> --</v>
          </cell>
          <cell r="DL373" t="str">
            <v xml:space="preserve"> --</v>
          </cell>
          <cell r="DN373" t="str">
            <v xml:space="preserve"> --</v>
          </cell>
          <cell r="DO373" t="str">
            <v xml:space="preserve"> --</v>
          </cell>
          <cell r="DP373" t="str">
            <v xml:space="preserve"> --</v>
          </cell>
          <cell r="DQ373" t="str">
            <v xml:space="preserve"> --</v>
          </cell>
          <cell r="DS373" t="str">
            <v xml:space="preserve"> --</v>
          </cell>
          <cell r="DT373" t="str">
            <v xml:space="preserve"> --</v>
          </cell>
          <cell r="DU373" t="str">
            <v xml:space="preserve"> --</v>
          </cell>
          <cell r="DV373" t="str">
            <v xml:space="preserve"> --</v>
          </cell>
          <cell r="FV373" t="str">
            <v>--</v>
          </cell>
          <cell r="FW373" t="str">
            <v>--</v>
          </cell>
          <cell r="FX373" t="str">
            <v>--</v>
          </cell>
        </row>
        <row r="374">
          <cell r="CT374" t="str">
            <v xml:space="preserve"> --</v>
          </cell>
          <cell r="CU374" t="str">
            <v xml:space="preserve"> --</v>
          </cell>
          <cell r="CV374" t="str">
            <v xml:space="preserve"> --</v>
          </cell>
          <cell r="CW374" t="str">
            <v xml:space="preserve"> --</v>
          </cell>
          <cell r="CY374" t="str">
            <v xml:space="preserve"> --</v>
          </cell>
          <cell r="CZ374" t="str">
            <v xml:space="preserve"> --</v>
          </cell>
          <cell r="DA374" t="str">
            <v xml:space="preserve"> --</v>
          </cell>
          <cell r="DB374" t="str">
            <v xml:space="preserve"> --</v>
          </cell>
          <cell r="DD374" t="str">
            <v xml:space="preserve"> --</v>
          </cell>
          <cell r="DE374" t="str">
            <v xml:space="preserve"> --</v>
          </cell>
          <cell r="DF374" t="str">
            <v xml:space="preserve"> --</v>
          </cell>
          <cell r="DG374" t="str">
            <v xml:space="preserve"> --</v>
          </cell>
          <cell r="DI374" t="str">
            <v xml:space="preserve"> --</v>
          </cell>
          <cell r="DJ374" t="str">
            <v xml:space="preserve"> --</v>
          </cell>
          <cell r="DK374" t="str">
            <v xml:space="preserve"> --</v>
          </cell>
          <cell r="DL374" t="str">
            <v xml:space="preserve"> --</v>
          </cell>
          <cell r="DN374" t="str">
            <v xml:space="preserve"> --</v>
          </cell>
          <cell r="DO374" t="str">
            <v xml:space="preserve"> --</v>
          </cell>
          <cell r="DP374" t="str">
            <v xml:space="preserve"> --</v>
          </cell>
          <cell r="DQ374" t="str">
            <v xml:space="preserve"> --</v>
          </cell>
          <cell r="DS374" t="str">
            <v xml:space="preserve"> --</v>
          </cell>
          <cell r="DT374" t="str">
            <v xml:space="preserve"> --</v>
          </cell>
          <cell r="DU374" t="str">
            <v xml:space="preserve"> --</v>
          </cell>
          <cell r="DV374" t="str">
            <v xml:space="preserve"> --</v>
          </cell>
          <cell r="FV374" t="str">
            <v>--</v>
          </cell>
          <cell r="FW374">
            <v>0.12</v>
          </cell>
          <cell r="FX374" t="str">
            <v>--</v>
          </cell>
        </row>
        <row r="375">
          <cell r="CT375" t="str">
            <v xml:space="preserve"> --</v>
          </cell>
          <cell r="CU375" t="str">
            <v xml:space="preserve"> --</v>
          </cell>
          <cell r="CV375" t="str">
            <v xml:space="preserve"> --</v>
          </cell>
          <cell r="CW375" t="str">
            <v xml:space="preserve"> --</v>
          </cell>
          <cell r="CY375" t="str">
            <v xml:space="preserve"> --</v>
          </cell>
          <cell r="CZ375" t="str">
            <v xml:space="preserve"> --</v>
          </cell>
          <cell r="DA375" t="str">
            <v xml:space="preserve"> --</v>
          </cell>
          <cell r="DB375" t="str">
            <v xml:space="preserve"> --</v>
          </cell>
          <cell r="DD375" t="str">
            <v xml:space="preserve"> --</v>
          </cell>
          <cell r="DE375" t="str">
            <v xml:space="preserve"> --</v>
          </cell>
          <cell r="DF375" t="str">
            <v xml:space="preserve"> --</v>
          </cell>
          <cell r="DG375" t="str">
            <v xml:space="preserve"> --</v>
          </cell>
          <cell r="DI375" t="str">
            <v xml:space="preserve"> --</v>
          </cell>
          <cell r="DJ375" t="str">
            <v xml:space="preserve"> --</v>
          </cell>
          <cell r="DK375" t="str">
            <v xml:space="preserve"> --</v>
          </cell>
          <cell r="DL375" t="str">
            <v xml:space="preserve"> --</v>
          </cell>
          <cell r="DN375" t="str">
            <v xml:space="preserve"> --</v>
          </cell>
          <cell r="DO375" t="str">
            <v xml:space="preserve"> --</v>
          </cell>
          <cell r="DP375" t="str">
            <v xml:space="preserve"> --</v>
          </cell>
          <cell r="DQ375" t="str">
            <v xml:space="preserve"> --</v>
          </cell>
          <cell r="DS375" t="str">
            <v xml:space="preserve"> --</v>
          </cell>
          <cell r="DT375" t="str">
            <v xml:space="preserve"> --</v>
          </cell>
          <cell r="DU375" t="str">
            <v xml:space="preserve"> --</v>
          </cell>
          <cell r="DV375" t="str">
            <v xml:space="preserve"> --</v>
          </cell>
          <cell r="FV375">
            <v>0.11</v>
          </cell>
          <cell r="FW375">
            <v>0.12</v>
          </cell>
          <cell r="FX375" t="str">
            <v>--</v>
          </cell>
        </row>
        <row r="383">
          <cell r="CT383" t="str">
            <v>F1998 Restated for JIT</v>
          </cell>
          <cell r="CY383" t="str">
            <v>F1999 Restated for JIT</v>
          </cell>
          <cell r="DD383" t="str">
            <v>F2000 Restated for JIT</v>
          </cell>
          <cell r="DI383" t="str">
            <v>F2001 Restated for JIT</v>
          </cell>
          <cell r="DN383" t="str">
            <v>F2002</v>
          </cell>
          <cell r="DS383" t="str">
            <v>F2003</v>
          </cell>
          <cell r="DX383" t="str">
            <v>F2004E</v>
          </cell>
        </row>
        <row r="384">
          <cell r="CT384" t="str">
            <v>6/97</v>
          </cell>
          <cell r="CU384" t="str">
            <v>9/97</v>
          </cell>
          <cell r="CV384" t="str">
            <v xml:space="preserve"> 12/97</v>
          </cell>
          <cell r="CW384" t="str">
            <v xml:space="preserve"> 3/98</v>
          </cell>
          <cell r="CY384" t="str">
            <v>6/98</v>
          </cell>
          <cell r="CZ384" t="str">
            <v>9/98</v>
          </cell>
          <cell r="DA384" t="str">
            <v xml:space="preserve"> 12/98</v>
          </cell>
          <cell r="DB384" t="str">
            <v xml:space="preserve"> 3/99</v>
          </cell>
          <cell r="DD384" t="str">
            <v>6/99</v>
          </cell>
          <cell r="DE384" t="str">
            <v>9/99</v>
          </cell>
          <cell r="DF384" t="str">
            <v xml:space="preserve"> 12/99</v>
          </cell>
          <cell r="DG384" t="str">
            <v xml:space="preserve"> 3/00</v>
          </cell>
          <cell r="DI384" t="str">
            <v>6/00</v>
          </cell>
          <cell r="DJ384" t="str">
            <v>9/00</v>
          </cell>
          <cell r="DK384" t="str">
            <v xml:space="preserve"> 12/00</v>
          </cell>
          <cell r="DL384" t="str">
            <v xml:space="preserve"> 3/01</v>
          </cell>
          <cell r="DN384" t="str">
            <v>6/01</v>
          </cell>
          <cell r="DO384" t="str">
            <v>9/01</v>
          </cell>
          <cell r="DP384" t="str">
            <v xml:space="preserve"> 12/01</v>
          </cell>
          <cell r="DQ384" t="str">
            <v xml:space="preserve"> 3/02</v>
          </cell>
          <cell r="DS384" t="str">
            <v>6/02</v>
          </cell>
          <cell r="DT384" t="str">
            <v>9/02</v>
          </cell>
          <cell r="DU384" t="str">
            <v xml:space="preserve"> 12/02</v>
          </cell>
          <cell r="DV384" t="str">
            <v xml:space="preserve"> 3/03</v>
          </cell>
          <cell r="DX384" t="str">
            <v>6/03</v>
          </cell>
          <cell r="DY384" t="str">
            <v>9/03</v>
          </cell>
          <cell r="DZ384" t="str">
            <v xml:space="preserve"> 12/03</v>
          </cell>
          <cell r="EA384" t="str">
            <v xml:space="preserve"> 3/04E</v>
          </cell>
          <cell r="FV384" t="str">
            <v>F1999</v>
          </cell>
          <cell r="FW384" t="str">
            <v>F2000</v>
          </cell>
          <cell r="FX384" t="str">
            <v>F2001</v>
          </cell>
          <cell r="FY384" t="str">
            <v>F2002</v>
          </cell>
          <cell r="FZ384" t="str">
            <v>F2003</v>
          </cell>
          <cell r="GA384" t="str">
            <v>F2004E</v>
          </cell>
          <cell r="GE384" t="str">
            <v>C1998</v>
          </cell>
          <cell r="GF384" t="str">
            <v>C1999</v>
          </cell>
          <cell r="GG384" t="str">
            <v>C2000</v>
          </cell>
          <cell r="GH384" t="str">
            <v>C2001</v>
          </cell>
          <cell r="GI384" t="str">
            <v>C2002</v>
          </cell>
          <cell r="GJ384" t="str">
            <v>C2003</v>
          </cell>
          <cell r="GL384">
            <v>2003</v>
          </cell>
          <cell r="GM384">
            <v>2004</v>
          </cell>
          <cell r="GN384">
            <v>2005</v>
          </cell>
          <cell r="GO384">
            <v>2006</v>
          </cell>
          <cell r="GP384">
            <v>2007</v>
          </cell>
          <cell r="GQ384">
            <v>2008</v>
          </cell>
          <cell r="GR384">
            <v>2009</v>
          </cell>
          <cell r="GS384">
            <v>2010</v>
          </cell>
          <cell r="GT384">
            <v>2011</v>
          </cell>
          <cell r="GU384">
            <v>2012</v>
          </cell>
          <cell r="GV384">
            <v>2013</v>
          </cell>
          <cell r="GW384">
            <v>2014</v>
          </cell>
          <cell r="GX384">
            <v>2015</v>
          </cell>
          <cell r="GY384">
            <v>2016</v>
          </cell>
          <cell r="GZ384">
            <v>2017</v>
          </cell>
        </row>
        <row r="386">
          <cell r="CT386">
            <v>543.88499999999999</v>
          </cell>
          <cell r="CU386">
            <v>613.30700000000002</v>
          </cell>
          <cell r="CV386">
            <v>665.43399999999997</v>
          </cell>
          <cell r="CW386">
            <v>755.3</v>
          </cell>
          <cell r="CY386">
            <v>840.07299999999998</v>
          </cell>
          <cell r="CZ386">
            <v>913.84299999999996</v>
          </cell>
          <cell r="DA386">
            <v>1046.463</v>
          </cell>
          <cell r="DB386">
            <v>1152.4069999999999</v>
          </cell>
          <cell r="DD386">
            <v>1237.32</v>
          </cell>
          <cell r="DE386">
            <v>1525.366</v>
          </cell>
          <cell r="DF386">
            <v>1967.74</v>
          </cell>
          <cell r="DG386">
            <v>2228.6959999999999</v>
          </cell>
          <cell r="DI386">
            <v>2676.9740000000002</v>
          </cell>
          <cell r="DJ386">
            <v>3078.998</v>
          </cell>
          <cell r="DK386">
            <v>3239.2930000000001</v>
          </cell>
          <cell r="DL386">
            <v>3114.4340000000002</v>
          </cell>
          <cell r="DN386">
            <v>3110.598</v>
          </cell>
          <cell r="DO386">
            <v>3244.9180000000001</v>
          </cell>
          <cell r="DP386">
            <v>3453.0390000000002</v>
          </cell>
          <cell r="DQ386">
            <v>3296.3</v>
          </cell>
          <cell r="DS386">
            <v>3127.027</v>
          </cell>
          <cell r="DT386">
            <v>3340.6129999999998</v>
          </cell>
          <cell r="DU386">
            <v>3851.4940000000001</v>
          </cell>
          <cell r="DV386">
            <v>3059.5650000000001</v>
          </cell>
          <cell r="DX386">
            <v>3106.6770000000001</v>
          </cell>
          <cell r="DY386">
            <v>3503.2420000000002</v>
          </cell>
          <cell r="DZ386">
            <v>4152.3440000000001</v>
          </cell>
          <cell r="EA386">
            <v>3549.0084168000003</v>
          </cell>
          <cell r="FV386">
            <v>3952.7860000000001</v>
          </cell>
          <cell r="FW386">
            <v>6959.1219999999994</v>
          </cell>
          <cell r="FX386">
            <v>12109.699000000001</v>
          </cell>
          <cell r="FY386">
            <v>13104.855</v>
          </cell>
          <cell r="FZ386">
            <v>13378.699000000001</v>
          </cell>
          <cell r="GA386">
            <v>14311.271416799998</v>
          </cell>
          <cell r="GE386">
            <v>3555.6790000000001</v>
          </cell>
          <cell r="GF386">
            <v>5882.8329999999996</v>
          </cell>
          <cell r="GG386">
            <v>11223.960999999999</v>
          </cell>
          <cell r="GH386">
            <v>12922.989000000001</v>
          </cell>
          <cell r="GI386">
            <v>13615.434000000001</v>
          </cell>
          <cell r="GJ386">
            <v>13821.828000000001</v>
          </cell>
          <cell r="GL386">
            <v>13378.699000000001</v>
          </cell>
          <cell r="GM386">
            <v>14311.271416799998</v>
          </cell>
          <cell r="GN386">
            <v>16556.52175723865</v>
          </cell>
          <cell r="GO386">
            <v>19368.126586626924</v>
          </cell>
          <cell r="GP386">
            <v>23435.433169818578</v>
          </cell>
          <cell r="GQ386">
            <v>27419.456808687733</v>
          </cell>
          <cell r="GR386">
            <v>27419.456808687733</v>
          </cell>
          <cell r="GS386">
            <v>29613.013353382754</v>
          </cell>
          <cell r="GT386">
            <v>34647.225623457824</v>
          </cell>
          <cell r="GU386">
            <v>43655.504285556861</v>
          </cell>
          <cell r="GV386">
            <v>49767.274885534825</v>
          </cell>
          <cell r="GW386">
            <v>42302.183652704603</v>
          </cell>
          <cell r="GX386">
            <v>44417.292835339838</v>
          </cell>
          <cell r="GY386">
            <v>49747.367975580622</v>
          </cell>
          <cell r="GZ386">
            <v>55219.578452894493</v>
          </cell>
        </row>
        <row r="387">
          <cell r="CT387" t="str">
            <v xml:space="preserve"> --</v>
          </cell>
          <cell r="CU387" t="str">
            <v xml:space="preserve"> --</v>
          </cell>
          <cell r="CV387" t="str">
            <v xml:space="preserve"> --</v>
          </cell>
          <cell r="CW387" t="str">
            <v xml:space="preserve"> --</v>
          </cell>
          <cell r="CY387">
            <v>0.54457835755720407</v>
          </cell>
          <cell r="CZ387">
            <v>0.49002538695954878</v>
          </cell>
          <cell r="DA387">
            <v>0.57260224154461592</v>
          </cell>
          <cell r="DB387">
            <v>0.52576062491725151</v>
          </cell>
          <cell r="DD387">
            <v>0.47287200040948818</v>
          </cell>
          <cell r="DE387">
            <v>0.6691773094503104</v>
          </cell>
          <cell r="DF387">
            <v>0.88037226352006726</v>
          </cell>
          <cell r="DG387">
            <v>0.93394868306075907</v>
          </cell>
          <cell r="DI387">
            <v>1.1635260078233602</v>
          </cell>
          <cell r="DJ387">
            <v>1.0185306346149057</v>
          </cell>
          <cell r="DK387">
            <v>0.646199701180034</v>
          </cell>
          <cell r="DL387">
            <v>0.39742432346089385</v>
          </cell>
          <cell r="DN387">
            <v>0.16198289561273271</v>
          </cell>
          <cell r="DO387">
            <v>5.3887660855901798E-2</v>
          </cell>
          <cell r="DP387">
            <v>6.598538631732298E-2</v>
          </cell>
          <cell r="DQ387">
            <v>5.8394559011364588E-2</v>
          </cell>
          <cell r="DS387">
            <v>5.2816210902213445E-3</v>
          </cell>
          <cell r="DT387">
            <v>2.9490729811970429E-2</v>
          </cell>
          <cell r="DU387">
            <v>0.11539255710694252</v>
          </cell>
          <cell r="DV387">
            <v>-7.1818402451233276E-2</v>
          </cell>
          <cell r="DX387">
            <v>-6.5077787943628174E-3</v>
          </cell>
          <cell r="DY387">
            <v>4.868238254476065E-2</v>
          </cell>
          <cell r="DZ387">
            <v>7.8112545417440504E-2</v>
          </cell>
          <cell r="EA387">
            <v>0.15997157007613838</v>
          </cell>
          <cell r="FV387">
            <v>0.53332019615768655</v>
          </cell>
          <cell r="FW387">
            <v>0.76056128512902021</v>
          </cell>
          <cell r="FX387">
            <v>0.74011879659531776</v>
          </cell>
          <cell r="FY387">
            <v>8.217842573956613E-2</v>
          </cell>
          <cell r="FZ387">
            <v>2.0896377716502768E-2</v>
          </cell>
          <cell r="GA387">
            <v>6.970576263058148E-2</v>
          </cell>
          <cell r="GE387" t="str">
            <v>--</v>
          </cell>
          <cell r="GF387">
            <v>0.65448933944824583</v>
          </cell>
          <cell r="GG387">
            <v>0.90791766483937253</v>
          </cell>
          <cell r="GH387">
            <v>0.15137508050856585</v>
          </cell>
          <cell r="GI387">
            <v>5.3582418123237607E-2</v>
          </cell>
          <cell r="GJ387">
            <v>1.5158826373070422E-2</v>
          </cell>
        </row>
        <row r="389">
          <cell r="CT389">
            <v>78</v>
          </cell>
          <cell r="CU389">
            <v>78</v>
          </cell>
          <cell r="CV389">
            <v>78</v>
          </cell>
          <cell r="CW389">
            <v>80</v>
          </cell>
          <cell r="CY389">
            <v>18.5</v>
          </cell>
          <cell r="CZ389">
            <v>68.5</v>
          </cell>
          <cell r="DA389">
            <v>143.5</v>
          </cell>
          <cell r="DB389">
            <v>138.5</v>
          </cell>
          <cell r="DD389">
            <v>136</v>
          </cell>
          <cell r="DE389">
            <v>160</v>
          </cell>
          <cell r="DF389">
            <v>91.25</v>
          </cell>
          <cell r="DG389">
            <v>203.75</v>
          </cell>
          <cell r="DI389">
            <v>299.25</v>
          </cell>
          <cell r="DJ389">
            <v>278.75</v>
          </cell>
          <cell r="DK389">
            <v>331.75</v>
          </cell>
          <cell r="DL389">
            <v>265.75</v>
          </cell>
          <cell r="DN389">
            <v>486</v>
          </cell>
          <cell r="DO389">
            <v>636.375</v>
          </cell>
          <cell r="DP389">
            <v>774.75</v>
          </cell>
          <cell r="DQ389">
            <v>984.44499999999994</v>
          </cell>
          <cell r="DS389">
            <v>633</v>
          </cell>
          <cell r="DT389">
            <v>500</v>
          </cell>
          <cell r="DU389">
            <v>538</v>
          </cell>
          <cell r="DV389">
            <v>250</v>
          </cell>
          <cell r="DX389">
            <v>170</v>
          </cell>
          <cell r="DY389">
            <v>150</v>
          </cell>
          <cell r="DZ389">
            <v>0</v>
          </cell>
          <cell r="EA389">
            <v>0</v>
          </cell>
          <cell r="FV389">
            <v>300</v>
          </cell>
          <cell r="FW389">
            <v>566</v>
          </cell>
          <cell r="FX389">
            <v>1175.5</v>
          </cell>
          <cell r="FY389">
            <v>2881.5699999999997</v>
          </cell>
          <cell r="FZ389">
            <v>1921</v>
          </cell>
          <cell r="GA389">
            <v>320</v>
          </cell>
          <cell r="GE389">
            <v>250</v>
          </cell>
          <cell r="GF389">
            <v>300</v>
          </cell>
          <cell r="GG389">
            <v>1043.75</v>
          </cell>
          <cell r="GH389">
            <v>2162.875</v>
          </cell>
          <cell r="GI389">
            <v>2655.4449999999997</v>
          </cell>
          <cell r="GJ389">
            <v>570</v>
          </cell>
          <cell r="GL389">
            <v>1921</v>
          </cell>
          <cell r="GM389">
            <v>320</v>
          </cell>
          <cell r="GN389">
            <v>0</v>
          </cell>
          <cell r="GO389">
            <v>300</v>
          </cell>
          <cell r="GP389">
            <v>909.09090909090901</v>
          </cell>
          <cell r="GQ389">
            <v>1515.151515151515</v>
          </cell>
          <cell r="GR389">
            <v>1060.6060606060605</v>
          </cell>
          <cell r="GS389">
            <v>757.57575757575751</v>
          </cell>
          <cell r="GT389">
            <v>1212.121212121212</v>
          </cell>
          <cell r="GU389">
            <v>2424.242424242424</v>
          </cell>
          <cell r="GV389">
            <v>1515.151515151515</v>
          </cell>
          <cell r="GW389">
            <v>606.06060606060601</v>
          </cell>
          <cell r="GX389">
            <v>200</v>
          </cell>
          <cell r="GY389">
            <v>500</v>
          </cell>
          <cell r="GZ389">
            <v>400</v>
          </cell>
        </row>
        <row r="390">
          <cell r="CT390" t="str">
            <v>--</v>
          </cell>
          <cell r="CU390" t="str">
            <v>--</v>
          </cell>
          <cell r="CV390" t="str">
            <v>--</v>
          </cell>
          <cell r="CW390" t="str">
            <v>--</v>
          </cell>
          <cell r="CY390">
            <v>0.51056381404157136</v>
          </cell>
          <cell r="CZ390">
            <v>0.37833580898310304</v>
          </cell>
          <cell r="DA390">
            <v>0.3569535070345069</v>
          </cell>
          <cell r="DB390">
            <v>0.34238977889580302</v>
          </cell>
          <cell r="DD390">
            <v>0.3109813075768415</v>
          </cell>
          <cell r="DE390">
            <v>0.4940925301173178</v>
          </cell>
          <cell r="DF390">
            <v>0.79317376725216282</v>
          </cell>
          <cell r="DG390">
            <v>0.75714482817268558</v>
          </cell>
          <cell r="DI390">
            <v>0.921672647334562</v>
          </cell>
          <cell r="DJ390">
            <v>0.83578760769546467</v>
          </cell>
          <cell r="DK390">
            <v>0.47760527305436695</v>
          </cell>
          <cell r="DL390">
            <v>0.27818419380660275</v>
          </cell>
          <cell r="DN390">
            <v>-1.9565374934534363E-2</v>
          </cell>
          <cell r="DO390">
            <v>-0.15279483780112879</v>
          </cell>
          <cell r="DP390">
            <v>-0.17318717386787796</v>
          </cell>
          <cell r="DQ390">
            <v>-0.25769658307095278</v>
          </cell>
          <cell r="DS390">
            <v>-0.19821622723347732</v>
          </cell>
          <cell r="DT390">
            <v>-0.12459636884506797</v>
          </cell>
          <cell r="DU390">
            <v>-4.0412228185085719E-2</v>
          </cell>
          <cell r="DV390">
            <v>-0.14766101386402941</v>
          </cell>
          <cell r="DX390">
            <v>-6.0872515651447801E-2</v>
          </cell>
          <cell r="DY390">
            <v>3.7804438885917779E-3</v>
          </cell>
          <cell r="DZ390">
            <v>7.8112545417440504E-2</v>
          </cell>
          <cell r="EA390">
            <v>0.15997157007613838</v>
          </cell>
          <cell r="FV390">
            <v>0.41694757723844678</v>
          </cell>
          <cell r="FW390">
            <v>0.61737114025398787</v>
          </cell>
          <cell r="FX390">
            <v>0.57120380990590491</v>
          </cell>
          <cell r="FY390">
            <v>-0.15577711716864318</v>
          </cell>
          <cell r="FZ390">
            <v>-0.12569051698778799</v>
          </cell>
          <cell r="GA390">
            <v>4.5787143936790731E-2</v>
          </cell>
          <cell r="GE390" t="str">
            <v>--</v>
          </cell>
          <cell r="GF390">
            <v>0.57011726874107582</v>
          </cell>
          <cell r="GG390">
            <v>0.73049464433207612</v>
          </cell>
          <cell r="GH390">
            <v>-4.1326497837973375E-2</v>
          </cell>
          <cell r="GI390">
            <v>-0.15189984298524128</v>
          </cell>
          <cell r="GJ390">
            <v>-2.6705428559970934E-2</v>
          </cell>
          <cell r="GL390">
            <v>-0.12569051698778799</v>
          </cell>
          <cell r="GM390">
            <v>4.5787143936790731E-2</v>
          </cell>
          <cell r="GN390">
            <v>0.15688685337928487</v>
          </cell>
          <cell r="GO390">
            <v>0.16981856881618373</v>
          </cell>
          <cell r="GP390">
            <v>0.16306252749718153</v>
          </cell>
          <cell r="GQ390">
            <v>0.10534783401815617</v>
          </cell>
          <cell r="GR390">
            <v>-3.8680783066060265E-2</v>
          </cell>
          <cell r="GS390">
            <v>5.2370869238528517E-2</v>
          </cell>
          <cell r="GT390">
            <v>0.12906795442744934</v>
          </cell>
          <cell r="GU390">
            <v>0.19003069132897354</v>
          </cell>
          <cell r="GV390">
            <v>0.10529300165127653</v>
          </cell>
          <cell r="GW390">
            <v>-0.16217789415744688</v>
          </cell>
          <cell r="GX390">
            <v>4.5272111680050076E-2</v>
          </cell>
          <cell r="GY390">
            <v>0.10874312304773825</v>
          </cell>
          <cell r="GZ390">
            <v>0.10195937360552731</v>
          </cell>
        </row>
        <row r="392">
          <cell r="CT392">
            <v>0</v>
          </cell>
          <cell r="CU392">
            <v>0</v>
          </cell>
          <cell r="CV392">
            <v>0</v>
          </cell>
          <cell r="CW392">
            <v>0</v>
          </cell>
          <cell r="CY392">
            <v>0</v>
          </cell>
          <cell r="CZ392">
            <v>50</v>
          </cell>
          <cell r="DA392">
            <v>75</v>
          </cell>
          <cell r="DB392">
            <v>0</v>
          </cell>
          <cell r="DD392">
            <v>11</v>
          </cell>
          <cell r="DE392">
            <v>74</v>
          </cell>
          <cell r="DF392">
            <v>0</v>
          </cell>
          <cell r="DG392">
            <v>100</v>
          </cell>
          <cell r="DI392">
            <v>106</v>
          </cell>
          <cell r="DJ392">
            <v>54</v>
          </cell>
          <cell r="DK392">
            <v>59</v>
          </cell>
          <cell r="DL392">
            <v>47</v>
          </cell>
          <cell r="DN392">
            <v>326</v>
          </cell>
          <cell r="DO392">
            <v>204</v>
          </cell>
          <cell r="DP392">
            <v>198</v>
          </cell>
          <cell r="DQ392">
            <v>312</v>
          </cell>
          <cell r="DS392">
            <v>75</v>
          </cell>
          <cell r="DT392">
            <v>20</v>
          </cell>
          <cell r="DU392">
            <v>130</v>
          </cell>
          <cell r="DV392">
            <v>20</v>
          </cell>
          <cell r="DX392">
            <v>0</v>
          </cell>
          <cell r="DY392">
            <v>0</v>
          </cell>
          <cell r="DZ392">
            <v>0</v>
          </cell>
          <cell r="EA392">
            <v>0</v>
          </cell>
          <cell r="FV392">
            <v>0</v>
          </cell>
          <cell r="FW392">
            <v>0</v>
          </cell>
          <cell r="FX392">
            <v>0</v>
          </cell>
          <cell r="FY392">
            <v>0</v>
          </cell>
          <cell r="FZ392">
            <v>0</v>
          </cell>
          <cell r="GA392">
            <v>0</v>
          </cell>
          <cell r="GE392">
            <v>0</v>
          </cell>
          <cell r="GF392">
            <v>0</v>
          </cell>
          <cell r="GG392">
            <v>0</v>
          </cell>
          <cell r="GH392">
            <v>0</v>
          </cell>
          <cell r="GI392">
            <v>0</v>
          </cell>
          <cell r="GJ392">
            <v>0</v>
          </cell>
        </row>
        <row r="393">
          <cell r="CT393" t="str">
            <v>--</v>
          </cell>
          <cell r="CU393">
            <v>0.12764095351039284</v>
          </cell>
          <cell r="CV393">
            <v>8.4993323082893202E-2</v>
          </cell>
          <cell r="CW393">
            <v>0.13504870505564792</v>
          </cell>
          <cell r="CY393">
            <v>0.11223752151463007</v>
          </cell>
          <cell r="CZ393">
            <v>2.8295160063470659E-2</v>
          </cell>
          <cell r="DA393">
            <v>6.3052406157293905E-2</v>
          </cell>
          <cell r="DB393">
            <v>0.10124008206692436</v>
          </cell>
          <cell r="DD393">
            <v>6.4137930436035218E-2</v>
          </cell>
          <cell r="DE393">
            <v>0.17299162706494697</v>
          </cell>
          <cell r="DF393">
            <v>0.29001170866533021</v>
          </cell>
          <cell r="DG393">
            <v>8.1797391931860863E-2</v>
          </cell>
          <cell r="DI393">
            <v>0.15357769745178351</v>
          </cell>
          <cell r="DJ393">
            <v>0.13000649240523066</v>
          </cell>
          <cell r="DK393">
            <v>3.289868976855459E-2</v>
          </cell>
          <cell r="DL393">
            <v>-5.3054478245715964E-2</v>
          </cell>
          <cell r="DN393">
            <v>-0.10590559954071921</v>
          </cell>
          <cell r="DO393">
            <v>-2.2400837395253226E-2</v>
          </cell>
          <cell r="DP393">
            <v>3.1190310510158525E-3</v>
          </cell>
          <cell r="DQ393">
            <v>-0.1357468015855019</v>
          </cell>
          <cell r="DS393">
            <v>-7.4105208870551831E-2</v>
          </cell>
          <cell r="DT393">
            <v>6.1907364407150833E-2</v>
          </cell>
          <cell r="DU393">
            <v>0.1140153019820016</v>
          </cell>
          <cell r="DV393">
            <v>-0.21080884456784821</v>
          </cell>
          <cell r="DX393">
            <v>1.5398267400758003E-2</v>
          </cell>
          <cell r="DY393">
            <v>0.12764925352716094</v>
          </cell>
          <cell r="DZ393">
            <v>0.18528608643079747</v>
          </cell>
          <cell r="EA393">
            <v>-0.14529999999999998</v>
          </cell>
          <cell r="FV393">
            <v>0</v>
          </cell>
          <cell r="FW393">
            <v>0</v>
          </cell>
          <cell r="FX393">
            <v>0</v>
          </cell>
          <cell r="FY393">
            <v>0</v>
          </cell>
          <cell r="FZ393">
            <v>0</v>
          </cell>
          <cell r="GA393">
            <v>0</v>
          </cell>
          <cell r="GE393">
            <v>0</v>
          </cell>
          <cell r="GF393">
            <v>0</v>
          </cell>
          <cell r="GG393">
            <v>0</v>
          </cell>
          <cell r="GH393">
            <v>0</v>
          </cell>
          <cell r="GI393">
            <v>0</v>
          </cell>
          <cell r="GJ393">
            <v>0</v>
          </cell>
        </row>
        <row r="398">
          <cell r="DU398">
            <v>120</v>
          </cell>
          <cell r="DV398">
            <v>120</v>
          </cell>
          <cell r="DX398">
            <v>120</v>
          </cell>
          <cell r="DY398">
            <v>120</v>
          </cell>
          <cell r="FV398">
            <v>0</v>
          </cell>
          <cell r="FW398">
            <v>0</v>
          </cell>
          <cell r="FX398">
            <v>0</v>
          </cell>
          <cell r="FY398">
            <v>0</v>
          </cell>
          <cell r="FZ398">
            <v>240</v>
          </cell>
          <cell r="GA398">
            <v>240</v>
          </cell>
          <cell r="GE398">
            <v>0</v>
          </cell>
          <cell r="GF398">
            <v>0</v>
          </cell>
          <cell r="GG398">
            <v>0</v>
          </cell>
          <cell r="GH398">
            <v>0</v>
          </cell>
          <cell r="GI398">
            <v>120</v>
          </cell>
          <cell r="GJ398">
            <v>360</v>
          </cell>
        </row>
        <row r="399">
          <cell r="DT399">
            <v>20</v>
          </cell>
          <cell r="DU399">
            <v>30</v>
          </cell>
          <cell r="DV399">
            <v>50</v>
          </cell>
          <cell r="DX399">
            <v>50</v>
          </cell>
          <cell r="DY399">
            <v>30</v>
          </cell>
          <cell r="FV399">
            <v>0</v>
          </cell>
          <cell r="FW399">
            <v>0</v>
          </cell>
          <cell r="FX399">
            <v>0</v>
          </cell>
          <cell r="FY399">
            <v>0</v>
          </cell>
          <cell r="FZ399">
            <v>100</v>
          </cell>
          <cell r="GA399">
            <v>80</v>
          </cell>
          <cell r="GE399">
            <v>0</v>
          </cell>
          <cell r="GF399">
            <v>0</v>
          </cell>
          <cell r="GG399">
            <v>0</v>
          </cell>
          <cell r="GH399">
            <v>0</v>
          </cell>
          <cell r="GI399">
            <v>50</v>
          </cell>
          <cell r="GJ399">
            <v>130</v>
          </cell>
        </row>
        <row r="400">
          <cell r="DQ400">
            <v>175</v>
          </cell>
          <cell r="DS400">
            <v>175</v>
          </cell>
          <cell r="DT400">
            <v>175</v>
          </cell>
          <cell r="DU400">
            <v>175</v>
          </cell>
          <cell r="FV400">
            <v>0</v>
          </cell>
          <cell r="FW400">
            <v>0</v>
          </cell>
          <cell r="FX400">
            <v>0</v>
          </cell>
          <cell r="FY400">
            <v>175</v>
          </cell>
          <cell r="FZ400">
            <v>525</v>
          </cell>
          <cell r="GA400">
            <v>0</v>
          </cell>
          <cell r="GE400">
            <v>0</v>
          </cell>
          <cell r="GF400">
            <v>0</v>
          </cell>
          <cell r="GG400">
            <v>0</v>
          </cell>
          <cell r="GH400">
            <v>0</v>
          </cell>
          <cell r="GI400">
            <v>700</v>
          </cell>
          <cell r="GJ400">
            <v>0</v>
          </cell>
        </row>
        <row r="401">
          <cell r="DP401">
            <v>20</v>
          </cell>
          <cell r="DQ401">
            <v>150</v>
          </cell>
          <cell r="DS401">
            <v>225</v>
          </cell>
          <cell r="DT401">
            <v>250</v>
          </cell>
          <cell r="DU401">
            <v>205</v>
          </cell>
          <cell r="DV401">
            <v>80</v>
          </cell>
          <cell r="FV401">
            <v>0</v>
          </cell>
          <cell r="FW401">
            <v>0</v>
          </cell>
          <cell r="FX401">
            <v>0</v>
          </cell>
          <cell r="FY401">
            <v>170</v>
          </cell>
          <cell r="FZ401">
            <v>760</v>
          </cell>
          <cell r="GA401">
            <v>0</v>
          </cell>
          <cell r="GE401">
            <v>0</v>
          </cell>
          <cell r="GF401">
            <v>0</v>
          </cell>
          <cell r="GG401">
            <v>0</v>
          </cell>
          <cell r="GH401">
            <v>20</v>
          </cell>
          <cell r="GI401">
            <v>830</v>
          </cell>
          <cell r="GJ401">
            <v>80</v>
          </cell>
        </row>
        <row r="402">
          <cell r="DP402">
            <v>18</v>
          </cell>
          <cell r="DQ402">
            <v>25</v>
          </cell>
          <cell r="DS402">
            <v>25</v>
          </cell>
          <cell r="DT402">
            <v>25</v>
          </cell>
          <cell r="DU402">
            <v>8</v>
          </cell>
          <cell r="FV402">
            <v>0</v>
          </cell>
          <cell r="FW402">
            <v>0</v>
          </cell>
          <cell r="FX402">
            <v>0</v>
          </cell>
          <cell r="FY402">
            <v>43</v>
          </cell>
          <cell r="FZ402">
            <v>58</v>
          </cell>
          <cell r="GA402">
            <v>0</v>
          </cell>
          <cell r="GE402">
            <v>0</v>
          </cell>
          <cell r="GF402">
            <v>0</v>
          </cell>
          <cell r="GG402">
            <v>0</v>
          </cell>
          <cell r="GH402">
            <v>18</v>
          </cell>
          <cell r="GI402">
            <v>83</v>
          </cell>
          <cell r="GJ402">
            <v>0</v>
          </cell>
        </row>
        <row r="403">
          <cell r="DP403">
            <v>25</v>
          </cell>
          <cell r="DQ403">
            <v>25</v>
          </cell>
          <cell r="DS403">
            <v>25</v>
          </cell>
          <cell r="DT403">
            <v>25</v>
          </cell>
          <cell r="FV403">
            <v>0</v>
          </cell>
          <cell r="FW403">
            <v>0</v>
          </cell>
          <cell r="FX403">
            <v>0</v>
          </cell>
          <cell r="FY403">
            <v>50</v>
          </cell>
          <cell r="FZ403">
            <v>50</v>
          </cell>
          <cell r="GA403">
            <v>0</v>
          </cell>
          <cell r="GE403">
            <v>0</v>
          </cell>
          <cell r="GF403">
            <v>0</v>
          </cell>
          <cell r="GG403">
            <v>0</v>
          </cell>
          <cell r="GH403">
            <v>25</v>
          </cell>
          <cell r="GI403">
            <v>75</v>
          </cell>
          <cell r="GJ403">
            <v>0</v>
          </cell>
        </row>
        <row r="404">
          <cell r="DO404">
            <v>4.375</v>
          </cell>
          <cell r="DP404">
            <v>8.75</v>
          </cell>
          <cell r="DQ404">
            <v>9</v>
          </cell>
          <cell r="DS404">
            <v>9</v>
          </cell>
          <cell r="DT404">
            <v>5</v>
          </cell>
          <cell r="FV404">
            <v>0</v>
          </cell>
          <cell r="FW404">
            <v>0</v>
          </cell>
          <cell r="FX404">
            <v>0</v>
          </cell>
          <cell r="FY404">
            <v>22.125</v>
          </cell>
          <cell r="FZ404">
            <v>14</v>
          </cell>
          <cell r="GA404">
            <v>0</v>
          </cell>
          <cell r="GE404">
            <v>0</v>
          </cell>
          <cell r="GF404">
            <v>0</v>
          </cell>
          <cell r="GG404">
            <v>0</v>
          </cell>
          <cell r="GH404">
            <v>13.125</v>
          </cell>
          <cell r="GI404">
            <v>23</v>
          </cell>
          <cell r="GJ404">
            <v>0</v>
          </cell>
        </row>
        <row r="405">
          <cell r="DO405">
            <v>100</v>
          </cell>
          <cell r="DP405">
            <v>130</v>
          </cell>
          <cell r="DQ405">
            <v>100</v>
          </cell>
          <cell r="DS405">
            <v>130</v>
          </cell>
          <cell r="FV405">
            <v>0</v>
          </cell>
          <cell r="FW405">
            <v>0</v>
          </cell>
          <cell r="FX405">
            <v>0</v>
          </cell>
          <cell r="FY405">
            <v>330</v>
          </cell>
          <cell r="FZ405">
            <v>130</v>
          </cell>
          <cell r="GA405">
            <v>0</v>
          </cell>
          <cell r="GE405">
            <v>0</v>
          </cell>
          <cell r="GF405">
            <v>0</v>
          </cell>
          <cell r="GG405">
            <v>0</v>
          </cell>
          <cell r="GH405">
            <v>230</v>
          </cell>
          <cell r="GI405">
            <v>230</v>
          </cell>
          <cell r="GJ405">
            <v>0</v>
          </cell>
        </row>
        <row r="406">
          <cell r="DN406">
            <v>300</v>
          </cell>
          <cell r="DO406">
            <v>400</v>
          </cell>
          <cell r="DP406">
            <v>500</v>
          </cell>
          <cell r="DQ406">
            <v>494.44499999999999</v>
          </cell>
          <cell r="DS406">
            <v>44</v>
          </cell>
          <cell r="FV406">
            <v>0</v>
          </cell>
          <cell r="FW406">
            <v>0</v>
          </cell>
          <cell r="FX406">
            <v>0</v>
          </cell>
          <cell r="FY406">
            <v>1694.4449999999999</v>
          </cell>
          <cell r="FZ406">
            <v>44</v>
          </cell>
          <cell r="GA406">
            <v>0</v>
          </cell>
          <cell r="GE406">
            <v>0</v>
          </cell>
          <cell r="GF406">
            <v>0</v>
          </cell>
          <cell r="GG406">
            <v>0</v>
          </cell>
          <cell r="GH406">
            <v>1200</v>
          </cell>
          <cell r="GI406">
            <v>538.44499999999994</v>
          </cell>
          <cell r="GJ406">
            <v>0</v>
          </cell>
        </row>
        <row r="407">
          <cell r="DN407">
            <v>6</v>
          </cell>
          <cell r="DO407">
            <v>6</v>
          </cell>
          <cell r="DP407">
            <v>6</v>
          </cell>
          <cell r="DQ407">
            <v>6</v>
          </cell>
          <cell r="FV407">
            <v>0</v>
          </cell>
          <cell r="FW407">
            <v>0</v>
          </cell>
          <cell r="FX407">
            <v>0</v>
          </cell>
          <cell r="FY407">
            <v>24</v>
          </cell>
          <cell r="FZ407">
            <v>0</v>
          </cell>
          <cell r="GA407">
            <v>0</v>
          </cell>
          <cell r="GE407">
            <v>0</v>
          </cell>
          <cell r="GF407">
            <v>0</v>
          </cell>
          <cell r="GG407">
            <v>0</v>
          </cell>
          <cell r="GH407">
            <v>18</v>
          </cell>
          <cell r="GI407">
            <v>6</v>
          </cell>
          <cell r="GJ407">
            <v>0</v>
          </cell>
        </row>
        <row r="408">
          <cell r="DL408">
            <v>15</v>
          </cell>
          <cell r="DN408">
            <v>23</v>
          </cell>
          <cell r="DO408">
            <v>23</v>
          </cell>
          <cell r="DP408">
            <v>23</v>
          </cell>
          <cell r="DQ408" t="str">
            <v xml:space="preserve"> </v>
          </cell>
          <cell r="FV408">
            <v>0</v>
          </cell>
          <cell r="FW408">
            <v>0</v>
          </cell>
          <cell r="FX408">
            <v>15</v>
          </cell>
          <cell r="FY408">
            <v>69</v>
          </cell>
          <cell r="FZ408">
            <v>0</v>
          </cell>
          <cell r="GA408">
            <v>0</v>
          </cell>
          <cell r="GE408">
            <v>0</v>
          </cell>
          <cell r="GF408">
            <v>0</v>
          </cell>
          <cell r="GG408">
            <v>0</v>
          </cell>
          <cell r="GH408">
            <v>84</v>
          </cell>
          <cell r="GI408">
            <v>0</v>
          </cell>
          <cell r="GJ408">
            <v>0</v>
          </cell>
        </row>
        <row r="409">
          <cell r="DL409">
            <v>3</v>
          </cell>
          <cell r="DN409">
            <v>6</v>
          </cell>
          <cell r="DO409">
            <v>6</v>
          </cell>
          <cell r="DP409">
            <v>6</v>
          </cell>
          <cell r="DQ409" t="str">
            <v xml:space="preserve"> </v>
          </cell>
          <cell r="FV409">
            <v>0</v>
          </cell>
          <cell r="FW409">
            <v>0</v>
          </cell>
          <cell r="FX409">
            <v>3</v>
          </cell>
          <cell r="FY409">
            <v>18</v>
          </cell>
          <cell r="FZ409">
            <v>0</v>
          </cell>
          <cell r="GA409">
            <v>0</v>
          </cell>
          <cell r="GE409">
            <v>0</v>
          </cell>
          <cell r="GF409">
            <v>0</v>
          </cell>
          <cell r="GG409">
            <v>0</v>
          </cell>
          <cell r="GH409">
            <v>21</v>
          </cell>
          <cell r="GI409">
            <v>0</v>
          </cell>
          <cell r="GJ409">
            <v>0</v>
          </cell>
        </row>
        <row r="410">
          <cell r="DL410">
            <v>16</v>
          </cell>
          <cell r="DN410">
            <v>25</v>
          </cell>
          <cell r="DO410">
            <v>25</v>
          </cell>
          <cell r="DP410">
            <v>25</v>
          </cell>
          <cell r="FV410">
            <v>0</v>
          </cell>
          <cell r="FW410">
            <v>0</v>
          </cell>
          <cell r="FX410">
            <v>16</v>
          </cell>
          <cell r="FY410">
            <v>75</v>
          </cell>
          <cell r="FZ410">
            <v>0</v>
          </cell>
          <cell r="GA410">
            <v>0</v>
          </cell>
          <cell r="GE410">
            <v>0</v>
          </cell>
          <cell r="GF410">
            <v>0</v>
          </cell>
          <cell r="GG410">
            <v>0</v>
          </cell>
          <cell r="GH410">
            <v>91</v>
          </cell>
          <cell r="GI410">
            <v>0</v>
          </cell>
          <cell r="GJ410">
            <v>0</v>
          </cell>
        </row>
        <row r="411">
          <cell r="DJ411" t="str">
            <v xml:space="preserve"> </v>
          </cell>
          <cell r="DK411">
            <v>25</v>
          </cell>
          <cell r="DL411">
            <v>38</v>
          </cell>
          <cell r="DN411">
            <v>38</v>
          </cell>
          <cell r="DO411">
            <v>38</v>
          </cell>
          <cell r="DP411">
            <v>13</v>
          </cell>
          <cell r="FV411">
            <v>0</v>
          </cell>
          <cell r="FW411">
            <v>0</v>
          </cell>
          <cell r="FX411">
            <v>63</v>
          </cell>
          <cell r="FY411">
            <v>89</v>
          </cell>
          <cell r="FZ411">
            <v>0</v>
          </cell>
          <cell r="GA411">
            <v>0</v>
          </cell>
          <cell r="GE411">
            <v>0</v>
          </cell>
          <cell r="GF411">
            <v>0</v>
          </cell>
          <cell r="GG411">
            <v>25</v>
          </cell>
          <cell r="GH411">
            <v>127</v>
          </cell>
          <cell r="GI411">
            <v>0</v>
          </cell>
          <cell r="GJ411">
            <v>0</v>
          </cell>
        </row>
        <row r="412">
          <cell r="DJ412">
            <v>16</v>
          </cell>
          <cell r="DK412">
            <v>50</v>
          </cell>
          <cell r="DL412">
            <v>50</v>
          </cell>
          <cell r="DN412">
            <v>50</v>
          </cell>
          <cell r="DO412">
            <v>34</v>
          </cell>
          <cell r="FV412">
            <v>0</v>
          </cell>
          <cell r="FW412">
            <v>0</v>
          </cell>
          <cell r="FX412">
            <v>116</v>
          </cell>
          <cell r="FY412">
            <v>84</v>
          </cell>
          <cell r="FZ412">
            <v>0</v>
          </cell>
          <cell r="GA412">
            <v>0</v>
          </cell>
          <cell r="GE412">
            <v>0</v>
          </cell>
          <cell r="GF412">
            <v>0</v>
          </cell>
          <cell r="GG412">
            <v>66</v>
          </cell>
          <cell r="GH412">
            <v>134</v>
          </cell>
          <cell r="GI412">
            <v>0</v>
          </cell>
          <cell r="GJ412">
            <v>0</v>
          </cell>
        </row>
        <row r="413">
          <cell r="DI413">
            <v>6.25</v>
          </cell>
          <cell r="DJ413">
            <v>18.75</v>
          </cell>
          <cell r="DK413">
            <v>18.75</v>
          </cell>
          <cell r="DL413">
            <v>18.75</v>
          </cell>
          <cell r="DN413">
            <v>13</v>
          </cell>
          <cell r="FV413">
            <v>0</v>
          </cell>
          <cell r="FW413">
            <v>0</v>
          </cell>
          <cell r="FX413">
            <v>62.5</v>
          </cell>
          <cell r="FY413">
            <v>13</v>
          </cell>
          <cell r="FZ413">
            <v>0</v>
          </cell>
          <cell r="GA413">
            <v>0</v>
          </cell>
          <cell r="GE413">
            <v>0</v>
          </cell>
          <cell r="GF413">
            <v>0</v>
          </cell>
          <cell r="GG413">
            <v>43.75</v>
          </cell>
          <cell r="GH413">
            <v>31.75</v>
          </cell>
          <cell r="GI413">
            <v>0</v>
          </cell>
          <cell r="GJ413">
            <v>0</v>
          </cell>
        </row>
        <row r="414">
          <cell r="DI414">
            <v>50</v>
          </cell>
          <cell r="DJ414">
            <v>75</v>
          </cell>
          <cell r="DK414">
            <v>75</v>
          </cell>
          <cell r="DL414">
            <v>75</v>
          </cell>
          <cell r="DN414">
            <v>25</v>
          </cell>
          <cell r="FV414">
            <v>0</v>
          </cell>
          <cell r="FW414">
            <v>0</v>
          </cell>
          <cell r="FX414">
            <v>275</v>
          </cell>
          <cell r="FY414">
            <v>25</v>
          </cell>
          <cell r="FZ414">
            <v>0</v>
          </cell>
          <cell r="GA414">
            <v>0</v>
          </cell>
          <cell r="GE414">
            <v>0</v>
          </cell>
          <cell r="GF414">
            <v>0</v>
          </cell>
          <cell r="GG414">
            <v>200</v>
          </cell>
          <cell r="GH414">
            <v>100</v>
          </cell>
          <cell r="GI414">
            <v>0</v>
          </cell>
          <cell r="GJ414">
            <v>0</v>
          </cell>
        </row>
        <row r="415">
          <cell r="DG415">
            <v>25</v>
          </cell>
          <cell r="DI415">
            <v>75</v>
          </cell>
          <cell r="DJ415">
            <v>75</v>
          </cell>
          <cell r="DK415">
            <v>75</v>
          </cell>
          <cell r="DL415">
            <v>50</v>
          </cell>
          <cell r="FV415">
            <v>0</v>
          </cell>
          <cell r="FW415">
            <v>25</v>
          </cell>
          <cell r="FX415">
            <v>275</v>
          </cell>
          <cell r="FY415">
            <v>0</v>
          </cell>
          <cell r="FZ415">
            <v>0</v>
          </cell>
          <cell r="GA415">
            <v>0</v>
          </cell>
          <cell r="GE415">
            <v>0</v>
          </cell>
          <cell r="GF415">
            <v>0</v>
          </cell>
          <cell r="GG415">
            <v>250</v>
          </cell>
          <cell r="GH415">
            <v>50</v>
          </cell>
          <cell r="GI415">
            <v>0</v>
          </cell>
          <cell r="GJ415">
            <v>0</v>
          </cell>
        </row>
        <row r="416">
          <cell r="DG416">
            <v>75</v>
          </cell>
          <cell r="DI416">
            <v>75</v>
          </cell>
          <cell r="DJ416">
            <v>75</v>
          </cell>
          <cell r="DK416">
            <v>75</v>
          </cell>
          <cell r="FV416">
            <v>0</v>
          </cell>
          <cell r="FW416">
            <v>75</v>
          </cell>
          <cell r="FX416">
            <v>225</v>
          </cell>
          <cell r="FY416">
            <v>0</v>
          </cell>
          <cell r="FZ416">
            <v>0</v>
          </cell>
          <cell r="GA416">
            <v>0</v>
          </cell>
          <cell r="GE416">
            <v>0</v>
          </cell>
          <cell r="GF416">
            <v>0</v>
          </cell>
          <cell r="GG416">
            <v>300</v>
          </cell>
          <cell r="GH416">
            <v>0</v>
          </cell>
          <cell r="GI416">
            <v>0</v>
          </cell>
          <cell r="GJ416">
            <v>0</v>
          </cell>
        </row>
        <row r="417">
          <cell r="DF417">
            <v>6.25</v>
          </cell>
          <cell r="DG417">
            <v>18.75</v>
          </cell>
          <cell r="DI417">
            <v>19</v>
          </cell>
          <cell r="DJ417">
            <v>19</v>
          </cell>
          <cell r="DK417">
            <v>13</v>
          </cell>
          <cell r="FX417">
            <v>51</v>
          </cell>
          <cell r="FY417">
            <v>0</v>
          </cell>
          <cell r="FZ417">
            <v>0</v>
          </cell>
          <cell r="GA417">
            <v>0</v>
          </cell>
        </row>
        <row r="418">
          <cell r="DE418">
            <v>55</v>
          </cell>
          <cell r="DF418">
            <v>55</v>
          </cell>
          <cell r="DG418">
            <v>55</v>
          </cell>
          <cell r="DI418">
            <v>55</v>
          </cell>
          <cell r="FV418">
            <v>0</v>
          </cell>
          <cell r="FW418">
            <v>165</v>
          </cell>
          <cell r="FX418">
            <v>55</v>
          </cell>
          <cell r="FY418">
            <v>0</v>
          </cell>
          <cell r="FZ418">
            <v>0</v>
          </cell>
          <cell r="GA418">
            <v>0</v>
          </cell>
          <cell r="GE418">
            <v>0</v>
          </cell>
          <cell r="GF418">
            <v>0</v>
          </cell>
          <cell r="GG418">
            <v>110</v>
          </cell>
          <cell r="GH418">
            <v>0</v>
          </cell>
          <cell r="GI418">
            <v>0</v>
          </cell>
          <cell r="GJ418">
            <v>0</v>
          </cell>
        </row>
        <row r="419">
          <cell r="DD419">
            <v>8</v>
          </cell>
          <cell r="DE419">
            <v>25</v>
          </cell>
          <cell r="DF419">
            <v>25</v>
          </cell>
          <cell r="DG419">
            <v>25</v>
          </cell>
          <cell r="DI419">
            <v>17</v>
          </cell>
          <cell r="FV419">
            <v>0</v>
          </cell>
          <cell r="FW419">
            <v>83</v>
          </cell>
          <cell r="FX419">
            <v>17</v>
          </cell>
          <cell r="FY419">
            <v>0</v>
          </cell>
          <cell r="FZ419">
            <v>0</v>
          </cell>
          <cell r="GA419">
            <v>0</v>
          </cell>
          <cell r="GE419">
            <v>0</v>
          </cell>
          <cell r="GF419">
            <v>0</v>
          </cell>
          <cell r="GG419">
            <v>42</v>
          </cell>
          <cell r="GH419">
            <v>0</v>
          </cell>
          <cell r="GI419">
            <v>0</v>
          </cell>
          <cell r="GJ419">
            <v>0</v>
          </cell>
        </row>
        <row r="420">
          <cell r="DD420">
            <v>3</v>
          </cell>
          <cell r="DE420">
            <v>5</v>
          </cell>
          <cell r="DF420">
            <v>5</v>
          </cell>
          <cell r="DG420">
            <v>5</v>
          </cell>
          <cell r="DI420">
            <v>2</v>
          </cell>
          <cell r="FV420">
            <v>0</v>
          </cell>
          <cell r="FW420">
            <v>18</v>
          </cell>
          <cell r="FX420">
            <v>2</v>
          </cell>
          <cell r="FY420">
            <v>0</v>
          </cell>
          <cell r="FZ420">
            <v>0</v>
          </cell>
          <cell r="GA420">
            <v>0</v>
          </cell>
          <cell r="GE420">
            <v>0</v>
          </cell>
          <cell r="GF420">
            <v>0</v>
          </cell>
          <cell r="GG420">
            <v>7</v>
          </cell>
          <cell r="GH420">
            <v>0</v>
          </cell>
          <cell r="GI420">
            <v>0</v>
          </cell>
          <cell r="GJ420">
            <v>0</v>
          </cell>
        </row>
        <row r="421">
          <cell r="DA421">
            <v>75</v>
          </cell>
          <cell r="DB421">
            <v>75</v>
          </cell>
          <cell r="DD421">
            <v>75</v>
          </cell>
          <cell r="DE421">
            <v>75</v>
          </cell>
          <cell r="FV421">
            <v>150</v>
          </cell>
          <cell r="FW421">
            <v>150</v>
          </cell>
          <cell r="FX421">
            <v>0</v>
          </cell>
          <cell r="FY421">
            <v>0</v>
          </cell>
          <cell r="FZ421">
            <v>0</v>
          </cell>
          <cell r="GA421">
            <v>0</v>
          </cell>
          <cell r="GE421">
            <v>75</v>
          </cell>
          <cell r="GF421">
            <v>150</v>
          </cell>
          <cell r="GG421">
            <v>0</v>
          </cell>
          <cell r="GH421">
            <v>0</v>
          </cell>
          <cell r="GI421">
            <v>0</v>
          </cell>
          <cell r="GJ421">
            <v>0</v>
          </cell>
        </row>
        <row r="422">
          <cell r="CZ422">
            <v>50</v>
          </cell>
          <cell r="DA422">
            <v>50</v>
          </cell>
          <cell r="DB422">
            <v>50</v>
          </cell>
          <cell r="DD422">
            <v>50</v>
          </cell>
          <cell r="FV422">
            <v>150</v>
          </cell>
          <cell r="FW422">
            <v>50</v>
          </cell>
          <cell r="FX422">
            <v>0</v>
          </cell>
          <cell r="FY422">
            <v>0</v>
          </cell>
          <cell r="FZ422">
            <v>0</v>
          </cell>
          <cell r="GA422">
            <v>0</v>
          </cell>
          <cell r="GE422">
            <v>100</v>
          </cell>
          <cell r="GF422">
            <v>150</v>
          </cell>
          <cell r="GG422">
            <v>0</v>
          </cell>
          <cell r="GH422">
            <v>0</v>
          </cell>
          <cell r="GI422">
            <v>0</v>
          </cell>
          <cell r="GJ422">
            <v>0</v>
          </cell>
        </row>
        <row r="423">
          <cell r="CY423">
            <v>6</v>
          </cell>
          <cell r="CZ423">
            <v>6</v>
          </cell>
          <cell r="DA423">
            <v>6</v>
          </cell>
          <cell r="DB423">
            <v>6</v>
          </cell>
        </row>
        <row r="424">
          <cell r="CY424">
            <v>7.5</v>
          </cell>
          <cell r="CZ424">
            <v>7.5</v>
          </cell>
          <cell r="DA424">
            <v>7.5</v>
          </cell>
          <cell r="DB424">
            <v>7.5</v>
          </cell>
        </row>
        <row r="425">
          <cell r="CW425">
            <v>2.5</v>
          </cell>
          <cell r="CY425">
            <v>2.5</v>
          </cell>
          <cell r="CZ425">
            <v>2.5</v>
          </cell>
          <cell r="DA425">
            <v>2.5</v>
          </cell>
        </row>
        <row r="426">
          <cell r="CW426">
            <v>2.5</v>
          </cell>
          <cell r="CY426">
            <v>2.5</v>
          </cell>
          <cell r="CZ426">
            <v>2.5</v>
          </cell>
          <cell r="DA426">
            <v>2.5</v>
          </cell>
        </row>
        <row r="427">
          <cell r="CT427">
            <v>75</v>
          </cell>
          <cell r="CU427">
            <v>75</v>
          </cell>
          <cell r="CV427">
            <v>75</v>
          </cell>
          <cell r="CW427">
            <v>75</v>
          </cell>
          <cell r="FV427">
            <v>0</v>
          </cell>
          <cell r="FW427">
            <v>0</v>
          </cell>
          <cell r="FX427">
            <v>0</v>
          </cell>
          <cell r="FY427">
            <v>0</v>
          </cell>
          <cell r="FZ427">
            <v>0</v>
          </cell>
          <cell r="GA427">
            <v>0</v>
          </cell>
          <cell r="GE427">
            <v>75</v>
          </cell>
          <cell r="GF427">
            <v>0</v>
          </cell>
          <cell r="GG427">
            <v>0</v>
          </cell>
          <cell r="GH427">
            <v>0</v>
          </cell>
          <cell r="GI427">
            <v>0</v>
          </cell>
          <cell r="GJ427">
            <v>0</v>
          </cell>
        </row>
        <row r="428">
          <cell r="CT428">
            <v>3</v>
          </cell>
          <cell r="CU428">
            <v>3</v>
          </cell>
          <cell r="CV428">
            <v>3</v>
          </cell>
          <cell r="FV428">
            <v>0</v>
          </cell>
          <cell r="FW428">
            <v>0</v>
          </cell>
          <cell r="FX428">
            <v>0</v>
          </cell>
          <cell r="FY428">
            <v>0</v>
          </cell>
          <cell r="FZ428">
            <v>0</v>
          </cell>
          <cell r="GA428">
            <v>0</v>
          </cell>
          <cell r="GE428">
            <v>0</v>
          </cell>
          <cell r="GF428">
            <v>0</v>
          </cell>
          <cell r="GG428">
            <v>0</v>
          </cell>
          <cell r="GH428">
            <v>0</v>
          </cell>
          <cell r="GI428">
            <v>0</v>
          </cell>
          <cell r="GJ428">
            <v>0</v>
          </cell>
        </row>
        <row r="436">
          <cell r="CT436">
            <v>63.944000000000017</v>
          </cell>
          <cell r="CU436">
            <v>63.94399999999996</v>
          </cell>
          <cell r="CV436">
            <v>63.94399999999996</v>
          </cell>
          <cell r="CW436">
            <v>63.942999999999984</v>
          </cell>
          <cell r="CY436">
            <v>83.217999999999961</v>
          </cell>
          <cell r="CZ436">
            <v>83.217999999999961</v>
          </cell>
          <cell r="DA436">
            <v>100.89699999999993</v>
          </cell>
          <cell r="DB436">
            <v>100.89599999999996</v>
          </cell>
          <cell r="DD436">
            <v>133.89400000000001</v>
          </cell>
          <cell r="DE436">
            <v>133.89400000000001</v>
          </cell>
          <cell r="DF436">
            <v>152.67200000000003</v>
          </cell>
          <cell r="DG436">
            <v>152.69999999999999</v>
          </cell>
          <cell r="DI436">
            <v>153</v>
          </cell>
          <cell r="DJ436">
            <v>132</v>
          </cell>
          <cell r="DK436">
            <v>140</v>
          </cell>
          <cell r="DL436">
            <v>140</v>
          </cell>
          <cell r="DN436">
            <v>112</v>
          </cell>
          <cell r="DO436">
            <v>120</v>
          </cell>
          <cell r="FV436">
            <v>368.22899999999981</v>
          </cell>
          <cell r="FW436">
            <v>573</v>
          </cell>
          <cell r="FX436">
            <v>565</v>
          </cell>
          <cell r="FY436">
            <v>232</v>
          </cell>
        </row>
        <row r="437">
          <cell r="DG437">
            <v>179.3</v>
          </cell>
          <cell r="DI437">
            <v>238</v>
          </cell>
          <cell r="DJ437">
            <v>230</v>
          </cell>
          <cell r="DK437">
            <v>230</v>
          </cell>
          <cell r="DL437">
            <v>190</v>
          </cell>
          <cell r="DN437">
            <v>142.5</v>
          </cell>
          <cell r="FW437">
            <v>646</v>
          </cell>
          <cell r="FX437">
            <v>888</v>
          </cell>
          <cell r="FY437">
            <v>142.5</v>
          </cell>
        </row>
        <row r="438">
          <cell r="DG438">
            <v>468.6</v>
          </cell>
          <cell r="DI438">
            <v>470</v>
          </cell>
          <cell r="DJ438">
            <v>475</v>
          </cell>
          <cell r="DK438">
            <v>500</v>
          </cell>
          <cell r="DL438">
            <v>475</v>
          </cell>
          <cell r="FW438">
            <v>1432.5</v>
          </cell>
          <cell r="FX438">
            <v>1920</v>
          </cell>
          <cell r="FY438" t="str">
            <v xml:space="preserve"> --</v>
          </cell>
        </row>
        <row r="451">
          <cell r="CT451" t="str">
            <v>F1998 Restated for JIT</v>
          </cell>
          <cell r="CY451" t="str">
            <v>F1999 Restated for JIT</v>
          </cell>
          <cell r="DD451" t="str">
            <v>F2000 Restated for JIT</v>
          </cell>
          <cell r="DI451" t="str">
            <v>F2001 Restated for JIT</v>
          </cell>
          <cell r="DN451" t="str">
            <v>F2002</v>
          </cell>
          <cell r="DS451" t="str">
            <v>F2003</v>
          </cell>
          <cell r="DX451" t="str">
            <v>F2004E</v>
          </cell>
        </row>
        <row r="452">
          <cell r="CT452" t="str">
            <v>6/97</v>
          </cell>
          <cell r="CU452" t="str">
            <v>9/97</v>
          </cell>
          <cell r="CV452" t="str">
            <v xml:space="preserve"> 12/97</v>
          </cell>
          <cell r="CW452" t="str">
            <v xml:space="preserve"> 3/98</v>
          </cell>
          <cell r="CY452" t="str">
            <v>6/98</v>
          </cell>
          <cell r="CZ452" t="str">
            <v>9/98</v>
          </cell>
          <cell r="DA452" t="str">
            <v xml:space="preserve"> 12/98</v>
          </cell>
          <cell r="DB452" t="str">
            <v xml:space="preserve"> 3/99</v>
          </cell>
          <cell r="DD452" t="str">
            <v>6/99</v>
          </cell>
          <cell r="DE452" t="str">
            <v>9/99</v>
          </cell>
          <cell r="DF452" t="str">
            <v xml:space="preserve"> 12/99</v>
          </cell>
          <cell r="DG452" t="str">
            <v xml:space="preserve"> 3/00</v>
          </cell>
          <cell r="DI452" t="str">
            <v>6/00</v>
          </cell>
          <cell r="DJ452" t="str">
            <v>9/00</v>
          </cell>
          <cell r="DK452" t="str">
            <v xml:space="preserve"> 12/00</v>
          </cell>
          <cell r="DL452" t="str">
            <v xml:space="preserve"> 3/01</v>
          </cell>
          <cell r="DN452" t="str">
            <v>6/01</v>
          </cell>
          <cell r="DO452" t="str">
            <v>9/01</v>
          </cell>
          <cell r="DP452" t="str">
            <v xml:space="preserve"> 12/01</v>
          </cell>
          <cell r="DQ452" t="str">
            <v xml:space="preserve"> 3/02</v>
          </cell>
          <cell r="DS452" t="str">
            <v>6/02</v>
          </cell>
          <cell r="DT452" t="str">
            <v>9/02</v>
          </cell>
          <cell r="DU452" t="str">
            <v xml:space="preserve"> 12/02</v>
          </cell>
          <cell r="DV452" t="str">
            <v xml:space="preserve"> 3/03</v>
          </cell>
          <cell r="DX452" t="str">
            <v>6/03</v>
          </cell>
          <cell r="DY452" t="str">
            <v>9/03</v>
          </cell>
          <cell r="DZ452" t="str">
            <v xml:space="preserve"> 12/03</v>
          </cell>
          <cell r="EA452" t="str">
            <v xml:space="preserve"> 3/04E</v>
          </cell>
          <cell r="FV452" t="str">
            <v>F1999</v>
          </cell>
          <cell r="FW452" t="str">
            <v>F2000</v>
          </cell>
          <cell r="FX452" t="str">
            <v>F2001</v>
          </cell>
          <cell r="FY452" t="str">
            <v>F2002</v>
          </cell>
          <cell r="FZ452" t="str">
            <v>F2003</v>
          </cell>
          <cell r="GA452" t="str">
            <v>F2004E</v>
          </cell>
          <cell r="GE452" t="str">
            <v>C1998</v>
          </cell>
          <cell r="GF452" t="str">
            <v>C1999</v>
          </cell>
          <cell r="GG452" t="str">
            <v>C2000</v>
          </cell>
          <cell r="GH452" t="str">
            <v>C2001</v>
          </cell>
          <cell r="GI452" t="str">
            <v>C2002</v>
          </cell>
          <cell r="GJ452" t="str">
            <v>C2003</v>
          </cell>
          <cell r="GL452">
            <v>2003</v>
          </cell>
          <cell r="GM452">
            <v>2004</v>
          </cell>
          <cell r="GN452">
            <v>2005</v>
          </cell>
          <cell r="GO452">
            <v>2006</v>
          </cell>
          <cell r="GP452">
            <v>2007</v>
          </cell>
          <cell r="GQ452">
            <v>2008</v>
          </cell>
          <cell r="GR452">
            <v>2009</v>
          </cell>
          <cell r="GS452">
            <v>2010</v>
          </cell>
          <cell r="GT452">
            <v>2011</v>
          </cell>
          <cell r="GU452">
            <v>2012</v>
          </cell>
          <cell r="GV452">
            <v>2013</v>
          </cell>
          <cell r="GW452">
            <v>2014</v>
          </cell>
          <cell r="GX452">
            <v>2015</v>
          </cell>
          <cell r="GY452">
            <v>2016</v>
          </cell>
          <cell r="GZ452">
            <v>2017</v>
          </cell>
        </row>
        <row r="454">
          <cell r="I454">
            <v>87.294000000000011</v>
          </cell>
          <cell r="J454">
            <v>95.975999999999985</v>
          </cell>
          <cell r="K454">
            <v>109.626</v>
          </cell>
          <cell r="L454">
            <v>116.117</v>
          </cell>
          <cell r="N454">
            <v>158.88799999999998</v>
          </cell>
          <cell r="O454">
            <v>168.76999999999998</v>
          </cell>
          <cell r="P454">
            <v>194.78200000000001</v>
          </cell>
          <cell r="Q454">
            <v>309.26699999999994</v>
          </cell>
          <cell r="S454">
            <v>309.90300000000002</v>
          </cell>
          <cell r="T454">
            <v>314.29699999999997</v>
          </cell>
          <cell r="U454">
            <v>316.16000000000003</v>
          </cell>
          <cell r="V454">
            <v>446.29199999999992</v>
          </cell>
          <cell r="X454">
            <v>490.43900000000002</v>
          </cell>
          <cell r="Y454">
            <v>509.8010000000001</v>
          </cell>
          <cell r="Z454">
            <v>633.99800000000005</v>
          </cell>
          <cell r="AA454">
            <v>744.12299999999993</v>
          </cell>
          <cell r="AC454">
            <v>794.62599999999998</v>
          </cell>
          <cell r="AD454">
            <v>799.57900000000006</v>
          </cell>
          <cell r="AE454">
            <v>1007.456</v>
          </cell>
          <cell r="AF454">
            <v>1094.3789999999999</v>
          </cell>
          <cell r="AJ454">
            <v>839.11400000000003</v>
          </cell>
          <cell r="AK454">
            <v>861.72399999999993</v>
          </cell>
          <cell r="AL454">
            <v>1099.2760000000001</v>
          </cell>
          <cell r="AM454">
            <v>1217.8689999999999</v>
          </cell>
          <cell r="AY454">
            <v>1386.7760000000003</v>
          </cell>
          <cell r="AZ454">
            <v>1403.5839999999998</v>
          </cell>
          <cell r="BA454">
            <v>1705.1770000000001</v>
          </cell>
          <cell r="BB454">
            <v>1965.1779999999999</v>
          </cell>
          <cell r="BD454">
            <v>1517.8330000000001</v>
          </cell>
          <cell r="BE454">
            <v>1556.788</v>
          </cell>
          <cell r="BF454">
            <v>1870.0170000000001</v>
          </cell>
          <cell r="BG454">
            <v>2149.6999999999998</v>
          </cell>
          <cell r="BI454">
            <v>1202.104</v>
          </cell>
          <cell r="BJ454">
            <v>1596.73</v>
          </cell>
          <cell r="BK454">
            <v>2252.991</v>
          </cell>
          <cell r="BN454">
            <v>2089.4290000000001</v>
          </cell>
          <cell r="BO454">
            <v>2394.799</v>
          </cell>
          <cell r="BP454">
            <v>3185.683</v>
          </cell>
          <cell r="BQ454">
            <v>4334.3620000000001</v>
          </cell>
          <cell r="BS454">
            <v>2321.6309999999999</v>
          </cell>
          <cell r="BT454">
            <v>2641.0529999999999</v>
          </cell>
          <cell r="BU454">
            <v>3406.6099999999997</v>
          </cell>
          <cell r="BV454">
            <v>4334.3620000000001</v>
          </cell>
          <cell r="BX454">
            <v>5210.5479999999998</v>
          </cell>
          <cell r="BZ454">
            <v>1007.9739999999999</v>
          </cell>
          <cell r="CA454">
            <v>1093.171</v>
          </cell>
          <cell r="CB454">
            <v>1400.722</v>
          </cell>
          <cell r="CC454">
            <v>1757.0649999999998</v>
          </cell>
          <cell r="CE454">
            <v>1812.96</v>
          </cell>
          <cell r="CF454">
            <v>1841.951</v>
          </cell>
          <cell r="CG454">
            <v>2288.5729999999999</v>
          </cell>
          <cell r="CH454">
            <v>2604.6509999999998</v>
          </cell>
          <cell r="CJ454">
            <v>2841.0680000000002</v>
          </cell>
          <cell r="CK454">
            <v>3156.4380000000001</v>
          </cell>
          <cell r="CL454">
            <v>3927.6530000000002</v>
          </cell>
          <cell r="CM454">
            <v>4859.1280000000006</v>
          </cell>
          <cell r="CO454">
            <v>5210.5479999999998</v>
          </cell>
          <cell r="CP454">
            <v>6217.0109999999995</v>
          </cell>
          <cell r="CT454">
            <v>1104.7</v>
          </cell>
          <cell r="CU454">
            <v>1192.028</v>
          </cell>
          <cell r="CV454">
            <v>1501.7090000000001</v>
          </cell>
          <cell r="CW454">
            <v>1862.088</v>
          </cell>
          <cell r="CY454">
            <v>1917.7440000000001</v>
          </cell>
          <cell r="CZ454">
            <v>1967.4370000000001</v>
          </cell>
          <cell r="DA454">
            <v>2428.7869999999998</v>
          </cell>
          <cell r="DB454">
            <v>2783.7070000000003</v>
          </cell>
          <cell r="DD454">
            <v>3038.8539999999998</v>
          </cell>
          <cell r="DE454">
            <v>3411.4549999999999</v>
          </cell>
          <cell r="DF454">
            <v>4143.7039999999997</v>
          </cell>
          <cell r="DG454">
            <v>5134.9430000000002</v>
          </cell>
          <cell r="DI454">
            <v>6125.9430000000002</v>
          </cell>
          <cell r="DJ454">
            <v>6511.4029999999993</v>
          </cell>
          <cell r="DK454">
            <v>6699.0110000000004</v>
          </cell>
          <cell r="DL454">
            <v>7571.6550000000007</v>
          </cell>
          <cell r="DN454">
            <v>7711.7789999999995</v>
          </cell>
          <cell r="DO454">
            <v>7878.7169999999996</v>
          </cell>
          <cell r="DP454">
            <v>8440.0310000000009</v>
          </cell>
          <cell r="DQ454">
            <v>8596.6569999999992</v>
          </cell>
          <cell r="DS454">
            <v>8793.5760000000009</v>
          </cell>
          <cell r="DT454">
            <v>8839.7510000000002</v>
          </cell>
          <cell r="DU454">
            <v>8865.6839999999993</v>
          </cell>
          <cell r="DV454">
            <v>8394.1039999999994</v>
          </cell>
          <cell r="DX454">
            <v>8866.9340000000011</v>
          </cell>
          <cell r="DY454">
            <v>9078.77</v>
          </cell>
          <cell r="DZ454">
            <v>9510.482</v>
          </cell>
          <cell r="EA454">
            <v>8708.523743147085</v>
          </cell>
          <cell r="EC454">
            <v>9121.6034088914566</v>
          </cell>
          <cell r="ED454">
            <v>9453.5891612000578</v>
          </cell>
          <cell r="EE454">
            <v>10054.601196601547</v>
          </cell>
          <cell r="EF454">
            <v>9614.4188477945281</v>
          </cell>
          <cell r="EH454">
            <v>10000.666328818932</v>
          </cell>
          <cell r="EI454">
            <v>10365.742697061245</v>
          </cell>
          <cell r="EJ454">
            <v>11033.494553662553</v>
          </cell>
          <cell r="EK454">
            <v>10607.577799717932</v>
          </cell>
          <cell r="EN454">
            <v>116.117</v>
          </cell>
          <cell r="ER454">
            <v>309.26699999999994</v>
          </cell>
          <cell r="ES454">
            <v>446.29199999999992</v>
          </cell>
          <cell r="ET454">
            <v>744.12299999999993</v>
          </cell>
          <cell r="EU454">
            <v>1094.3789999999999</v>
          </cell>
          <cell r="EX454">
            <v>1217.8689999999999</v>
          </cell>
          <cell r="EZ454" t="str">
            <v>--</v>
          </cell>
          <cell r="FA454" t="str">
            <v>--</v>
          </cell>
          <cell r="FB454" t="str">
            <v>--</v>
          </cell>
          <cell r="FC454">
            <v>1296.6399999999999</v>
          </cell>
          <cell r="FD454">
            <v>3087.0820000000003</v>
          </cell>
          <cell r="FK454">
            <v>2149.6999999999998</v>
          </cell>
          <cell r="FL454">
            <v>4334.3620000000001</v>
          </cell>
          <cell r="FO454">
            <v>937.86500000000012</v>
          </cell>
          <cell r="FP454">
            <v>1757.0849999999998</v>
          </cell>
          <cell r="FQ454">
            <v>2604.6509999999998</v>
          </cell>
          <cell r="FR454">
            <v>4859.1280000000006</v>
          </cell>
          <cell r="FT454">
            <v>937.86500000000001</v>
          </cell>
          <cell r="FU454">
            <v>1862.088</v>
          </cell>
          <cell r="FV454">
            <v>2783.7070000000003</v>
          </cell>
          <cell r="FW454">
            <v>5134.9430000000002</v>
          </cell>
          <cell r="FX454">
            <v>7571.6550000000007</v>
          </cell>
          <cell r="FY454">
            <v>8596.6569999999992</v>
          </cell>
          <cell r="FZ454">
            <v>8394.1039999999994</v>
          </cell>
          <cell r="GA454">
            <v>8708.523743147085</v>
          </cell>
          <cell r="GB454">
            <v>9614.4188477945281</v>
          </cell>
          <cell r="GC454">
            <v>10607.577799717932</v>
          </cell>
          <cell r="GL454">
            <v>8394.1039999999994</v>
          </cell>
          <cell r="GM454">
            <v>8708.523743147085</v>
          </cell>
          <cell r="GN454">
            <v>9614.4188477945281</v>
          </cell>
          <cell r="GO454">
            <v>10607.577799717932</v>
          </cell>
          <cell r="GP454">
            <v>12172.166047597782</v>
          </cell>
          <cell r="GQ454">
            <v>13673.217495587916</v>
          </cell>
          <cell r="GR454">
            <v>14284.50270689161</v>
          </cell>
          <cell r="GS454">
            <v>15699.658376097635</v>
          </cell>
          <cell r="GT454">
            <v>17950.455754699367</v>
          </cell>
          <cell r="GU454">
            <v>21069.764240865457</v>
          </cell>
          <cell r="GV454">
            <v>24611.780490520763</v>
          </cell>
          <cell r="GW454">
            <v>24242.879370981165</v>
          </cell>
          <cell r="GX454">
            <v>25992.951527760848</v>
          </cell>
          <cell r="GY454">
            <v>28503.309098765909</v>
          </cell>
          <cell r="GZ454">
            <v>31286.635847371512</v>
          </cell>
          <cell r="HA454">
            <v>34398.837307946153</v>
          </cell>
          <cell r="HB454">
            <v>37861.849298155656</v>
          </cell>
          <cell r="HC454">
            <v>41510.904744456595</v>
          </cell>
          <cell r="HD454">
            <v>45453.191339436285</v>
          </cell>
          <cell r="HE454">
            <v>49185.022363953438</v>
          </cell>
          <cell r="HF454">
            <v>52831.069331912324</v>
          </cell>
          <cell r="HG454">
            <v>56529.448886788356</v>
          </cell>
          <cell r="HH454">
            <v>60272.787028767445</v>
          </cell>
          <cell r="HI454">
            <v>64128.942543952377</v>
          </cell>
        </row>
        <row r="456">
          <cell r="I456">
            <v>64.180000000000007</v>
          </cell>
          <cell r="J456">
            <v>72.667999999999992</v>
          </cell>
          <cell r="K456">
            <v>82.856999999999999</v>
          </cell>
          <cell r="L456">
            <v>83.941000000000003</v>
          </cell>
          <cell r="N456">
            <v>112.99</v>
          </cell>
          <cell r="O456">
            <v>120.607</v>
          </cell>
          <cell r="P456">
            <v>143.48000000000002</v>
          </cell>
          <cell r="Q456">
            <v>182.29599999999999</v>
          </cell>
          <cell r="S456">
            <v>181.44500000000002</v>
          </cell>
          <cell r="T456">
            <v>183.45399999999998</v>
          </cell>
          <cell r="U456">
            <v>173.892</v>
          </cell>
          <cell r="V456">
            <v>254.39599999999999</v>
          </cell>
          <cell r="X456">
            <v>269.89600000000002</v>
          </cell>
          <cell r="Y456">
            <v>273.29800000000006</v>
          </cell>
          <cell r="Z456">
            <v>378.75800000000004</v>
          </cell>
          <cell r="AA456">
            <v>439.53399999999999</v>
          </cell>
          <cell r="AC456">
            <v>461.851</v>
          </cell>
          <cell r="AD456">
            <v>446.50800000000004</v>
          </cell>
          <cell r="AE456">
            <v>629.95900000000006</v>
          </cell>
          <cell r="AF456">
            <v>654.03199999999993</v>
          </cell>
          <cell r="AJ456">
            <v>491.45799999999997</v>
          </cell>
          <cell r="AK456">
            <v>489.95299999999997</v>
          </cell>
          <cell r="AL456">
            <v>696.64600000000007</v>
          </cell>
          <cell r="AM456">
            <v>745.524</v>
          </cell>
          <cell r="AY456">
            <v>779.24300000000005</v>
          </cell>
          <cell r="AZ456">
            <v>760.67299999999989</v>
          </cell>
          <cell r="BA456">
            <v>965.51</v>
          </cell>
          <cell r="BB456">
            <v>1040.9209999999998</v>
          </cell>
          <cell r="BD456">
            <v>863.29699999999991</v>
          </cell>
          <cell r="BE456">
            <v>865.65600000000006</v>
          </cell>
          <cell r="BF456">
            <v>1077.9460000000001</v>
          </cell>
          <cell r="BG456">
            <v>1163.385</v>
          </cell>
          <cell r="BI456">
            <v>734.61599999999999</v>
          </cell>
          <cell r="BJ456">
            <v>1018.9970000000001</v>
          </cell>
          <cell r="BK456">
            <v>1579.6589999999999</v>
          </cell>
          <cell r="BL456" t="str">
            <v xml:space="preserve"> </v>
          </cell>
          <cell r="BN456">
            <v>1118.7360000000001</v>
          </cell>
          <cell r="BO456">
            <v>1328.2119999999998</v>
          </cell>
          <cell r="BP456">
            <v>1927.8890000000001</v>
          </cell>
          <cell r="BQ456">
            <v>2829.9860000000003</v>
          </cell>
          <cell r="BS456">
            <v>1286.6749999999997</v>
          </cell>
          <cell r="BT456">
            <v>1502.3530000000001</v>
          </cell>
          <cell r="BU456">
            <v>2069.761</v>
          </cell>
          <cell r="BV456">
            <v>2829.9860000000003</v>
          </cell>
          <cell r="BX456">
            <v>3532.2589999999996</v>
          </cell>
          <cell r="BZ456">
            <v>542.279</v>
          </cell>
          <cell r="CA456">
            <v>572.79399999999998</v>
          </cell>
          <cell r="CB456">
            <v>801.81700000000001</v>
          </cell>
          <cell r="CC456">
            <v>903.35199999999998</v>
          </cell>
          <cell r="CE456">
            <v>951.49699999999996</v>
          </cell>
          <cell r="CF456">
            <v>944.91</v>
          </cell>
          <cell r="CG456">
            <v>1204.193</v>
          </cell>
          <cell r="CH456">
            <v>1309.079</v>
          </cell>
          <cell r="CJ456">
            <v>1472.0150000000001</v>
          </cell>
          <cell r="CK456">
            <v>1684.1759999999999</v>
          </cell>
          <cell r="CL456">
            <v>2269.779</v>
          </cell>
          <cell r="CM456">
            <v>3060.1109999999999</v>
          </cell>
          <cell r="CO456">
            <v>3532.2589999999996</v>
          </cell>
          <cell r="CP456">
            <v>4004.1670000000004</v>
          </cell>
          <cell r="CT456">
            <v>602.70000000000005</v>
          </cell>
          <cell r="CU456">
            <v>635.346</v>
          </cell>
          <cell r="CV456">
            <v>866.49900000000002</v>
          </cell>
          <cell r="CW456">
            <v>971.70299999999997</v>
          </cell>
          <cell r="CY456">
            <v>1017.9369999999999</v>
          </cell>
          <cell r="CZ456">
            <v>1027.0319999999999</v>
          </cell>
          <cell r="DA456">
            <v>1292.3419999999999</v>
          </cell>
          <cell r="DB456">
            <v>1425.095</v>
          </cell>
          <cell r="DD456">
            <v>1603.2760000000001</v>
          </cell>
          <cell r="DE456">
            <v>1868.5599999999997</v>
          </cell>
          <cell r="DF456">
            <v>2410.5769999999998</v>
          </cell>
          <cell r="DG456">
            <v>3222.7440000000001</v>
          </cell>
          <cell r="DI456">
            <v>4028.567</v>
          </cell>
          <cell r="DJ456">
            <v>4180.6149999999998</v>
          </cell>
          <cell r="DK456">
            <v>4099.3320000000003</v>
          </cell>
          <cell r="DL456">
            <v>4456.0470000000005</v>
          </cell>
          <cell r="DN456">
            <v>4359.5709999999999</v>
          </cell>
          <cell r="DO456">
            <v>4292.6869999999999</v>
          </cell>
          <cell r="DP456">
            <v>4462.5420000000004</v>
          </cell>
          <cell r="DQ456">
            <v>4589.5509999999995</v>
          </cell>
          <cell r="DS456">
            <v>4548.1379999999999</v>
          </cell>
          <cell r="DT456">
            <v>4111.9880000000003</v>
          </cell>
          <cell r="DU456">
            <v>3947.1029999999996</v>
          </cell>
          <cell r="DV456">
            <v>3478.76</v>
          </cell>
          <cell r="DX456">
            <v>4025.62</v>
          </cell>
          <cell r="DY456">
            <v>4221.549</v>
          </cell>
          <cell r="DZ456">
            <v>4544.8519999999999</v>
          </cell>
          <cell r="EA456">
            <v>3986.8189278091222</v>
          </cell>
          <cell r="EC456">
            <v>4371.4256429931193</v>
          </cell>
          <cell r="ED456">
            <v>4647.2243939149748</v>
          </cell>
          <cell r="EE456">
            <v>5114.2431851749534</v>
          </cell>
          <cell r="EF456">
            <v>4796.4712722778395</v>
          </cell>
          <cell r="EH456">
            <v>5028.4641003294537</v>
          </cell>
          <cell r="EI456">
            <v>5299.4846833388619</v>
          </cell>
          <cell r="EJ456">
            <v>5784.1902861809758</v>
          </cell>
          <cell r="EK456">
            <v>5484.6303440349102</v>
          </cell>
          <cell r="EN456">
            <v>83.941000000000003</v>
          </cell>
          <cell r="ER456">
            <v>182.29599999999999</v>
          </cell>
          <cell r="ES456">
            <v>254.39599999999999</v>
          </cell>
          <cell r="ET456">
            <v>439.53399999999999</v>
          </cell>
          <cell r="EU456">
            <v>654.03199999999993</v>
          </cell>
          <cell r="EX456">
            <v>745.524</v>
          </cell>
          <cell r="EZ456" t="str">
            <v>--</v>
          </cell>
          <cell r="FA456" t="str">
            <v>--</v>
          </cell>
          <cell r="FB456" t="str">
            <v>--</v>
          </cell>
          <cell r="FC456">
            <v>814.10899999999992</v>
          </cell>
          <cell r="FD456">
            <v>2298.6950000000002</v>
          </cell>
          <cell r="FK456">
            <v>1163.385</v>
          </cell>
          <cell r="FL456">
            <v>2829.9860000000003</v>
          </cell>
          <cell r="FO456">
            <v>511.17400000000004</v>
          </cell>
          <cell r="FP456">
            <v>903.35199999999998</v>
          </cell>
          <cell r="FQ456">
            <v>1309.079</v>
          </cell>
          <cell r="FR456">
            <v>3060.1109999999999</v>
          </cell>
          <cell r="FT456">
            <v>510.75400000000002</v>
          </cell>
          <cell r="FU456">
            <v>971.70299999999997</v>
          </cell>
          <cell r="FV456">
            <v>1425.095</v>
          </cell>
          <cell r="FW456">
            <v>3222.7440000000001</v>
          </cell>
          <cell r="FX456">
            <v>4456.0470000000005</v>
          </cell>
          <cell r="FY456">
            <v>4589.5509999999995</v>
          </cell>
          <cell r="FZ456">
            <v>3478.76</v>
          </cell>
          <cell r="GA456">
            <v>3986.8189278091222</v>
          </cell>
          <cell r="GB456">
            <v>4796.4712722778395</v>
          </cell>
          <cell r="GC456">
            <v>5484.6303440349102</v>
          </cell>
          <cell r="GL456">
            <v>3478.76</v>
          </cell>
          <cell r="GM456">
            <v>3986.8189278091222</v>
          </cell>
          <cell r="GN456">
            <v>4796.4712722778395</v>
          </cell>
          <cell r="GO456">
            <v>5484.6303440349102</v>
          </cell>
          <cell r="GP456">
            <v>6370.7119994220602</v>
          </cell>
          <cell r="GQ456">
            <v>6911.9234189971876</v>
          </cell>
          <cell r="GR456">
            <v>6990.8750806479329</v>
          </cell>
          <cell r="GS456">
            <v>7827.0953552317796</v>
          </cell>
          <cell r="GT456">
            <v>9011.8157610383369</v>
          </cell>
          <cell r="GU456">
            <v>10245.519618998462</v>
          </cell>
          <cell r="GV456">
            <v>12399.402811091342</v>
          </cell>
          <cell r="GW456">
            <v>12681.054673610697</v>
          </cell>
          <cell r="GX456">
            <v>14471.854353998484</v>
          </cell>
          <cell r="GY456">
            <v>16523.044631121433</v>
          </cell>
          <cell r="GZ456">
            <v>18838.272210903582</v>
          </cell>
          <cell r="HA456">
            <v>21500.651802017477</v>
          </cell>
          <cell r="HB456">
            <v>24559.477979035117</v>
          </cell>
          <cell r="HC456">
            <v>27828.164703719245</v>
          </cell>
          <cell r="HD456">
            <v>31424.299908767192</v>
          </cell>
          <cell r="HE456">
            <v>34869.188928020645</v>
          </cell>
          <cell r="HF456">
            <v>38256.146030293326</v>
          </cell>
          <cell r="HG456">
            <v>41682.524732260848</v>
          </cell>
          <cell r="HH456">
            <v>45178.051608254566</v>
          </cell>
          <cell r="HI456">
            <v>48762.543961647505</v>
          </cell>
        </row>
        <row r="457">
          <cell r="I457">
            <v>8.5809999999999995</v>
          </cell>
          <cell r="J457">
            <v>6.2519999999999998</v>
          </cell>
          <cell r="K457">
            <v>6.38</v>
          </cell>
          <cell r="L457">
            <v>4.7510000000000003</v>
          </cell>
          <cell r="N457">
            <v>7.4960000000000004</v>
          </cell>
          <cell r="O457">
            <v>3.8780000000000001</v>
          </cell>
          <cell r="P457">
            <v>8.4030000000000005</v>
          </cell>
          <cell r="Q457">
            <v>8.6470000000000002</v>
          </cell>
          <cell r="S457">
            <v>9.3620000000000001</v>
          </cell>
          <cell r="T457">
            <v>14.853999999999999</v>
          </cell>
          <cell r="U457">
            <v>13.856</v>
          </cell>
          <cell r="V457">
            <v>24.158999999999999</v>
          </cell>
          <cell r="X457">
            <v>34.923000000000002</v>
          </cell>
          <cell r="Y457">
            <v>19.242000000000001</v>
          </cell>
          <cell r="Z457">
            <v>73.332999999999998</v>
          </cell>
          <cell r="AA457">
            <v>89.39</v>
          </cell>
          <cell r="AC457">
            <v>51.164999999999999</v>
          </cell>
          <cell r="AD457">
            <v>23.92</v>
          </cell>
          <cell r="AE457">
            <v>201.12100000000001</v>
          </cell>
          <cell r="AF457">
            <v>172.98400000000001</v>
          </cell>
          <cell r="AJ457">
            <v>54.451999999999998</v>
          </cell>
          <cell r="AK457">
            <v>29.123000000000001</v>
          </cell>
          <cell r="AL457">
            <v>209.55199999999999</v>
          </cell>
          <cell r="AM457">
            <v>184.86</v>
          </cell>
          <cell r="AY457">
            <v>117.489</v>
          </cell>
          <cell r="AZ457">
            <v>108.90600000000001</v>
          </cell>
          <cell r="BA457">
            <v>272.822</v>
          </cell>
          <cell r="BB457">
            <v>240.83199999999999</v>
          </cell>
          <cell r="BD457">
            <v>148.98400000000001</v>
          </cell>
          <cell r="BE457">
            <v>128.14400000000001</v>
          </cell>
          <cell r="BF457">
            <v>295.81400000000002</v>
          </cell>
          <cell r="BG457">
            <v>275.92599999999999</v>
          </cell>
          <cell r="BI457">
            <v>134.57300000000001</v>
          </cell>
          <cell r="BJ457">
            <v>96.581999999999994</v>
          </cell>
          <cell r="BK457">
            <v>472.38</v>
          </cell>
          <cell r="BN457">
            <v>178.624</v>
          </cell>
          <cell r="BO457">
            <v>132.316</v>
          </cell>
          <cell r="BP457">
            <v>499.52100000000002</v>
          </cell>
          <cell r="BQ457">
            <v>725.64700000000005</v>
          </cell>
          <cell r="BS457">
            <v>212.82</v>
          </cell>
          <cell r="BT457">
            <v>174.98599999999999</v>
          </cell>
          <cell r="BU457">
            <v>510.24900000000002</v>
          </cell>
          <cell r="BV457">
            <v>725.64700000000005</v>
          </cell>
          <cell r="BX457">
            <v>769.48299999999995</v>
          </cell>
          <cell r="BZ457">
            <v>64.995000000000005</v>
          </cell>
          <cell r="CA457">
            <v>51.991999999999997</v>
          </cell>
          <cell r="CB457">
            <v>189.57</v>
          </cell>
          <cell r="CC457">
            <v>207.411</v>
          </cell>
          <cell r="CE457">
            <v>165.54400000000001</v>
          </cell>
          <cell r="CF457">
            <v>136.07599999999999</v>
          </cell>
          <cell r="CG457">
            <v>311.94200000000001</v>
          </cell>
          <cell r="CH457">
            <v>285.10700000000003</v>
          </cell>
          <cell r="CJ457">
            <v>227.65299999999999</v>
          </cell>
          <cell r="CK457">
            <v>195.61199999999999</v>
          </cell>
          <cell r="CL457">
            <v>530.93499999999995</v>
          </cell>
          <cell r="CM457">
            <v>739.02300000000002</v>
          </cell>
          <cell r="CO457">
            <v>769.48299999999995</v>
          </cell>
          <cell r="CP457">
            <v>540.83100000000002</v>
          </cell>
          <cell r="CT457">
            <v>91.182000000000002</v>
          </cell>
          <cell r="CU457">
            <v>78.179000000000002</v>
          </cell>
          <cell r="CV457">
            <v>215.75700000000001</v>
          </cell>
          <cell r="CW457">
            <v>233.59800000000001</v>
          </cell>
          <cell r="CY457">
            <v>185.97399999999999</v>
          </cell>
          <cell r="CZ457">
            <v>155.642</v>
          </cell>
          <cell r="DA457">
            <v>332.14699999999999</v>
          </cell>
          <cell r="DB457">
            <v>318.16500000000002</v>
          </cell>
          <cell r="DD457">
            <v>236.857</v>
          </cell>
          <cell r="DE457">
            <v>216.98500000000001</v>
          </cell>
          <cell r="DF457">
            <v>539.83199999999999</v>
          </cell>
          <cell r="DG457">
            <v>747.04899999999998</v>
          </cell>
          <cell r="DI457">
            <v>796.524</v>
          </cell>
          <cell r="DJ457">
            <v>550.16200000000003</v>
          </cell>
          <cell r="DK457">
            <v>398.37400000000002</v>
          </cell>
          <cell r="DL457">
            <v>631.58799999999997</v>
          </cell>
          <cell r="DN457">
            <v>543.30399999999997</v>
          </cell>
          <cell r="DO457">
            <v>400.286</v>
          </cell>
          <cell r="DP457">
            <v>448.96</v>
          </cell>
          <cell r="DQ457">
            <v>745.12400000000002</v>
          </cell>
          <cell r="DS457">
            <v>827.00099999999998</v>
          </cell>
          <cell r="DT457">
            <v>499.24099999999999</v>
          </cell>
          <cell r="DU457">
            <v>613.64099999999996</v>
          </cell>
          <cell r="DV457">
            <v>424.02</v>
          </cell>
          <cell r="DX457">
            <v>859.75099999999998</v>
          </cell>
          <cell r="DY457">
            <v>699.505</v>
          </cell>
          <cell r="DZ457">
            <v>830.21299999999997</v>
          </cell>
          <cell r="EA457">
            <v>780.55185064064256</v>
          </cell>
          <cell r="EC457">
            <v>618.98562745328059</v>
          </cell>
          <cell r="ED457">
            <v>772.06895755776043</v>
          </cell>
          <cell r="EE457">
            <v>790.08454259588132</v>
          </cell>
          <cell r="EF457">
            <v>770.89965668187642</v>
          </cell>
          <cell r="EH457">
            <v>631.02576932699469</v>
          </cell>
          <cell r="EI457">
            <v>747.85202495816111</v>
          </cell>
          <cell r="EJ457">
            <v>628.49396387862191</v>
          </cell>
          <cell r="EK457">
            <v>714.3916246569662</v>
          </cell>
          <cell r="EN457">
            <v>4.7510000000000003</v>
          </cell>
          <cell r="ER457">
            <v>8.6470000000000002</v>
          </cell>
          <cell r="ES457">
            <v>24.158999999999999</v>
          </cell>
          <cell r="ET457">
            <v>89.39</v>
          </cell>
          <cell r="EU457">
            <v>172.98400000000001</v>
          </cell>
          <cell r="EX457">
            <v>184.86</v>
          </cell>
          <cell r="EZ457" t="str">
            <v>--</v>
          </cell>
          <cell r="FA457" t="str">
            <v>--</v>
          </cell>
          <cell r="FB457" t="str">
            <v>--</v>
          </cell>
          <cell r="FC457">
            <v>194.50899999999999</v>
          </cell>
          <cell r="FD457">
            <v>618.58100000000002</v>
          </cell>
          <cell r="FK457">
            <v>275.92599999999999</v>
          </cell>
          <cell r="FL457">
            <v>725.64700000000005</v>
          </cell>
          <cell r="FO457">
            <v>63.470999999999997</v>
          </cell>
          <cell r="FP457">
            <v>207.411</v>
          </cell>
          <cell r="FQ457">
            <v>285.10700000000003</v>
          </cell>
          <cell r="FR457">
            <v>739.02300000000002</v>
          </cell>
          <cell r="FT457">
            <v>63.470999999999997</v>
          </cell>
          <cell r="FU457">
            <v>233.59800000000001</v>
          </cell>
          <cell r="FV457">
            <v>318.16500000000002</v>
          </cell>
          <cell r="FW457">
            <v>747.04899999999998</v>
          </cell>
          <cell r="FX457">
            <v>631.58799999999997</v>
          </cell>
          <cell r="FY457">
            <v>745.12400000000002</v>
          </cell>
          <cell r="FZ457">
            <v>424.02</v>
          </cell>
          <cell r="GA457">
            <v>780.55185064064256</v>
          </cell>
          <cell r="GB457">
            <v>770.89965668187642</v>
          </cell>
          <cell r="GC457">
            <v>714.3916246569662</v>
          </cell>
          <cell r="GL457">
            <v>424.02</v>
          </cell>
          <cell r="GM457">
            <v>780.55185064064256</v>
          </cell>
          <cell r="GN457">
            <v>770.89965668187642</v>
          </cell>
          <cell r="GO457">
            <v>714.3916246569662</v>
          </cell>
          <cell r="GP457">
            <v>937.27396878988884</v>
          </cell>
          <cell r="GQ457">
            <v>510.2083440861154</v>
          </cell>
          <cell r="GR457">
            <v>-500.62525372739128</v>
          </cell>
          <cell r="GS457">
            <v>398.09539090468877</v>
          </cell>
          <cell r="GT457">
            <v>890.91113055491587</v>
          </cell>
          <cell r="GU457">
            <v>801.84513221276893</v>
          </cell>
          <cell r="GV457">
            <v>299.29795950236769</v>
          </cell>
          <cell r="GW457">
            <v>-25.011921897356046</v>
          </cell>
          <cell r="GX457">
            <v>2724.5717160277777</v>
          </cell>
          <cell r="GY457">
            <v>3894.9302356013141</v>
          </cell>
          <cell r="GZ457">
            <v>5221.8222247788262</v>
          </cell>
          <cell r="HA457">
            <v>6685.3282544191716</v>
          </cell>
          <cell r="HB457">
            <v>8462.3252537046337</v>
          </cell>
          <cell r="HC457">
            <v>10497.843044605903</v>
          </cell>
          <cell r="HD457">
            <v>12930.881687188408</v>
          </cell>
          <cell r="HE457">
            <v>15318.192604966522</v>
          </cell>
          <cell r="HF457">
            <v>17711.532731848154</v>
          </cell>
          <cell r="HG457">
            <v>20093.810251693158</v>
          </cell>
          <cell r="HH457">
            <v>22492.187360598222</v>
          </cell>
          <cell r="HI457">
            <v>24933.0866290017</v>
          </cell>
        </row>
        <row r="458">
          <cell r="I458">
            <v>30.67</v>
          </cell>
          <cell r="J458">
            <v>41.448999999999998</v>
          </cell>
          <cell r="K458">
            <v>49.037999999999997</v>
          </cell>
          <cell r="L458">
            <v>44.25</v>
          </cell>
          <cell r="N458">
            <v>57.686</v>
          </cell>
          <cell r="O458">
            <v>56.332999999999998</v>
          </cell>
          <cell r="P458">
            <v>79.228999999999999</v>
          </cell>
          <cell r="Q458">
            <v>97.274000000000001</v>
          </cell>
          <cell r="S458">
            <v>97.096000000000004</v>
          </cell>
          <cell r="T458">
            <v>100.33499999999999</v>
          </cell>
          <cell r="U458">
            <v>91.87</v>
          </cell>
          <cell r="V458">
            <v>87.507000000000005</v>
          </cell>
          <cell r="X458">
            <v>93.986999999999995</v>
          </cell>
          <cell r="Y458">
            <v>103.06100000000001</v>
          </cell>
          <cell r="Z458">
            <v>122.613</v>
          </cell>
          <cell r="AA458">
            <v>155.125</v>
          </cell>
          <cell r="AC458">
            <v>173.917</v>
          </cell>
          <cell r="AD458">
            <v>184.81</v>
          </cell>
          <cell r="AE458">
            <v>179.90600000000001</v>
          </cell>
          <cell r="AF458">
            <v>225.79</v>
          </cell>
          <cell r="AJ458">
            <v>189.5</v>
          </cell>
          <cell r="AK458">
            <v>207.49299999999999</v>
          </cell>
          <cell r="AL458">
            <v>214.55199999999999</v>
          </cell>
          <cell r="AM458">
            <v>273.20299999999997</v>
          </cell>
          <cell r="AY458">
            <v>325.03300000000002</v>
          </cell>
          <cell r="AZ458">
            <v>321.75599999999997</v>
          </cell>
          <cell r="BA458">
            <v>339.37599999999998</v>
          </cell>
          <cell r="BB458">
            <v>427.06400000000002</v>
          </cell>
          <cell r="BD458">
            <v>357.40699999999998</v>
          </cell>
          <cell r="BE458">
            <v>373.197</v>
          </cell>
          <cell r="BF458">
            <v>386.37200000000001</v>
          </cell>
          <cell r="BG458">
            <v>470.25200000000001</v>
          </cell>
          <cell r="BI458">
            <v>261.08699999999999</v>
          </cell>
          <cell r="BJ458">
            <v>417.101</v>
          </cell>
          <cell r="BK458">
            <v>462.572</v>
          </cell>
          <cell r="BN458">
            <v>469.995</v>
          </cell>
          <cell r="BO458">
            <v>574.92899999999997</v>
          </cell>
          <cell r="BP458">
            <v>641.74300000000005</v>
          </cell>
          <cell r="BQ458">
            <v>861.76400000000001</v>
          </cell>
          <cell r="BS458">
            <v>547.77800000000002</v>
          </cell>
          <cell r="BT458">
            <v>630.34500000000003</v>
          </cell>
          <cell r="BU458">
            <v>695.13</v>
          </cell>
          <cell r="BV458">
            <v>861.76400000000001</v>
          </cell>
          <cell r="BX458">
            <v>1057.828</v>
          </cell>
          <cell r="BZ458">
            <v>246.39099999999999</v>
          </cell>
          <cell r="CA458">
            <v>276.935</v>
          </cell>
          <cell r="CB458">
            <v>310.28500000000003</v>
          </cell>
          <cell r="CC458">
            <v>365.24099999999999</v>
          </cell>
          <cell r="CE458">
            <v>397.09199999999998</v>
          </cell>
          <cell r="CF458">
            <v>412.87099999999998</v>
          </cell>
          <cell r="CG458">
            <v>447.70400000000001</v>
          </cell>
          <cell r="CH458">
            <v>545.57799999999997</v>
          </cell>
          <cell r="CJ458">
            <v>641.54499999999996</v>
          </cell>
          <cell r="CK458">
            <v>714.34400000000005</v>
          </cell>
          <cell r="CL458">
            <v>790.423</v>
          </cell>
          <cell r="CM458">
            <v>969.83199999999999</v>
          </cell>
          <cell r="CO458">
            <v>1057.828</v>
          </cell>
          <cell r="CP458">
            <v>1575.681</v>
          </cell>
          <cell r="CT458">
            <v>264.85700000000003</v>
          </cell>
          <cell r="CU458">
            <v>297.53100000000001</v>
          </cell>
          <cell r="CV458">
            <v>333.01100000000002</v>
          </cell>
          <cell r="CW458">
            <v>390.09699999999998</v>
          </cell>
          <cell r="CY458">
            <v>426.36500000000001</v>
          </cell>
          <cell r="CZ458">
            <v>450.91399999999999</v>
          </cell>
          <cell r="DA458">
            <v>490.84699999999998</v>
          </cell>
          <cell r="DB458">
            <v>596.76199999999994</v>
          </cell>
          <cell r="DD458">
            <v>721.67100000000005</v>
          </cell>
          <cell r="DE458">
            <v>808.13699999999994</v>
          </cell>
          <cell r="DF458">
            <v>861.03200000000004</v>
          </cell>
          <cell r="DG458">
            <v>1057.9490000000001</v>
          </cell>
          <cell r="DI458">
            <v>1320.682</v>
          </cell>
          <cell r="DJ458">
            <v>1670.9649999999999</v>
          </cell>
          <cell r="DK458">
            <v>1634.0530000000001</v>
          </cell>
          <cell r="DL458">
            <v>1651.252</v>
          </cell>
          <cell r="DN458">
            <v>1703.2080000000001</v>
          </cell>
          <cell r="DO458">
            <v>1706.1959999999999</v>
          </cell>
          <cell r="DP458">
            <v>1889.915</v>
          </cell>
          <cell r="DQ458">
            <v>1866.576</v>
          </cell>
          <cell r="DS458">
            <v>1730.546</v>
          </cell>
          <cell r="DT458">
            <v>1767.3579999999999</v>
          </cell>
          <cell r="DU458">
            <v>1619.683</v>
          </cell>
          <cell r="DV458">
            <v>1417.086</v>
          </cell>
          <cell r="DX458">
            <v>1496.2080000000001</v>
          </cell>
          <cell r="DY458">
            <v>1747.4490000000001</v>
          </cell>
          <cell r="DZ458">
            <v>1792.759</v>
          </cell>
          <cell r="EA458">
            <v>1459.0367935733336</v>
          </cell>
          <cell r="EC458">
            <v>1805.2655570836446</v>
          </cell>
          <cell r="ED458">
            <v>1898.0116971979894</v>
          </cell>
          <cell r="EE458">
            <v>2107.0585995774404</v>
          </cell>
          <cell r="EF458">
            <v>1861.2362078869676</v>
          </cell>
          <cell r="EH458">
            <v>2157.7964527206973</v>
          </cell>
          <cell r="EI458">
            <v>2272.0850636919431</v>
          </cell>
          <cell r="EJ458">
            <v>2591.3755313377496</v>
          </cell>
          <cell r="EK458">
            <v>2281.4442609978432</v>
          </cell>
          <cell r="EN458">
            <v>44.25</v>
          </cell>
          <cell r="ER458">
            <v>97.274000000000001</v>
          </cell>
          <cell r="ES458">
            <v>87.507000000000005</v>
          </cell>
          <cell r="ET458">
            <v>155.125</v>
          </cell>
          <cell r="EU458">
            <v>225.79</v>
          </cell>
          <cell r="EX458">
            <v>273.20299999999997</v>
          </cell>
          <cell r="EZ458" t="str">
            <v>--</v>
          </cell>
          <cell r="FA458" t="str">
            <v>--</v>
          </cell>
          <cell r="FB458" t="str">
            <v>--</v>
          </cell>
          <cell r="FC458">
            <v>302.36399999999998</v>
          </cell>
          <cell r="FD458">
            <v>634.99699999999996</v>
          </cell>
          <cell r="FK458">
            <v>470.25200000000001</v>
          </cell>
          <cell r="FL458">
            <v>861.76400000000001</v>
          </cell>
          <cell r="FO458">
            <v>221.69900000000001</v>
          </cell>
          <cell r="FP458">
            <v>365.24099999999999</v>
          </cell>
          <cell r="FQ458">
            <v>545.57799999999997</v>
          </cell>
          <cell r="FR458">
            <v>969.83199999999999</v>
          </cell>
          <cell r="FT458">
            <v>221.69900000000001</v>
          </cell>
          <cell r="FU458">
            <v>390.09699999999998</v>
          </cell>
          <cell r="FV458">
            <v>596.76199999999994</v>
          </cell>
          <cell r="FW458">
            <v>1057.9490000000001</v>
          </cell>
          <cell r="FX458">
            <v>1651.252</v>
          </cell>
          <cell r="FY458">
            <v>1866.576</v>
          </cell>
          <cell r="FZ458">
            <v>1417.086</v>
          </cell>
          <cell r="GA458">
            <v>1459.0367935733336</v>
          </cell>
          <cell r="GB458">
            <v>1861.2362078869676</v>
          </cell>
          <cell r="GC458">
            <v>2281.4442609978432</v>
          </cell>
          <cell r="GL458">
            <v>1417.086</v>
          </cell>
          <cell r="GM458">
            <v>1459.0367935733336</v>
          </cell>
          <cell r="GN458">
            <v>1861.2362078869676</v>
          </cell>
          <cell r="GO458">
            <v>2281.4442609978432</v>
          </cell>
          <cell r="GP458">
            <v>2603.9370188687308</v>
          </cell>
          <cell r="GQ458">
            <v>2818.1108386706837</v>
          </cell>
          <cell r="GR458">
            <v>3427.4321010859662</v>
          </cell>
          <cell r="GS458">
            <v>3290.3348170425284</v>
          </cell>
          <cell r="GT458">
            <v>3753.449442541264</v>
          </cell>
          <cell r="GU458">
            <v>4244.2851388735835</v>
          </cell>
          <cell r="GV458">
            <v>5391.4547792662734</v>
          </cell>
          <cell r="GW458">
            <v>5875.3032850978616</v>
          </cell>
          <cell r="GX458">
            <v>5552.1616044174798</v>
          </cell>
          <cell r="GY458">
            <v>5942.046730416575</v>
          </cell>
          <cell r="GZ458">
            <v>6288.8964349129847</v>
          </cell>
          <cell r="HA458">
            <v>6749.0595886871051</v>
          </cell>
          <cell r="HB458">
            <v>7356.4749516689453</v>
          </cell>
          <cell r="HC458">
            <v>7944.9929478024596</v>
          </cell>
          <cell r="HD458">
            <v>8501.1424541486322</v>
          </cell>
          <cell r="HE458">
            <v>9011.2110013975507</v>
          </cell>
          <cell r="HF458">
            <v>9461.7715514674273</v>
          </cell>
          <cell r="HG458">
            <v>9934.8601290408005</v>
          </cell>
          <cell r="HH458">
            <v>10431.60313549284</v>
          </cell>
          <cell r="HI458">
            <v>10953.183292267482</v>
          </cell>
        </row>
        <row r="459">
          <cell r="I459">
            <v>22.283999999999999</v>
          </cell>
          <cell r="J459">
            <v>22.242000000000001</v>
          </cell>
          <cell r="K459">
            <v>26.315000000000001</v>
          </cell>
          <cell r="L459">
            <v>30.193000000000001</v>
          </cell>
          <cell r="N459">
            <v>39.520000000000003</v>
          </cell>
          <cell r="O459">
            <v>52.07</v>
          </cell>
          <cell r="P459">
            <v>48.572000000000003</v>
          </cell>
          <cell r="Q459">
            <v>65.944999999999993</v>
          </cell>
          <cell r="S459">
            <v>68.305999999999997</v>
          </cell>
          <cell r="T459">
            <v>63.319000000000003</v>
          </cell>
          <cell r="U459">
            <v>63.603000000000002</v>
          </cell>
          <cell r="V459">
            <v>124.36199999999999</v>
          </cell>
          <cell r="X459">
            <v>125.392</v>
          </cell>
          <cell r="Y459">
            <v>130.13300000000001</v>
          </cell>
          <cell r="Z459">
            <v>147.11500000000001</v>
          </cell>
          <cell r="AA459">
            <v>157.077</v>
          </cell>
          <cell r="AC459">
            <v>191.29900000000001</v>
          </cell>
          <cell r="AD459">
            <v>184.291</v>
          </cell>
          <cell r="AE459">
            <v>197.14099999999999</v>
          </cell>
          <cell r="AF459">
            <v>192.76599999999999</v>
          </cell>
          <cell r="AJ459">
            <v>200.405</v>
          </cell>
          <cell r="AK459">
            <v>197.74299999999999</v>
          </cell>
          <cell r="AL459">
            <v>217.91399999999999</v>
          </cell>
          <cell r="AM459">
            <v>221.352</v>
          </cell>
          <cell r="AY459">
            <v>280.89800000000002</v>
          </cell>
          <cell r="AZ459">
            <v>263.29399999999998</v>
          </cell>
          <cell r="BA459">
            <v>285.976</v>
          </cell>
          <cell r="BB459">
            <v>288.09699999999998</v>
          </cell>
          <cell r="BD459">
            <v>297.36599999999999</v>
          </cell>
          <cell r="BE459">
            <v>294.13900000000001</v>
          </cell>
          <cell r="BF459">
            <v>319.11799999999999</v>
          </cell>
          <cell r="BG459">
            <v>324.76100000000002</v>
          </cell>
          <cell r="BI459">
            <v>269.03399999999999</v>
          </cell>
          <cell r="BJ459">
            <v>415.63200000000001</v>
          </cell>
          <cell r="BK459">
            <v>469.791</v>
          </cell>
          <cell r="BN459">
            <v>366.74599999999998</v>
          </cell>
          <cell r="BO459">
            <v>505.45299999999997</v>
          </cell>
          <cell r="BP459">
            <v>582.63599999999997</v>
          </cell>
          <cell r="BQ459">
            <v>992.71100000000001</v>
          </cell>
          <cell r="BS459">
            <v>410.63099999999997</v>
          </cell>
          <cell r="BT459">
            <v>568.16</v>
          </cell>
          <cell r="BU459">
            <v>651.005</v>
          </cell>
          <cell r="BV459">
            <v>992.71100000000001</v>
          </cell>
          <cell r="BX459">
            <v>1415.268</v>
          </cell>
          <cell r="BZ459">
            <v>200.364</v>
          </cell>
          <cell r="CA459">
            <v>206.16800000000001</v>
          </cell>
          <cell r="CB459">
            <v>250.89</v>
          </cell>
          <cell r="CC459">
            <v>275.01299999999998</v>
          </cell>
          <cell r="CE459">
            <v>327.69099999999997</v>
          </cell>
          <cell r="CF459">
            <v>321.863</v>
          </cell>
          <cell r="CG459">
            <v>360.92</v>
          </cell>
          <cell r="CH459">
            <v>374.08300000000003</v>
          </cell>
          <cell r="CJ459">
            <v>469.71499999999997</v>
          </cell>
          <cell r="CK459">
            <v>627.48400000000004</v>
          </cell>
          <cell r="CL459">
            <v>717.97299999999996</v>
          </cell>
          <cell r="CM459">
            <v>1071.491</v>
          </cell>
          <cell r="CO459">
            <v>1415.268</v>
          </cell>
          <cell r="CP459">
            <v>1564.4770000000001</v>
          </cell>
          <cell r="CT459">
            <v>215.40899999999999</v>
          </cell>
          <cell r="CU459">
            <v>221.21299999999999</v>
          </cell>
          <cell r="CV459">
            <v>265.935</v>
          </cell>
          <cell r="CW459">
            <v>290.05799999999999</v>
          </cell>
          <cell r="CY459">
            <v>343.24599999999998</v>
          </cell>
          <cell r="CZ459">
            <v>345.93799999999999</v>
          </cell>
          <cell r="DA459">
            <v>383.99900000000002</v>
          </cell>
          <cell r="DB459">
            <v>404.26799999999997</v>
          </cell>
          <cell r="DD459">
            <v>506.34800000000001</v>
          </cell>
          <cell r="DE459">
            <v>689.024</v>
          </cell>
          <cell r="DF459">
            <v>774.93899999999996</v>
          </cell>
          <cell r="DG459">
            <v>1142.5940000000001</v>
          </cell>
          <cell r="DI459">
            <v>1597.896</v>
          </cell>
          <cell r="DJ459">
            <v>1631.6010000000001</v>
          </cell>
          <cell r="DK459">
            <v>1727.826</v>
          </cell>
          <cell r="DL459">
            <v>1787.0550000000001</v>
          </cell>
          <cell r="DN459">
            <v>1525.7280000000001</v>
          </cell>
          <cell r="DO459">
            <v>1420.2539999999999</v>
          </cell>
          <cell r="DP459">
            <v>1400.5730000000001</v>
          </cell>
          <cell r="DQ459">
            <v>1292.23</v>
          </cell>
          <cell r="DS459">
            <v>1282.32</v>
          </cell>
          <cell r="DT459">
            <v>1279.683</v>
          </cell>
          <cell r="DU459">
            <v>1198.0809999999999</v>
          </cell>
          <cell r="DV459">
            <v>1141.559</v>
          </cell>
          <cell r="DX459">
            <v>1150.5730000000001</v>
          </cell>
          <cell r="DY459">
            <v>1196.2239999999999</v>
          </cell>
          <cell r="DZ459">
            <v>1204.3979999999999</v>
          </cell>
          <cell r="EA459">
            <v>1133.9984181951459</v>
          </cell>
          <cell r="EC459">
            <v>1294.2952552181937</v>
          </cell>
          <cell r="ED459">
            <v>1274.3792824043644</v>
          </cell>
          <cell r="EE459">
            <v>1417.9046873605889</v>
          </cell>
          <cell r="EF459">
            <v>1458.3790886049521</v>
          </cell>
          <cell r="EH459">
            <v>1477.0046660546789</v>
          </cell>
          <cell r="EI459">
            <v>1457.8418460516741</v>
          </cell>
          <cell r="EJ459">
            <v>1627.1427754911449</v>
          </cell>
          <cell r="EK459">
            <v>1663.7039305585665</v>
          </cell>
          <cell r="EN459">
            <v>30.193000000000001</v>
          </cell>
          <cell r="ER459">
            <v>65.944999999999993</v>
          </cell>
          <cell r="ES459">
            <v>124.36199999999999</v>
          </cell>
          <cell r="ET459">
            <v>157.077</v>
          </cell>
          <cell r="EU459">
            <v>192.76599999999999</v>
          </cell>
          <cell r="EX459">
            <v>221.352</v>
          </cell>
          <cell r="EZ459" t="str">
            <v>--</v>
          </cell>
          <cell r="FA459" t="str">
            <v>--</v>
          </cell>
          <cell r="FB459" t="str">
            <v>--</v>
          </cell>
          <cell r="FC459">
            <v>250.44300000000001</v>
          </cell>
          <cell r="FD459">
            <v>840.59</v>
          </cell>
          <cell r="FK459">
            <v>324.76100000000002</v>
          </cell>
          <cell r="FL459">
            <v>992.71100000000001</v>
          </cell>
          <cell r="FO459">
            <v>192.78</v>
          </cell>
          <cell r="FP459">
            <v>275.01299999999998</v>
          </cell>
          <cell r="FQ459">
            <v>374.08300000000003</v>
          </cell>
          <cell r="FR459">
            <v>1071.491</v>
          </cell>
          <cell r="FT459">
            <v>192.78</v>
          </cell>
          <cell r="FU459">
            <v>290.05799999999999</v>
          </cell>
          <cell r="FV459">
            <v>404.26799999999997</v>
          </cell>
          <cell r="FW459">
            <v>1142.5940000000001</v>
          </cell>
          <cell r="FX459">
            <v>1787.0550000000001</v>
          </cell>
          <cell r="FY459">
            <v>1292.23</v>
          </cell>
          <cell r="FZ459">
            <v>1141.559</v>
          </cell>
          <cell r="GA459">
            <v>1133.9984181951459</v>
          </cell>
          <cell r="GB459">
            <v>1458.3790886049521</v>
          </cell>
          <cell r="GC459">
            <v>1663.7039305585665</v>
          </cell>
          <cell r="GL459">
            <v>1141.559</v>
          </cell>
          <cell r="GM459">
            <v>1133.9984181951459</v>
          </cell>
          <cell r="GN459">
            <v>1458.3790886049521</v>
          </cell>
          <cell r="GO459">
            <v>1663.7039305585665</v>
          </cell>
          <cell r="GP459">
            <v>1831.1414730993838</v>
          </cell>
          <cell r="GQ459">
            <v>2415.5235760034434</v>
          </cell>
          <cell r="GR459">
            <v>2895.9875730524122</v>
          </cell>
          <cell r="GS459">
            <v>2877.1380342286611</v>
          </cell>
          <cell r="GT459">
            <v>2891.4684656667528</v>
          </cell>
          <cell r="GU459">
            <v>3339.6460778451001</v>
          </cell>
          <cell r="GV459">
            <v>4588.5427444463112</v>
          </cell>
          <cell r="GW459">
            <v>5028.67208171526</v>
          </cell>
          <cell r="GX459">
            <v>4302.9252434235468</v>
          </cell>
          <cell r="GY459">
            <v>4566.8083801583007</v>
          </cell>
          <cell r="GZ459">
            <v>4975.1757449225533</v>
          </cell>
          <cell r="HA459">
            <v>5478.6483719930629</v>
          </cell>
          <cell r="HB459">
            <v>5920.176783920765</v>
          </cell>
          <cell r="HC459">
            <v>6339.187642390847</v>
          </cell>
          <cell r="HD459">
            <v>6732.9048236857161</v>
          </cell>
          <cell r="HE459">
            <v>7084.8521212874703</v>
          </cell>
          <cell r="HF459">
            <v>7455.1618865901855</v>
          </cell>
          <cell r="HG459">
            <v>7844.7904981199526</v>
          </cell>
          <cell r="HH459">
            <v>8254.7440660862212</v>
          </cell>
          <cell r="HI459">
            <v>8676.7811419971749</v>
          </cell>
        </row>
        <row r="460">
          <cell r="CM460">
            <v>785.69299999999998</v>
          </cell>
          <cell r="CP460">
            <v>1130.046</v>
          </cell>
          <cell r="DG460">
            <v>820.07</v>
          </cell>
          <cell r="DK460">
            <v>1225.758</v>
          </cell>
          <cell r="DL460">
            <v>1346.4269999999999</v>
          </cell>
          <cell r="DN460">
            <v>1111.355</v>
          </cell>
          <cell r="DO460">
            <v>1001.837</v>
          </cell>
          <cell r="DP460">
            <v>1027.154</v>
          </cell>
          <cell r="DQ460">
            <v>939.22199999999998</v>
          </cell>
          <cell r="DS460">
            <v>902.79399999999998</v>
          </cell>
          <cell r="DT460">
            <v>854.66600000000005</v>
          </cell>
          <cell r="DU460">
            <v>755.76300000000003</v>
          </cell>
          <cell r="DV460">
            <v>692.88099999999997</v>
          </cell>
          <cell r="DX460">
            <v>704.31399999999996</v>
          </cell>
          <cell r="DY460">
            <v>732.89800000000002</v>
          </cell>
          <cell r="FR460">
            <v>785.69299999999998</v>
          </cell>
          <cell r="FW460">
            <v>820.07</v>
          </cell>
          <cell r="FX460">
            <v>1346.4269999999999</v>
          </cell>
          <cell r="FY460">
            <v>939.22199999999998</v>
          </cell>
          <cell r="FZ460">
            <v>692.88099999999997</v>
          </cell>
          <cell r="GA460">
            <v>0</v>
          </cell>
          <cell r="GB460">
            <v>0</v>
          </cell>
          <cell r="GC460">
            <v>0</v>
          </cell>
        </row>
        <row r="461">
          <cell r="CM461">
            <v>179.01</v>
          </cell>
          <cell r="CP461">
            <v>297.32400000000001</v>
          </cell>
          <cell r="DG461">
            <v>207.47399999999999</v>
          </cell>
          <cell r="DK461">
            <v>356.70299999999997</v>
          </cell>
          <cell r="DL461">
            <v>301.875</v>
          </cell>
          <cell r="DN461">
            <v>283.00099999999998</v>
          </cell>
          <cell r="DO461">
            <v>292.346</v>
          </cell>
          <cell r="DP461">
            <v>255.81</v>
          </cell>
          <cell r="DQ461">
            <v>221.846</v>
          </cell>
          <cell r="DS461">
            <v>193.446</v>
          </cell>
          <cell r="DT461">
            <v>195.739</v>
          </cell>
          <cell r="DU461">
            <v>245.34399999999999</v>
          </cell>
          <cell r="DV461">
            <v>231.738</v>
          </cell>
          <cell r="DX461">
            <v>208.78899999999999</v>
          </cell>
          <cell r="DY461">
            <v>223.505</v>
          </cell>
          <cell r="FR461">
            <v>179.01</v>
          </cell>
          <cell r="FW461">
            <v>207.47399999999999</v>
          </cell>
          <cell r="FX461">
            <v>301.875</v>
          </cell>
          <cell r="FY461">
            <v>221.846</v>
          </cell>
          <cell r="FZ461">
            <v>231.738</v>
          </cell>
          <cell r="GA461">
            <v>0</v>
          </cell>
          <cell r="GB461">
            <v>0</v>
          </cell>
          <cell r="GC461">
            <v>0</v>
          </cell>
        </row>
        <row r="462">
          <cell r="CM462">
            <v>106.788</v>
          </cell>
          <cell r="CP462">
            <v>137.107</v>
          </cell>
          <cell r="DG462">
            <v>115.05</v>
          </cell>
          <cell r="DK462">
            <v>145.36500000000001</v>
          </cell>
          <cell r="DL462">
            <v>138.75300000000016</v>
          </cell>
          <cell r="DN462">
            <v>131.37200000000001</v>
          </cell>
          <cell r="DO462">
            <v>126.071</v>
          </cell>
          <cell r="DP462">
            <v>117.60899999999999</v>
          </cell>
          <cell r="DQ462">
            <v>131.16200000000001</v>
          </cell>
          <cell r="DS462">
            <v>186.08</v>
          </cell>
          <cell r="DT462">
            <v>229.27799999999999</v>
          </cell>
          <cell r="DU462">
            <v>196.97399999999999</v>
          </cell>
          <cell r="DV462">
            <v>216.94</v>
          </cell>
          <cell r="DX462">
            <v>237.47</v>
          </cell>
          <cell r="DY462">
            <v>239.821</v>
          </cell>
          <cell r="FR462">
            <v>106.788</v>
          </cell>
          <cell r="FW462">
            <v>115.05</v>
          </cell>
          <cell r="FX462">
            <v>138.75300000000016</v>
          </cell>
          <cell r="FY462">
            <v>131.16200000000001</v>
          </cell>
          <cell r="FZ462">
            <v>216.94</v>
          </cell>
          <cell r="GA462">
            <v>0</v>
          </cell>
          <cell r="GB462">
            <v>0</v>
          </cell>
          <cell r="GC462">
            <v>0</v>
          </cell>
        </row>
        <row r="463">
          <cell r="I463">
            <v>2.645</v>
          </cell>
          <cell r="J463">
            <v>2.7250000000000001</v>
          </cell>
          <cell r="K463">
            <v>1.1240000000000001</v>
          </cell>
          <cell r="L463">
            <v>4.7469999999999999</v>
          </cell>
          <cell r="N463">
            <v>8.2880000000000003</v>
          </cell>
          <cell r="O463">
            <v>8.3260000000000005</v>
          </cell>
          <cell r="P463">
            <v>7.2759999999999998</v>
          </cell>
          <cell r="Q463">
            <v>10.43</v>
          </cell>
          <cell r="S463">
            <v>6.681</v>
          </cell>
          <cell r="T463">
            <v>4.9459999999999997</v>
          </cell>
          <cell r="U463">
            <v>4.5629999999999997</v>
          </cell>
          <cell r="V463">
            <v>18.367999999999999</v>
          </cell>
          <cell r="X463">
            <v>15.593999999999999</v>
          </cell>
          <cell r="Y463">
            <v>20.861999999999998</v>
          </cell>
          <cell r="Z463">
            <v>35.697000000000003</v>
          </cell>
          <cell r="AA463">
            <v>37.942</v>
          </cell>
          <cell r="AC463">
            <v>45.47</v>
          </cell>
          <cell r="AD463">
            <v>53.487000000000002</v>
          </cell>
          <cell r="AE463">
            <v>51.790999999999997</v>
          </cell>
          <cell r="AF463">
            <v>62.491999999999997</v>
          </cell>
          <cell r="AJ463">
            <v>47.100999999999999</v>
          </cell>
          <cell r="AK463">
            <v>55.594000000000001</v>
          </cell>
          <cell r="AL463">
            <v>54.628</v>
          </cell>
          <cell r="AM463">
            <v>66.108999999999995</v>
          </cell>
          <cell r="AY463">
            <v>55.823</v>
          </cell>
          <cell r="AZ463">
            <v>66.716999999999999</v>
          </cell>
          <cell r="BA463">
            <v>67.335999999999999</v>
          </cell>
          <cell r="BB463">
            <v>84.927999999999997</v>
          </cell>
          <cell r="BD463">
            <v>59.54</v>
          </cell>
          <cell r="BE463">
            <v>70.176000000000002</v>
          </cell>
          <cell r="BF463">
            <v>76.641999999999996</v>
          </cell>
          <cell r="BG463">
            <v>92.445999999999998</v>
          </cell>
          <cell r="BI463">
            <v>69.921999999999997</v>
          </cell>
          <cell r="BJ463">
            <v>89.682000000000002</v>
          </cell>
          <cell r="BK463">
            <v>174.916</v>
          </cell>
          <cell r="BN463">
            <v>103.371</v>
          </cell>
          <cell r="BO463">
            <v>115.514</v>
          </cell>
          <cell r="BP463">
            <v>203.989</v>
          </cell>
          <cell r="BQ463">
            <v>249.864</v>
          </cell>
          <cell r="BS463">
            <v>115.446</v>
          </cell>
          <cell r="BT463">
            <v>128.86199999999999</v>
          </cell>
          <cell r="BU463">
            <v>213.37700000000001</v>
          </cell>
          <cell r="BV463">
            <v>249.864</v>
          </cell>
          <cell r="BX463">
            <v>289.68</v>
          </cell>
          <cell r="BZ463">
            <v>30.529</v>
          </cell>
          <cell r="CA463">
            <v>37.698999999999998</v>
          </cell>
          <cell r="CB463">
            <v>51.072000000000003</v>
          </cell>
          <cell r="CC463">
            <v>55.686999999999998</v>
          </cell>
          <cell r="CE463">
            <v>61.17</v>
          </cell>
          <cell r="CF463">
            <v>74.099999999999994</v>
          </cell>
          <cell r="CG463">
            <v>83.626999999999995</v>
          </cell>
          <cell r="CH463">
            <v>104.31100000000001</v>
          </cell>
          <cell r="CJ463">
            <v>133.102</v>
          </cell>
          <cell r="CK463">
            <v>146.73599999999999</v>
          </cell>
          <cell r="CL463">
            <v>230.44800000000001</v>
          </cell>
          <cell r="CM463">
            <v>279.76499999999999</v>
          </cell>
          <cell r="CO463">
            <v>289.68</v>
          </cell>
          <cell r="CP463">
            <v>323.178</v>
          </cell>
          <cell r="CT463">
            <v>31.251999999999999</v>
          </cell>
          <cell r="CU463">
            <v>38.423000000000002</v>
          </cell>
          <cell r="CV463">
            <v>51.795999999999999</v>
          </cell>
          <cell r="CW463">
            <v>57.95</v>
          </cell>
          <cell r="CY463">
            <v>62.351999999999997</v>
          </cell>
          <cell r="CZ463">
            <v>74.537999999999997</v>
          </cell>
          <cell r="DA463">
            <v>85.349000000000004</v>
          </cell>
          <cell r="DB463">
            <v>105.9</v>
          </cell>
          <cell r="DD463">
            <v>138.4</v>
          </cell>
          <cell r="DE463">
            <v>154.41399999999999</v>
          </cell>
          <cell r="DF463">
            <v>234.774</v>
          </cell>
          <cell r="DG463">
            <v>275.15199999999999</v>
          </cell>
          <cell r="DI463">
            <v>313.46499999999997</v>
          </cell>
          <cell r="DJ463">
            <v>327.887</v>
          </cell>
          <cell r="DK463">
            <v>339.07900000000001</v>
          </cell>
          <cell r="DL463">
            <v>386.15199999999999</v>
          </cell>
          <cell r="DN463">
            <v>587.33100000000002</v>
          </cell>
          <cell r="DO463">
            <v>765.95100000000002</v>
          </cell>
          <cell r="DP463">
            <v>723.09400000000005</v>
          </cell>
          <cell r="DQ463">
            <v>685.62099999999998</v>
          </cell>
          <cell r="DS463">
            <v>708.27099999999996</v>
          </cell>
          <cell r="DT463">
            <v>565.70600000000002</v>
          </cell>
          <cell r="DU463">
            <v>515.69799999999998</v>
          </cell>
          <cell r="DV463">
            <v>496.09500000000003</v>
          </cell>
          <cell r="DX463">
            <v>519.08799999999997</v>
          </cell>
          <cell r="DY463">
            <v>578.37099999999998</v>
          </cell>
          <cell r="DZ463">
            <v>717.48200000000008</v>
          </cell>
          <cell r="EA463">
            <v>613.23186540000006</v>
          </cell>
          <cell r="EC463">
            <v>652.87920323800017</v>
          </cell>
          <cell r="ED463">
            <v>702.76445675486013</v>
          </cell>
          <cell r="EE463">
            <v>799.19535564104262</v>
          </cell>
          <cell r="EF463">
            <v>705.95631910404336</v>
          </cell>
          <cell r="EH463">
            <v>762.63721222708307</v>
          </cell>
          <cell r="EI463">
            <v>821.70574863708293</v>
          </cell>
          <cell r="EJ463">
            <v>937.17801547345925</v>
          </cell>
          <cell r="EK463">
            <v>825.09052782153401</v>
          </cell>
          <cell r="EN463">
            <v>4.7469999999999999</v>
          </cell>
          <cell r="ER463">
            <v>10.43</v>
          </cell>
          <cell r="ES463">
            <v>18.367999999999999</v>
          </cell>
          <cell r="ET463">
            <v>37.942</v>
          </cell>
          <cell r="EU463">
            <v>62.491999999999997</v>
          </cell>
          <cell r="EX463">
            <v>66.108999999999995</v>
          </cell>
          <cell r="EZ463" t="str">
            <v>--</v>
          </cell>
          <cell r="FA463" t="str">
            <v>--</v>
          </cell>
          <cell r="FB463" t="str">
            <v>--</v>
          </cell>
          <cell r="FC463">
            <v>66.793000000000006</v>
          </cell>
          <cell r="FD463">
            <v>204.52699999999999</v>
          </cell>
          <cell r="FK463">
            <v>92.445999999999998</v>
          </cell>
          <cell r="FL463">
            <v>249.864</v>
          </cell>
          <cell r="FO463">
            <v>33.223999999999997</v>
          </cell>
          <cell r="FP463">
            <v>55.686999999999998</v>
          </cell>
          <cell r="FQ463">
            <v>104.31100000000001</v>
          </cell>
          <cell r="FR463">
            <v>279.76499999999999</v>
          </cell>
          <cell r="FT463">
            <v>32.804000000000002</v>
          </cell>
          <cell r="FU463">
            <v>57.95</v>
          </cell>
          <cell r="FV463">
            <v>105.9</v>
          </cell>
          <cell r="FW463">
            <v>275.15199999999999</v>
          </cell>
          <cell r="FX463">
            <v>386.15199999999999</v>
          </cell>
          <cell r="FY463">
            <v>685.62099999999998</v>
          </cell>
          <cell r="FZ463">
            <v>496.09500000000003</v>
          </cell>
          <cell r="GA463">
            <v>613.23186540000006</v>
          </cell>
          <cell r="GB463">
            <v>705.95631910404336</v>
          </cell>
          <cell r="GC463">
            <v>825.09052782153401</v>
          </cell>
          <cell r="GL463">
            <v>496.09500000000003</v>
          </cell>
          <cell r="GM463">
            <v>613.23186540000006</v>
          </cell>
          <cell r="GN463">
            <v>705.95631910404336</v>
          </cell>
          <cell r="GO463">
            <v>825.09052782153401</v>
          </cell>
          <cell r="GP463">
            <v>998.359538664056</v>
          </cell>
          <cell r="GQ463">
            <v>1168.0806602369455</v>
          </cell>
          <cell r="GR463">
            <v>1168.0806602369455</v>
          </cell>
          <cell r="GS463">
            <v>1261.5271130559011</v>
          </cell>
          <cell r="GT463">
            <v>1475.9867222754042</v>
          </cell>
          <cell r="GU463">
            <v>1859.7432700670095</v>
          </cell>
          <cell r="GV463">
            <v>2120.1073278763911</v>
          </cell>
          <cell r="GW463">
            <v>1802.0912286949322</v>
          </cell>
          <cell r="GX463">
            <v>1892.1957901296789</v>
          </cell>
          <cell r="GY463">
            <v>2119.2592849452408</v>
          </cell>
          <cell r="GZ463">
            <v>2352.3778062892175</v>
          </cell>
          <cell r="HA463">
            <v>2587.6155869181393</v>
          </cell>
          <cell r="HB463">
            <v>2820.5009897407722</v>
          </cell>
          <cell r="HC463">
            <v>3046.1410689200343</v>
          </cell>
          <cell r="HD463">
            <v>3259.3709437444368</v>
          </cell>
          <cell r="HE463">
            <v>3454.9332003691034</v>
          </cell>
          <cell r="HF463">
            <v>3627.6798603875586</v>
          </cell>
          <cell r="HG463">
            <v>3809.0638534069367</v>
          </cell>
          <cell r="HH463">
            <v>3999.5170460772833</v>
          </cell>
          <cell r="HI463">
            <v>4199.4928983811478</v>
          </cell>
        </row>
        <row r="464">
          <cell r="DQ464">
            <v>88.317999999999998</v>
          </cell>
          <cell r="DS464">
            <v>54.317999999999998</v>
          </cell>
          <cell r="DT464">
            <v>54.02</v>
          </cell>
          <cell r="DU464">
            <v>55.054000000000002</v>
          </cell>
          <cell r="DV464">
            <v>29.152999999999999</v>
          </cell>
          <cell r="DX464">
            <v>31.527999999999999</v>
          </cell>
          <cell r="DY464">
            <v>33.222999999999999</v>
          </cell>
          <cell r="DZ464">
            <v>36.680999999999997</v>
          </cell>
          <cell r="EA464">
            <v>31.351250699999998</v>
          </cell>
          <cell r="FY464">
            <v>88.317999999999998</v>
          </cell>
          <cell r="FZ464">
            <v>29.152999999999999</v>
          </cell>
          <cell r="GA464">
            <v>31.351250699999998</v>
          </cell>
          <cell r="GL464">
            <v>29.152999999999999</v>
          </cell>
          <cell r="GM464">
            <v>31.351250699999998</v>
          </cell>
          <cell r="GN464">
            <v>36.091753857316846</v>
          </cell>
          <cell r="GO464">
            <v>42.182445902505812</v>
          </cell>
          <cell r="GP464">
            <v>51.040759542032028</v>
          </cell>
          <cell r="GQ464">
            <v>59.717688664177466</v>
          </cell>
          <cell r="GR464">
            <v>59.717688664177466</v>
          </cell>
          <cell r="GS464">
            <v>64.495103757311668</v>
          </cell>
          <cell r="GT464">
            <v>75.459271396054646</v>
          </cell>
          <cell r="GU464">
            <v>95.078681959028856</v>
          </cell>
          <cell r="GV464">
            <v>108.38969743329291</v>
          </cell>
          <cell r="GW464">
            <v>92.131242818298972</v>
          </cell>
          <cell r="GX464">
            <v>96.737804959213918</v>
          </cell>
          <cell r="GY464">
            <v>108.34634155431959</v>
          </cell>
          <cell r="GZ464">
            <v>120.26443912529476</v>
          </cell>
        </row>
        <row r="465">
          <cell r="DQ465">
            <v>597.303</v>
          </cell>
          <cell r="DS465">
            <v>653.95299999999997</v>
          </cell>
          <cell r="DT465">
            <v>511.68599999999998</v>
          </cell>
          <cell r="DU465">
            <v>460.64400000000001</v>
          </cell>
          <cell r="DV465">
            <v>466.94200000000001</v>
          </cell>
          <cell r="DX465">
            <v>487.56</v>
          </cell>
          <cell r="DY465">
            <v>545.14800000000002</v>
          </cell>
          <cell r="DZ465">
            <v>680.80100000000004</v>
          </cell>
          <cell r="EA465">
            <v>581.88061470000002</v>
          </cell>
          <cell r="FY465">
            <v>597.303</v>
          </cell>
          <cell r="FZ465">
            <v>466.94200000000001</v>
          </cell>
          <cell r="GA465">
            <v>581.88061470000002</v>
          </cell>
          <cell r="GL465">
            <v>466.94200000000001</v>
          </cell>
          <cell r="GM465">
            <v>581.88061470000002</v>
          </cell>
          <cell r="GN465">
            <v>669.86456524672656</v>
          </cell>
          <cell r="GO465">
            <v>782.90808191902818</v>
          </cell>
          <cell r="GP465">
            <v>947.31877912202401</v>
          </cell>
          <cell r="GQ465">
            <v>1108.3629715727679</v>
          </cell>
          <cell r="GR465">
            <v>1108.3629715727679</v>
          </cell>
          <cell r="GS465">
            <v>1197.0320092985894</v>
          </cell>
          <cell r="GT465">
            <v>1400.5274508793495</v>
          </cell>
          <cell r="GU465">
            <v>1764.6645881079805</v>
          </cell>
          <cell r="GV465">
            <v>2011.717630443098</v>
          </cell>
          <cell r="GW465">
            <v>1709.9599858766333</v>
          </cell>
          <cell r="GX465">
            <v>1795.457985170465</v>
          </cell>
          <cell r="GY465">
            <v>2010.9129433909211</v>
          </cell>
          <cell r="GZ465">
            <v>2232.1133671639227</v>
          </cell>
        </row>
        <row r="467">
          <cell r="I467">
            <v>14.131</v>
          </cell>
          <cell r="J467">
            <v>14.936999999999999</v>
          </cell>
          <cell r="K467">
            <v>20.155000000000001</v>
          </cell>
          <cell r="L467">
            <v>25.757999999999999</v>
          </cell>
          <cell r="N467">
            <v>34.936</v>
          </cell>
          <cell r="O467">
            <v>37.545999999999999</v>
          </cell>
          <cell r="P467">
            <v>41.054000000000002</v>
          </cell>
          <cell r="Q467">
            <v>91.792000000000002</v>
          </cell>
          <cell r="S467">
            <v>91.772999999999996</v>
          </cell>
          <cell r="T467">
            <v>96.222999999999999</v>
          </cell>
          <cell r="U467">
            <v>103.55</v>
          </cell>
          <cell r="V467">
            <v>149.01499999999999</v>
          </cell>
          <cell r="X467">
            <v>176.428</v>
          </cell>
          <cell r="Y467">
            <v>191.083</v>
          </cell>
          <cell r="Z467">
            <v>204.99600000000001</v>
          </cell>
          <cell r="AA467">
            <v>255.57300000000001</v>
          </cell>
          <cell r="AC467">
            <v>285.173</v>
          </cell>
          <cell r="AD467">
            <v>305.798</v>
          </cell>
          <cell r="AE467">
            <v>327.11799999999999</v>
          </cell>
          <cell r="AF467">
            <v>367.50700000000001</v>
          </cell>
          <cell r="AJ467">
            <v>299.66500000000002</v>
          </cell>
          <cell r="AK467">
            <v>323.673</v>
          </cell>
          <cell r="AL467">
            <v>350.69499999999999</v>
          </cell>
          <cell r="AM467">
            <v>397.16800000000001</v>
          </cell>
          <cell r="AY467">
            <v>475.11500000000001</v>
          </cell>
          <cell r="AZ467">
            <v>511.209</v>
          </cell>
          <cell r="BA467">
            <v>586.40300000000002</v>
          </cell>
          <cell r="BB467">
            <v>723.39400000000001</v>
          </cell>
          <cell r="BD467">
            <v>504.166</v>
          </cell>
          <cell r="BE467">
            <v>543.47299999999996</v>
          </cell>
          <cell r="BF467">
            <v>623.654</v>
          </cell>
          <cell r="BG467">
            <v>774.03399999999999</v>
          </cell>
          <cell r="BI467">
            <v>393.83499999999998</v>
          </cell>
          <cell r="BJ467">
            <v>486.608</v>
          </cell>
          <cell r="BK467">
            <v>550.67100000000005</v>
          </cell>
          <cell r="BN467">
            <v>754.48400000000004</v>
          </cell>
          <cell r="BO467">
            <v>829.69799999999998</v>
          </cell>
          <cell r="BP467">
            <v>961.73900000000003</v>
          </cell>
          <cell r="BQ467">
            <v>1095.4849999999999</v>
          </cell>
          <cell r="BS467">
            <v>805.404</v>
          </cell>
          <cell r="BT467">
            <v>889.08799999999997</v>
          </cell>
          <cell r="BU467">
            <v>1028.7650000000001</v>
          </cell>
          <cell r="BV467">
            <v>1095.4849999999999</v>
          </cell>
          <cell r="BX467">
            <v>1239.396</v>
          </cell>
          <cell r="BZ467">
            <v>342.30099999999999</v>
          </cell>
          <cell r="CA467">
            <v>386.154</v>
          </cell>
          <cell r="CB467">
            <v>453.83499999999998</v>
          </cell>
          <cell r="CC467">
            <v>550.779</v>
          </cell>
          <cell r="CE467">
            <v>554.89099999999996</v>
          </cell>
          <cell r="CF467">
            <v>597.66899999999998</v>
          </cell>
          <cell r="CG467">
            <v>688.00199999999995</v>
          </cell>
          <cell r="CH467">
            <v>880.21799999999996</v>
          </cell>
          <cell r="CJ467">
            <v>908.88800000000003</v>
          </cell>
          <cell r="CK467">
            <v>998.20500000000004</v>
          </cell>
          <cell r="CL467">
            <v>1139.615</v>
          </cell>
          <cell r="CM467">
            <v>1216.8630000000001</v>
          </cell>
          <cell r="CO467">
            <v>1239.396</v>
          </cell>
          <cell r="CP467">
            <v>1542.1</v>
          </cell>
          <cell r="CT467">
            <v>378.60599999999999</v>
          </cell>
          <cell r="CU467">
            <v>422.459</v>
          </cell>
          <cell r="CV467">
            <v>490.14</v>
          </cell>
          <cell r="CW467">
            <v>587.10400000000004</v>
          </cell>
          <cell r="CY467">
            <v>593.23500000000001</v>
          </cell>
          <cell r="CZ467">
            <v>641.03300000000002</v>
          </cell>
          <cell r="DA467">
            <v>740.06700000000001</v>
          </cell>
          <cell r="DB467">
            <v>942.15599999999995</v>
          </cell>
          <cell r="DD467">
            <v>975.36900000000003</v>
          </cell>
          <cell r="DE467">
            <v>1068.7940000000001</v>
          </cell>
          <cell r="DF467">
            <v>1214.8240000000001</v>
          </cell>
          <cell r="DG467">
            <v>1323.732</v>
          </cell>
          <cell r="DI467">
            <v>1473.9829999999999</v>
          </cell>
          <cell r="DJ467">
            <v>1659.115</v>
          </cell>
          <cell r="DK467">
            <v>1856.1679999999999</v>
          </cell>
          <cell r="DL467">
            <v>1828.441</v>
          </cell>
          <cell r="DN467">
            <v>1997.692</v>
          </cell>
          <cell r="DO467">
            <v>2035.3030000000001</v>
          </cell>
          <cell r="DP467">
            <v>2061.8760000000002</v>
          </cell>
          <cell r="DQ467">
            <v>2032.4949999999999</v>
          </cell>
          <cell r="DS467">
            <v>2010.41</v>
          </cell>
          <cell r="DT467">
            <v>2051.4850000000001</v>
          </cell>
          <cell r="DU467">
            <v>2026.633</v>
          </cell>
          <cell r="DV467">
            <v>1965.729</v>
          </cell>
          <cell r="DX467">
            <v>1695.6469999999999</v>
          </cell>
          <cell r="DY467">
            <v>1652.884</v>
          </cell>
          <cell r="DZ467">
            <v>1641.723</v>
          </cell>
          <cell r="EA467">
            <v>1611.964713637964</v>
          </cell>
          <cell r="EC467">
            <v>1591.0305673493372</v>
          </cell>
          <cell r="ED467">
            <v>1583.9548925955519</v>
          </cell>
          <cell r="EE467">
            <v>1591.6924744927553</v>
          </cell>
          <cell r="EF467">
            <v>1599.7179639535602</v>
          </cell>
          <cell r="EH467">
            <v>1679.13799813132</v>
          </cell>
          <cell r="EI467">
            <v>1695.1278251129929</v>
          </cell>
          <cell r="EJ467">
            <v>1723.773602563296</v>
          </cell>
          <cell r="EK467">
            <v>1750.9864443900342</v>
          </cell>
          <cell r="EN467">
            <v>25.757999999999999</v>
          </cell>
          <cell r="ER467">
            <v>91.792000000000002</v>
          </cell>
          <cell r="ES467">
            <v>149.01499999999999</v>
          </cell>
          <cell r="ET467">
            <v>255.57300000000001</v>
          </cell>
          <cell r="EU467">
            <v>367.50700000000001</v>
          </cell>
          <cell r="EX467">
            <v>397.16800000000001</v>
          </cell>
          <cell r="EZ467" t="str">
            <v>--</v>
          </cell>
          <cell r="FA467" t="str">
            <v>--</v>
          </cell>
          <cell r="FB467" t="str">
            <v>--</v>
          </cell>
          <cell r="FC467">
            <v>407.35300000000001</v>
          </cell>
          <cell r="FD467">
            <v>599.33799999999997</v>
          </cell>
          <cell r="FK467">
            <v>774.03399999999999</v>
          </cell>
          <cell r="FL467">
            <v>1095.4849999999999</v>
          </cell>
          <cell r="FO467">
            <v>303.57100000000003</v>
          </cell>
          <cell r="FP467">
            <v>550.79899999999998</v>
          </cell>
          <cell r="FQ467">
            <v>880.21800000000007</v>
          </cell>
          <cell r="FR467">
            <v>1216.8630000000001</v>
          </cell>
          <cell r="FT467">
            <v>303.57100000000003</v>
          </cell>
          <cell r="FU467">
            <v>587.10400000000004</v>
          </cell>
          <cell r="FV467">
            <v>942.15599999999995</v>
          </cell>
          <cell r="FW467">
            <v>1323.732</v>
          </cell>
          <cell r="FX467">
            <v>1828.441</v>
          </cell>
          <cell r="FY467">
            <v>2032.4949999999999</v>
          </cell>
          <cell r="FZ467">
            <v>1965.729</v>
          </cell>
          <cell r="GA467">
            <v>1611.964713637964</v>
          </cell>
          <cell r="GB467">
            <v>1599.7179639535602</v>
          </cell>
          <cell r="GC467">
            <v>1750.9864443900342</v>
          </cell>
          <cell r="GL467">
            <v>1965.729</v>
          </cell>
          <cell r="GM467">
            <v>1611.964713637964</v>
          </cell>
          <cell r="GN467">
            <v>1599.7179639535602</v>
          </cell>
          <cell r="GO467">
            <v>1750.9864443900342</v>
          </cell>
          <cell r="GP467">
            <v>2199.4977945112059</v>
          </cell>
          <cell r="GQ467">
            <v>2933.6441498032473</v>
          </cell>
          <cell r="GR467">
            <v>3468.5776994561943</v>
          </cell>
          <cell r="GS467">
            <v>3923.6464599353749</v>
          </cell>
          <cell r="GT467">
            <v>4702.0825073723709</v>
          </cell>
          <cell r="GU467">
            <v>6070.926609143281</v>
          </cell>
          <cell r="GV467">
            <v>7108.4935249243854</v>
          </cell>
          <cell r="GW467">
            <v>6888.3306160411867</v>
          </cell>
          <cell r="GX467">
            <v>6725.6592383666202</v>
          </cell>
          <cell r="GY467">
            <v>6877.5280200012421</v>
          </cell>
          <cell r="GZ467">
            <v>7030.1340495839386</v>
          </cell>
          <cell r="HA467">
            <v>7161.5946603562879</v>
          </cell>
          <cell r="HB467">
            <v>7250.6028274466353</v>
          </cell>
          <cell r="HC467">
            <v>7325.5994297295338</v>
          </cell>
          <cell r="HD467">
            <v>7383.1741668907252</v>
          </cell>
          <cell r="HE467">
            <v>7405.4501563277227</v>
          </cell>
          <cell r="HF467">
            <v>7430.7517080336756</v>
          </cell>
          <cell r="HG467">
            <v>7457.274831262921</v>
          </cell>
          <cell r="HH467">
            <v>7447.3344810850704</v>
          </cell>
          <cell r="HI467">
            <v>7448.3584459056656</v>
          </cell>
        </row>
        <row r="468">
          <cell r="DL468">
            <v>2447.09</v>
          </cell>
          <cell r="DN468">
            <v>2687.663</v>
          </cell>
          <cell r="DO468">
            <v>2802.6660000000002</v>
          </cell>
          <cell r="DP468">
            <v>2910.6590000000001</v>
          </cell>
          <cell r="DQ468">
            <v>2865.1770000000001</v>
          </cell>
          <cell r="DS468">
            <v>2922.19</v>
          </cell>
          <cell r="DT468">
            <v>3042.4560000000001</v>
          </cell>
          <cell r="DU468">
            <v>3101.3150000000001</v>
          </cell>
          <cell r="DV468">
            <v>2964.6550000000002</v>
          </cell>
          <cell r="DX468">
            <v>2743.3649999999998</v>
          </cell>
          <cell r="DY468">
            <v>2701.0720000000001</v>
          </cell>
          <cell r="DZ468">
            <v>2753.3438888888891</v>
          </cell>
          <cell r="EA468">
            <v>2786.8858871961779</v>
          </cell>
          <cell r="FW468">
            <v>1674.9459999999999</v>
          </cell>
          <cell r="FX468">
            <v>2447.09</v>
          </cell>
          <cell r="FY468">
            <v>2865.1770000000001</v>
          </cell>
          <cell r="FZ468">
            <v>2964.6550000000002</v>
          </cell>
          <cell r="GA468">
            <v>2786.8858871961779</v>
          </cell>
          <cell r="GL468">
            <v>2964.6550000000002</v>
          </cell>
          <cell r="GM468">
            <v>2786.8858871961779</v>
          </cell>
          <cell r="GN468">
            <v>2942.2083504906168</v>
          </cell>
          <cell r="GO468">
            <v>3253.2828522581162</v>
          </cell>
          <cell r="GP468">
            <v>3594.9065156544875</v>
          </cell>
          <cell r="GQ468">
            <v>3985.9815654456179</v>
          </cell>
          <cell r="GR468">
            <v>3940.9727016193729</v>
          </cell>
          <cell r="GS468">
            <v>3893.9559553336458</v>
          </cell>
          <cell r="GT468">
            <v>4380.929144673175</v>
          </cell>
          <cell r="GU468">
            <v>6261.4081552503676</v>
          </cell>
          <cell r="GV468">
            <v>7880.6622575638658</v>
          </cell>
          <cell r="GW468">
            <v>8117.2234419564902</v>
          </cell>
          <cell r="GX468">
            <v>8064.7741710902155</v>
          </cell>
          <cell r="GY468">
            <v>7981.9987448595366</v>
          </cell>
          <cell r="GZ468">
            <v>8122.3424423849883</v>
          </cell>
        </row>
        <row r="469">
          <cell r="DL469">
            <v>-618.649</v>
          </cell>
          <cell r="DN469">
            <v>-689.971</v>
          </cell>
          <cell r="DO469">
            <v>-767.36300000000006</v>
          </cell>
          <cell r="DP469">
            <v>-848.78300000000002</v>
          </cell>
          <cell r="DQ469">
            <v>-832.68200000000002</v>
          </cell>
          <cell r="DS469">
            <v>-911.78</v>
          </cell>
          <cell r="DT469">
            <v>-990.971</v>
          </cell>
          <cell r="DU469">
            <v>-1074.682</v>
          </cell>
          <cell r="DV469">
            <v>-998.92600000000004</v>
          </cell>
          <cell r="DX469">
            <v>-1047.7180000000001</v>
          </cell>
          <cell r="DY469">
            <v>-1048.1880000000001</v>
          </cell>
          <cell r="DZ469">
            <v>-1111.6208888888891</v>
          </cell>
          <cell r="EA469">
            <v>-1174.9211735582139</v>
          </cell>
          <cell r="FW469">
            <v>-351.214</v>
          </cell>
          <cell r="FX469">
            <v>-618.649</v>
          </cell>
          <cell r="FY469">
            <v>-832.68200000000002</v>
          </cell>
          <cell r="FZ469">
            <v>-998.92600000000004</v>
          </cell>
          <cell r="GA469">
            <v>-1174.9211735582139</v>
          </cell>
          <cell r="GL469">
            <v>-998.92600000000004</v>
          </cell>
          <cell r="GM469">
            <v>-1174.9211735582139</v>
          </cell>
          <cell r="GN469">
            <v>-1342.4903865370575</v>
          </cell>
          <cell r="GO469">
            <v>-1502.2964078680841</v>
          </cell>
          <cell r="GP469">
            <v>-1395.4087211432816</v>
          </cell>
          <cell r="GQ469">
            <v>-1052.3374156423704</v>
          </cell>
          <cell r="GR469">
            <v>-472.39500216317867</v>
          </cell>
          <cell r="GS469">
            <v>29.690504601729003</v>
          </cell>
          <cell r="GT469">
            <v>321.1533626991955</v>
          </cell>
          <cell r="GU469">
            <v>-190.48154610708704</v>
          </cell>
          <cell r="GV469">
            <v>-772.16873263948037</v>
          </cell>
          <cell r="GW469">
            <v>-1228.8928259153035</v>
          </cell>
          <cell r="GX469">
            <v>-1339.1149327235955</v>
          </cell>
          <cell r="GY469">
            <v>-1104.470724858294</v>
          </cell>
          <cell r="GZ469">
            <v>-1092.2083928010497</v>
          </cell>
        </row>
        <row r="470">
          <cell r="CT470">
            <v>123.39400000000001</v>
          </cell>
          <cell r="CU470">
            <v>134.22300000000001</v>
          </cell>
          <cell r="CV470">
            <v>145.07</v>
          </cell>
          <cell r="CW470">
            <v>303.28100000000001</v>
          </cell>
          <cell r="CY470">
            <v>306.572</v>
          </cell>
          <cell r="CZ470">
            <v>299.37200000000001</v>
          </cell>
          <cell r="DA470">
            <v>396.37799999999999</v>
          </cell>
          <cell r="DB470">
            <v>416.45600000000002</v>
          </cell>
          <cell r="DD470">
            <v>460.209</v>
          </cell>
          <cell r="DE470">
            <v>474.101</v>
          </cell>
          <cell r="DF470">
            <v>518.303</v>
          </cell>
          <cell r="DG470">
            <v>588.46699999999998</v>
          </cell>
          <cell r="DI470">
            <v>623.39300000000003</v>
          </cell>
          <cell r="DJ470">
            <v>671.673</v>
          </cell>
          <cell r="DK470">
            <v>743.51099999999997</v>
          </cell>
          <cell r="DL470">
            <v>1287.1669999999999</v>
          </cell>
          <cell r="DN470">
            <v>1354.5159999999998</v>
          </cell>
          <cell r="DO470">
            <v>1550.7270000000001</v>
          </cell>
          <cell r="DP470">
            <v>1915.6130000000001</v>
          </cell>
          <cell r="DQ470">
            <v>1974.6110000000001</v>
          </cell>
          <cell r="DS470">
            <v>2235.0280000000002</v>
          </cell>
          <cell r="DT470">
            <v>2676.2780000000002</v>
          </cell>
          <cell r="DU470">
            <v>2891.9479999999999</v>
          </cell>
          <cell r="DV470">
            <v>2949.6149999999998</v>
          </cell>
          <cell r="DX470">
            <v>3145.6670000000004</v>
          </cell>
          <cell r="DY470">
            <v>3204.337</v>
          </cell>
          <cell r="DZ470">
            <v>3323.9070000000002</v>
          </cell>
          <cell r="EA470">
            <v>3109.7401017000002</v>
          </cell>
          <cell r="FV470">
            <v>416.45600000000002</v>
          </cell>
          <cell r="FW470">
            <v>588.46699999999998</v>
          </cell>
          <cell r="FX470">
            <v>1287.1669999999999</v>
          </cell>
          <cell r="FY470">
            <v>1974.6110000000001</v>
          </cell>
          <cell r="FZ470">
            <v>2949.6149999999998</v>
          </cell>
          <cell r="GA470">
            <v>3109.7401017000002</v>
          </cell>
          <cell r="GL470">
            <v>2949.6149999999998</v>
          </cell>
          <cell r="GM470">
            <v>3109.7401017000002</v>
          </cell>
          <cell r="GN470">
            <v>3218.2296115631279</v>
          </cell>
          <cell r="GO470">
            <v>3371.9610112929877</v>
          </cell>
          <cell r="GP470">
            <v>3601.9562536645149</v>
          </cell>
          <cell r="GQ470">
            <v>3827.6499267874824</v>
          </cell>
          <cell r="GR470">
            <v>3825.049926787482</v>
          </cell>
          <cell r="GS470">
            <v>3948.916560930481</v>
          </cell>
          <cell r="GT470">
            <v>4236.5574862886624</v>
          </cell>
          <cell r="GU470">
            <v>4753.3180127237156</v>
          </cell>
          <cell r="GV470">
            <v>5103.8841545050345</v>
          </cell>
          <cell r="GW470">
            <v>4673.4940813292797</v>
          </cell>
          <cell r="GX470">
            <v>4795.4379353957438</v>
          </cell>
          <cell r="GY470">
            <v>5102.736447643234</v>
          </cell>
          <cell r="GZ470">
            <v>5418.2295868839901</v>
          </cell>
        </row>
        <row r="471">
          <cell r="CP471">
            <v>564.9</v>
          </cell>
          <cell r="CT471" t="str">
            <v>--</v>
          </cell>
          <cell r="CU471" t="str">
            <v>--</v>
          </cell>
          <cell r="CV471" t="str">
            <v>--</v>
          </cell>
          <cell r="CW471" t="str">
            <v>--</v>
          </cell>
          <cell r="CY471" t="str">
            <v>--</v>
          </cell>
          <cell r="CZ471" t="str">
            <v>--</v>
          </cell>
          <cell r="DA471" t="str">
            <v>--</v>
          </cell>
          <cell r="DB471" t="str">
            <v>--</v>
          </cell>
          <cell r="DD471" t="str">
            <v>--</v>
          </cell>
          <cell r="DE471" t="str">
            <v>--</v>
          </cell>
          <cell r="DF471" t="str">
            <v>--</v>
          </cell>
          <cell r="DG471">
            <v>390.351</v>
          </cell>
          <cell r="DI471" t="str">
            <v>--</v>
          </cell>
          <cell r="DJ471" t="str">
            <v>--</v>
          </cell>
          <cell r="DK471">
            <v>604.21100000000001</v>
          </cell>
          <cell r="DL471">
            <v>983.38400000000001</v>
          </cell>
          <cell r="DN471">
            <v>1034.5429999999999</v>
          </cell>
          <cell r="DO471">
            <v>1136.5920000000001</v>
          </cell>
          <cell r="DP471">
            <v>1371.886</v>
          </cell>
          <cell r="DQ471">
            <v>1538.1480000000001</v>
          </cell>
          <cell r="DS471">
            <v>1623.134</v>
          </cell>
          <cell r="DT471">
            <v>2024.48</v>
          </cell>
          <cell r="DU471">
            <v>2126.27</v>
          </cell>
          <cell r="DV471">
            <v>2192.91</v>
          </cell>
          <cell r="DX471">
            <v>2269.4480000000003</v>
          </cell>
          <cell r="DY471">
            <v>2297.87</v>
          </cell>
          <cell r="DZ471">
            <v>2352.8960000000002</v>
          </cell>
          <cell r="EA471">
            <v>2279.817</v>
          </cell>
          <cell r="EC471">
            <v>2275.567</v>
          </cell>
          <cell r="ED471">
            <v>2271.317</v>
          </cell>
          <cell r="EE471">
            <v>2267.067</v>
          </cell>
          <cell r="EF471">
            <v>2262.817</v>
          </cell>
          <cell r="EH471">
            <v>2260.942</v>
          </cell>
          <cell r="EI471">
            <v>2259.067</v>
          </cell>
          <cell r="EJ471">
            <v>2257.192</v>
          </cell>
          <cell r="EK471">
            <v>2255.317</v>
          </cell>
          <cell r="FR471">
            <v>390.3</v>
          </cell>
          <cell r="FW471">
            <v>390.3</v>
          </cell>
          <cell r="FX471">
            <v>983.38400000000001</v>
          </cell>
          <cell r="FY471">
            <v>1538.1480000000001</v>
          </cell>
          <cell r="FZ471">
            <v>2192.91</v>
          </cell>
          <cell r="GA471">
            <v>2279.817</v>
          </cell>
          <cell r="GB471">
            <v>2262.817</v>
          </cell>
          <cell r="GC471">
            <v>2255.317</v>
          </cell>
          <cell r="GL471">
            <v>2192.91</v>
          </cell>
          <cell r="GM471">
            <v>2279.817</v>
          </cell>
          <cell r="GN471">
            <v>2262.817</v>
          </cell>
          <cell r="GO471">
            <v>2255.317</v>
          </cell>
          <cell r="GP471">
            <v>2250.817</v>
          </cell>
          <cell r="GQ471">
            <v>2246.817</v>
          </cell>
          <cell r="GR471">
            <v>2244.2169999999996</v>
          </cell>
          <cell r="GS471">
            <v>2241.6169999999997</v>
          </cell>
          <cell r="GT471">
            <v>2239.0169999999998</v>
          </cell>
          <cell r="GU471">
            <v>2236.4169999999999</v>
          </cell>
          <cell r="GV471">
            <v>2234.6169999999997</v>
          </cell>
          <cell r="GW471">
            <v>2234.6169999999997</v>
          </cell>
          <cell r="GX471">
            <v>2234.6169999999997</v>
          </cell>
          <cell r="GY471">
            <v>2234.6169999999997</v>
          </cell>
          <cell r="GZ471">
            <v>2234.6169999999997</v>
          </cell>
          <cell r="HA471">
            <v>2234.6169999999997</v>
          </cell>
          <cell r="HB471">
            <v>2234.6169999999997</v>
          </cell>
          <cell r="HC471">
            <v>2234.6169999999997</v>
          </cell>
          <cell r="HD471">
            <v>2234.6169999999997</v>
          </cell>
          <cell r="HE471">
            <v>2234.6169999999997</v>
          </cell>
          <cell r="HF471">
            <v>2234.6169999999997</v>
          </cell>
          <cell r="HG471">
            <v>2234.6169999999997</v>
          </cell>
          <cell r="HH471">
            <v>2234.6169999999997</v>
          </cell>
          <cell r="HI471">
            <v>2234.6169999999997</v>
          </cell>
        </row>
        <row r="472">
          <cell r="DL472">
            <v>957.29100000000005</v>
          </cell>
          <cell r="DN472">
            <v>1007.4429999999999</v>
          </cell>
          <cell r="DO472">
            <v>1108.452</v>
          </cell>
          <cell r="DP472">
            <v>1343.171</v>
          </cell>
          <cell r="DQ472">
            <v>1489.4490000000001</v>
          </cell>
          <cell r="DS472">
            <v>1576.039</v>
          </cell>
          <cell r="DT472">
            <v>1957.432</v>
          </cell>
          <cell r="DU472">
            <v>2062.9299999999998</v>
          </cell>
          <cell r="DV472">
            <v>2121.9969999999998</v>
          </cell>
          <cell r="DX472">
            <v>2200.3380000000002</v>
          </cell>
          <cell r="DY472">
            <v>2235.6509999999998</v>
          </cell>
          <cell r="DZ472">
            <v>2235.6509999999998</v>
          </cell>
          <cell r="EA472">
            <v>2235.6509999999998</v>
          </cell>
          <cell r="FX472">
            <v>957.29100000000005</v>
          </cell>
          <cell r="FY472">
            <v>1489.4490000000001</v>
          </cell>
          <cell r="FZ472">
            <v>2121.9969999999998</v>
          </cell>
          <cell r="GA472">
            <v>2235.6509999999998</v>
          </cell>
          <cell r="GL472">
            <v>2121.9969999999998</v>
          </cell>
          <cell r="GM472">
            <v>2235.6509999999998</v>
          </cell>
          <cell r="GN472">
            <v>2235.6509999999998</v>
          </cell>
          <cell r="GO472">
            <v>2235.6509999999998</v>
          </cell>
          <cell r="GP472">
            <v>2235.6509999999998</v>
          </cell>
          <cell r="GQ472">
            <v>2235.6509999999998</v>
          </cell>
          <cell r="GR472">
            <v>2235.6509999999998</v>
          </cell>
          <cell r="GS472">
            <v>2235.6509999999998</v>
          </cell>
          <cell r="GT472">
            <v>2235.6509999999998</v>
          </cell>
          <cell r="GU472">
            <v>2235.6509999999998</v>
          </cell>
          <cell r="GV472">
            <v>2235.6509999999998</v>
          </cell>
          <cell r="GW472">
            <v>2235.6509999999998</v>
          </cell>
          <cell r="GX472">
            <v>2235.6509999999998</v>
          </cell>
          <cell r="GY472">
            <v>2235.6509999999998</v>
          </cell>
          <cell r="GZ472">
            <v>2235.6509999999998</v>
          </cell>
        </row>
        <row r="473">
          <cell r="DL473">
            <v>26.093</v>
          </cell>
          <cell r="DN473">
            <v>27.1</v>
          </cell>
          <cell r="DO473">
            <v>28.14</v>
          </cell>
          <cell r="DP473">
            <v>28.715</v>
          </cell>
          <cell r="DQ473">
            <v>48.698999999999998</v>
          </cell>
          <cell r="DS473">
            <v>47.094999999999999</v>
          </cell>
          <cell r="DT473">
            <v>67.048000000000002</v>
          </cell>
          <cell r="DU473">
            <v>63.34</v>
          </cell>
          <cell r="DV473">
            <v>70.912999999999997</v>
          </cell>
          <cell r="DX473">
            <v>69.11</v>
          </cell>
          <cell r="DY473">
            <v>62.219000000000001</v>
          </cell>
          <cell r="DZ473">
            <v>52.665999999999997</v>
          </cell>
          <cell r="EA473">
            <v>44.165999999999997</v>
          </cell>
          <cell r="FX473">
            <v>26.093</v>
          </cell>
          <cell r="FY473">
            <v>48.698999999999998</v>
          </cell>
          <cell r="FZ473">
            <v>70.912999999999997</v>
          </cell>
          <cell r="GA473">
            <v>44.165999999999997</v>
          </cell>
          <cell r="GL473">
            <v>70.912999999999997</v>
          </cell>
          <cell r="GM473">
            <v>44.165999999999997</v>
          </cell>
          <cell r="GN473">
            <v>27.165999999999997</v>
          </cell>
          <cell r="GO473">
            <v>19.665999999999997</v>
          </cell>
          <cell r="GP473">
            <v>15.165999999999997</v>
          </cell>
          <cell r="GQ473">
            <v>11.165999999999997</v>
          </cell>
          <cell r="GR473">
            <v>8.5659999999999972</v>
          </cell>
          <cell r="GS473">
            <v>5.9659999999999975</v>
          </cell>
          <cell r="GT473">
            <v>3.3659999999999974</v>
          </cell>
          <cell r="GU473">
            <v>0.76599999999999735</v>
          </cell>
          <cell r="GV473">
            <v>-1.0340000000000027</v>
          </cell>
          <cell r="GW473">
            <v>-1.0340000000000027</v>
          </cell>
          <cell r="GX473">
            <v>-1.0340000000000027</v>
          </cell>
          <cell r="GY473">
            <v>-1.0340000000000027</v>
          </cell>
          <cell r="GZ473">
            <v>-1.0340000000000027</v>
          </cell>
        </row>
        <row r="474">
          <cell r="CP474">
            <v>105.8</v>
          </cell>
          <cell r="CT474" t="str">
            <v>--</v>
          </cell>
          <cell r="CU474" t="str">
            <v>--</v>
          </cell>
          <cell r="CV474" t="str">
            <v>--</v>
          </cell>
          <cell r="CW474" t="str">
            <v>--</v>
          </cell>
          <cell r="CY474" t="str">
            <v>--</v>
          </cell>
          <cell r="CZ474" t="str">
            <v>--</v>
          </cell>
          <cell r="DA474" t="str">
            <v>--</v>
          </cell>
          <cell r="DB474" t="str">
            <v>--</v>
          </cell>
          <cell r="DD474" t="str">
            <v>--</v>
          </cell>
          <cell r="DE474" t="str">
            <v>--</v>
          </cell>
          <cell r="DF474" t="str">
            <v>--</v>
          </cell>
          <cell r="DG474">
            <v>198.11599999999999</v>
          </cell>
          <cell r="DI474" t="str">
            <v>--</v>
          </cell>
          <cell r="DJ474" t="str">
            <v>--</v>
          </cell>
          <cell r="DK474">
            <v>139.29999999999995</v>
          </cell>
          <cell r="DL474">
            <v>303.78300000000002</v>
          </cell>
          <cell r="DN474">
            <v>319.97300000000001</v>
          </cell>
          <cell r="DO474">
            <v>414.13499999999999</v>
          </cell>
          <cell r="DP474">
            <v>543.72700000000009</v>
          </cell>
          <cell r="DQ474">
            <v>436.46299999999997</v>
          </cell>
          <cell r="DS474">
            <v>611.89400000000001</v>
          </cell>
          <cell r="DT474">
            <v>651.798</v>
          </cell>
          <cell r="DU474">
            <v>765.678</v>
          </cell>
          <cell r="DV474">
            <v>756.70499999999993</v>
          </cell>
          <cell r="DX474">
            <v>876.21900000000005</v>
          </cell>
          <cell r="DY474">
            <v>906.46699999999998</v>
          </cell>
          <cell r="DZ474">
            <v>971.01099999999997</v>
          </cell>
          <cell r="EA474">
            <v>829.92310170000007</v>
          </cell>
          <cell r="EC474">
            <v>883.58019854900022</v>
          </cell>
          <cell r="ED474">
            <v>951.09287468953016</v>
          </cell>
          <cell r="EE474">
            <v>1081.5985369338387</v>
          </cell>
          <cell r="EF474">
            <v>955.41261156312805</v>
          </cell>
          <cell r="EH474">
            <v>1032.1222303581583</v>
          </cell>
          <cell r="EI474">
            <v>1112.0631886093902</v>
          </cell>
          <cell r="EJ474">
            <v>1268.3386649182821</v>
          </cell>
          <cell r="EK474">
            <v>1116.6440112929877</v>
          </cell>
          <cell r="FR474">
            <v>191.85399999999998</v>
          </cell>
          <cell r="FW474">
            <v>198.16699999999997</v>
          </cell>
          <cell r="FX474">
            <v>303.78300000000002</v>
          </cell>
          <cell r="FY474">
            <v>436.46299999999997</v>
          </cell>
          <cell r="FZ474">
            <v>756.70499999999993</v>
          </cell>
          <cell r="GA474">
            <v>829.92310170000007</v>
          </cell>
          <cell r="GB474">
            <v>955.41261156312805</v>
          </cell>
          <cell r="GC474">
            <v>1116.6440112929877</v>
          </cell>
          <cell r="GL474">
            <v>756.70499999999993</v>
          </cell>
          <cell r="GM474">
            <v>829.92310170000007</v>
          </cell>
          <cell r="GN474">
            <v>955.41261156312805</v>
          </cell>
          <cell r="GO474">
            <v>1116.6440112929877</v>
          </cell>
          <cell r="GP474">
            <v>1351.1392536645149</v>
          </cell>
          <cell r="GQ474">
            <v>1580.8329267874824</v>
          </cell>
          <cell r="GR474">
            <v>1580.8329267874824</v>
          </cell>
          <cell r="GS474">
            <v>1707.2995609304812</v>
          </cell>
          <cell r="GT474">
            <v>1997.5404862886626</v>
          </cell>
          <cell r="GU474">
            <v>2516.9010127237152</v>
          </cell>
          <cell r="GV474">
            <v>2869.2671545050353</v>
          </cell>
          <cell r="GW474">
            <v>2438.8770813292799</v>
          </cell>
          <cell r="GX474">
            <v>2560.8209353957441</v>
          </cell>
          <cell r="GY474">
            <v>2868.1194476432338</v>
          </cell>
          <cell r="GZ474">
            <v>3183.6125868839899</v>
          </cell>
          <cell r="HA474">
            <v>3501.9738455723891</v>
          </cell>
          <cell r="HB474">
            <v>3817.1514916739043</v>
          </cell>
          <cell r="HC474">
            <v>4122.5236110078167</v>
          </cell>
          <cell r="HD474">
            <v>4411.100263778364</v>
          </cell>
          <cell r="HE474">
            <v>4675.7662796050663</v>
          </cell>
          <cell r="HF474">
            <v>4909.5545935853197</v>
          </cell>
          <cell r="HG474">
            <v>5155.032323264586</v>
          </cell>
          <cell r="HH474">
            <v>5412.7839394278153</v>
          </cell>
          <cell r="HI474">
            <v>5683.4231363992058</v>
          </cell>
        </row>
        <row r="475">
          <cell r="DQ475">
            <v>312.99599999999998</v>
          </cell>
          <cell r="DS475">
            <v>363.02100000000002</v>
          </cell>
          <cell r="DT475">
            <v>370.04500000000002</v>
          </cell>
          <cell r="DU475">
            <v>380.94099999999997</v>
          </cell>
          <cell r="DV475">
            <v>415.041</v>
          </cell>
          <cell r="DX475">
            <v>453.86200000000002</v>
          </cell>
          <cell r="DY475">
            <v>469.52199999999999</v>
          </cell>
          <cell r="DZ475">
            <v>470.72300000000001</v>
          </cell>
          <cell r="EA475">
            <v>402.32694810000004</v>
          </cell>
          <cell r="FY475">
            <v>312.99599999999998</v>
          </cell>
          <cell r="FZ475">
            <v>415.041</v>
          </cell>
          <cell r="GA475">
            <v>402.32694810000004</v>
          </cell>
          <cell r="GL475">
            <v>415.041</v>
          </cell>
          <cell r="GM475">
            <v>402.32694810000004</v>
          </cell>
          <cell r="GN475">
            <v>463.16127289271736</v>
          </cell>
          <cell r="GO475">
            <v>541.3224143988781</v>
          </cell>
          <cell r="GP475">
            <v>655.00012142264245</v>
          </cell>
          <cell r="GQ475">
            <v>766.35014206449159</v>
          </cell>
          <cell r="GR475">
            <v>766.35014206449159</v>
          </cell>
          <cell r="GS475">
            <v>827.65815342965095</v>
          </cell>
          <cell r="GT475">
            <v>968.36003951269151</v>
          </cell>
          <cell r="GU475">
            <v>1220.1336497859913</v>
          </cell>
          <cell r="GV475">
            <v>1390.9523607560302</v>
          </cell>
          <cell r="GW475">
            <v>1182.3095066426256</v>
          </cell>
          <cell r="GX475">
            <v>1241.424981974757</v>
          </cell>
          <cell r="GY475">
            <v>1390.395979811728</v>
          </cell>
          <cell r="GZ475">
            <v>1543.3395375910181</v>
          </cell>
        </row>
        <row r="476">
          <cell r="DQ476">
            <v>207.87299999999999</v>
          </cell>
          <cell r="DS476">
            <v>248.87299999999999</v>
          </cell>
          <cell r="DT476">
            <v>281.75299999999999</v>
          </cell>
          <cell r="DU476">
            <v>384.73700000000002</v>
          </cell>
          <cell r="DV476">
            <v>341.66399999999999</v>
          </cell>
          <cell r="DX476">
            <v>422.35700000000003</v>
          </cell>
          <cell r="DY476">
            <v>436.94499999999999</v>
          </cell>
          <cell r="DZ476">
            <v>500.28800000000001</v>
          </cell>
          <cell r="EA476">
            <v>427.59615360000004</v>
          </cell>
          <cell r="FY476">
            <v>207.87299999999999</v>
          </cell>
          <cell r="FZ476">
            <v>341.66399999999999</v>
          </cell>
          <cell r="GA476">
            <v>427.59615360000004</v>
          </cell>
          <cell r="GL476">
            <v>341.66399999999999</v>
          </cell>
          <cell r="GM476">
            <v>427.59615360000004</v>
          </cell>
          <cell r="GN476">
            <v>492.25133867041069</v>
          </cell>
          <cell r="GO476">
            <v>575.32159689410958</v>
          </cell>
          <cell r="GP476">
            <v>696.13913224187252</v>
          </cell>
          <cell r="GQ476">
            <v>814.4827847229908</v>
          </cell>
          <cell r="GR476">
            <v>814.4827847229908</v>
          </cell>
          <cell r="GS476">
            <v>879.64140750083016</v>
          </cell>
          <cell r="GT476">
            <v>1029.1804467759712</v>
          </cell>
          <cell r="GU476">
            <v>1296.7673629377236</v>
          </cell>
          <cell r="GV476">
            <v>1478.314793749005</v>
          </cell>
          <cell r="GW476">
            <v>1256.5675746866543</v>
          </cell>
          <cell r="GX476">
            <v>1319.3959534209871</v>
          </cell>
          <cell r="GY476">
            <v>1477.7234678315058</v>
          </cell>
          <cell r="GZ476">
            <v>1640.2730492929716</v>
          </cell>
        </row>
        <row r="478">
          <cell r="I478">
            <v>30.451000000000004</v>
          </cell>
          <cell r="J478">
            <v>32.233999999999995</v>
          </cell>
          <cell r="K478">
            <v>49.15</v>
          </cell>
          <cell r="L478">
            <v>52.292999999999999</v>
          </cell>
          <cell r="N478">
            <v>86.44</v>
          </cell>
          <cell r="O478">
            <v>70.291000000000011</v>
          </cell>
          <cell r="P478">
            <v>89.635000000000005</v>
          </cell>
          <cell r="Q478">
            <v>223.696</v>
          </cell>
          <cell r="S478">
            <v>218.95800000000003</v>
          </cell>
          <cell r="T478">
            <v>217.79899999999998</v>
          </cell>
          <cell r="U478">
            <v>218.45999999999998</v>
          </cell>
          <cell r="V478">
            <v>346.947</v>
          </cell>
          <cell r="X478">
            <v>389.471</v>
          </cell>
          <cell r="Y478">
            <v>400.99600000000004</v>
          </cell>
          <cell r="Z478">
            <v>426.59100000000001</v>
          </cell>
          <cell r="AA478">
            <v>529.31400000000008</v>
          </cell>
          <cell r="AC478">
            <v>565.50199999999995</v>
          </cell>
          <cell r="AD478">
            <v>552.68900000000008</v>
          </cell>
          <cell r="AE478">
            <v>548.93100000000004</v>
          </cell>
          <cell r="AF478">
            <v>628.12799999999993</v>
          </cell>
          <cell r="AJ478">
            <v>591.62</v>
          </cell>
          <cell r="AK478">
            <v>596.35900000000004</v>
          </cell>
          <cell r="AL478">
            <v>622.173</v>
          </cell>
          <cell r="AM478">
            <v>732.93100000000004</v>
          </cell>
          <cell r="AY478">
            <v>969.04600000000005</v>
          </cell>
          <cell r="AZ478">
            <v>968.08299999999997</v>
          </cell>
          <cell r="BA478">
            <v>1054.51</v>
          </cell>
          <cell r="BB478">
            <v>1304.2190000000001</v>
          </cell>
          <cell r="BD478">
            <v>1038.626</v>
          </cell>
          <cell r="BE478">
            <v>1050.2270000000001</v>
          </cell>
          <cell r="BF478">
            <v>1145.4590000000003</v>
          </cell>
          <cell r="BG478">
            <v>1413.73</v>
          </cell>
          <cell r="BI478">
            <v>719.26600000000008</v>
          </cell>
          <cell r="BJ478">
            <v>1062.3690000000001</v>
          </cell>
          <cell r="BK478">
            <v>1162.617</v>
          </cell>
          <cell r="BN478">
            <v>1318.4169999999999</v>
          </cell>
          <cell r="BO478">
            <v>1571.7339999999999</v>
          </cell>
          <cell r="BP478">
            <v>1787.9030000000002</v>
          </cell>
          <cell r="BQ478">
            <v>2120.2889999999998</v>
          </cell>
          <cell r="BS478">
            <v>1464.7579999999998</v>
          </cell>
          <cell r="BT478">
            <v>1704.8919999999998</v>
          </cell>
          <cell r="BU478">
            <v>1907.3819999999998</v>
          </cell>
          <cell r="BV478">
            <v>2120.2889999999998</v>
          </cell>
          <cell r="BX478">
            <v>2742.3559999999998</v>
          </cell>
          <cell r="BZ478">
            <v>657.19500000000005</v>
          </cell>
          <cell r="CA478">
            <v>715.56100000000004</v>
          </cell>
          <cell r="CB478">
            <v>907.18899999999996</v>
          </cell>
          <cell r="CC478">
            <v>1168.2860000000001</v>
          </cell>
          <cell r="CE478">
            <v>1251.5730000000001</v>
          </cell>
          <cell r="CF478">
            <v>1256.4540000000002</v>
          </cell>
          <cell r="CG478">
            <v>1452.558</v>
          </cell>
          <cell r="CH478">
            <v>1765.4279999999999</v>
          </cell>
          <cell r="CJ478">
            <v>1866.8780000000002</v>
          </cell>
          <cell r="CK478">
            <v>2114.33</v>
          </cell>
          <cell r="CL478">
            <v>2349.5520000000001</v>
          </cell>
          <cell r="CM478">
            <v>2573.0370000000003</v>
          </cell>
          <cell r="CO478">
            <v>2742.3560000000002</v>
          </cell>
          <cell r="CP478">
            <v>3475.232</v>
          </cell>
          <cell r="CT478">
            <v>714.26099999999997</v>
          </cell>
          <cell r="CU478">
            <v>772.62599999999998</v>
          </cell>
          <cell r="CV478">
            <v>964.25299999999993</v>
          </cell>
          <cell r="CW478">
            <v>1216.6110000000001</v>
          </cell>
          <cell r="CY478">
            <v>1310.7690000000002</v>
          </cell>
          <cell r="CZ478">
            <v>1334.5240000000001</v>
          </cell>
          <cell r="DA478">
            <v>1542.556</v>
          </cell>
          <cell r="DB478">
            <v>1874.6959999999999</v>
          </cell>
          <cell r="DD478">
            <v>1992.442</v>
          </cell>
          <cell r="DE478">
            <v>2294.3029999999999</v>
          </cell>
          <cell r="DF478">
            <v>2487.9409999999998</v>
          </cell>
          <cell r="DG478">
            <v>2758.3149999999996</v>
          </cell>
          <cell r="DI478">
            <v>3535.5379999999996</v>
          </cell>
          <cell r="DJ478">
            <v>3683.7380000000003</v>
          </cell>
          <cell r="DK478">
            <v>3796.7709999999997</v>
          </cell>
          <cell r="DL478">
            <v>3541.2939999999999</v>
          </cell>
          <cell r="DN478">
            <v>3661.2220000000002</v>
          </cell>
          <cell r="DO478">
            <v>4089.4470000000001</v>
          </cell>
          <cell r="DP478">
            <v>4341.3609999999999</v>
          </cell>
          <cell r="DQ478">
            <v>4145.6610000000001</v>
          </cell>
          <cell r="DS478">
            <v>4352.835</v>
          </cell>
          <cell r="DT478">
            <v>4354.9169999999995</v>
          </cell>
          <cell r="DU478">
            <v>4358.8369999999995</v>
          </cell>
          <cell r="DV478">
            <v>3852.0840000000003</v>
          </cell>
          <cell r="DX478">
            <v>4520.6129999999994</v>
          </cell>
          <cell r="DY478">
            <v>4803.6810000000005</v>
          </cell>
          <cell r="DZ478">
            <v>5137.7070000000003</v>
          </cell>
          <cell r="EA478">
            <v>4383.1128587456478</v>
          </cell>
          <cell r="EC478">
            <v>4726.5015949549079</v>
          </cell>
          <cell r="ED478">
            <v>4968.2767386157475</v>
          </cell>
          <cell r="EE478">
            <v>5430.6248599490355</v>
          </cell>
          <cell r="EF478">
            <v>4891.7411631910272</v>
          </cell>
          <cell r="EH478">
            <v>5164.0987197882359</v>
          </cell>
          <cell r="EI478">
            <v>5393.1349119780371</v>
          </cell>
          <cell r="EJ478">
            <v>5869.1788390282472</v>
          </cell>
          <cell r="EK478">
            <v>5302.3169348264182</v>
          </cell>
          <cell r="EN478">
            <v>52.292999999999999</v>
          </cell>
          <cell r="ER478">
            <v>223.696</v>
          </cell>
          <cell r="ES478">
            <v>346.947</v>
          </cell>
          <cell r="ET478">
            <v>529.31400000000008</v>
          </cell>
          <cell r="EU478">
            <v>628.12799999999993</v>
          </cell>
          <cell r="EX478">
            <v>732.93100000000004</v>
          </cell>
          <cell r="EZ478" t="str">
            <v>--</v>
          </cell>
          <cell r="FA478" t="str">
            <v>--</v>
          </cell>
          <cell r="FB478" t="str">
            <v>--</v>
          </cell>
          <cell r="FC478">
            <v>796.59399999999994</v>
          </cell>
          <cell r="FD478">
            <v>1493.8400000000001</v>
          </cell>
          <cell r="FK478">
            <v>1413.73</v>
          </cell>
          <cell r="FL478">
            <v>2120.2889999999998</v>
          </cell>
          <cell r="FO478">
            <v>603.45699999999999</v>
          </cell>
          <cell r="FP478">
            <v>1168.2860000000001</v>
          </cell>
          <cell r="FQ478">
            <v>1765.4279999999999</v>
          </cell>
          <cell r="FR478">
            <v>2573.0370000000003</v>
          </cell>
          <cell r="FT478">
            <v>606.24299999999994</v>
          </cell>
          <cell r="FU478">
            <v>1216.6110000000001</v>
          </cell>
          <cell r="FV478">
            <v>1874.6959999999999</v>
          </cell>
          <cell r="FW478">
            <v>2764.6089999999999</v>
          </cell>
          <cell r="FX478">
            <v>3541.2939999999999</v>
          </cell>
          <cell r="FY478">
            <v>4145.6610000000001</v>
          </cell>
          <cell r="FZ478">
            <v>3852.0840000000003</v>
          </cell>
          <cell r="GA478">
            <v>4383.1128587456478</v>
          </cell>
          <cell r="GB478">
            <v>4891.7411631910272</v>
          </cell>
          <cell r="GC478">
            <v>5302.3169348264182</v>
          </cell>
          <cell r="GL478">
            <v>3852.0840000000003</v>
          </cell>
          <cell r="GM478">
            <v>4383.1128587456478</v>
          </cell>
          <cell r="GN478">
            <v>4891.7411631910272</v>
          </cell>
          <cell r="GO478">
            <v>5302.3169348264182</v>
          </cell>
          <cell r="GP478">
            <v>5935.3137154359883</v>
          </cell>
          <cell r="GQ478">
            <v>6492.752660463063</v>
          </cell>
          <cell r="GR478">
            <v>6683.9272065458572</v>
          </cell>
          <cell r="GS478">
            <v>7115.1597178940883</v>
          </cell>
          <cell r="GT478">
            <v>7964.2435585816038</v>
          </cell>
          <cell r="GU478">
            <v>9206.5608801001417</v>
          </cell>
          <cell r="GV478">
            <v>10821.151734868436</v>
          </cell>
          <cell r="GW478">
            <v>10127.677206886674</v>
          </cell>
          <cell r="GX478">
            <v>10777.662608017212</v>
          </cell>
          <cell r="GY478">
            <v>11554.226453146144</v>
          </cell>
          <cell r="GZ478">
            <v>12388.853413342846</v>
          </cell>
          <cell r="HA478">
            <v>13333.263155643752</v>
          </cell>
          <cell r="HB478">
            <v>14409.289207719899</v>
          </cell>
          <cell r="HC478">
            <v>15453.49083105116</v>
          </cell>
          <cell r="HD478">
            <v>16648.446994682825</v>
          </cell>
          <cell r="HE478">
            <v>17580.573060767147</v>
          </cell>
          <cell r="HF478">
            <v>18408.636915529027</v>
          </cell>
          <cell r="HG478">
            <v>19279.23937561518</v>
          </cell>
          <cell r="HH478">
            <v>20194.564141921121</v>
          </cell>
          <cell r="HI478">
            <v>21143.763118967894</v>
          </cell>
        </row>
        <row r="480">
          <cell r="I480">
            <v>28.283000000000001</v>
          </cell>
          <cell r="J480">
            <v>28.930999999999997</v>
          </cell>
          <cell r="K480">
            <v>45.574999999999996</v>
          </cell>
          <cell r="L480">
            <v>44.408999999999999</v>
          </cell>
          <cell r="N480">
            <v>77</v>
          </cell>
          <cell r="O480">
            <v>61.224000000000004</v>
          </cell>
          <cell r="P480">
            <v>76.998999999999995</v>
          </cell>
          <cell r="Q480">
            <v>156.76900000000001</v>
          </cell>
          <cell r="S480">
            <v>148.96800000000002</v>
          </cell>
          <cell r="T480">
            <v>148.43199999999999</v>
          </cell>
          <cell r="U480">
            <v>149.05099999999999</v>
          </cell>
          <cell r="V480">
            <v>284.64100000000002</v>
          </cell>
          <cell r="X480">
            <v>275.85300000000001</v>
          </cell>
          <cell r="Y480">
            <v>290.84800000000001</v>
          </cell>
          <cell r="Z480">
            <v>228.13300000000001</v>
          </cell>
          <cell r="AA480">
            <v>314.99799999999999</v>
          </cell>
          <cell r="AC480">
            <v>362.34399999999999</v>
          </cell>
          <cell r="AD480">
            <v>349.78500000000008</v>
          </cell>
          <cell r="AE480">
            <v>331.91800000000001</v>
          </cell>
          <cell r="AF480">
            <v>412.88699999999994</v>
          </cell>
          <cell r="AJ480">
            <v>383.40300000000002</v>
          </cell>
          <cell r="AK480">
            <v>384.22300000000007</v>
          </cell>
          <cell r="AL480">
            <v>388.89800000000002</v>
          </cell>
          <cell r="AM480">
            <v>493.92599999999999</v>
          </cell>
          <cell r="AY480">
            <v>517.63900000000001</v>
          </cell>
          <cell r="AZ480">
            <v>513.75900000000001</v>
          </cell>
          <cell r="BA480">
            <v>530.14499999999998</v>
          </cell>
          <cell r="BB480">
            <v>701.71300000000008</v>
          </cell>
          <cell r="BD480">
            <v>575.92499999999995</v>
          </cell>
          <cell r="BE480">
            <v>584.53100000000006</v>
          </cell>
          <cell r="BF480">
            <v>606.22300000000007</v>
          </cell>
          <cell r="BG480">
            <v>828.02499999999998</v>
          </cell>
          <cell r="BI480">
            <v>495.37400000000002</v>
          </cell>
          <cell r="BJ480">
            <v>815.89800000000002</v>
          </cell>
          <cell r="BK480">
            <v>913.09100000000001</v>
          </cell>
          <cell r="BN480">
            <v>776.22</v>
          </cell>
          <cell r="BO480">
            <v>1055.038</v>
          </cell>
          <cell r="BP480">
            <v>1203.5120000000002</v>
          </cell>
          <cell r="BQ480">
            <v>1685.5609999999999</v>
          </cell>
          <cell r="BS480">
            <v>897.24799999999993</v>
          </cell>
          <cell r="BT480">
            <v>1166.741</v>
          </cell>
          <cell r="BU480">
            <v>1302.5229999999999</v>
          </cell>
          <cell r="BV480">
            <v>1685.5609999999999</v>
          </cell>
          <cell r="BX480">
            <v>1818.797</v>
          </cell>
          <cell r="BZ480">
            <v>426.53700000000003</v>
          </cell>
          <cell r="CA480">
            <v>490.077</v>
          </cell>
          <cell r="CB480">
            <v>445.43399999999997</v>
          </cell>
          <cell r="CC480">
            <v>552.11900000000003</v>
          </cell>
          <cell r="CE480">
            <v>643.53499999999997</v>
          </cell>
          <cell r="CF480">
            <v>645.62800000000004</v>
          </cell>
          <cell r="CG480">
            <v>706.24699999999996</v>
          </cell>
          <cell r="CH480">
            <v>936.95</v>
          </cell>
          <cell r="CJ480">
            <v>1042.473</v>
          </cell>
          <cell r="CK480">
            <v>1304.19</v>
          </cell>
          <cell r="CL480">
            <v>1467.008</v>
          </cell>
          <cell r="CM480">
            <v>1891.5810000000001</v>
          </cell>
          <cell r="CO480">
            <v>1818.797</v>
          </cell>
          <cell r="CP480">
            <v>2510.2950000000001</v>
          </cell>
          <cell r="CT480">
            <v>473.25200000000001</v>
          </cell>
          <cell r="CU480">
            <v>536.79200000000003</v>
          </cell>
          <cell r="CV480">
            <v>492.14799999999997</v>
          </cell>
          <cell r="CW480">
            <v>588.83300000000008</v>
          </cell>
          <cell r="CY480">
            <v>694.08500000000004</v>
          </cell>
          <cell r="CZ480">
            <v>714.74400000000003</v>
          </cell>
          <cell r="DA480">
            <v>783.30100000000004</v>
          </cell>
          <cell r="DB480">
            <v>1041.011</v>
          </cell>
          <cell r="DD480">
            <v>1157.835</v>
          </cell>
          <cell r="DE480">
            <v>1472.489</v>
          </cell>
          <cell r="DF480">
            <v>1594.1270000000002</v>
          </cell>
          <cell r="DG480">
            <v>2061.2089999999998</v>
          </cell>
          <cell r="DI480">
            <v>2274.4229999999998</v>
          </cell>
          <cell r="DJ480">
            <v>2691.4530000000004</v>
          </cell>
          <cell r="DK480">
            <v>2782.0969999999998</v>
          </cell>
          <cell r="DL480">
            <v>2541.306</v>
          </cell>
          <cell r="DN480">
            <v>2674.5050000000001</v>
          </cell>
          <cell r="DO480">
            <v>3102.1620000000003</v>
          </cell>
          <cell r="DP480">
            <v>3350.1509999999998</v>
          </cell>
          <cell r="DQ480">
            <v>3162.4470000000001</v>
          </cell>
          <cell r="DS480">
            <v>3279.0639999999999</v>
          </cell>
          <cell r="DT480">
            <v>3288.4519999999998</v>
          </cell>
          <cell r="DU480">
            <v>3279.4259999999999</v>
          </cell>
          <cell r="DV480">
            <v>2581.0190000000002</v>
          </cell>
          <cell r="DX480">
            <v>2886.9759999999997</v>
          </cell>
          <cell r="DY480">
            <v>3190.2820000000002</v>
          </cell>
          <cell r="DZ480">
            <v>3499.9990000000003</v>
          </cell>
          <cell r="EA480">
            <v>2777.046839745648</v>
          </cell>
          <cell r="EC480">
            <v>3108.4018235249082</v>
          </cell>
          <cell r="ED480">
            <v>3335.0358045386474</v>
          </cell>
          <cell r="EE480">
            <v>3768.1152378066681</v>
          </cell>
          <cell r="EF480">
            <v>3257.5314356615736</v>
          </cell>
          <cell r="EH480">
            <v>3512.6852183726023</v>
          </cell>
          <cell r="EI480">
            <v>3723.7929396404766</v>
          </cell>
          <cell r="EJ480">
            <v>4164.7887462514873</v>
          </cell>
          <cell r="EK480">
            <v>3631.9476149554034</v>
          </cell>
          <cell r="EN480">
            <v>44.408999999999999</v>
          </cell>
          <cell r="ER480">
            <v>156.76900000000001</v>
          </cell>
          <cell r="ES480">
            <v>284.64100000000002</v>
          </cell>
          <cell r="ET480">
            <v>314.99799999999999</v>
          </cell>
          <cell r="EU480">
            <v>412.88699999999994</v>
          </cell>
          <cell r="EX480">
            <v>493.92599999999999</v>
          </cell>
          <cell r="EZ480" t="str">
            <v>--</v>
          </cell>
          <cell r="FA480" t="str">
            <v>--</v>
          </cell>
          <cell r="FB480" t="str">
            <v>--</v>
          </cell>
          <cell r="FC480">
            <v>557.25199999999995</v>
          </cell>
          <cell r="FD480">
            <v>1255.604</v>
          </cell>
          <cell r="FK480">
            <v>828.02499999999998</v>
          </cell>
          <cell r="FL480">
            <v>1685.5609999999999</v>
          </cell>
          <cell r="FO480">
            <v>422.899</v>
          </cell>
          <cell r="FP480">
            <v>552.11900000000003</v>
          </cell>
          <cell r="FQ480">
            <v>936.95</v>
          </cell>
          <cell r="FR480">
            <v>1891.5810000000001</v>
          </cell>
          <cell r="FT480">
            <v>422.899</v>
          </cell>
          <cell r="FU480">
            <v>588.83300000000008</v>
          </cell>
          <cell r="FV480">
            <v>1041.011</v>
          </cell>
          <cell r="FW480">
            <v>2061.2089999999998</v>
          </cell>
          <cell r="FX480">
            <v>2541.306</v>
          </cell>
          <cell r="FY480">
            <v>3162.4470000000001</v>
          </cell>
          <cell r="FZ480">
            <v>2581.0190000000002</v>
          </cell>
          <cell r="GA480">
            <v>2777.046839745648</v>
          </cell>
          <cell r="GB480">
            <v>3257.5314356615736</v>
          </cell>
          <cell r="GC480">
            <v>3631.9476149554034</v>
          </cell>
          <cell r="GL480">
            <v>2581.0190000000002</v>
          </cell>
          <cell r="GM480">
            <v>2777.046839745648</v>
          </cell>
          <cell r="GN480">
            <v>3257.5314356615736</v>
          </cell>
          <cell r="GO480">
            <v>3631.9476149554034</v>
          </cell>
          <cell r="GP480">
            <v>4208.7451783920606</v>
          </cell>
          <cell r="GQ480">
            <v>4711.1356521216676</v>
          </cell>
          <cell r="GR480">
            <v>4902.3101982044618</v>
          </cell>
          <cell r="GS480">
            <v>5303.2336688853811</v>
          </cell>
          <cell r="GT480">
            <v>6082.7582612414171</v>
          </cell>
          <cell r="GU480">
            <v>7200.6054454515061</v>
          </cell>
          <cell r="GV480">
            <v>8730.7480993689896</v>
          </cell>
          <cell r="GW480">
            <v>8140.4210167121455</v>
          </cell>
          <cell r="GX480">
            <v>8761.1813083339566</v>
          </cell>
          <cell r="GY480">
            <v>9464.0978775008989</v>
          </cell>
          <cell r="GZ480">
            <v>10223.113634376623</v>
          </cell>
          <cell r="HA480">
            <v>11091.224798780906</v>
          </cell>
          <cell r="HB480">
            <v>12091.715258739399</v>
          </cell>
          <cell r="HC480">
            <v>13062.731286152219</v>
          </cell>
          <cell r="HD480">
            <v>14188.527061640956</v>
          </cell>
          <cell r="HE480">
            <v>15057.223171742768</v>
          </cell>
          <cell r="HF480">
            <v>15829.257232053429</v>
          </cell>
          <cell r="HG480">
            <v>16641.028407965801</v>
          </cell>
          <cell r="HH480">
            <v>17494.580325889274</v>
          </cell>
          <cell r="HI480">
            <v>18378.917812134456</v>
          </cell>
        </row>
        <row r="481">
          <cell r="I481">
            <v>0</v>
          </cell>
          <cell r="J481">
            <v>2.5739999999999998</v>
          </cell>
          <cell r="K481">
            <v>0.90300000000000002</v>
          </cell>
          <cell r="L481">
            <v>5.92</v>
          </cell>
          <cell r="N481">
            <v>16.681000000000001</v>
          </cell>
          <cell r="O481">
            <v>14.004999999999999</v>
          </cell>
          <cell r="P481">
            <v>16.574999999999999</v>
          </cell>
          <cell r="Q481">
            <v>37.531999999999996</v>
          </cell>
          <cell r="S481">
            <v>29.015999999999998</v>
          </cell>
          <cell r="T481">
            <v>31.097999999999999</v>
          </cell>
          <cell r="U481">
            <v>18.100000000000001</v>
          </cell>
          <cell r="V481">
            <v>120.16</v>
          </cell>
          <cell r="X481">
            <v>90.494</v>
          </cell>
          <cell r="Y481">
            <v>94.878</v>
          </cell>
          <cell r="Z481">
            <v>14.526999999999999</v>
          </cell>
          <cell r="AA481">
            <v>29.210999999999999</v>
          </cell>
          <cell r="AC481">
            <v>34.962000000000003</v>
          </cell>
          <cell r="AD481">
            <v>62.584000000000003</v>
          </cell>
          <cell r="AE481">
            <v>29.222999999999999</v>
          </cell>
          <cell r="AF481">
            <v>54.085999999999999</v>
          </cell>
          <cell r="AJ481">
            <v>34.962000000000003</v>
          </cell>
          <cell r="AK481">
            <v>62.584000000000003</v>
          </cell>
          <cell r="AL481">
            <v>29.222999999999999</v>
          </cell>
          <cell r="AM481">
            <v>49.383000000000003</v>
          </cell>
          <cell r="AY481">
            <v>34.962000000000003</v>
          </cell>
          <cell r="AZ481">
            <v>62.584000000000003</v>
          </cell>
          <cell r="BA481">
            <v>29.222999999999999</v>
          </cell>
          <cell r="BB481">
            <v>49.383000000000003</v>
          </cell>
          <cell r="BD481">
            <v>34.962000000000003</v>
          </cell>
          <cell r="BE481">
            <v>62.584000000000003</v>
          </cell>
          <cell r="BF481">
            <v>30.154</v>
          </cell>
          <cell r="BG481">
            <v>103.78700000000001</v>
          </cell>
          <cell r="BI481">
            <v>70.926000000000002</v>
          </cell>
          <cell r="BJ481">
            <v>168.405</v>
          </cell>
          <cell r="BK481">
            <v>159.15299999999999</v>
          </cell>
          <cell r="BN481">
            <v>66.460999999999999</v>
          </cell>
          <cell r="BO481">
            <v>125.785</v>
          </cell>
          <cell r="BP481">
            <v>156.20400000000001</v>
          </cell>
          <cell r="BQ481">
            <v>351.19900000000001</v>
          </cell>
          <cell r="BS481">
            <v>66.460999999999999</v>
          </cell>
          <cell r="BT481">
            <v>125.785</v>
          </cell>
          <cell r="BU481">
            <v>156.20400000000001</v>
          </cell>
          <cell r="BV481">
            <v>351.19900000000001</v>
          </cell>
          <cell r="BX481">
            <v>184.95099999999999</v>
          </cell>
          <cell r="BZ481">
            <v>93.093000000000004</v>
          </cell>
          <cell r="CA481">
            <v>102.279</v>
          </cell>
          <cell r="CB481">
            <v>15.932</v>
          </cell>
          <cell r="CC481">
            <v>32.56</v>
          </cell>
          <cell r="CE481">
            <v>46.844999999999999</v>
          </cell>
          <cell r="CF481">
            <v>76.412999999999997</v>
          </cell>
          <cell r="CG481">
            <v>47.143000000000001</v>
          </cell>
          <cell r="CH481">
            <v>128.33199999999999</v>
          </cell>
          <cell r="CJ481">
            <v>100.151</v>
          </cell>
          <cell r="CK481">
            <v>160.327</v>
          </cell>
          <cell r="CL481">
            <v>189.13</v>
          </cell>
          <cell r="CM481">
            <v>405.40899999999999</v>
          </cell>
          <cell r="CO481">
            <v>151.25899999999999</v>
          </cell>
          <cell r="CP481">
            <v>485.33</v>
          </cell>
          <cell r="CT481">
            <v>93.873999999999995</v>
          </cell>
          <cell r="CU481">
            <v>103.06</v>
          </cell>
          <cell r="CV481">
            <v>16.713000000000001</v>
          </cell>
          <cell r="CW481">
            <v>33.341000000000001</v>
          </cell>
          <cell r="CY481">
            <v>48.673000000000002</v>
          </cell>
          <cell r="CZ481">
            <v>78.165000000000006</v>
          </cell>
          <cell r="DA481">
            <v>48.706000000000003</v>
          </cell>
          <cell r="DB481">
            <v>193.58699999999999</v>
          </cell>
          <cell r="DD481">
            <v>171.98</v>
          </cell>
          <cell r="DE481">
            <v>246.1</v>
          </cell>
          <cell r="DF481">
            <v>249.10499999999999</v>
          </cell>
          <cell r="DG481">
            <v>487.77300000000002</v>
          </cell>
          <cell r="DI481">
            <v>256.78899999999999</v>
          </cell>
          <cell r="DJ481">
            <v>533.12099999999998</v>
          </cell>
          <cell r="DK481">
            <v>691.41399999999999</v>
          </cell>
          <cell r="DL481">
            <v>298.05200000000002</v>
          </cell>
          <cell r="DN481">
            <v>340.11500000000001</v>
          </cell>
          <cell r="DO481">
            <v>421.13400000000001</v>
          </cell>
          <cell r="DP481">
            <v>574.21199999999999</v>
          </cell>
          <cell r="DQ481">
            <v>282.47800000000001</v>
          </cell>
          <cell r="DS481">
            <v>163.16499999999999</v>
          </cell>
          <cell r="DT481">
            <v>276.32299999999998</v>
          </cell>
          <cell r="DU481">
            <v>248.495</v>
          </cell>
          <cell r="DV481">
            <v>52.484000000000002</v>
          </cell>
          <cell r="DX481">
            <v>53.347999999999999</v>
          </cell>
          <cell r="DY481">
            <v>61.131999999999998</v>
          </cell>
          <cell r="DZ481">
            <v>70.706999999999994</v>
          </cell>
          <cell r="EA481">
            <v>70.706999999999994</v>
          </cell>
          <cell r="EC481">
            <v>70.706999999999994</v>
          </cell>
          <cell r="ED481">
            <v>70.706999999999994</v>
          </cell>
          <cell r="EE481">
            <v>70.706999999999994</v>
          </cell>
          <cell r="EF481">
            <v>70.706999999999994</v>
          </cell>
          <cell r="EH481">
            <v>70.706999999999994</v>
          </cell>
          <cell r="EI481">
            <v>70.706999999999994</v>
          </cell>
          <cell r="EJ481">
            <v>70.706999999999994</v>
          </cell>
          <cell r="EK481">
            <v>70.706999999999994</v>
          </cell>
          <cell r="EN481">
            <v>5.92</v>
          </cell>
          <cell r="ER481">
            <v>37.531999999999996</v>
          </cell>
          <cell r="ES481">
            <v>120.16</v>
          </cell>
          <cell r="ET481">
            <v>29.210999999999999</v>
          </cell>
          <cell r="EU481">
            <v>54.085999999999999</v>
          </cell>
          <cell r="EX481">
            <v>49.383000000000003</v>
          </cell>
          <cell r="EZ481" t="str">
            <v>--</v>
          </cell>
          <cell r="FA481" t="str">
            <v>--</v>
          </cell>
          <cell r="FB481" t="str">
            <v>--</v>
          </cell>
          <cell r="FC481">
            <v>83.975999999999999</v>
          </cell>
          <cell r="FD481">
            <v>254.798</v>
          </cell>
          <cell r="FK481">
            <v>152.852</v>
          </cell>
          <cell r="FL481">
            <v>351.19900000000001</v>
          </cell>
          <cell r="FO481">
            <v>123.726</v>
          </cell>
          <cell r="FP481">
            <v>32.56</v>
          </cell>
          <cell r="FQ481">
            <v>128.33199999999999</v>
          </cell>
          <cell r="FR481">
            <v>405.40899999999999</v>
          </cell>
          <cell r="FT481">
            <v>123.726</v>
          </cell>
          <cell r="FU481">
            <v>33.341000000000001</v>
          </cell>
          <cell r="FV481">
            <v>193.58699999999999</v>
          </cell>
          <cell r="FW481">
            <v>487.77300000000002</v>
          </cell>
          <cell r="FX481">
            <v>298.05200000000002</v>
          </cell>
          <cell r="FY481">
            <v>282.47800000000001</v>
          </cell>
          <cell r="FZ481">
            <v>52.484000000000002</v>
          </cell>
          <cell r="GA481">
            <v>70.706999999999994</v>
          </cell>
          <cell r="GB481">
            <v>70.706999999999994</v>
          </cell>
          <cell r="GC481">
            <v>70.706999999999994</v>
          </cell>
          <cell r="GL481">
            <v>52.484000000000002</v>
          </cell>
          <cell r="GM481">
            <v>70.706999999999994</v>
          </cell>
          <cell r="GN481">
            <v>70.706999999999994</v>
          </cell>
          <cell r="GO481">
            <v>70.706999999999994</v>
          </cell>
          <cell r="GP481">
            <v>70.706999999999994</v>
          </cell>
          <cell r="GQ481">
            <v>70.706999999999994</v>
          </cell>
          <cell r="GR481">
            <v>70.706999999999994</v>
          </cell>
          <cell r="GS481">
            <v>70.706999999999994</v>
          </cell>
          <cell r="GT481">
            <v>70.706999999999994</v>
          </cell>
          <cell r="GU481">
            <v>70.706999999999994</v>
          </cell>
          <cell r="GV481">
            <v>70.706999999999994</v>
          </cell>
          <cell r="GW481">
            <v>70.706999999999994</v>
          </cell>
          <cell r="GX481">
            <v>70.706999999999994</v>
          </cell>
          <cell r="GY481">
            <v>70.706999999999994</v>
          </cell>
          <cell r="GZ481">
            <v>70.706999999999994</v>
          </cell>
          <cell r="HA481">
            <v>70.706999999999994</v>
          </cell>
          <cell r="HB481">
            <v>70.706999999999994</v>
          </cell>
          <cell r="HC481">
            <v>70.706999999999994</v>
          </cell>
          <cell r="HD481">
            <v>70.706999999999994</v>
          </cell>
          <cell r="HE481">
            <v>70.706999999999994</v>
          </cell>
          <cell r="HF481">
            <v>70.706999999999994</v>
          </cell>
          <cell r="HG481">
            <v>70.706999999999994</v>
          </cell>
          <cell r="HH481">
            <v>70.706999999999994</v>
          </cell>
          <cell r="HI481">
            <v>70.706999999999994</v>
          </cell>
        </row>
        <row r="482">
          <cell r="I482">
            <v>0</v>
          </cell>
          <cell r="J482">
            <v>0</v>
          </cell>
          <cell r="K482">
            <v>0</v>
          </cell>
          <cell r="L482">
            <v>0</v>
          </cell>
          <cell r="N482">
            <v>0</v>
          </cell>
          <cell r="O482">
            <v>0</v>
          </cell>
          <cell r="P482">
            <v>0</v>
          </cell>
          <cell r="Q482">
            <v>7.14</v>
          </cell>
          <cell r="S482">
            <v>18.13</v>
          </cell>
          <cell r="T482">
            <v>17.876999999999999</v>
          </cell>
          <cell r="U482">
            <v>17.701000000000001</v>
          </cell>
          <cell r="V482">
            <v>16.628</v>
          </cell>
          <cell r="X482">
            <v>15.504</v>
          </cell>
          <cell r="Y482">
            <v>9.7319999999999993</v>
          </cell>
          <cell r="Z482">
            <v>14.233000000000001</v>
          </cell>
          <cell r="AA482">
            <v>23.585000000000001</v>
          </cell>
          <cell r="AC482">
            <v>27.126999999999999</v>
          </cell>
          <cell r="AD482">
            <v>18.167999999999999</v>
          </cell>
          <cell r="AE482">
            <v>14.106</v>
          </cell>
          <cell r="AF482">
            <v>9.8070000000000004</v>
          </cell>
          <cell r="AJ482">
            <v>31.027999999999999</v>
          </cell>
          <cell r="AK482">
            <v>28.238</v>
          </cell>
          <cell r="AL482">
            <v>34.57</v>
          </cell>
          <cell r="AM482">
            <v>46.067999999999998</v>
          </cell>
          <cell r="AY482">
            <v>36.658999999999999</v>
          </cell>
          <cell r="AZ482">
            <v>33.619</v>
          </cell>
          <cell r="BA482">
            <v>38.670999999999999</v>
          </cell>
          <cell r="BB482">
            <v>80.715999999999994</v>
          </cell>
          <cell r="BD482">
            <v>37.509</v>
          </cell>
          <cell r="BE482">
            <v>34.469000000000001</v>
          </cell>
          <cell r="BF482">
            <v>39.521000000000001</v>
          </cell>
          <cell r="BG482">
            <v>66.156999999999996</v>
          </cell>
          <cell r="BI482">
            <v>15.622999999999999</v>
          </cell>
          <cell r="BJ482">
            <v>14.8</v>
          </cell>
          <cell r="BK482">
            <v>18.277999999999999</v>
          </cell>
          <cell r="BN482">
            <v>80.748000000000005</v>
          </cell>
          <cell r="BO482">
            <v>89.084000000000003</v>
          </cell>
          <cell r="BP482">
            <v>59.283000000000001</v>
          </cell>
          <cell r="BQ482">
            <v>44.886000000000003</v>
          </cell>
          <cell r="BS482">
            <v>82.052999999999997</v>
          </cell>
          <cell r="BT482">
            <v>93.72</v>
          </cell>
          <cell r="BU482">
            <v>63.963000000000001</v>
          </cell>
          <cell r="BV482">
            <v>44.886000000000003</v>
          </cell>
          <cell r="BX482">
            <v>17.039000000000001</v>
          </cell>
          <cell r="BZ482">
            <v>26.57</v>
          </cell>
          <cell r="CA482">
            <v>20.504000000000001</v>
          </cell>
          <cell r="CB482">
            <v>23.582999999999998</v>
          </cell>
          <cell r="CC482">
            <v>32.268000000000001</v>
          </cell>
          <cell r="CE482">
            <v>38.582999999999998</v>
          </cell>
          <cell r="CF482">
            <v>36.072000000000003</v>
          </cell>
          <cell r="CG482">
            <v>40.904000000000003</v>
          </cell>
          <cell r="CH482">
            <v>69.822999999999993</v>
          </cell>
          <cell r="CJ482">
            <v>85.194000000000003</v>
          </cell>
          <cell r="CK482">
            <v>97.421000000000006</v>
          </cell>
          <cell r="CL482">
            <v>68.536000000000001</v>
          </cell>
          <cell r="CM482">
            <v>56.468000000000004</v>
          </cell>
          <cell r="CO482">
            <v>50.731000000000002</v>
          </cell>
          <cell r="CP482">
            <v>20.516999999999999</v>
          </cell>
          <cell r="CT482">
            <v>30.167000000000002</v>
          </cell>
          <cell r="CU482">
            <v>24.100999999999999</v>
          </cell>
          <cell r="CV482">
            <v>27.18</v>
          </cell>
          <cell r="CW482">
            <v>25.864999999999998</v>
          </cell>
          <cell r="CY482">
            <v>40.340000000000003</v>
          </cell>
          <cell r="CZ482">
            <v>38.058999999999997</v>
          </cell>
          <cell r="DA482">
            <v>44.13</v>
          </cell>
          <cell r="DB482">
            <v>21.378</v>
          </cell>
          <cell r="DD482">
            <v>25.600999999999999</v>
          </cell>
          <cell r="DE482">
            <v>27.436</v>
          </cell>
          <cell r="DF482">
            <v>32.265999999999998</v>
          </cell>
          <cell r="DG482">
            <v>24.036999999999999</v>
          </cell>
          <cell r="DI482">
            <v>43.636000000000003</v>
          </cell>
          <cell r="DJ482">
            <v>24.544</v>
          </cell>
          <cell r="DK482">
            <v>26.550999999999998</v>
          </cell>
          <cell r="DL482">
            <v>27.602</v>
          </cell>
          <cell r="DN482">
            <v>22.553999999999998</v>
          </cell>
          <cell r="DO482">
            <v>20.123000000000001</v>
          </cell>
          <cell r="DP482">
            <v>17.614000000000001</v>
          </cell>
          <cell r="DQ482">
            <v>16.556999999999999</v>
          </cell>
          <cell r="DS482">
            <v>15.526</v>
          </cell>
          <cell r="DT482">
            <v>13.542</v>
          </cell>
          <cell r="DU482">
            <v>10.826000000000001</v>
          </cell>
          <cell r="DV482">
            <v>7.6219999999999999</v>
          </cell>
          <cell r="DX482">
            <v>5.5659999999999998</v>
          </cell>
          <cell r="DY482">
            <v>3.5449999999999999</v>
          </cell>
          <cell r="DZ482">
            <v>8.9030000000000005</v>
          </cell>
          <cell r="EA482">
            <v>8.9030000000000005</v>
          </cell>
          <cell r="EC482">
            <v>8.9030000000000005</v>
          </cell>
          <cell r="ED482">
            <v>8.9030000000000005</v>
          </cell>
          <cell r="EE482">
            <v>8.9030000000000005</v>
          </cell>
          <cell r="EF482">
            <v>8.9030000000000005</v>
          </cell>
          <cell r="EH482">
            <v>8.9030000000000005</v>
          </cell>
          <cell r="EI482">
            <v>8.9030000000000005</v>
          </cell>
          <cell r="EJ482">
            <v>8.9030000000000005</v>
          </cell>
          <cell r="EK482">
            <v>8.9030000000000005</v>
          </cell>
          <cell r="ER482">
            <v>7.14</v>
          </cell>
          <cell r="ES482">
            <v>16.628</v>
          </cell>
          <cell r="ET482">
            <v>23.585000000000001</v>
          </cell>
          <cell r="EU482">
            <v>9.8070000000000004</v>
          </cell>
          <cell r="EX482">
            <v>46.067999999999998</v>
          </cell>
          <cell r="EZ482" t="str">
            <v>--</v>
          </cell>
          <cell r="FA482" t="str">
            <v>--</v>
          </cell>
          <cell r="FB482" t="str">
            <v>--</v>
          </cell>
          <cell r="FC482">
            <v>11.475</v>
          </cell>
          <cell r="FD482">
            <v>16.053000000000001</v>
          </cell>
          <cell r="FK482">
            <v>17.091999999999999</v>
          </cell>
          <cell r="FL482">
            <v>44.886000000000003</v>
          </cell>
          <cell r="FO482">
            <v>31.373999999999999</v>
          </cell>
          <cell r="FP482">
            <v>32.268000000000001</v>
          </cell>
          <cell r="FQ482">
            <v>69.822999999999993</v>
          </cell>
          <cell r="FR482">
            <v>56.468000000000004</v>
          </cell>
          <cell r="FT482">
            <v>31.373999999999999</v>
          </cell>
          <cell r="FU482">
            <v>25.864999999999998</v>
          </cell>
          <cell r="FV482">
            <v>21.378</v>
          </cell>
          <cell r="FW482">
            <v>24.036999999999999</v>
          </cell>
          <cell r="FX482">
            <v>27.602</v>
          </cell>
          <cell r="FY482">
            <v>16.556999999999999</v>
          </cell>
          <cell r="FZ482">
            <v>7.6219999999999999</v>
          </cell>
          <cell r="GA482">
            <v>8.9030000000000005</v>
          </cell>
          <cell r="GB482">
            <v>8.9030000000000005</v>
          </cell>
          <cell r="GC482">
            <v>8.9030000000000005</v>
          </cell>
          <cell r="GL482">
            <v>7.6219999999999999</v>
          </cell>
          <cell r="GM482">
            <v>8.9030000000000005</v>
          </cell>
          <cell r="GN482">
            <v>8.9030000000000005</v>
          </cell>
          <cell r="GO482">
            <v>8.9030000000000005</v>
          </cell>
          <cell r="GP482">
            <v>10.772629999999999</v>
          </cell>
          <cell r="GQ482">
            <v>12.603977099999998</v>
          </cell>
          <cell r="GR482">
            <v>12.603977099999998</v>
          </cell>
          <cell r="GS482">
            <v>13.612295267999999</v>
          </cell>
          <cell r="GT482">
            <v>15.926385463559997</v>
          </cell>
          <cell r="GU482">
            <v>20.067245684085595</v>
          </cell>
          <cell r="GV482">
            <v>22.876660079857579</v>
          </cell>
          <cell r="GW482">
            <v>19.445161067878942</v>
          </cell>
          <cell r="GX482">
            <v>20.417419121272889</v>
          </cell>
          <cell r="GY482">
            <v>22.867509415825637</v>
          </cell>
          <cell r="GZ482">
            <v>25.38293545156646</v>
          </cell>
          <cell r="HA482">
            <v>27.921228996723109</v>
          </cell>
          <cell r="HB482">
            <v>30.434139606428189</v>
          </cell>
          <cell r="HC482">
            <v>32.868870774942444</v>
          </cell>
          <cell r="HD482">
            <v>35.169691729188415</v>
          </cell>
          <cell r="HE482">
            <v>37.279873232939721</v>
          </cell>
          <cell r="HF482">
            <v>39.143866894586708</v>
          </cell>
          <cell r="HG482">
            <v>41.101060239316048</v>
          </cell>
          <cell r="HH482">
            <v>43.156113251281852</v>
          </cell>
          <cell r="HI482">
            <v>45.313918913845946</v>
          </cell>
        </row>
        <row r="483">
          <cell r="I483">
            <v>28.283000000000001</v>
          </cell>
          <cell r="J483">
            <v>26.356999999999999</v>
          </cell>
          <cell r="K483">
            <v>37.497999999999998</v>
          </cell>
          <cell r="L483">
            <v>38.488999999999997</v>
          </cell>
          <cell r="N483">
            <v>60.319000000000003</v>
          </cell>
          <cell r="O483">
            <v>47.219000000000001</v>
          </cell>
          <cell r="P483">
            <v>60.423999999999999</v>
          </cell>
          <cell r="Q483">
            <v>86.531999999999996</v>
          </cell>
          <cell r="S483">
            <v>74.379000000000005</v>
          </cell>
          <cell r="T483">
            <v>74.233000000000004</v>
          </cell>
          <cell r="U483">
            <v>82.603999999999999</v>
          </cell>
          <cell r="V483">
            <v>97.917000000000002</v>
          </cell>
          <cell r="X483">
            <v>102.518</v>
          </cell>
          <cell r="Y483">
            <v>114.28100000000001</v>
          </cell>
          <cell r="Z483">
            <v>120.64</v>
          </cell>
          <cell r="AA483">
            <v>177.084</v>
          </cell>
          <cell r="AC483">
            <v>210.77199999999999</v>
          </cell>
          <cell r="AD483">
            <v>190.74100000000001</v>
          </cell>
          <cell r="AE483">
            <v>214.31200000000001</v>
          </cell>
          <cell r="AF483">
            <v>251.79599999999999</v>
          </cell>
          <cell r="AJ483">
            <v>223.20400000000001</v>
          </cell>
          <cell r="AK483">
            <v>209.53700000000001</v>
          </cell>
          <cell r="AL483">
            <v>243.83</v>
          </cell>
          <cell r="AM483">
            <v>292.75700000000001</v>
          </cell>
          <cell r="AY483">
            <v>324.54700000000003</v>
          </cell>
          <cell r="AZ483">
            <v>304.44099999999997</v>
          </cell>
          <cell r="BA483">
            <v>347.37700000000001</v>
          </cell>
          <cell r="BB483">
            <v>415.29300000000001</v>
          </cell>
          <cell r="BD483">
            <v>371.08</v>
          </cell>
          <cell r="BE483">
            <v>367.90300000000002</v>
          </cell>
          <cell r="BF483">
            <v>414.15300000000002</v>
          </cell>
          <cell r="BG483">
            <v>488.80799999999999</v>
          </cell>
          <cell r="BI483">
            <v>309.988</v>
          </cell>
          <cell r="BJ483">
            <v>508.87400000000002</v>
          </cell>
          <cell r="BK483">
            <v>610.04999999999995</v>
          </cell>
          <cell r="BN483">
            <v>480.49099999999999</v>
          </cell>
          <cell r="BO483">
            <v>671.69399999999996</v>
          </cell>
          <cell r="BP483">
            <v>805.11300000000006</v>
          </cell>
          <cell r="BQ483">
            <v>1033.0999999999999</v>
          </cell>
          <cell r="BS483">
            <v>588.49199999999996</v>
          </cell>
          <cell r="BT483">
            <v>764.56299999999999</v>
          </cell>
          <cell r="BU483">
            <v>888.52099999999996</v>
          </cell>
          <cell r="BV483">
            <v>1033.0999999999999</v>
          </cell>
          <cell r="BX483">
            <v>1268.7850000000001</v>
          </cell>
          <cell r="BZ483">
            <v>205.68299999999999</v>
          </cell>
          <cell r="CA483">
            <v>255.11600000000001</v>
          </cell>
          <cell r="CB483">
            <v>274.2</v>
          </cell>
          <cell r="CC483">
            <v>342.58300000000003</v>
          </cell>
          <cell r="CE483">
            <v>408.83600000000001</v>
          </cell>
          <cell r="CF483">
            <v>396.536</v>
          </cell>
          <cell r="CG483">
            <v>458.90199999999999</v>
          </cell>
          <cell r="CH483">
            <v>542.96500000000003</v>
          </cell>
          <cell r="CJ483">
            <v>662.14800000000002</v>
          </cell>
          <cell r="CK483">
            <v>836.93499999999995</v>
          </cell>
          <cell r="CL483">
            <v>991.13</v>
          </cell>
          <cell r="CM483">
            <v>1133.7950000000001</v>
          </cell>
          <cell r="CO483">
            <v>1268.7850000000001</v>
          </cell>
          <cell r="CP483">
            <v>1478.6790000000001</v>
          </cell>
          <cell r="CT483">
            <v>237.154</v>
          </cell>
          <cell r="CU483">
            <v>286.58699999999999</v>
          </cell>
          <cell r="CV483">
            <v>305.67099999999999</v>
          </cell>
          <cell r="CW483">
            <v>374.053</v>
          </cell>
          <cell r="CY483">
            <v>444.79</v>
          </cell>
          <cell r="CZ483">
            <v>451.08199999999999</v>
          </cell>
          <cell r="DA483">
            <v>515.18299999999999</v>
          </cell>
          <cell r="DB483">
            <v>614.47699999999998</v>
          </cell>
          <cell r="DD483">
            <v>747.49199999999996</v>
          </cell>
          <cell r="DE483">
            <v>975.64599999999996</v>
          </cell>
          <cell r="DF483">
            <v>1073.576</v>
          </cell>
          <cell r="DG483">
            <v>1227.1420000000001</v>
          </cell>
          <cell r="DI483">
            <v>1545.567</v>
          </cell>
          <cell r="DJ483">
            <v>1584.0640000000001</v>
          </cell>
          <cell r="DK483">
            <v>1507.5820000000001</v>
          </cell>
          <cell r="DL483">
            <v>1480.4680000000001</v>
          </cell>
          <cell r="DN483">
            <v>1477.1690000000001</v>
          </cell>
          <cell r="DO483">
            <v>1727.8710000000001</v>
          </cell>
          <cell r="DP483">
            <v>1795.2460000000001</v>
          </cell>
          <cell r="DQ483">
            <v>1962.63</v>
          </cell>
          <cell r="DS483">
            <v>2025.047</v>
          </cell>
          <cell r="DT483">
            <v>2021.1</v>
          </cell>
          <cell r="DU483">
            <v>1981.2059999999999</v>
          </cell>
          <cell r="DV483">
            <v>1601.923</v>
          </cell>
          <cell r="DX483">
            <v>1863.1489999999999</v>
          </cell>
          <cell r="DY483">
            <v>2155.8539999999998</v>
          </cell>
          <cell r="DZ483">
            <v>2395.34</v>
          </cell>
          <cell r="EA483">
            <v>1821.3274594456482</v>
          </cell>
          <cell r="EC483">
            <v>2096.039260533908</v>
          </cell>
          <cell r="ED483">
            <v>2251.4033989143772</v>
          </cell>
          <cell r="EE483">
            <v>2546.7143634648796</v>
          </cell>
          <cell r="EF483">
            <v>2169.3388942998663</v>
          </cell>
          <cell r="EH483">
            <v>2343.5140701400901</v>
          </cell>
          <cell r="EI483">
            <v>2470.232016920892</v>
          </cell>
          <cell r="EJ483">
            <v>2746.2554177456104</v>
          </cell>
          <cell r="EK483">
            <v>2373.5509409302217</v>
          </cell>
          <cell r="EN483">
            <v>38.488999999999997</v>
          </cell>
          <cell r="ER483">
            <v>86.531999999999996</v>
          </cell>
          <cell r="ES483">
            <v>97.917000000000002</v>
          </cell>
          <cell r="ET483">
            <v>177.084</v>
          </cell>
          <cell r="EU483">
            <v>251.79599999999999</v>
          </cell>
          <cell r="EX483">
            <v>292.75700000000001</v>
          </cell>
          <cell r="EZ483" t="str">
            <v>--</v>
          </cell>
          <cell r="FA483" t="str">
            <v>--</v>
          </cell>
          <cell r="FB483" t="str">
            <v>--</v>
          </cell>
          <cell r="FC483">
            <v>349.53</v>
          </cell>
          <cell r="FD483">
            <v>812.19399999999996</v>
          </cell>
          <cell r="FK483">
            <v>488.80799999999999</v>
          </cell>
          <cell r="FL483">
            <v>1033.0999999999999</v>
          </cell>
          <cell r="FO483">
            <v>185.29</v>
          </cell>
          <cell r="FP483">
            <v>342.58300000000003</v>
          </cell>
          <cell r="FQ483">
            <v>542.96500000000003</v>
          </cell>
          <cell r="FR483">
            <v>1133.7950000000001</v>
          </cell>
          <cell r="FT483">
            <v>185.29</v>
          </cell>
          <cell r="FU483">
            <v>374.053</v>
          </cell>
          <cell r="FV483">
            <v>614.47699999999998</v>
          </cell>
          <cell r="FW483">
            <v>1227.1420000000001</v>
          </cell>
          <cell r="FX483">
            <v>1480.4680000000001</v>
          </cell>
          <cell r="FY483">
            <v>1962.63</v>
          </cell>
          <cell r="FZ483">
            <v>1601.923</v>
          </cell>
          <cell r="GA483">
            <v>1821.3274594456482</v>
          </cell>
          <cell r="GB483">
            <v>2169.3388942998663</v>
          </cell>
          <cell r="GC483">
            <v>2373.5509409302217</v>
          </cell>
          <cell r="GL483">
            <v>1601.923</v>
          </cell>
          <cell r="GM483">
            <v>1821.3274594456482</v>
          </cell>
          <cell r="GN483">
            <v>2169.3388942998663</v>
          </cell>
          <cell r="GO483">
            <v>2373.5509409302217</v>
          </cell>
          <cell r="GP483">
            <v>2700.9336728215912</v>
          </cell>
          <cell r="GQ483">
            <v>2959.0163806042183</v>
          </cell>
          <cell r="GR483">
            <v>3150.1909266870125</v>
          </cell>
          <cell r="GS483">
            <v>3416.6014156465353</v>
          </cell>
          <cell r="GT483">
            <v>3887.4187149519676</v>
          </cell>
          <cell r="GU483">
            <v>4452.8614371268004</v>
          </cell>
          <cell r="GV483">
            <v>5608.218909878824</v>
          </cell>
          <cell r="GW483">
            <v>5475.6651556455054</v>
          </cell>
          <cell r="GX483">
            <v>5966.7230042139845</v>
          </cell>
          <cell r="GY483">
            <v>6342.7894168865287</v>
          </cell>
          <cell r="GZ483">
            <v>6766.2390130946724</v>
          </cell>
          <cell r="HA483">
            <v>7295.7334153707616</v>
          </cell>
          <cell r="HB483">
            <v>7960.9932808223402</v>
          </cell>
          <cell r="HC483">
            <v>8607.2081100017949</v>
          </cell>
          <cell r="HD483">
            <v>9426.0667531600029</v>
          </cell>
          <cell r="HE483">
            <v>10013.257664752957</v>
          </cell>
          <cell r="HF483">
            <v>10536.628799714128</v>
          </cell>
          <cell r="HG483">
            <v>11087.303904009534</v>
          </cell>
          <cell r="HH483">
            <v>11666.704946735194</v>
          </cell>
          <cell r="HI483">
            <v>12263.18401402267</v>
          </cell>
        </row>
        <row r="484">
          <cell r="I484">
            <v>0</v>
          </cell>
          <cell r="J484">
            <v>0</v>
          </cell>
          <cell r="K484">
            <v>7.1740000000000004</v>
          </cell>
          <cell r="L484" t="str">
            <v xml:space="preserve"> --</v>
          </cell>
          <cell r="N484" t="str">
            <v xml:space="preserve"> --</v>
          </cell>
          <cell r="O484" t="str">
            <v xml:space="preserve"> --</v>
          </cell>
          <cell r="P484" t="str">
            <v xml:space="preserve"> --</v>
          </cell>
          <cell r="Q484">
            <v>25.565000000000001</v>
          </cell>
          <cell r="S484">
            <v>27.443000000000001</v>
          </cell>
          <cell r="T484">
            <v>25.224</v>
          </cell>
          <cell r="U484">
            <v>30.646000000000001</v>
          </cell>
          <cell r="V484">
            <v>49.936</v>
          </cell>
          <cell r="X484">
            <v>67.337000000000003</v>
          </cell>
          <cell r="Y484">
            <v>71.956999999999994</v>
          </cell>
          <cell r="Z484">
            <v>78.733000000000004</v>
          </cell>
          <cell r="AA484">
            <v>85.117999999999995</v>
          </cell>
          <cell r="AC484">
            <v>89.483000000000004</v>
          </cell>
          <cell r="AD484">
            <v>78.292000000000002</v>
          </cell>
          <cell r="AE484">
            <v>74.277000000000001</v>
          </cell>
          <cell r="AF484">
            <v>97.197999999999993</v>
          </cell>
          <cell r="AJ484">
            <v>94.209000000000003</v>
          </cell>
          <cell r="AK484">
            <v>83.864000000000004</v>
          </cell>
          <cell r="AL484">
            <v>81.275000000000006</v>
          </cell>
          <cell r="AM484">
            <v>105.718</v>
          </cell>
          <cell r="AY484">
            <v>121.471</v>
          </cell>
          <cell r="AZ484">
            <v>113.11499999999999</v>
          </cell>
          <cell r="BA484">
            <v>114.874</v>
          </cell>
          <cell r="BB484">
            <v>156.321</v>
          </cell>
          <cell r="BD484">
            <v>132.374</v>
          </cell>
          <cell r="BE484">
            <v>119.575</v>
          </cell>
          <cell r="BF484">
            <v>122.395</v>
          </cell>
          <cell r="BG484">
            <v>169.273</v>
          </cell>
          <cell r="BI484">
            <v>98.837000000000003</v>
          </cell>
          <cell r="BJ484">
            <v>123.819</v>
          </cell>
          <cell r="BK484">
            <v>125.61</v>
          </cell>
          <cell r="BN484">
            <v>148.52000000000001</v>
          </cell>
          <cell r="BO484">
            <v>168.47499999999999</v>
          </cell>
          <cell r="BP484">
            <v>182.91200000000001</v>
          </cell>
          <cell r="BQ484">
            <v>256.37599999999998</v>
          </cell>
          <cell r="BS484">
            <v>160.24199999999999</v>
          </cell>
          <cell r="BT484">
            <v>182.673</v>
          </cell>
          <cell r="BU484">
            <v>193.83500000000001</v>
          </cell>
          <cell r="BV484">
            <v>256.37599999999998</v>
          </cell>
          <cell r="BX484">
            <v>348.02199999999999</v>
          </cell>
          <cell r="BZ484">
            <v>101.191</v>
          </cell>
          <cell r="CA484">
            <v>112.178</v>
          </cell>
          <cell r="CB484">
            <v>131.71899999999999</v>
          </cell>
          <cell r="CC484">
            <v>144.708</v>
          </cell>
          <cell r="CE484">
            <v>149.27099999999999</v>
          </cell>
          <cell r="CF484">
            <v>136.607</v>
          </cell>
          <cell r="CG484">
            <v>159.298</v>
          </cell>
          <cell r="CH484">
            <v>195.83</v>
          </cell>
          <cell r="CJ484">
            <v>194.98</v>
          </cell>
          <cell r="CK484">
            <v>209.50700000000001</v>
          </cell>
          <cell r="CL484">
            <v>218.21199999999999</v>
          </cell>
          <cell r="CM484">
            <v>295.90899999999999</v>
          </cell>
          <cell r="CO484">
            <v>348.02199999999999</v>
          </cell>
          <cell r="CP484">
            <v>525.76900000000001</v>
          </cell>
          <cell r="CT484">
            <v>112.057</v>
          </cell>
          <cell r="CU484">
            <v>123.044</v>
          </cell>
          <cell r="CV484">
            <v>142.584</v>
          </cell>
          <cell r="CW484">
            <v>155.57400000000001</v>
          </cell>
          <cell r="CY484">
            <v>160.28200000000001</v>
          </cell>
          <cell r="CZ484">
            <v>147.43799999999999</v>
          </cell>
          <cell r="DA484">
            <v>175.28200000000001</v>
          </cell>
          <cell r="DB484">
            <v>211.56899999999999</v>
          </cell>
          <cell r="DD484">
            <v>212.762</v>
          </cell>
          <cell r="DE484">
            <v>223.30699999999999</v>
          </cell>
          <cell r="DF484">
            <v>239.18</v>
          </cell>
          <cell r="DG484">
            <v>322.25700000000001</v>
          </cell>
          <cell r="DI484">
            <v>428.43099999999998</v>
          </cell>
          <cell r="DJ484">
            <v>549.72400000000005</v>
          </cell>
          <cell r="DK484">
            <v>556.54999999999995</v>
          </cell>
          <cell r="DL484">
            <v>735.18399999999997</v>
          </cell>
          <cell r="DN484">
            <v>834.66700000000003</v>
          </cell>
          <cell r="DO484">
            <v>933.03399999999999</v>
          </cell>
          <cell r="DP484">
            <v>963.07899999999995</v>
          </cell>
          <cell r="DQ484">
            <v>900.78200000000004</v>
          </cell>
          <cell r="DS484">
            <v>1075.326</v>
          </cell>
          <cell r="DT484">
            <v>977.48699999999997</v>
          </cell>
          <cell r="DU484">
            <v>1038.8989999999999</v>
          </cell>
          <cell r="DV484">
            <v>918.99</v>
          </cell>
          <cell r="DX484">
            <v>964.91300000000001</v>
          </cell>
          <cell r="DY484">
            <v>969.75099999999998</v>
          </cell>
          <cell r="DZ484">
            <v>1025.049</v>
          </cell>
          <cell r="EA484">
            <v>876.1093803</v>
          </cell>
          <cell r="EC484">
            <v>932.7525629910001</v>
          </cell>
          <cell r="ED484">
            <v>1004.02240562427</v>
          </cell>
          <cell r="EE484">
            <v>1141.7908743417881</v>
          </cell>
          <cell r="EF484">
            <v>1008.5825413617072</v>
          </cell>
          <cell r="EH484">
            <v>1089.5611482325119</v>
          </cell>
          <cell r="EI484">
            <v>1173.9509227195845</v>
          </cell>
          <cell r="EJ484">
            <v>1338.923328505877</v>
          </cell>
          <cell r="EK484">
            <v>1178.7866740251816</v>
          </cell>
          <cell r="EN484" t="str">
            <v xml:space="preserve"> --</v>
          </cell>
          <cell r="ER484">
            <v>25.565000000000001</v>
          </cell>
          <cell r="ES484">
            <v>49.936</v>
          </cell>
          <cell r="ET484">
            <v>85.117999999999995</v>
          </cell>
          <cell r="EU484">
            <v>97.197999999999993</v>
          </cell>
          <cell r="EX484">
            <v>105.718</v>
          </cell>
          <cell r="EZ484" t="str">
            <v>--</v>
          </cell>
          <cell r="FA484" t="str">
            <v>--</v>
          </cell>
          <cell r="FB484" t="str">
            <v>--</v>
          </cell>
          <cell r="FC484">
            <v>112.271</v>
          </cell>
          <cell r="FD484">
            <v>172.559</v>
          </cell>
          <cell r="FK484">
            <v>169.27300000000002</v>
          </cell>
          <cell r="FL484">
            <v>256.37599999999998</v>
          </cell>
          <cell r="FO484">
            <v>82.509</v>
          </cell>
          <cell r="FP484">
            <v>144.708</v>
          </cell>
          <cell r="FQ484">
            <v>195.83</v>
          </cell>
          <cell r="FR484">
            <v>295.90899999999999</v>
          </cell>
          <cell r="FT484">
            <v>82.509</v>
          </cell>
          <cell r="FU484">
            <v>155.57400000000001</v>
          </cell>
          <cell r="FV484">
            <v>211.56899999999999</v>
          </cell>
          <cell r="FW484">
            <v>322.25700000000001</v>
          </cell>
          <cell r="FX484">
            <v>735.18399999999997</v>
          </cell>
          <cell r="FY484">
            <v>900.78200000000004</v>
          </cell>
          <cell r="FZ484">
            <v>918.99</v>
          </cell>
          <cell r="GA484">
            <v>876.1093803</v>
          </cell>
          <cell r="GB484">
            <v>1008.5825413617072</v>
          </cell>
          <cell r="GC484">
            <v>1178.7866740251816</v>
          </cell>
          <cell r="GL484">
            <v>918.99</v>
          </cell>
          <cell r="GM484">
            <v>876.1093803</v>
          </cell>
          <cell r="GN484">
            <v>1008.5825413617072</v>
          </cell>
          <cell r="GO484">
            <v>1178.7866740251816</v>
          </cell>
          <cell r="GP484">
            <v>1426.3318755704697</v>
          </cell>
          <cell r="GQ484">
            <v>1668.8082944174494</v>
          </cell>
          <cell r="GR484">
            <v>1668.8082944174494</v>
          </cell>
          <cell r="GS484">
            <v>1802.3129579708454</v>
          </cell>
          <cell r="GT484">
            <v>2108.7061608258891</v>
          </cell>
          <cell r="GU484">
            <v>2656.9697626406205</v>
          </cell>
          <cell r="GV484">
            <v>3028.9455294103077</v>
          </cell>
          <cell r="GW484">
            <v>2574.6036999987614</v>
          </cell>
          <cell r="GX484">
            <v>2703.3338849986994</v>
          </cell>
          <cell r="GY484">
            <v>3027.7339511985438</v>
          </cell>
          <cell r="GZ484">
            <v>3360.7846858303838</v>
          </cell>
          <cell r="HA484">
            <v>3696.8631544134223</v>
          </cell>
          <cell r="HB484">
            <v>4029.5808383106305</v>
          </cell>
          <cell r="HC484">
            <v>4351.9473053754809</v>
          </cell>
          <cell r="HD484">
            <v>4656.5836167517646</v>
          </cell>
          <cell r="HE484">
            <v>4935.9786337568703</v>
          </cell>
          <cell r="HF484">
            <v>5182.7775654447141</v>
          </cell>
          <cell r="HG484">
            <v>5441.9164437169502</v>
          </cell>
          <cell r="HH484">
            <v>5714.0122659027984</v>
          </cell>
          <cell r="HI484">
            <v>5999.7128791979385</v>
          </cell>
        </row>
        <row r="485">
          <cell r="DG485">
            <v>45.707999999999998</v>
          </cell>
          <cell r="DL485">
            <v>54.573999999999998</v>
          </cell>
          <cell r="DQ485">
            <v>137.01300000000001</v>
          </cell>
          <cell r="DV485">
            <v>106.22999999999999</v>
          </cell>
          <cell r="FX485">
            <v>54.573999999999998</v>
          </cell>
          <cell r="FY485">
            <v>137.01300000000001</v>
          </cell>
          <cell r="FZ485">
            <v>106.22999999999999</v>
          </cell>
          <cell r="GA485">
            <v>0</v>
          </cell>
          <cell r="GL485">
            <v>106.22999999999999</v>
          </cell>
          <cell r="GM485">
            <v>0</v>
          </cell>
          <cell r="GN485">
            <v>0</v>
          </cell>
          <cell r="GO485">
            <v>0</v>
          </cell>
        </row>
        <row r="486">
          <cell r="DG486">
            <v>112.035</v>
          </cell>
          <cell r="DL486">
            <v>182.21700000000001</v>
          </cell>
          <cell r="DQ486">
            <v>199.65799999999999</v>
          </cell>
          <cell r="DV486">
            <v>231.48099999999999</v>
          </cell>
          <cell r="FX486">
            <v>182.21700000000001</v>
          </cell>
          <cell r="FY486">
            <v>199.65799999999999</v>
          </cell>
          <cell r="FZ486">
            <v>231.48099999999999</v>
          </cell>
          <cell r="GA486">
            <v>0</v>
          </cell>
          <cell r="GL486">
            <v>231.48099999999999</v>
          </cell>
          <cell r="GM486">
            <v>0</v>
          </cell>
          <cell r="GN486">
            <v>0</v>
          </cell>
          <cell r="GO486">
            <v>0</v>
          </cell>
        </row>
        <row r="487">
          <cell r="DG487">
            <v>0.93100000000000005</v>
          </cell>
          <cell r="DL487">
            <v>170.38399999999999</v>
          </cell>
          <cell r="DQ487">
            <v>161.14699999999999</v>
          </cell>
          <cell r="DV487">
            <v>87.807000000000002</v>
          </cell>
          <cell r="FX487">
            <v>170.38399999999999</v>
          </cell>
          <cell r="FY487">
            <v>161.14699999999999</v>
          </cell>
          <cell r="FZ487">
            <v>87.807000000000002</v>
          </cell>
          <cell r="GA487">
            <v>0</v>
          </cell>
          <cell r="GL487">
            <v>87.807000000000002</v>
          </cell>
          <cell r="GM487">
            <v>0</v>
          </cell>
          <cell r="GN487">
            <v>0</v>
          </cell>
          <cell r="GO487">
            <v>0</v>
          </cell>
        </row>
        <row r="488">
          <cell r="DG488">
            <v>159.20500000000001</v>
          </cell>
          <cell r="DL488">
            <v>328.00900000000001</v>
          </cell>
          <cell r="DQ488">
            <v>398.82100000000003</v>
          </cell>
          <cell r="DV488">
            <v>493.47199999999998</v>
          </cell>
          <cell r="FX488">
            <v>328.00900000000001</v>
          </cell>
          <cell r="FY488">
            <v>398.82100000000003</v>
          </cell>
          <cell r="FZ488">
            <v>493.47199999999998</v>
          </cell>
          <cell r="GA488">
            <v>0</v>
          </cell>
          <cell r="GL488">
            <v>493.47199999999998</v>
          </cell>
          <cell r="GM488">
            <v>0</v>
          </cell>
          <cell r="GN488">
            <v>0</v>
          </cell>
          <cell r="GO488">
            <v>0</v>
          </cell>
        </row>
        <row r="490">
          <cell r="I490">
            <v>1.321</v>
          </cell>
          <cell r="J490">
            <v>0</v>
          </cell>
          <cell r="K490">
            <v>0</v>
          </cell>
          <cell r="L490">
            <v>0</v>
          </cell>
          <cell r="N490">
            <v>0</v>
          </cell>
          <cell r="O490">
            <v>1.008</v>
          </cell>
          <cell r="P490">
            <v>2.8170000000000002</v>
          </cell>
          <cell r="Q490">
            <v>18.405000000000001</v>
          </cell>
          <cell r="S490">
            <v>18.446000000000002</v>
          </cell>
          <cell r="T490">
            <v>19.449000000000002</v>
          </cell>
          <cell r="U490">
            <v>17.902999999999999</v>
          </cell>
          <cell r="V490">
            <v>9.0289999999999999</v>
          </cell>
          <cell r="X490">
            <v>74.805000000000007</v>
          </cell>
          <cell r="Y490">
            <v>76.433999999999997</v>
          </cell>
          <cell r="Z490">
            <v>158.99799999999999</v>
          </cell>
          <cell r="AA490">
            <v>166.49700000000001</v>
          </cell>
          <cell r="AC490">
            <v>162.39599999999999</v>
          </cell>
          <cell r="AD490">
            <v>167.185</v>
          </cell>
          <cell r="AE490">
            <v>174.2</v>
          </cell>
          <cell r="AF490">
            <v>173.75299999999999</v>
          </cell>
          <cell r="AJ490">
            <v>166.94300000000001</v>
          </cell>
          <cell r="AK490">
            <v>175.80699999999999</v>
          </cell>
          <cell r="AL490">
            <v>189.68799999999999</v>
          </cell>
          <cell r="AM490">
            <v>188.80799999999999</v>
          </cell>
          <cell r="AY490">
            <v>403.19</v>
          </cell>
          <cell r="AZ490">
            <v>412.05399999999997</v>
          </cell>
          <cell r="BA490">
            <v>425.935</v>
          </cell>
          <cell r="BB490">
            <v>546.90700000000004</v>
          </cell>
          <cell r="BD490">
            <v>410.84</v>
          </cell>
          <cell r="BE490">
            <v>419.48899999999998</v>
          </cell>
          <cell r="BF490">
            <v>436.28800000000001</v>
          </cell>
          <cell r="BG490">
            <v>521.822</v>
          </cell>
          <cell r="BI490">
            <v>173.22900000000001</v>
          </cell>
          <cell r="BJ490">
            <v>183.47499999999999</v>
          </cell>
          <cell r="BK490">
            <v>183.261</v>
          </cell>
          <cell r="BN490">
            <v>472.41199999999998</v>
          </cell>
          <cell r="BO490">
            <v>449.01499999999999</v>
          </cell>
          <cell r="BP490">
            <v>511.78500000000003</v>
          </cell>
          <cell r="BQ490">
            <v>380.05</v>
          </cell>
          <cell r="BS490">
            <v>484.96899999999999</v>
          </cell>
          <cell r="BT490">
            <v>457.97199999999998</v>
          </cell>
          <cell r="BU490">
            <v>520.18600000000004</v>
          </cell>
          <cell r="BV490">
            <v>344.76600000000002</v>
          </cell>
          <cell r="BX490">
            <v>867.68</v>
          </cell>
          <cell r="BZ490">
            <v>172.2</v>
          </cell>
          <cell r="CA490">
            <v>173.90700000000001</v>
          </cell>
          <cell r="CB490">
            <v>406.55</v>
          </cell>
          <cell r="CC490">
            <v>543.73099999999999</v>
          </cell>
          <cell r="CE490">
            <v>539.10400000000004</v>
          </cell>
          <cell r="CF490">
            <v>550.68200000000002</v>
          </cell>
          <cell r="CG490">
            <v>630.13</v>
          </cell>
          <cell r="CH490">
            <v>752.83100000000002</v>
          </cell>
          <cell r="CJ490">
            <v>726.46</v>
          </cell>
          <cell r="CK490">
            <v>714.64300000000003</v>
          </cell>
          <cell r="CL490">
            <v>777.16600000000005</v>
          </cell>
          <cell r="CM490">
            <v>583.24599999999998</v>
          </cell>
          <cell r="CO490">
            <v>835.63300000000004</v>
          </cell>
          <cell r="CP490">
            <v>901.21299999999997</v>
          </cell>
          <cell r="CT490">
            <v>177.38900000000001</v>
          </cell>
          <cell r="CU490">
            <v>179.095</v>
          </cell>
          <cell r="CV490">
            <v>411.738</v>
          </cell>
          <cell r="CW490">
            <v>548.91899999999998</v>
          </cell>
          <cell r="CY490">
            <v>542.76</v>
          </cell>
          <cell r="CZ490">
            <v>554.18600000000004</v>
          </cell>
          <cell r="DA490">
            <v>635.14800000000002</v>
          </cell>
          <cell r="DB490">
            <v>751.81600000000003</v>
          </cell>
          <cell r="DD490">
            <v>729.13699999999994</v>
          </cell>
          <cell r="DE490">
            <v>718.05</v>
          </cell>
          <cell r="DF490">
            <v>781.55899999999997</v>
          </cell>
          <cell r="DG490">
            <v>593.83000000000004</v>
          </cell>
          <cell r="DI490">
            <v>1143.5229999999999</v>
          </cell>
          <cell r="DJ490">
            <v>876.99699999999996</v>
          </cell>
          <cell r="DK490">
            <v>884.83900000000006</v>
          </cell>
          <cell r="DL490">
            <v>879.52499999999998</v>
          </cell>
          <cell r="DN490">
            <v>870.28399999999999</v>
          </cell>
          <cell r="DO490">
            <v>872.97</v>
          </cell>
          <cell r="DP490">
            <v>858.03899999999999</v>
          </cell>
          <cell r="DQ490">
            <v>843.08199999999999</v>
          </cell>
          <cell r="DS490">
            <v>854.35599999999999</v>
          </cell>
          <cell r="DT490">
            <v>865.14</v>
          </cell>
          <cell r="DU490">
            <v>848.32100000000003</v>
          </cell>
          <cell r="DV490">
            <v>1041.944</v>
          </cell>
          <cell r="DX490">
            <v>1394.2729999999999</v>
          </cell>
          <cell r="DY490">
            <v>1389.6219999999998</v>
          </cell>
          <cell r="DZ490">
            <v>1402.7539999999999</v>
          </cell>
          <cell r="EA490">
            <v>1402.7539999999999</v>
          </cell>
          <cell r="EC490">
            <v>1402.7539999999999</v>
          </cell>
          <cell r="ED490">
            <v>1402.7539999999999</v>
          </cell>
          <cell r="EE490">
            <v>1402.7539999999999</v>
          </cell>
          <cell r="EF490">
            <v>1402.7539999999999</v>
          </cell>
          <cell r="EH490">
            <v>1402.7539999999999</v>
          </cell>
          <cell r="EI490">
            <v>1402.7539999999999</v>
          </cell>
          <cell r="EJ490">
            <v>1402.7539999999999</v>
          </cell>
          <cell r="EK490">
            <v>1402.7539999999999</v>
          </cell>
          <cell r="EN490">
            <v>0</v>
          </cell>
          <cell r="ER490">
            <v>18.405000000000001</v>
          </cell>
          <cell r="ES490">
            <v>9.0289999999999999</v>
          </cell>
          <cell r="ET490">
            <v>166.49700000000001</v>
          </cell>
          <cell r="EU490">
            <v>173.75299999999999</v>
          </cell>
          <cell r="EX490">
            <v>188.80799999999999</v>
          </cell>
          <cell r="EZ490" t="str">
            <v>--</v>
          </cell>
          <cell r="FA490" t="str">
            <v>--</v>
          </cell>
          <cell r="FB490" t="str">
            <v>--</v>
          </cell>
          <cell r="FC490">
            <v>188.80799999999999</v>
          </cell>
          <cell r="FD490">
            <v>179.297</v>
          </cell>
          <cell r="FK490">
            <v>521.822</v>
          </cell>
          <cell r="FL490">
            <v>344.76600000000002</v>
          </cell>
          <cell r="FO490">
            <v>106.346</v>
          </cell>
          <cell r="FP490">
            <v>543.73099999999999</v>
          </cell>
          <cell r="FQ490">
            <v>752.83100000000002</v>
          </cell>
          <cell r="FR490">
            <v>583.24599999999998</v>
          </cell>
          <cell r="FT490">
            <v>106.346</v>
          </cell>
          <cell r="FU490">
            <v>548.91899999999998</v>
          </cell>
          <cell r="FV490">
            <v>751.81600000000003</v>
          </cell>
          <cell r="FW490">
            <v>593.83000000000004</v>
          </cell>
          <cell r="FX490">
            <v>917.31299999999999</v>
          </cell>
          <cell r="FY490">
            <v>843.08199999999999</v>
          </cell>
          <cell r="FZ490">
            <v>1041.944</v>
          </cell>
          <cell r="GA490">
            <v>1402.7539999999999</v>
          </cell>
          <cell r="GB490">
            <v>1402.7539999999999</v>
          </cell>
          <cell r="GC490">
            <v>1402.7539999999999</v>
          </cell>
          <cell r="GL490">
            <v>1041.944</v>
          </cell>
          <cell r="GM490">
            <v>1402.7539999999999</v>
          </cell>
          <cell r="GN490">
            <v>1402.7539999999999</v>
          </cell>
          <cell r="GO490">
            <v>1402.7539999999999</v>
          </cell>
          <cell r="GP490">
            <v>1402.7539999999999</v>
          </cell>
          <cell r="GQ490">
            <v>1402.7539999999999</v>
          </cell>
          <cell r="GR490">
            <v>1402.7539999999999</v>
          </cell>
          <cell r="GS490">
            <v>1402.7539999999999</v>
          </cell>
          <cell r="GT490">
            <v>1402.7539999999999</v>
          </cell>
          <cell r="GU490">
            <v>1402.7539999999999</v>
          </cell>
          <cell r="GV490">
            <v>1402.7539999999999</v>
          </cell>
          <cell r="GW490">
            <v>1402.7539999999999</v>
          </cell>
          <cell r="GX490">
            <v>1402.7539999999999</v>
          </cell>
          <cell r="GY490">
            <v>1402.7539999999999</v>
          </cell>
          <cell r="GZ490">
            <v>1402.7539999999999</v>
          </cell>
          <cell r="HA490">
            <v>1402.7539999999999</v>
          </cell>
          <cell r="HB490">
            <v>1402.7539999999999</v>
          </cell>
          <cell r="HC490">
            <v>1402.7539999999999</v>
          </cell>
          <cell r="HD490">
            <v>1402.7539999999999</v>
          </cell>
          <cell r="HE490">
            <v>1402.7539999999999</v>
          </cell>
          <cell r="HF490">
            <v>1402.7539999999999</v>
          </cell>
          <cell r="HG490">
            <v>1402.7539999999999</v>
          </cell>
          <cell r="HH490">
            <v>1402.7539999999999</v>
          </cell>
          <cell r="HI490">
            <v>1402.7539999999999</v>
          </cell>
        </row>
        <row r="491">
          <cell r="Q491">
            <v>13.489000000000001</v>
          </cell>
          <cell r="S491">
            <v>12.837999999999999</v>
          </cell>
          <cell r="T491">
            <v>11.936</v>
          </cell>
          <cell r="U491">
            <v>13.7</v>
          </cell>
          <cell r="V491">
            <v>20.099</v>
          </cell>
          <cell r="X491">
            <v>25.486999999999998</v>
          </cell>
          <cell r="Y491">
            <v>22.073</v>
          </cell>
          <cell r="Z491">
            <v>22.495999999999999</v>
          </cell>
          <cell r="AA491">
            <v>23.181000000000001</v>
          </cell>
          <cell r="AC491">
            <v>22.08</v>
          </cell>
          <cell r="AD491">
            <v>21.555</v>
          </cell>
          <cell r="AE491">
            <v>27.417999999999999</v>
          </cell>
          <cell r="AF491">
            <v>23.425999999999998</v>
          </cell>
          <cell r="AJ491">
            <v>22.08</v>
          </cell>
          <cell r="AK491">
            <v>21.555</v>
          </cell>
          <cell r="AL491">
            <v>27.417999999999999</v>
          </cell>
          <cell r="AM491">
            <v>31.187000000000001</v>
          </cell>
          <cell r="AY491">
            <v>26.206</v>
          </cell>
          <cell r="AZ491">
            <v>24.57</v>
          </cell>
          <cell r="BA491">
            <v>80.614000000000004</v>
          </cell>
          <cell r="BB491">
            <v>33.006999999999998</v>
          </cell>
          <cell r="BD491">
            <v>26.206</v>
          </cell>
          <cell r="BE491">
            <v>24.57</v>
          </cell>
          <cell r="BF491">
            <v>80.614000000000004</v>
          </cell>
          <cell r="BG491">
            <v>33.006999999999998</v>
          </cell>
          <cell r="BI491">
            <v>33.975000000000001</v>
          </cell>
          <cell r="BJ491">
            <v>47.094999999999999</v>
          </cell>
          <cell r="BK491">
            <v>49.969000000000001</v>
          </cell>
          <cell r="BN491">
            <v>49.363</v>
          </cell>
          <cell r="BO491">
            <v>47.926000000000002</v>
          </cell>
          <cell r="BP491">
            <v>51.332000000000001</v>
          </cell>
          <cell r="BQ491" t="str">
            <v xml:space="preserve"> --</v>
          </cell>
          <cell r="BS491">
            <v>49.363</v>
          </cell>
          <cell r="BT491">
            <v>47.926000000000002</v>
          </cell>
          <cell r="BU491">
            <v>51.332000000000001</v>
          </cell>
          <cell r="BV491">
            <v>35.283999999999999</v>
          </cell>
          <cell r="BX491" t="str">
            <v xml:space="preserve"> --</v>
          </cell>
          <cell r="BZ491">
            <v>38.476999999999997</v>
          </cell>
          <cell r="CA491">
            <v>32.027999999999999</v>
          </cell>
          <cell r="CB491">
            <v>30.873000000000001</v>
          </cell>
          <cell r="CC491">
            <v>28.023</v>
          </cell>
          <cell r="CE491">
            <v>26.206</v>
          </cell>
          <cell r="CF491">
            <v>24.57</v>
          </cell>
          <cell r="CG491">
            <v>80.614000000000004</v>
          </cell>
          <cell r="CH491">
            <v>33.006999999999998</v>
          </cell>
          <cell r="CJ491">
            <v>49.363</v>
          </cell>
          <cell r="CK491">
            <v>47.926000000000002</v>
          </cell>
          <cell r="CL491">
            <v>51.332000000000001</v>
          </cell>
          <cell r="CM491">
            <v>44.527000000000001</v>
          </cell>
          <cell r="CO491">
            <v>32.046999999999997</v>
          </cell>
          <cell r="CP491" t="str">
            <v xml:space="preserve"> --</v>
          </cell>
          <cell r="CT491">
            <v>41.975999999999999</v>
          </cell>
          <cell r="CU491">
            <v>35.527000000000001</v>
          </cell>
          <cell r="CV491">
            <v>34.372</v>
          </cell>
          <cell r="CW491">
            <v>31.521999999999998</v>
          </cell>
          <cell r="CY491">
            <v>29.72</v>
          </cell>
          <cell r="CZ491">
            <v>28.545000000000002</v>
          </cell>
          <cell r="DA491">
            <v>87.066000000000003</v>
          </cell>
          <cell r="DB491">
            <v>37.655000000000001</v>
          </cell>
          <cell r="DD491">
            <v>54.978000000000002</v>
          </cell>
          <cell r="DE491">
            <v>54.283000000000001</v>
          </cell>
          <cell r="DF491">
            <v>56.298999999999999</v>
          </cell>
          <cell r="DG491">
            <v>51.436999999999998</v>
          </cell>
          <cell r="DI491">
            <v>45.152000000000001</v>
          </cell>
          <cell r="DJ491">
            <v>46.850999999999999</v>
          </cell>
          <cell r="DK491">
            <v>45.496000000000002</v>
          </cell>
          <cell r="DL491">
            <v>37.787999999999997</v>
          </cell>
          <cell r="DN491">
            <v>34.726999999999997</v>
          </cell>
          <cell r="DO491">
            <v>30.641999999999999</v>
          </cell>
          <cell r="DP491">
            <v>23.614999999999998</v>
          </cell>
          <cell r="DQ491">
            <v>20.210999999999999</v>
          </cell>
          <cell r="DS491">
            <v>14.077</v>
          </cell>
          <cell r="DT491">
            <v>0</v>
          </cell>
          <cell r="DU491">
            <v>8.5679999999999996</v>
          </cell>
          <cell r="DV491">
            <v>7.9089999999999998</v>
          </cell>
          <cell r="DX491">
            <v>5.8140000000000001</v>
          </cell>
          <cell r="DY491">
            <v>5.3360000000000003</v>
          </cell>
          <cell r="DZ491">
            <v>17.184000000000001</v>
          </cell>
          <cell r="EA491">
            <v>17.184000000000001</v>
          </cell>
          <cell r="EC491">
            <v>17.184000000000001</v>
          </cell>
          <cell r="ED491">
            <v>17.184000000000001</v>
          </cell>
          <cell r="EE491">
            <v>17.184000000000001</v>
          </cell>
          <cell r="EF491">
            <v>17.184000000000001</v>
          </cell>
          <cell r="EH491">
            <v>17.184000000000001</v>
          </cell>
          <cell r="EI491">
            <v>17.184000000000001</v>
          </cell>
          <cell r="EJ491">
            <v>17.184000000000001</v>
          </cell>
          <cell r="EK491">
            <v>17.184000000000001</v>
          </cell>
          <cell r="ER491">
            <v>13.489000000000001</v>
          </cell>
          <cell r="ES491">
            <v>20.099</v>
          </cell>
          <cell r="ET491">
            <v>23.181000000000001</v>
          </cell>
          <cell r="EU491">
            <v>23.425999999999998</v>
          </cell>
          <cell r="EX491">
            <v>31.187000000000001</v>
          </cell>
          <cell r="EZ491" t="str">
            <v>--</v>
          </cell>
          <cell r="FA491" t="str">
            <v>--</v>
          </cell>
          <cell r="FB491" t="str">
            <v>--</v>
          </cell>
          <cell r="FC491">
            <v>31.187000000000001</v>
          </cell>
          <cell r="FD491">
            <v>35.43</v>
          </cell>
          <cell r="FK491">
            <v>33.006999999999998</v>
          </cell>
          <cell r="FL491">
            <v>35.283999999999999</v>
          </cell>
          <cell r="FO491">
            <v>33.036999999999999</v>
          </cell>
          <cell r="FP491">
            <v>28.023</v>
          </cell>
          <cell r="FQ491">
            <v>33.006999999999998</v>
          </cell>
          <cell r="FR491">
            <v>44.527000000000001</v>
          </cell>
          <cell r="FT491">
            <v>33.036999999999999</v>
          </cell>
          <cell r="FU491">
            <v>31.521999999999998</v>
          </cell>
          <cell r="FV491">
            <v>37.655000000000001</v>
          </cell>
          <cell r="FW491">
            <v>51.436999999999998</v>
          </cell>
          <cell r="FX491" t="str">
            <v>--</v>
          </cell>
          <cell r="FY491">
            <v>20.210999999999999</v>
          </cell>
          <cell r="FZ491">
            <v>7.9089999999999998</v>
          </cell>
          <cell r="GA491">
            <v>17.184000000000001</v>
          </cell>
          <cell r="GB491">
            <v>17.184000000000001</v>
          </cell>
          <cell r="GC491">
            <v>17.184000000000001</v>
          </cell>
          <cell r="GL491">
            <v>7.9089999999999998</v>
          </cell>
          <cell r="GM491">
            <v>17.184000000000001</v>
          </cell>
          <cell r="GN491">
            <v>17.184000000000001</v>
          </cell>
          <cell r="GO491">
            <v>17.184000000000001</v>
          </cell>
          <cell r="GP491">
            <v>20.792640000000002</v>
          </cell>
          <cell r="GQ491">
            <v>24.327388800000001</v>
          </cell>
          <cell r="GR491">
            <v>24.327388800000001</v>
          </cell>
          <cell r="GS491">
            <v>26.273579904000002</v>
          </cell>
          <cell r="GT491">
            <v>30.740088487680001</v>
          </cell>
          <cell r="GU491">
            <v>38.732511494476803</v>
          </cell>
          <cell r="GV491">
            <v>44.155063103703561</v>
          </cell>
          <cell r="GW491">
            <v>37.531803638148027</v>
          </cell>
          <cell r="GX491">
            <v>39.40839382005543</v>
          </cell>
          <cell r="GY491">
            <v>44.137401078462084</v>
          </cell>
          <cell r="GZ491">
            <v>48.992515197092914</v>
          </cell>
          <cell r="HA491">
            <v>53.891766716802209</v>
          </cell>
          <cell r="HB491">
            <v>58.742025721314413</v>
          </cell>
          <cell r="HC491">
            <v>63.441387779019571</v>
          </cell>
          <cell r="HD491">
            <v>67.882284923550941</v>
          </cell>
          <cell r="HE491">
            <v>71.955222018963994</v>
          </cell>
          <cell r="HF491">
            <v>75.552983119912199</v>
          </cell>
          <cell r="HG491">
            <v>79.330632275907817</v>
          </cell>
          <cell r="HH491">
            <v>83.297163889703214</v>
          </cell>
          <cell r="HI491">
            <v>87.462022084188376</v>
          </cell>
        </row>
        <row r="492">
          <cell r="I492">
            <v>0.84699999999999998</v>
          </cell>
          <cell r="J492">
            <v>3.3029999999999999</v>
          </cell>
          <cell r="K492">
            <v>3.5750000000000002</v>
          </cell>
          <cell r="L492">
            <v>7.8840000000000003</v>
          </cell>
          <cell r="N492">
            <v>9.44</v>
          </cell>
          <cell r="O492">
            <v>8.0590000000000011</v>
          </cell>
          <cell r="P492">
            <v>9.8190000000000008</v>
          </cell>
          <cell r="Q492">
            <v>33.835000000000001</v>
          </cell>
          <cell r="S492">
            <v>37.052999999999997</v>
          </cell>
          <cell r="T492">
            <v>36.369</v>
          </cell>
          <cell r="U492">
            <v>36.220999999999997</v>
          </cell>
          <cell r="V492">
            <v>32.036000000000001</v>
          </cell>
          <cell r="X492">
            <v>12.558999999999999</v>
          </cell>
          <cell r="Y492">
            <v>10.861000000000001</v>
          </cell>
          <cell r="Z492">
            <v>15.804</v>
          </cell>
          <cell r="AA492">
            <v>23.643999999999998</v>
          </cell>
          <cell r="AC492">
            <v>17.484000000000002</v>
          </cell>
          <cell r="AD492">
            <v>12.68</v>
          </cell>
          <cell r="AE492">
            <v>13.478</v>
          </cell>
          <cell r="AF492">
            <v>14.044</v>
          </cell>
          <cell r="AJ492">
            <v>17.992999999999999</v>
          </cell>
          <cell r="AK492">
            <v>13.286</v>
          </cell>
          <cell r="AL492">
            <v>14.247999999999999</v>
          </cell>
          <cell r="AM492">
            <v>14.988</v>
          </cell>
          <cell r="AY492">
            <v>20.81</v>
          </cell>
          <cell r="AZ492">
            <v>16.212</v>
          </cell>
          <cell r="BA492">
            <v>15.895</v>
          </cell>
          <cell r="BB492">
            <v>18.57</v>
          </cell>
          <cell r="BD492">
            <v>24.454000000000001</v>
          </cell>
          <cell r="BE492">
            <v>20.149000000000001</v>
          </cell>
          <cell r="BF492">
            <v>20.413</v>
          </cell>
          <cell r="BG492">
            <v>23.696999999999999</v>
          </cell>
          <cell r="BI492">
            <v>12.398</v>
          </cell>
          <cell r="BJ492">
            <v>11.542000000000002</v>
          </cell>
          <cell r="BK492">
            <v>11.297999999999998</v>
          </cell>
          <cell r="BN492">
            <v>16.132000000000001</v>
          </cell>
          <cell r="BO492">
            <v>15.396000000000001</v>
          </cell>
          <cell r="BP492">
            <v>16.276</v>
          </cell>
          <cell r="BQ492">
            <v>54.677999999999997</v>
          </cell>
          <cell r="BS492">
            <v>21.315000000000001</v>
          </cell>
          <cell r="BT492">
            <v>20.591000000000001</v>
          </cell>
          <cell r="BU492">
            <v>21.588999999999999</v>
          </cell>
          <cell r="BV492">
            <v>44.930999999999997</v>
          </cell>
          <cell r="BX492">
            <v>55.878999999999998</v>
          </cell>
          <cell r="BZ492">
            <v>19.201000000000001</v>
          </cell>
          <cell r="CA492">
            <v>18.759</v>
          </cell>
          <cell r="CB492">
            <v>23.164999999999999</v>
          </cell>
          <cell r="CC492">
            <v>43.415999999999997</v>
          </cell>
          <cell r="CE492">
            <v>41.527000000000001</v>
          </cell>
          <cell r="CF492">
            <v>34.085999999999999</v>
          </cell>
          <cell r="CG492">
            <v>33.646000000000001</v>
          </cell>
          <cell r="CH492">
            <v>35.460999999999999</v>
          </cell>
          <cell r="CJ492">
            <v>36.719000000000001</v>
          </cell>
          <cell r="CK492">
            <v>35.908999999999999</v>
          </cell>
          <cell r="CL492">
            <v>42.293999999999997</v>
          </cell>
          <cell r="CM492">
            <v>43.936</v>
          </cell>
          <cell r="CO492">
            <v>44.192999999999998</v>
          </cell>
          <cell r="CP492">
            <v>63.723999999999997</v>
          </cell>
          <cell r="CT492">
            <v>20.864000000000001</v>
          </cell>
          <cell r="CU492">
            <v>20.422000000000001</v>
          </cell>
          <cell r="CV492">
            <v>24.827999999999999</v>
          </cell>
          <cell r="CW492">
            <v>46.34</v>
          </cell>
          <cell r="CY492">
            <v>43.003</v>
          </cell>
          <cell r="CZ492">
            <v>35.561</v>
          </cell>
          <cell r="DA492">
            <v>35.119999999999997</v>
          </cell>
          <cell r="DB492">
            <v>37.034999999999997</v>
          </cell>
          <cell r="DD492">
            <v>38.628999999999998</v>
          </cell>
          <cell r="DE492">
            <v>37.819000000000003</v>
          </cell>
          <cell r="DF492">
            <v>44.204000000000001</v>
          </cell>
          <cell r="DG492">
            <v>51.838999999999999</v>
          </cell>
          <cell r="DI492">
            <v>60.753999999999998</v>
          </cell>
          <cell r="DJ492">
            <v>60.198999999999998</v>
          </cell>
          <cell r="DK492">
            <v>84.338999999999999</v>
          </cell>
          <cell r="DL492">
            <v>82.674999999999997</v>
          </cell>
          <cell r="DN492">
            <v>81.706000000000003</v>
          </cell>
          <cell r="DO492">
            <v>83.673000000000002</v>
          </cell>
          <cell r="DP492">
            <v>109.556</v>
          </cell>
          <cell r="DQ492">
            <v>119.92100000000001</v>
          </cell>
          <cell r="DS492">
            <v>205.33799999999999</v>
          </cell>
          <cell r="DT492">
            <v>201.32499999999999</v>
          </cell>
          <cell r="DU492">
            <v>222.52199999999999</v>
          </cell>
          <cell r="DV492">
            <v>221.21199999999999</v>
          </cell>
          <cell r="DX492">
            <v>233.55</v>
          </cell>
          <cell r="DY492">
            <v>218.441</v>
          </cell>
          <cell r="DZ492">
            <v>217.77</v>
          </cell>
          <cell r="EA492">
            <v>186.12801900000002</v>
          </cell>
          <cell r="EC492">
            <v>198.16177143000004</v>
          </cell>
          <cell r="ED492">
            <v>213.30293407710002</v>
          </cell>
          <cell r="EE492">
            <v>242.57162214236709</v>
          </cell>
          <cell r="EF492">
            <v>214.27172752945373</v>
          </cell>
          <cell r="EH492">
            <v>231.47550141563394</v>
          </cell>
          <cell r="EI492">
            <v>249.40397233756042</v>
          </cell>
          <cell r="EJ492">
            <v>284.4520927767598</v>
          </cell>
          <cell r="EK492">
            <v>250.43131987101475</v>
          </cell>
          <cell r="EN492">
            <v>7.8840000000000003</v>
          </cell>
          <cell r="ER492">
            <v>33.835000000000001</v>
          </cell>
          <cell r="ES492">
            <v>32.036000000000001</v>
          </cell>
          <cell r="ET492">
            <v>23.643999999999998</v>
          </cell>
          <cell r="EU492">
            <v>14.044</v>
          </cell>
          <cell r="EX492">
            <v>14.988</v>
          </cell>
          <cell r="EZ492" t="str">
            <v>--</v>
          </cell>
          <cell r="FA492" t="str">
            <v>--</v>
          </cell>
          <cell r="FB492" t="str">
            <v>--</v>
          </cell>
          <cell r="FC492">
            <v>15.324999999999999</v>
          </cell>
          <cell r="FD492">
            <v>20.055</v>
          </cell>
          <cell r="FK492">
            <v>23.696999999999999</v>
          </cell>
          <cell r="FL492">
            <v>44.930999999999997</v>
          </cell>
          <cell r="FO492">
            <v>40.015999999999998</v>
          </cell>
          <cell r="FP492">
            <v>43.415999999999997</v>
          </cell>
          <cell r="FQ492">
            <v>35.460999999999999</v>
          </cell>
          <cell r="FR492">
            <v>43.936</v>
          </cell>
          <cell r="FT492">
            <v>42.802</v>
          </cell>
          <cell r="FU492">
            <v>46.34</v>
          </cell>
          <cell r="FV492">
            <v>37.034999999999997</v>
          </cell>
          <cell r="FW492">
            <v>48.386000000000003</v>
          </cell>
          <cell r="FX492">
            <v>82.674999999999997</v>
          </cell>
          <cell r="FY492">
            <v>119.92100000000001</v>
          </cell>
          <cell r="FZ492">
            <v>221.21199999999999</v>
          </cell>
          <cell r="GA492">
            <v>186.12801900000002</v>
          </cell>
          <cell r="GB492">
            <v>214.27172752945373</v>
          </cell>
          <cell r="GC492">
            <v>250.43131987101475</v>
          </cell>
          <cell r="GL492">
            <v>221.21199999999999</v>
          </cell>
          <cell r="GM492">
            <v>186.12801900000002</v>
          </cell>
          <cell r="GN492">
            <v>214.27172752945373</v>
          </cell>
          <cell r="GO492">
            <v>250.43131987101475</v>
          </cell>
          <cell r="GP492">
            <v>303.02189704392782</v>
          </cell>
          <cell r="GQ492">
            <v>354.53561954139553</v>
          </cell>
          <cell r="GR492">
            <v>354.53561954139553</v>
          </cell>
          <cell r="GS492">
            <v>382.8984691047072</v>
          </cell>
          <cell r="GT492">
            <v>447.99120885250738</v>
          </cell>
          <cell r="GU492">
            <v>564.46892315415926</v>
          </cell>
          <cell r="GV492">
            <v>643.49457239574167</v>
          </cell>
          <cell r="GW492">
            <v>546.97038653638037</v>
          </cell>
          <cell r="GX492">
            <v>574.31890586319946</v>
          </cell>
          <cell r="GY492">
            <v>643.23717456678344</v>
          </cell>
          <cell r="GZ492">
            <v>713.99326376912973</v>
          </cell>
          <cell r="HA492">
            <v>785.39259014604272</v>
          </cell>
          <cell r="HB492">
            <v>856.0779232591866</v>
          </cell>
          <cell r="HC492">
            <v>924.56415711992156</v>
          </cell>
          <cell r="HD492">
            <v>989.28364811831614</v>
          </cell>
          <cell r="HE492">
            <v>1048.6406670054153</v>
          </cell>
          <cell r="HF492">
            <v>1101.072700355686</v>
          </cell>
          <cell r="HG492">
            <v>1156.1263353734703</v>
          </cell>
          <cell r="HH492">
            <v>1213.9326521421438</v>
          </cell>
          <cell r="HI492">
            <v>1274.6292847492509</v>
          </cell>
        </row>
        <row r="493">
          <cell r="I493" t="str">
            <v xml:space="preserve"> --</v>
          </cell>
          <cell r="J493" t="str">
            <v xml:space="preserve"> --</v>
          </cell>
          <cell r="K493" t="str">
            <v xml:space="preserve"> --</v>
          </cell>
          <cell r="L493" t="str">
            <v xml:space="preserve"> --</v>
          </cell>
          <cell r="N493" t="str">
            <v xml:space="preserve"> --</v>
          </cell>
          <cell r="O493" t="str">
            <v xml:space="preserve"> --</v>
          </cell>
          <cell r="P493" t="str">
            <v xml:space="preserve"> --</v>
          </cell>
          <cell r="Q493">
            <v>1.198</v>
          </cell>
          <cell r="S493">
            <v>1.653</v>
          </cell>
          <cell r="T493">
            <v>1.613</v>
          </cell>
          <cell r="U493">
            <v>1.585</v>
          </cell>
          <cell r="V493">
            <v>1.1419999999999999</v>
          </cell>
          <cell r="X493">
            <v>0.76700000000000002</v>
          </cell>
          <cell r="Y493">
            <v>0.78</v>
          </cell>
          <cell r="Z493">
            <v>1.1599999999999999</v>
          </cell>
          <cell r="AA493">
            <v>0.99399999999999999</v>
          </cell>
          <cell r="AC493">
            <v>1.198</v>
          </cell>
          <cell r="AD493">
            <v>1.484</v>
          </cell>
          <cell r="AE493">
            <v>1.917</v>
          </cell>
          <cell r="AF493">
            <v>4.0179999999999998</v>
          </cell>
          <cell r="AJ493">
            <v>1.2010000000000001</v>
          </cell>
          <cell r="AK493">
            <v>1.488</v>
          </cell>
          <cell r="AL493">
            <v>1.921</v>
          </cell>
          <cell r="AM493">
            <v>4.0220000000000002</v>
          </cell>
          <cell r="AY493">
            <v>1.2010000000000001</v>
          </cell>
          <cell r="AZ493">
            <v>1.488</v>
          </cell>
          <cell r="BA493">
            <v>1.921</v>
          </cell>
          <cell r="BB493">
            <v>4.0220000000000002</v>
          </cell>
          <cell r="BD493">
            <v>1.2010000000000001</v>
          </cell>
          <cell r="BE493">
            <v>1.488</v>
          </cell>
          <cell r="BF493">
            <v>1.921</v>
          </cell>
          <cell r="BG493">
            <v>7.1790000000000003</v>
          </cell>
          <cell r="BI493">
            <v>4.29</v>
          </cell>
          <cell r="BJ493">
            <v>4.359</v>
          </cell>
          <cell r="BK493">
            <v>4.9980000000000002</v>
          </cell>
          <cell r="BN493">
            <v>4.29</v>
          </cell>
          <cell r="BO493">
            <v>4.359</v>
          </cell>
          <cell r="BP493">
            <v>4.9980000000000002</v>
          </cell>
          <cell r="BQ493" t="str">
            <v xml:space="preserve"> --</v>
          </cell>
          <cell r="BS493">
            <v>11.863</v>
          </cell>
          <cell r="BT493">
            <v>11.662000000000001</v>
          </cell>
          <cell r="BU493">
            <v>11.752000000000001</v>
          </cell>
          <cell r="BV493">
            <v>9.7469999999999999</v>
          </cell>
          <cell r="BX493" t="str">
            <v xml:space="preserve"> --</v>
          </cell>
          <cell r="BZ493">
            <v>0.78</v>
          </cell>
          <cell r="CA493">
            <v>0.79</v>
          </cell>
          <cell r="CB493">
            <v>1.167</v>
          </cell>
          <cell r="CC493">
            <v>0.997</v>
          </cell>
          <cell r="CE493">
            <v>1.2010000000000001</v>
          </cell>
          <cell r="CF493">
            <v>1.488</v>
          </cell>
          <cell r="CG493">
            <v>1.921</v>
          </cell>
          <cell r="CH493">
            <v>7.1790000000000003</v>
          </cell>
          <cell r="CJ493">
            <v>11.863</v>
          </cell>
          <cell r="CK493">
            <v>11.662000000000001</v>
          </cell>
          <cell r="CL493">
            <v>11.752000000000001</v>
          </cell>
          <cell r="CM493">
            <v>9.7469999999999999</v>
          </cell>
          <cell r="CO493">
            <v>11.686</v>
          </cell>
          <cell r="CP493" t="str">
            <v xml:space="preserve"> --</v>
          </cell>
          <cell r="CT493">
            <v>0.78</v>
          </cell>
          <cell r="CU493">
            <v>0.79</v>
          </cell>
          <cell r="CV493">
            <v>1.167</v>
          </cell>
          <cell r="CW493">
            <v>0.997</v>
          </cell>
          <cell r="CY493">
            <v>1.2010000000000001</v>
          </cell>
          <cell r="CZ493">
            <v>1.488</v>
          </cell>
          <cell r="DA493">
            <v>1.921</v>
          </cell>
          <cell r="DB493">
            <v>7.1790000000000003</v>
          </cell>
          <cell r="DD493">
            <v>11.863</v>
          </cell>
          <cell r="DE493">
            <v>11.662000000000001</v>
          </cell>
          <cell r="DF493">
            <v>11.752000000000001</v>
          </cell>
          <cell r="DG493" t="str">
            <v xml:space="preserve"> --</v>
          </cell>
          <cell r="DI493">
            <v>11.686</v>
          </cell>
          <cell r="DJ493">
            <v>8.2379999999999995</v>
          </cell>
          <cell r="DK493" t="str">
            <v xml:space="preserve"> --</v>
          </cell>
          <cell r="DL493" t="str">
            <v xml:space="preserve"> --</v>
          </cell>
          <cell r="DN493" t="str">
            <v xml:space="preserve"> --</v>
          </cell>
          <cell r="DO493" t="str">
            <v xml:space="preserve"> --</v>
          </cell>
          <cell r="DP493" t="str">
            <v xml:space="preserve"> --</v>
          </cell>
          <cell r="DQ493" t="str">
            <v xml:space="preserve"> --</v>
          </cell>
          <cell r="DS493" t="str">
            <v xml:space="preserve"> --</v>
          </cell>
          <cell r="DT493" t="str">
            <v xml:space="preserve"> --</v>
          </cell>
          <cell r="DU493" t="str">
            <v xml:space="preserve"> --</v>
          </cell>
          <cell r="DV493" t="str">
            <v xml:space="preserve"> --</v>
          </cell>
          <cell r="DX493" t="str">
            <v xml:space="preserve"> --</v>
          </cell>
          <cell r="DY493" t="str">
            <v xml:space="preserve"> --</v>
          </cell>
          <cell r="DZ493" t="str">
            <v xml:space="preserve"> --</v>
          </cell>
          <cell r="EA493" t="str">
            <v xml:space="preserve"> --</v>
          </cell>
          <cell r="EC493" t="str">
            <v xml:space="preserve"> --</v>
          </cell>
          <cell r="ED493" t="str">
            <v xml:space="preserve"> --</v>
          </cell>
          <cell r="EE493" t="str">
            <v xml:space="preserve"> --</v>
          </cell>
          <cell r="EF493" t="str">
            <v xml:space="preserve"> --</v>
          </cell>
          <cell r="EH493" t="str">
            <v xml:space="preserve"> --</v>
          </cell>
          <cell r="EI493" t="str">
            <v xml:space="preserve"> --</v>
          </cell>
          <cell r="EJ493" t="str">
            <v xml:space="preserve"> --</v>
          </cell>
          <cell r="EK493" t="str">
            <v xml:space="preserve"> --</v>
          </cell>
          <cell r="EN493" t="str">
            <v xml:space="preserve"> --</v>
          </cell>
          <cell r="ER493">
            <v>1.198</v>
          </cell>
          <cell r="ES493">
            <v>1.1419999999999999</v>
          </cell>
          <cell r="ET493">
            <v>0.99399999999999999</v>
          </cell>
          <cell r="EU493">
            <v>4.0179999999999998</v>
          </cell>
          <cell r="EX493">
            <v>4.0220000000000002</v>
          </cell>
          <cell r="EZ493" t="str">
            <v>--</v>
          </cell>
          <cell r="FA493" t="str">
            <v>--</v>
          </cell>
          <cell r="FB493" t="str">
            <v>--</v>
          </cell>
          <cell r="FC493">
            <v>4.0220000000000002</v>
          </cell>
          <cell r="FD493">
            <v>3.4540000000000002</v>
          </cell>
          <cell r="FK493">
            <v>7.1790000000000003</v>
          </cell>
          <cell r="FL493">
            <v>9.7469999999999999</v>
          </cell>
          <cell r="FO493">
            <v>1.159</v>
          </cell>
          <cell r="FP493">
            <v>0.997</v>
          </cell>
          <cell r="FQ493">
            <v>7.1790000000000003</v>
          </cell>
          <cell r="FR493">
            <v>9.7469999999999999</v>
          </cell>
          <cell r="FT493">
            <v>1.159</v>
          </cell>
          <cell r="FU493">
            <v>0.997</v>
          </cell>
          <cell r="FV493">
            <v>7.1790000000000003</v>
          </cell>
          <cell r="FW493">
            <v>9.7469999999999999</v>
          </cell>
          <cell r="FX493" t="str">
            <v xml:space="preserve"> --</v>
          </cell>
          <cell r="FY493" t="str">
            <v xml:space="preserve"> --</v>
          </cell>
          <cell r="FZ493" t="str">
            <v xml:space="preserve"> --</v>
          </cell>
          <cell r="GA493" t="str">
            <v xml:space="preserve"> --</v>
          </cell>
          <cell r="GB493" t="str">
            <v xml:space="preserve"> --</v>
          </cell>
          <cell r="GC493" t="str">
            <v xml:space="preserve"> --</v>
          </cell>
          <cell r="GL493" t="str">
            <v xml:space="preserve"> --</v>
          </cell>
          <cell r="GM493" t="str">
            <v xml:space="preserve"> --</v>
          </cell>
          <cell r="GN493" t="str">
            <v xml:space="preserve"> --</v>
          </cell>
          <cell r="GO493" t="str">
            <v xml:space="preserve"> --</v>
          </cell>
          <cell r="GP493" t="str">
            <v xml:space="preserve"> --</v>
          </cell>
          <cell r="GQ493" t="str">
            <v xml:space="preserve"> --</v>
          </cell>
          <cell r="GR493" t="str">
            <v xml:space="preserve"> --</v>
          </cell>
          <cell r="GS493" t="str">
            <v xml:space="preserve"> --</v>
          </cell>
          <cell r="GT493" t="str">
            <v xml:space="preserve"> --</v>
          </cell>
          <cell r="GU493" t="str">
            <v xml:space="preserve"> --</v>
          </cell>
          <cell r="GV493" t="str">
            <v xml:space="preserve"> --</v>
          </cell>
          <cell r="GW493" t="str">
            <v xml:space="preserve"> --</v>
          </cell>
          <cell r="GX493" t="str">
            <v xml:space="preserve"> --</v>
          </cell>
          <cell r="GY493" t="str">
            <v xml:space="preserve"> --</v>
          </cell>
          <cell r="GZ493" t="str">
            <v xml:space="preserve"> --</v>
          </cell>
          <cell r="HA493" t="str">
            <v xml:space="preserve"> --</v>
          </cell>
          <cell r="HB493" t="str">
            <v xml:space="preserve"> --</v>
          </cell>
          <cell r="HC493" t="str">
            <v xml:space="preserve"> --</v>
          </cell>
          <cell r="HD493" t="str">
            <v xml:space="preserve"> --</v>
          </cell>
          <cell r="HE493" t="str">
            <v xml:space="preserve"> --</v>
          </cell>
          <cell r="HF493" t="str">
            <v xml:space="preserve"> --</v>
          </cell>
          <cell r="HG493" t="str">
            <v xml:space="preserve"> --</v>
          </cell>
          <cell r="HH493" t="str">
            <v xml:space="preserve"> --</v>
          </cell>
          <cell r="HI493" t="str">
            <v xml:space="preserve"> --</v>
          </cell>
        </row>
        <row r="495">
          <cell r="I495">
            <v>56.843000000000004</v>
          </cell>
          <cell r="J495">
            <v>63.74199999999999</v>
          </cell>
          <cell r="K495">
            <v>60.476000000000006</v>
          </cell>
          <cell r="L495">
            <v>63.824000000000005</v>
          </cell>
          <cell r="N495">
            <v>72.447999999999979</v>
          </cell>
          <cell r="O495">
            <v>98.478999999999971</v>
          </cell>
          <cell r="P495">
            <v>105.14700000000001</v>
          </cell>
          <cell r="Q495">
            <v>85.570999999999941</v>
          </cell>
          <cell r="S495">
            <v>90.944999999999993</v>
          </cell>
          <cell r="T495">
            <v>96.49799999999999</v>
          </cell>
          <cell r="U495">
            <v>97.700000000000045</v>
          </cell>
          <cell r="V495">
            <v>99.344999999999914</v>
          </cell>
          <cell r="X495">
            <v>100.96800000000002</v>
          </cell>
          <cell r="Y495">
            <v>108.80500000000006</v>
          </cell>
          <cell r="Z495">
            <v>207.40700000000004</v>
          </cell>
          <cell r="AA495">
            <v>214.80899999999986</v>
          </cell>
          <cell r="AC495">
            <v>229.12400000000002</v>
          </cell>
          <cell r="AD495">
            <v>246.89</v>
          </cell>
          <cell r="AE495">
            <v>458.52499999999998</v>
          </cell>
          <cell r="AF495">
            <v>466.25099999999998</v>
          </cell>
          <cell r="AJ495">
            <v>247.49400000000003</v>
          </cell>
          <cell r="AK495">
            <v>265.3649999999999</v>
          </cell>
          <cell r="AL495">
            <v>477.10300000000007</v>
          </cell>
          <cell r="AM495">
            <v>484.93799999999987</v>
          </cell>
          <cell r="AY495">
            <v>417.73000000000025</v>
          </cell>
          <cell r="AZ495">
            <v>435.50099999999986</v>
          </cell>
          <cell r="BA495">
            <v>650.66700000000014</v>
          </cell>
          <cell r="BB495">
            <v>660.95899999999983</v>
          </cell>
          <cell r="BD495">
            <v>479.20700000000011</v>
          </cell>
          <cell r="BE495">
            <v>506.56099999999992</v>
          </cell>
          <cell r="BF495">
            <v>724.55799999999977</v>
          </cell>
          <cell r="BG495">
            <v>735.9699999999998</v>
          </cell>
          <cell r="BI495">
            <v>482.83799999999997</v>
          </cell>
          <cell r="BJ495">
            <v>534.36099999999988</v>
          </cell>
          <cell r="BK495">
            <v>1090.374</v>
          </cell>
          <cell r="BN495">
            <v>771.01200000000017</v>
          </cell>
          <cell r="BO495">
            <v>823.06500000000005</v>
          </cell>
          <cell r="BP495">
            <v>1397.7799999999997</v>
          </cell>
          <cell r="BQ495">
            <v>2214.0730000000003</v>
          </cell>
          <cell r="BS495">
            <v>856.87300000000005</v>
          </cell>
          <cell r="BT495">
            <v>936.16100000000006</v>
          </cell>
          <cell r="BU495">
            <v>1499.2279999999998</v>
          </cell>
          <cell r="BV495">
            <v>2214.0730000000003</v>
          </cell>
          <cell r="BX495">
            <v>2468.192</v>
          </cell>
          <cell r="BZ495">
            <v>350.77899999999988</v>
          </cell>
          <cell r="CA495">
            <v>377.61</v>
          </cell>
          <cell r="CB495">
            <v>493.53300000000002</v>
          </cell>
          <cell r="CC495">
            <v>588.77899999999977</v>
          </cell>
          <cell r="CE495">
            <v>561.38699999999994</v>
          </cell>
          <cell r="CF495">
            <v>585.49699999999984</v>
          </cell>
          <cell r="CG495">
            <v>836.01499999999987</v>
          </cell>
          <cell r="CH495">
            <v>839.22299999999996</v>
          </cell>
          <cell r="CJ495">
            <v>974.19</v>
          </cell>
          <cell r="CK495">
            <v>1042.1080000000002</v>
          </cell>
          <cell r="CL495">
            <v>1578.1010000000001</v>
          </cell>
          <cell r="CM495">
            <v>2286.0910000000003</v>
          </cell>
          <cell r="CO495">
            <v>2468.1919999999996</v>
          </cell>
          <cell r="CP495">
            <v>2741.7789999999995</v>
          </cell>
          <cell r="CT495">
            <v>390.43900000000008</v>
          </cell>
          <cell r="CU495">
            <v>419.40200000000004</v>
          </cell>
          <cell r="CV495">
            <v>537.45600000000013</v>
          </cell>
          <cell r="CW495">
            <v>645.47699999999986</v>
          </cell>
          <cell r="CY495">
            <v>606.97499999999991</v>
          </cell>
          <cell r="CZ495">
            <v>632.91300000000001</v>
          </cell>
          <cell r="DA495">
            <v>886.23099999999977</v>
          </cell>
          <cell r="DB495">
            <v>909.01100000000042</v>
          </cell>
          <cell r="DD495">
            <v>1046.4119999999998</v>
          </cell>
          <cell r="DE495">
            <v>1117.152</v>
          </cell>
          <cell r="DF495">
            <v>1655.7629999999999</v>
          </cell>
          <cell r="DG495">
            <v>2376.6280000000006</v>
          </cell>
          <cell r="DI495">
            <v>2590.4050000000007</v>
          </cell>
          <cell r="DJ495">
            <v>2827.6649999999991</v>
          </cell>
          <cell r="DK495">
            <v>2902.2400000000002</v>
          </cell>
          <cell r="DL495">
            <v>4030.3610000000008</v>
          </cell>
          <cell r="DN495">
            <v>4050.5570000000002</v>
          </cell>
          <cell r="DO495">
            <v>3789.2699999999995</v>
          </cell>
          <cell r="DP495">
            <v>3976.7839999999997</v>
          </cell>
          <cell r="DQ495">
            <v>4455.4959999999992</v>
          </cell>
          <cell r="DS495">
            <v>4440.741</v>
          </cell>
          <cell r="DT495">
            <v>4484.8339999999998</v>
          </cell>
          <cell r="DU495">
            <v>4506.8470000000007</v>
          </cell>
          <cell r="DV495">
            <v>4542.0200000000004</v>
          </cell>
          <cell r="DX495">
            <v>4346.3209999999999</v>
          </cell>
          <cell r="DY495">
            <v>4275.0889999999999</v>
          </cell>
          <cell r="DZ495">
            <v>4372.7749999999996</v>
          </cell>
          <cell r="EA495">
            <v>4325.4108844014372</v>
          </cell>
          <cell r="EC495">
            <v>4395.1018139365488</v>
          </cell>
          <cell r="ED495">
            <v>4485.3124225843103</v>
          </cell>
          <cell r="EE495">
            <v>4623.9763366525112</v>
          </cell>
          <cell r="EF495">
            <v>4722.6776846035009</v>
          </cell>
          <cell r="EH495">
            <v>4836.5676090306961</v>
          </cell>
          <cell r="EI495">
            <v>4972.607785083208</v>
          </cell>
          <cell r="EJ495">
            <v>5164.3157146343056</v>
          </cell>
          <cell r="EK495">
            <v>5305.2608648915138</v>
          </cell>
          <cell r="EN495">
            <v>63.824000000000005</v>
          </cell>
          <cell r="ER495">
            <v>85.570999999999941</v>
          </cell>
          <cell r="ES495">
            <v>99.344999999999914</v>
          </cell>
          <cell r="ET495">
            <v>214.80899999999986</v>
          </cell>
          <cell r="EU495">
            <v>466.25099999999998</v>
          </cell>
          <cell r="EX495">
            <v>484.93799999999987</v>
          </cell>
          <cell r="EZ495" t="str">
            <v>--</v>
          </cell>
          <cell r="FA495" t="str">
            <v>--</v>
          </cell>
          <cell r="FB495" t="str">
            <v>--</v>
          </cell>
          <cell r="FC495">
            <v>500.04599999999994</v>
          </cell>
          <cell r="FD495">
            <v>1593.2420000000002</v>
          </cell>
          <cell r="FK495">
            <v>735.9699999999998</v>
          </cell>
          <cell r="FL495">
            <v>2214.0730000000003</v>
          </cell>
          <cell r="FO495">
            <v>334.40800000000013</v>
          </cell>
          <cell r="FP495">
            <v>588.79899999999975</v>
          </cell>
          <cell r="FQ495">
            <v>839.22299999999996</v>
          </cell>
          <cell r="FR495">
            <v>2286.0910000000003</v>
          </cell>
          <cell r="FT495">
            <v>331.62200000000007</v>
          </cell>
          <cell r="FU495">
            <v>645.47699999999986</v>
          </cell>
          <cell r="FV495">
            <v>909.01100000000042</v>
          </cell>
          <cell r="FW495">
            <v>2370.3340000000003</v>
          </cell>
          <cell r="FX495">
            <v>4030.3610000000008</v>
          </cell>
          <cell r="FY495">
            <v>4455.4959999999992</v>
          </cell>
          <cell r="FZ495">
            <v>4542.0200000000004</v>
          </cell>
          <cell r="GA495">
            <v>4325.4108844014372</v>
          </cell>
          <cell r="GB495">
            <v>4722.6776846035009</v>
          </cell>
          <cell r="GC495">
            <v>5305.2608648915138</v>
          </cell>
          <cell r="GL495">
            <v>4542.0200000000004</v>
          </cell>
          <cell r="GM495">
            <v>4325.4108844014372</v>
          </cell>
          <cell r="GN495">
            <v>4722.6776846035009</v>
          </cell>
          <cell r="GO495">
            <v>5305.2608648915138</v>
          </cell>
          <cell r="GP495">
            <v>6236.852332161794</v>
          </cell>
          <cell r="GQ495">
            <v>7180.4648351248534</v>
          </cell>
          <cell r="GR495">
            <v>7600.5755003457525</v>
          </cell>
          <cell r="GS495">
            <v>8584.4986582035472</v>
          </cell>
          <cell r="GT495">
            <v>9986.2121961177636</v>
          </cell>
          <cell r="GU495">
            <v>11863.203360765316</v>
          </cell>
          <cell r="GV495">
            <v>13790.628755652328</v>
          </cell>
          <cell r="GW495">
            <v>14115.202164094491</v>
          </cell>
          <cell r="GX495">
            <v>15215.288919743636</v>
          </cell>
          <cell r="GY495">
            <v>16949.082645619765</v>
          </cell>
          <cell r="GZ495">
            <v>18897.782434028668</v>
          </cell>
          <cell r="HA495">
            <v>21065.574152302401</v>
          </cell>
          <cell r="HB495">
            <v>23452.560090435756</v>
          </cell>
          <cell r="HC495">
            <v>26057.413913405435</v>
          </cell>
          <cell r="HD495">
            <v>28804.744344753461</v>
          </cell>
          <cell r="HE495">
            <v>31604.449303186291</v>
          </cell>
          <cell r="HF495">
            <v>34422.432416383293</v>
          </cell>
          <cell r="HG495">
            <v>37250.209511173176</v>
          </cell>
          <cell r="HH495">
            <v>40078.222886846328</v>
          </cell>
          <cell r="HI495">
            <v>42985.179424984482</v>
          </cell>
        </row>
        <row r="496">
          <cell r="DG496">
            <v>2.4670000000000001</v>
          </cell>
          <cell r="DK496">
            <v>2.6949999999999998</v>
          </cell>
          <cell r="DL496">
            <v>2.871</v>
          </cell>
          <cell r="DN496">
            <v>2.8889999999999998</v>
          </cell>
          <cell r="DO496">
            <v>2.8759999999999999</v>
          </cell>
          <cell r="DP496">
            <v>2.927</v>
          </cell>
          <cell r="DQ496">
            <v>3.0430000000000001</v>
          </cell>
          <cell r="DS496">
            <v>3.0569999999999999</v>
          </cell>
          <cell r="DT496">
            <v>3.0609999999999999</v>
          </cell>
          <cell r="DU496">
            <v>3.069</v>
          </cell>
          <cell r="DV496">
            <v>3.0779999999999998</v>
          </cell>
          <cell r="DX496">
            <v>3.09</v>
          </cell>
          <cell r="DY496">
            <v>3.1070000000000002</v>
          </cell>
          <cell r="DZ496">
            <v>3.1070000000000002</v>
          </cell>
          <cell r="EA496">
            <v>3.1070000000000002</v>
          </cell>
          <cell r="FV496" t="str">
            <v xml:space="preserve"> --</v>
          </cell>
          <cell r="FW496">
            <v>2.4670000000000001</v>
          </cell>
          <cell r="FX496">
            <v>2.871</v>
          </cell>
          <cell r="FY496">
            <v>3.0430000000000001</v>
          </cell>
          <cell r="FZ496">
            <v>3.0779999999999998</v>
          </cell>
          <cell r="GA496">
            <v>3.1070000000000002</v>
          </cell>
          <cell r="GL496">
            <v>3.0779999999999998</v>
          </cell>
          <cell r="GM496">
            <v>3.1070000000000002</v>
          </cell>
          <cell r="GN496">
            <v>3.1070000000000002</v>
          </cell>
          <cell r="GO496">
            <v>3.1070000000000002</v>
          </cell>
          <cell r="GP496">
            <v>3.1070000000000002</v>
          </cell>
          <cell r="GQ496">
            <v>3.1070000000000002</v>
          </cell>
          <cell r="GR496">
            <v>3.1070000000000002</v>
          </cell>
          <cell r="GS496">
            <v>3.1070000000000002</v>
          </cell>
          <cell r="GT496">
            <v>3.1070000000000002</v>
          </cell>
          <cell r="GU496">
            <v>3.1070000000000002</v>
          </cell>
          <cell r="GV496">
            <v>3.1070000000000002</v>
          </cell>
          <cell r="GW496">
            <v>3.1070000000000002</v>
          </cell>
          <cell r="GX496">
            <v>3.1070000000000002</v>
          </cell>
          <cell r="GY496">
            <v>3.1070000000000002</v>
          </cell>
          <cell r="GZ496">
            <v>3.1070000000000002</v>
          </cell>
        </row>
        <row r="497">
          <cell r="DG497">
            <v>1997.0160000000001</v>
          </cell>
          <cell r="DK497">
            <v>2928.0320000000002</v>
          </cell>
          <cell r="DL497">
            <v>4266.9080000000004</v>
          </cell>
          <cell r="DN497">
            <v>4217.1850000000004</v>
          </cell>
          <cell r="DO497">
            <v>4269.4709999999995</v>
          </cell>
          <cell r="DP497">
            <v>4390.5410000000002</v>
          </cell>
          <cell r="DQ497">
            <v>4898.8069999999998</v>
          </cell>
          <cell r="DS497">
            <v>4925.2700000000004</v>
          </cell>
          <cell r="DT497">
            <v>4928.1270000000004</v>
          </cell>
          <cell r="DU497">
            <v>4934.9719999999998</v>
          </cell>
          <cell r="DV497">
            <v>4948.6009999999997</v>
          </cell>
          <cell r="DX497">
            <v>4959.6009999999997</v>
          </cell>
          <cell r="DY497">
            <v>4980.2139999999999</v>
          </cell>
          <cell r="DZ497">
            <v>4999.7370000000001</v>
          </cell>
          <cell r="EA497">
            <v>4999.7370000000001</v>
          </cell>
          <cell r="FV497" t="str">
            <v xml:space="preserve"> --</v>
          </cell>
          <cell r="FW497">
            <v>1997.0160000000001</v>
          </cell>
          <cell r="FX497">
            <v>4266.9080000000004</v>
          </cell>
          <cell r="FY497">
            <v>4898.8069999999998</v>
          </cell>
          <cell r="FZ497">
            <v>4948.6009999999997</v>
          </cell>
          <cell r="GA497">
            <v>4999.7370000000001</v>
          </cell>
          <cell r="GL497">
            <v>4948.6009999999997</v>
          </cell>
          <cell r="GM497">
            <v>4999.7370000000001</v>
          </cell>
          <cell r="GN497">
            <v>4999.7370000000001</v>
          </cell>
          <cell r="GO497">
            <v>4999.7370000000001</v>
          </cell>
          <cell r="GP497">
            <v>4999.7370000000001</v>
          </cell>
          <cell r="GQ497">
            <v>4999.7370000000001</v>
          </cell>
          <cell r="GR497">
            <v>4999.7370000000001</v>
          </cell>
          <cell r="GS497">
            <v>4999.7370000000001</v>
          </cell>
          <cell r="GT497">
            <v>4999.7370000000001</v>
          </cell>
          <cell r="GU497">
            <v>4999.7370000000001</v>
          </cell>
          <cell r="GV497">
            <v>4999.7370000000001</v>
          </cell>
          <cell r="GW497">
            <v>4999.7370000000001</v>
          </cell>
          <cell r="GX497">
            <v>4999.7370000000001</v>
          </cell>
          <cell r="GY497">
            <v>4999.7370000000001</v>
          </cell>
          <cell r="GZ497">
            <v>4999.7370000000001</v>
          </cell>
        </row>
        <row r="498">
          <cell r="DG498">
            <v>373.73500000000001</v>
          </cell>
          <cell r="DK498">
            <v>60.463999999999999</v>
          </cell>
          <cell r="DL498">
            <v>-132.892</v>
          </cell>
          <cell r="DN498">
            <v>-44.564</v>
          </cell>
          <cell r="DO498">
            <v>-374.36900000000003</v>
          </cell>
          <cell r="DP498">
            <v>-292.38</v>
          </cell>
          <cell r="DQ498">
            <v>-286.64</v>
          </cell>
          <cell r="DS498">
            <v>-417.81200000000001</v>
          </cell>
          <cell r="DT498">
            <v>-383.142</v>
          </cell>
          <cell r="DU498">
            <v>-389.61900000000003</v>
          </cell>
          <cell r="DV498">
            <v>-370.09300000000002</v>
          </cell>
          <cell r="DX498">
            <v>-659.80799999999999</v>
          </cell>
          <cell r="DY498">
            <v>-759.89800000000002</v>
          </cell>
          <cell r="DZ498">
            <v>-728.91599999999983</v>
          </cell>
          <cell r="EA498">
            <v>-711.70111559856184</v>
          </cell>
          <cell r="FV498" t="str">
            <v xml:space="preserve"> --</v>
          </cell>
          <cell r="FW498">
            <v>373.73500000000001</v>
          </cell>
          <cell r="FX498">
            <v>-132.892</v>
          </cell>
          <cell r="FY498">
            <v>-286.64</v>
          </cell>
          <cell r="FZ498">
            <v>-370.09300000000002</v>
          </cell>
          <cell r="GA498">
            <v>-711.70111559856184</v>
          </cell>
          <cell r="GL498">
            <v>-370.09300000000002</v>
          </cell>
          <cell r="GM498">
            <v>-711.70111559856184</v>
          </cell>
          <cell r="GN498">
            <v>-314.43431539649896</v>
          </cell>
          <cell r="GO498">
            <v>268.14886489151382</v>
          </cell>
          <cell r="GP498">
            <v>1199.7403321617937</v>
          </cell>
          <cell r="GQ498">
            <v>2143.3528351248565</v>
          </cell>
          <cell r="GR498">
            <v>2563.4635003457533</v>
          </cell>
          <cell r="GS498">
            <v>3547.386658203548</v>
          </cell>
          <cell r="GT498">
            <v>4949.1001961177672</v>
          </cell>
          <cell r="GU498">
            <v>6826.0913607653165</v>
          </cell>
          <cell r="GV498">
            <v>8753.516755652332</v>
          </cell>
          <cell r="GW498">
            <v>9078.090164094494</v>
          </cell>
          <cell r="GX498">
            <v>10178.176919743641</v>
          </cell>
          <cell r="GY498">
            <v>11911.970645619767</v>
          </cell>
          <cell r="GZ498">
            <v>13860.670434028669</v>
          </cell>
        </row>
        <row r="499">
          <cell r="DG499">
            <v>8.4939999999999998</v>
          </cell>
          <cell r="DK499">
            <v>-88.950999999999993</v>
          </cell>
          <cell r="DL499">
            <v>-106.526</v>
          </cell>
          <cell r="DN499">
            <v>-124.953</v>
          </cell>
          <cell r="DO499">
            <v>-108.708</v>
          </cell>
          <cell r="DP499">
            <v>-124.304</v>
          </cell>
          <cell r="DQ499">
            <v>-159.714</v>
          </cell>
          <cell r="DS499">
            <v>-69.774000000000001</v>
          </cell>
          <cell r="DT499">
            <v>-63.212000000000003</v>
          </cell>
          <cell r="DU499">
            <v>-41.575000000000003</v>
          </cell>
          <cell r="DV499">
            <v>-33.418999999999997</v>
          </cell>
          <cell r="DX499">
            <v>49.222999999999999</v>
          </cell>
          <cell r="DY499">
            <v>59.152000000000001</v>
          </cell>
          <cell r="DZ499">
            <v>59.152000000000001</v>
          </cell>
          <cell r="EA499">
            <v>59.152000000000001</v>
          </cell>
          <cell r="FV499" t="str">
            <v xml:space="preserve"> --</v>
          </cell>
          <cell r="FW499">
            <v>8.4939999999999998</v>
          </cell>
          <cell r="FX499">
            <v>-106.526</v>
          </cell>
          <cell r="FY499">
            <v>-159.714</v>
          </cell>
          <cell r="FZ499">
            <v>-33.418999999999997</v>
          </cell>
          <cell r="GA499">
            <v>59.152000000000001</v>
          </cell>
          <cell r="GL499">
            <v>-33.418999999999997</v>
          </cell>
          <cell r="GM499">
            <v>59.152000000000001</v>
          </cell>
          <cell r="GN499">
            <v>59.152000000000001</v>
          </cell>
          <cell r="GO499">
            <v>59.152000000000001</v>
          </cell>
          <cell r="GP499">
            <v>59.152000000000001</v>
          </cell>
          <cell r="GQ499">
            <v>59.152000000000001</v>
          </cell>
          <cell r="GR499">
            <v>59.152000000000001</v>
          </cell>
          <cell r="GS499">
            <v>59.152000000000001</v>
          </cell>
          <cell r="GT499">
            <v>59.152000000000001</v>
          </cell>
          <cell r="GU499">
            <v>59.152000000000001</v>
          </cell>
          <cell r="GV499">
            <v>59.152000000000001</v>
          </cell>
          <cell r="GW499">
            <v>59.152000000000001</v>
          </cell>
          <cell r="GX499">
            <v>59.152000000000001</v>
          </cell>
          <cell r="GY499">
            <v>59.152000000000001</v>
          </cell>
          <cell r="GZ499">
            <v>59.152000000000001</v>
          </cell>
        </row>
        <row r="500">
          <cell r="DG500">
            <v>-5.0839999999999996</v>
          </cell>
          <cell r="DK500" t="str">
            <v xml:space="preserve"> --</v>
          </cell>
          <cell r="DL500" t="str">
            <v xml:space="preserve"> --</v>
          </cell>
          <cell r="DN500" t="str">
            <v xml:space="preserve"> --</v>
          </cell>
          <cell r="DO500" t="str">
            <v xml:space="preserve"> --</v>
          </cell>
          <cell r="DP500" t="str">
            <v xml:space="preserve"> --</v>
          </cell>
          <cell r="DQ500" t="str">
            <v xml:space="preserve"> --</v>
          </cell>
          <cell r="DU500" t="str">
            <v xml:space="preserve"> --</v>
          </cell>
          <cell r="DV500">
            <v>-6.1470000000000002</v>
          </cell>
          <cell r="DX500">
            <v>-5.7850000000000001</v>
          </cell>
          <cell r="DY500">
            <v>-7.4859999999999998</v>
          </cell>
          <cell r="DZ500">
            <v>-7.4859999999999998</v>
          </cell>
          <cell r="EA500">
            <v>-7.4859999999999998</v>
          </cell>
          <cell r="FV500" t="str">
            <v xml:space="preserve"> --</v>
          </cell>
          <cell r="FW500">
            <v>-5.0839999999999996</v>
          </cell>
          <cell r="FX500" t="str">
            <v xml:space="preserve"> --</v>
          </cell>
          <cell r="FY500" t="str">
            <v xml:space="preserve"> --</v>
          </cell>
          <cell r="FZ500">
            <v>-6.1470000000000002</v>
          </cell>
          <cell r="GA500">
            <v>-7.4859999999999998</v>
          </cell>
          <cell r="GL500">
            <v>-6.1470000000000002</v>
          </cell>
          <cell r="GM500">
            <v>-7.4859999999999998</v>
          </cell>
          <cell r="GN500">
            <v>-7.4859999999999998</v>
          </cell>
          <cell r="GO500">
            <v>-7.4859999999999998</v>
          </cell>
          <cell r="GP500">
            <v>-7.4859999999999998</v>
          </cell>
          <cell r="GQ500">
            <v>-7.4859999999999998</v>
          </cell>
          <cell r="GR500">
            <v>-7.4859999999999998</v>
          </cell>
          <cell r="GS500">
            <v>-7.4859999999999998</v>
          </cell>
          <cell r="GT500">
            <v>-7.4859999999999998</v>
          </cell>
          <cell r="GU500">
            <v>-7.4859999999999998</v>
          </cell>
          <cell r="GV500">
            <v>-7.4859999999999998</v>
          </cell>
          <cell r="GW500">
            <v>-7.4859999999999998</v>
          </cell>
          <cell r="GX500">
            <v>-7.4859999999999998</v>
          </cell>
          <cell r="GY500">
            <v>-7.4859999999999998</v>
          </cell>
          <cell r="GZ500">
            <v>-7.4859999999999998</v>
          </cell>
        </row>
        <row r="501">
          <cell r="DP501">
            <v>8318.1450000000004</v>
          </cell>
        </row>
        <row r="504">
          <cell r="I504">
            <v>0.61021770869117142</v>
          </cell>
          <cell r="J504">
            <v>0.67108144529604985</v>
          </cell>
          <cell r="K504">
            <v>0.63344226579520713</v>
          </cell>
          <cell r="L504">
            <v>0.64777525170509909</v>
          </cell>
          <cell r="N504">
            <v>0.72540852290932367</v>
          </cell>
          <cell r="O504">
            <v>0.9225717604736563</v>
          </cell>
          <cell r="P504">
            <v>0.95923040432053719</v>
          </cell>
          <cell r="Q504">
            <v>0.76863861741879791</v>
          </cell>
          <cell r="S504">
            <v>0.65643405705046765</v>
          </cell>
          <cell r="T504">
            <v>0.70452952514455924</v>
          </cell>
          <cell r="U504">
            <v>0.70215029034669152</v>
          </cell>
          <cell r="V504">
            <v>0.71037841084606079</v>
          </cell>
          <cell r="X504">
            <v>0.72152984221358341</v>
          </cell>
          <cell r="Y504">
            <v>0.75680958210450211</v>
          </cell>
          <cell r="Z504">
            <v>1.2769479879820718</v>
          </cell>
          <cell r="AA504">
            <v>1.2909815375739211</v>
          </cell>
          <cell r="AC504">
            <v>1.3168045977011495</v>
          </cell>
          <cell r="AD504">
            <v>1.4304171494785631</v>
          </cell>
          <cell r="AE504">
            <v>2.4886834849438788</v>
          </cell>
          <cell r="AF504">
            <v>2.2554711687306499</v>
          </cell>
          <cell r="AJ504">
            <v>1.3653184165232359</v>
          </cell>
          <cell r="AK504">
            <v>1.4751678822378362</v>
          </cell>
          <cell r="AL504">
            <v>2.4909832299563521</v>
          </cell>
          <cell r="AM504">
            <v>2.2659807110014571</v>
          </cell>
          <cell r="AY504">
            <v>1.4852410987932623</v>
          </cell>
          <cell r="AZ504">
            <v>1.5668998121883293</v>
          </cell>
          <cell r="BA504">
            <v>2.2595428595241076</v>
          </cell>
          <cell r="BB504">
            <v>2.1345633400722108</v>
          </cell>
          <cell r="BD504">
            <v>1.6476087330238958</v>
          </cell>
          <cell r="BE504">
            <v>1.7620125917423211</v>
          </cell>
          <cell r="BF504">
            <v>2.4344743703464764</v>
          </cell>
          <cell r="BG504">
            <v>2.3047317821689157</v>
          </cell>
          <cell r="BI504">
            <v>2.2256753019267999</v>
          </cell>
          <cell r="BJ504">
            <v>2.4519620799148352</v>
          </cell>
          <cell r="BK504">
            <v>4.5438687147345878</v>
          </cell>
          <cell r="BN504">
            <v>2.4478125595275895</v>
          </cell>
          <cell r="BO504">
            <v>2.5923470384065412</v>
          </cell>
          <cell r="BP504">
            <v>4.1058524950357773</v>
          </cell>
          <cell r="BQ504">
            <v>5.632598287380242</v>
          </cell>
          <cell r="BS504">
            <v>2.6387082270918789</v>
          </cell>
          <cell r="BT504">
            <v>2.8606031901240607</v>
          </cell>
          <cell r="BU504">
            <v>4.2807199881220228</v>
          </cell>
          <cell r="BV504">
            <v>5.632598287380242</v>
          </cell>
          <cell r="BX504">
            <v>5.9115539375359267</v>
          </cell>
          <cell r="BZ504">
            <v>1.3752048425162888</v>
          </cell>
          <cell r="CA504">
            <v>1.4415236379183973</v>
          </cell>
          <cell r="CB504">
            <v>1.7482262092417775</v>
          </cell>
          <cell r="CC504">
            <v>1.9839973851275752</v>
          </cell>
          <cell r="CE504">
            <v>1.8437202367268115</v>
          </cell>
          <cell r="CF504">
            <v>1.9420628760589349</v>
          </cell>
          <cell r="CG504">
            <v>2.6797757491056888</v>
          </cell>
          <cell r="CH504">
            <v>2.5123879605070143</v>
          </cell>
          <cell r="CJ504">
            <v>2.8484088277604296</v>
          </cell>
          <cell r="CK504">
            <v>3.0447401866974428</v>
          </cell>
          <cell r="CL504">
            <v>4.3015733265006846</v>
          </cell>
          <cell r="CM504">
            <v>5.5722844725674641</v>
          </cell>
          <cell r="CO504">
            <v>5.651166091977708</v>
          </cell>
          <cell r="CP504">
            <v>5.9139262403637503</v>
          </cell>
          <cell r="CT504">
            <v>1.442736047061606</v>
          </cell>
          <cell r="CU504">
            <v>1.511347665962768</v>
          </cell>
          <cell r="CV504">
            <v>1.8044216145439897</v>
          </cell>
          <cell r="CW504">
            <v>2.0667565334887321</v>
          </cell>
          <cell r="CY504">
            <v>1.8959851563549353</v>
          </cell>
          <cell r="CZ504">
            <v>1.9957336511810504</v>
          </cell>
          <cell r="DA504">
            <v>2.7050329189342621</v>
          </cell>
          <cell r="DB504">
            <v>2.7599984211421229</v>
          </cell>
          <cell r="DD504">
            <v>2.9130682909582886</v>
          </cell>
          <cell r="DE504">
            <v>3.0991968707086683</v>
          </cell>
          <cell r="DF504">
            <v>4.3116919303051686</v>
          </cell>
          <cell r="DG504">
            <v>5.5590906645521523</v>
          </cell>
          <cell r="DI504">
            <v>5.7064417637417844</v>
          </cell>
          <cell r="DJ504">
            <v>5.8811545733057944</v>
          </cell>
          <cell r="DK504">
            <v>6.063297935682546</v>
          </cell>
          <cell r="DL504">
            <v>8.0156579708876716</v>
          </cell>
          <cell r="DN504">
            <v>7.9114450171586386</v>
          </cell>
          <cell r="DO504">
            <v>7.5589472088346996</v>
          </cell>
          <cell r="DP504">
            <v>7.8292088466793448</v>
          </cell>
          <cell r="DQ504">
            <v>8.4577095161893467</v>
          </cell>
          <cell r="DS504">
            <v>8.4594888578166731</v>
          </cell>
          <cell r="DT504">
            <v>8.551467055135646</v>
          </cell>
          <cell r="DU504">
            <v>8.5609726446078493</v>
          </cell>
          <cell r="DV504">
            <v>8.5518095790389328</v>
          </cell>
          <cell r="DX504">
            <v>7.9024736588514441</v>
          </cell>
          <cell r="DY504">
            <v>7.6789545343507069</v>
          </cell>
          <cell r="DZ504">
            <v>7.7885269611248251</v>
          </cell>
          <cell r="EA504">
            <v>7.663217013031435</v>
          </cell>
          <cell r="EC504">
            <v>7.7455190063699453</v>
          </cell>
          <cell r="ED504">
            <v>7.8629271236914624</v>
          </cell>
          <cell r="EE504">
            <v>8.0636029294405169</v>
          </cell>
          <cell r="EF504">
            <v>8.1928632127019743</v>
          </cell>
          <cell r="EH504">
            <v>8.3469976236123564</v>
          </cell>
          <cell r="EI504">
            <v>8.5375744458349345</v>
          </cell>
          <cell r="EJ504">
            <v>8.8212854557345199</v>
          </cell>
          <cell r="EK504">
            <v>9.0158366130187275</v>
          </cell>
          <cell r="EN504">
            <v>1.3183508221102207</v>
          </cell>
          <cell r="ER504">
            <v>1.3814251582074122</v>
          </cell>
          <cell r="ES504">
            <v>0.7166404570571171</v>
          </cell>
          <cell r="ET504">
            <v>1.4027884803761501</v>
          </cell>
          <cell r="EU504">
            <v>2.5285995520388735</v>
          </cell>
          <cell r="EX504">
            <v>2.526508283838699</v>
          </cell>
          <cell r="EZ504" t="str">
            <v>--</v>
          </cell>
          <cell r="FA504" t="str">
            <v>--</v>
          </cell>
          <cell r="FB504" t="str">
            <v>--</v>
          </cell>
          <cell r="FC504">
            <v>2.5760960280253458</v>
          </cell>
          <cell r="FD504">
            <v>6.7353856299778485</v>
          </cell>
          <cell r="FK504">
            <v>2.459874995822052</v>
          </cell>
          <cell r="FL504">
            <v>6.3475407674135926</v>
          </cell>
          <cell r="FO504">
            <v>1.3187423347963774</v>
          </cell>
          <cell r="FP504">
            <v>2.0897627007957285</v>
          </cell>
          <cell r="FQ504">
            <v>2.6735957794535081</v>
          </cell>
          <cell r="FR504">
            <v>6.2463721389011093</v>
          </cell>
          <cell r="FT504">
            <v>1.307750550117911</v>
          </cell>
          <cell r="FU504">
            <v>2.1710790529654527</v>
          </cell>
          <cell r="FV504">
            <v>2.7599984211421229</v>
          </cell>
          <cell r="FW504">
            <v>6.1869393060641737</v>
          </cell>
          <cell r="FX504">
            <v>8.3990526383791924</v>
          </cell>
          <cell r="FY504">
            <v>8.7255393858922439</v>
          </cell>
          <cell r="FZ504">
            <v>8.62291660041776</v>
          </cell>
          <cell r="GA504">
            <v>7.7495526682605105</v>
          </cell>
          <cell r="GB504">
            <v>8.2573245432258418</v>
          </cell>
          <cell r="GC504">
            <v>9.0853153329488983</v>
          </cell>
          <cell r="GL504">
            <v>8.62291660041776</v>
          </cell>
          <cell r="GM504">
            <v>7.7495526682605105</v>
          </cell>
          <cell r="GN504">
            <v>8.2573245432258418</v>
          </cell>
          <cell r="GO504">
            <v>9.0853153329488983</v>
          </cell>
          <cell r="GP504">
            <v>10.326974510896473</v>
          </cell>
          <cell r="GQ504">
            <v>11.50829863724417</v>
          </cell>
          <cell r="GR504">
            <v>11.803272209973247</v>
          </cell>
          <cell r="GS504">
            <v>12.929669123025866</v>
          </cell>
          <cell r="GT504">
            <v>14.601048919811099</v>
          </cell>
          <cell r="GU504">
            <v>16.852625317521309</v>
          </cell>
          <cell r="GV504">
            <v>19.049461080441041</v>
          </cell>
          <cell r="GW504">
            <v>18.973627055069766</v>
          </cell>
          <cell r="GX504">
            <v>19.916915927396772</v>
          </cell>
          <cell r="GY504">
            <v>21.620437643818473</v>
          </cell>
          <cell r="GZ504">
            <v>23.506517211561921</v>
          </cell>
          <cell r="HA504">
            <v>25.566940901260047</v>
          </cell>
          <cell r="HB504">
            <v>27.789434876064067</v>
          </cell>
          <cell r="HC504">
            <v>30.161208227217042</v>
          </cell>
          <cell r="HD504">
            <v>32.586837928399348</v>
          </cell>
          <cell r="HE504">
            <v>34.963071917749105</v>
          </cell>
          <cell r="HF504">
            <v>37.256214612217804</v>
          </cell>
          <cell r="HG504">
            <v>39.462559523160607</v>
          </cell>
          <cell r="HH504">
            <v>41.57759408472986</v>
          </cell>
          <cell r="HI504">
            <v>43.686878060390477</v>
          </cell>
        </row>
        <row r="505">
          <cell r="DG505">
            <v>4.6460337620842029</v>
          </cell>
          <cell r="DI505" t="str">
            <v>--</v>
          </cell>
          <cell r="DJ505" t="str">
            <v>--</v>
          </cell>
          <cell r="DK505">
            <v>4.8009931955450362</v>
          </cell>
          <cell r="DL505">
            <v>6.0598853247045135</v>
          </cell>
          <cell r="DN505">
            <v>5.8908019148923705</v>
          </cell>
          <cell r="DO505">
            <v>5.2916400689413035</v>
          </cell>
          <cell r="DP505">
            <v>5.1283374873509171</v>
          </cell>
          <cell r="DQ505">
            <v>5.5378978999500736</v>
          </cell>
          <cell r="DS505">
            <v>5.3674634531052954</v>
          </cell>
          <cell r="DT505">
            <v>4.6912853797869012</v>
          </cell>
          <cell r="DU505">
            <v>4.522020511320358</v>
          </cell>
          <cell r="DV505">
            <v>4.4229530914034179</v>
          </cell>
          <cell r="DX505">
            <v>3.7761670560641454</v>
          </cell>
          <cell r="DY505">
            <v>3.5514991162650347</v>
          </cell>
          <cell r="DZ505">
            <v>3.5976884357667265</v>
          </cell>
          <cell r="EA505">
            <v>3.6241250312725883</v>
          </cell>
          <cell r="EC505">
            <v>3.7352711907495597</v>
          </cell>
          <cell r="ED505">
            <v>3.8812200845390916</v>
          </cell>
          <cell r="EE505">
            <v>4.1101380387287056</v>
          </cell>
          <cell r="EF505">
            <v>4.2673465049207389</v>
          </cell>
          <cell r="EH505">
            <v>4.4450409000284692</v>
          </cell>
          <cell r="EI505">
            <v>4.6589350026667358</v>
          </cell>
          <cell r="EJ505">
            <v>4.9657243203111268</v>
          </cell>
          <cell r="EK505">
            <v>5.1831184676916067</v>
          </cell>
          <cell r="FO505" t="str">
            <v>--</v>
          </cell>
          <cell r="FP505" t="str">
            <v>--</v>
          </cell>
          <cell r="FQ505" t="str">
            <v>--</v>
          </cell>
          <cell r="FR505" t="str">
            <v>--</v>
          </cell>
          <cell r="FT505" t="str">
            <v>--</v>
          </cell>
          <cell r="FU505" t="str">
            <v>--</v>
          </cell>
          <cell r="FV505" t="str">
            <v>--</v>
          </cell>
          <cell r="FW505">
            <v>5.1681957825114395</v>
          </cell>
          <cell r="FX505">
            <v>6.3497339843579068</v>
          </cell>
          <cell r="FY505">
            <v>5.7132662393488767</v>
          </cell>
          <cell r="FZ505">
            <v>4.4597292867947234</v>
          </cell>
          <cell r="GA505">
            <v>3.6649552999019295</v>
          </cell>
          <cell r="GB505">
            <v>4.3009219261589555</v>
          </cell>
          <cell r="GC505">
            <v>5.22306112102914</v>
          </cell>
        </row>
        <row r="507">
          <cell r="I507">
            <v>2.3239449008673009E-2</v>
          </cell>
          <cell r="J507">
            <v>4.0381538075366326E-2</v>
          </cell>
          <cell r="K507">
            <v>1.4931543091474302E-2</v>
          </cell>
          <cell r="L507">
            <v>9.275507646026572E-2</v>
          </cell>
          <cell r="N507">
            <v>0.23024790194346298</v>
          </cell>
          <cell r="O507">
            <v>0.15244874541780484</v>
          </cell>
          <cell r="P507">
            <v>0.18442751576364516</v>
          </cell>
          <cell r="Q507">
            <v>0.65369108693365785</v>
          </cell>
          <cell r="S507">
            <v>0.86238935620429924</v>
          </cell>
          <cell r="T507">
            <v>0.83276337333416228</v>
          </cell>
          <cell r="U507">
            <v>0.689907881269191</v>
          </cell>
          <cell r="V507">
            <v>1.6700991494287598</v>
          </cell>
          <cell r="X507">
            <v>1.6371424609777352</v>
          </cell>
          <cell r="Y507">
            <v>1.574486466614585</v>
          </cell>
          <cell r="Z507">
            <v>0.83664003625721384</v>
          </cell>
          <cell r="AA507">
            <v>0.91107914472857354</v>
          </cell>
          <cell r="AC507">
            <v>0.86135891482341431</v>
          </cell>
          <cell r="AD507">
            <v>0.93065332739276607</v>
          </cell>
          <cell r="AE507">
            <v>0.44364647511040839</v>
          </cell>
          <cell r="AF507">
            <v>0.48866168651649006</v>
          </cell>
          <cell r="AJ507">
            <v>0.81579755468819448</v>
          </cell>
          <cell r="AK507">
            <v>0.89835132741695434</v>
          </cell>
          <cell r="AL507">
            <v>0.45883383671869588</v>
          </cell>
          <cell r="AM507">
            <v>0.49117825371490803</v>
          </cell>
          <cell r="AY507">
            <v>1.0488880377277181</v>
          </cell>
          <cell r="AZ507">
            <v>1.0898666133946882</v>
          </cell>
          <cell r="BA507">
            <v>0.69952525639074969</v>
          </cell>
          <cell r="BB507">
            <v>0.9021588328474236</v>
          </cell>
          <cell r="BD507">
            <v>0.93029108506344826</v>
          </cell>
          <cell r="BE507">
            <v>0.951658339272072</v>
          </cell>
          <cell r="BF507">
            <v>0.64376074793184279</v>
          </cell>
          <cell r="BG507">
            <v>0.85004687691074388</v>
          </cell>
          <cell r="BI507">
            <v>0.50566649683744869</v>
          </cell>
          <cell r="BJ507">
            <v>0.65850614097960003</v>
          </cell>
          <cell r="BK507">
            <v>0.31403353344815632</v>
          </cell>
          <cell r="BN507">
            <v>0.69891648897812197</v>
          </cell>
          <cell r="BO507">
            <v>0.69836525669297067</v>
          </cell>
          <cell r="BP507">
            <v>0.47789280144228719</v>
          </cell>
          <cell r="BQ507">
            <v>0.33027321140721194</v>
          </cell>
          <cell r="BS507">
            <v>0.64353760708996544</v>
          </cell>
          <cell r="BT507">
            <v>0.62356475008038137</v>
          </cell>
          <cell r="BU507">
            <v>0.45115886309487296</v>
          </cell>
          <cell r="BV507">
            <v>0.31433697082255191</v>
          </cell>
          <cell r="BX507">
            <v>0.42647857216942597</v>
          </cell>
          <cell r="BZ507">
            <v>0.75629669963139212</v>
          </cell>
          <cell r="CA507">
            <v>0.73140541828871064</v>
          </cell>
          <cell r="CB507">
            <v>0.8560359692259687</v>
          </cell>
          <cell r="CC507">
            <v>0.97879000439893438</v>
          </cell>
          <cell r="CE507">
            <v>1.0437523490925158</v>
          </cell>
          <cell r="CF507">
            <v>1.0710473324372289</v>
          </cell>
          <cell r="CG507">
            <v>0.81012063180684568</v>
          </cell>
          <cell r="CH507">
            <v>1.0499747981168295</v>
          </cell>
          <cell r="CJ507">
            <v>0.8485110707356881</v>
          </cell>
          <cell r="CK507">
            <v>0.83961547171694284</v>
          </cell>
          <cell r="CL507">
            <v>0.61231568828611094</v>
          </cell>
          <cell r="CM507">
            <v>0.43246528681491675</v>
          </cell>
          <cell r="CO507">
            <v>0.39984409640741087</v>
          </cell>
          <cell r="CP507">
            <v>0.50570924935963113</v>
          </cell>
          <cell r="CT507">
            <v>0.69476409887331947</v>
          </cell>
          <cell r="CU507">
            <v>0.67275549472820817</v>
          </cell>
          <cell r="CV507">
            <v>0.79718339733857269</v>
          </cell>
          <cell r="CW507">
            <v>0.90206157616770255</v>
          </cell>
          <cell r="CY507">
            <v>0.97439433255076413</v>
          </cell>
          <cell r="CZ507">
            <v>0.99911204225541261</v>
          </cell>
          <cell r="DA507">
            <v>0.77164305920239784</v>
          </cell>
          <cell r="DB507">
            <v>1.0400347190518042</v>
          </cell>
          <cell r="DD507">
            <v>0.86114933697243545</v>
          </cell>
          <cell r="DE507">
            <v>0.86304280885680729</v>
          </cell>
          <cell r="DF507">
            <v>0.6224707279967</v>
          </cell>
          <cell r="DG507">
            <v>0.45509983051617658</v>
          </cell>
          <cell r="DI507">
            <v>0.54057647356301408</v>
          </cell>
          <cell r="DJ507">
            <v>0.49868637197122023</v>
          </cell>
          <cell r="DK507">
            <v>0.54311600694635864</v>
          </cell>
          <cell r="DL507">
            <v>0.29217655688907268</v>
          </cell>
          <cell r="DN507">
            <v>0.29882285325203417</v>
          </cell>
          <cell r="DO507">
            <v>0.34151802326041697</v>
          </cell>
          <cell r="DP507">
            <v>0.36015307846742495</v>
          </cell>
          <cell r="DQ507">
            <v>0.25262282807570696</v>
          </cell>
          <cell r="DS507">
            <v>0.22913315593050798</v>
          </cell>
          <cell r="DT507">
            <v>0.25451622066725321</v>
          </cell>
          <cell r="DU507">
            <v>0.2433665930971253</v>
          </cell>
          <cell r="DV507">
            <v>0.24095622652476206</v>
          </cell>
          <cell r="DX507">
            <v>0.33306812819393689</v>
          </cell>
          <cell r="DY507">
            <v>0.33935059597589662</v>
          </cell>
          <cell r="DZ507">
            <v>0.33696245519149737</v>
          </cell>
          <cell r="EA507">
            <v>0.34065226157211687</v>
          </cell>
          <cell r="EC507">
            <v>0.33525070917077776</v>
          </cell>
          <cell r="ED507">
            <v>0.32850799703068023</v>
          </cell>
          <cell r="EE507">
            <v>0.31865669128114515</v>
          </cell>
          <cell r="EF507">
            <v>0.3119969429215253</v>
          </cell>
          <cell r="EH507">
            <v>0.30465014016320108</v>
          </cell>
          <cell r="EI507">
            <v>0.29631554783389052</v>
          </cell>
          <cell r="EJ507">
            <v>0.28531582525533844</v>
          </cell>
          <cell r="EK507">
            <v>0.27773582440608796</v>
          </cell>
          <cell r="EN507">
            <v>9.275507646026572E-2</v>
          </cell>
          <cell r="ER507">
            <v>0.65369108693365785</v>
          </cell>
          <cell r="ES507">
            <v>1.3004076702400735</v>
          </cell>
          <cell r="ET507">
            <v>0.91107914472857354</v>
          </cell>
          <cell r="EU507">
            <v>0.48866168651649006</v>
          </cell>
          <cell r="EX507">
            <v>0.49117825371490803</v>
          </cell>
          <cell r="EZ507" t="str">
            <v>--</v>
          </cell>
          <cell r="FA507" t="str">
            <v>--</v>
          </cell>
          <cell r="FB507" t="str">
            <v>--</v>
          </cell>
          <cell r="FC507">
            <v>0.54551781236126284</v>
          </cell>
          <cell r="FD507">
            <v>0.27246017867969835</v>
          </cell>
          <cell r="FK507">
            <v>0.91671399649442253</v>
          </cell>
          <cell r="FL507">
            <v>0.31433697082255191</v>
          </cell>
          <cell r="FO507">
            <v>0.68799789478720574</v>
          </cell>
          <cell r="FP507">
            <v>0.9787567573993845</v>
          </cell>
          <cell r="FQ507">
            <v>1.0499747981168295</v>
          </cell>
          <cell r="FR507">
            <v>0.43246528681491675</v>
          </cell>
          <cell r="FT507">
            <v>0.69377785551018922</v>
          </cell>
          <cell r="FU507">
            <v>0.90206157616770255</v>
          </cell>
          <cell r="FV507">
            <v>1.0400347190518042</v>
          </cell>
          <cell r="FW507">
            <v>0.45630826710497335</v>
          </cell>
          <cell r="FX507">
            <v>0.30155239195694872</v>
          </cell>
          <cell r="FY507">
            <v>0.25262282807570696</v>
          </cell>
          <cell r="FZ507">
            <v>0.24095622652476206</v>
          </cell>
          <cell r="GA507">
            <v>0.34065226157211687</v>
          </cell>
          <cell r="GB507">
            <v>0.3119969429215253</v>
          </cell>
          <cell r="GC507">
            <v>0.27773582440608796</v>
          </cell>
          <cell r="GL507">
            <v>0.24095622652476206</v>
          </cell>
          <cell r="GM507">
            <v>0.34065226157211687</v>
          </cell>
          <cell r="GN507">
            <v>0.3119969429215253</v>
          </cell>
          <cell r="GO507">
            <v>0.27773582440608796</v>
          </cell>
          <cell r="GP507">
            <v>0.23625074340813748</v>
          </cell>
          <cell r="GQ507">
            <v>0.20520412450071965</v>
          </cell>
          <cell r="GR507">
            <v>0.19386176743234398</v>
          </cell>
          <cell r="GS507">
            <v>0.17164205606717942</v>
          </cell>
          <cell r="GT507">
            <v>0.14754953840985094</v>
          </cell>
          <cell r="GU507">
            <v>0.12420431102724891</v>
          </cell>
          <cell r="GV507">
            <v>0.10684509213519916</v>
          </cell>
          <cell r="GW507">
            <v>0.10438823212522683</v>
          </cell>
          <cell r="GX507">
            <v>9.6840816350717465E-2</v>
          </cell>
          <cell r="GY507">
            <v>8.69345575101549E-2</v>
          </cell>
          <cell r="GZ507">
            <v>7.7970047816128041E-2</v>
          </cell>
          <cell r="HA507">
            <v>6.9946396397600918E-2</v>
          </cell>
          <cell r="HB507">
            <v>6.2827298781803154E-2</v>
          </cell>
          <cell r="HC507">
            <v>5.6546708928853703E-2</v>
          </cell>
          <cell r="HD507">
            <v>5.1153413561484298E-2</v>
          </cell>
          <cell r="HE507">
            <v>4.6621948253705171E-2</v>
          </cell>
          <cell r="HF507">
            <v>4.2805255078333999E-2</v>
          </cell>
          <cell r="HG507">
            <v>3.9555777520071021E-2</v>
          </cell>
          <cell r="HH507">
            <v>3.6764629114420883E-2</v>
          </cell>
          <cell r="HI507">
            <v>3.4278349415091031E-2</v>
          </cell>
        </row>
        <row r="508">
          <cell r="I508">
            <v>2.2711642940650572E-2</v>
          </cell>
          <cell r="J508">
            <v>3.8814162494722242E-2</v>
          </cell>
          <cell r="K508">
            <v>1.4711872138679352E-2</v>
          </cell>
          <cell r="L508">
            <v>8.488185363615508E-2</v>
          </cell>
          <cell r="N508">
            <v>0.18715569567705242</v>
          </cell>
          <cell r="O508">
            <v>0.13228245162654639</v>
          </cell>
          <cell r="P508">
            <v>0.15571025943680292</v>
          </cell>
          <cell r="Q508">
            <v>0.39529213896034165</v>
          </cell>
          <cell r="S508">
            <v>0.4630553505535055</v>
          </cell>
          <cell r="T508">
            <v>0.45437582693460282</v>
          </cell>
          <cell r="U508">
            <v>0.40825176858222684</v>
          </cell>
          <cell r="V508">
            <v>0.62548207237400166</v>
          </cell>
          <cell r="X508">
            <v>0.62080167651267326</v>
          </cell>
          <cell r="Y508">
            <v>0.61157302127325353</v>
          </cell>
          <cell r="Z508">
            <v>0.45552749572102097</v>
          </cell>
          <cell r="AA508">
            <v>0.4767354336117629</v>
          </cell>
          <cell r="AC508">
            <v>0.46275809999015199</v>
          </cell>
          <cell r="AD508">
            <v>0.48204062023375205</v>
          </cell>
          <cell r="AE508">
            <v>0.30730963761503927</v>
          </cell>
          <cell r="AF508">
            <v>0.32825570171015289</v>
          </cell>
          <cell r="AJ508">
            <v>0.44927781325726135</v>
          </cell>
          <cell r="AK508">
            <v>0.47322711789040739</v>
          </cell>
          <cell r="AL508">
            <v>0.31452097227929315</v>
          </cell>
          <cell r="AM508">
            <v>0.32938936206403013</v>
          </cell>
          <cell r="AY508">
            <v>0.51193038292661819</v>
          </cell>
          <cell r="AZ508">
            <v>0.52150056200206785</v>
          </cell>
          <cell r="BA508">
            <v>0.41160038884995359</v>
          </cell>
          <cell r="BB508">
            <v>0.47428154645579368</v>
          </cell>
          <cell r="BD508">
            <v>0.48194341892889686</v>
          </cell>
          <cell r="BE508">
            <v>0.48761523475826246</v>
          </cell>
          <cell r="BF508">
            <v>0.39163895885810251</v>
          </cell>
          <cell r="BG508">
            <v>0.45947315579925968</v>
          </cell>
          <cell r="BI508">
            <v>0.33584229834400064</v>
          </cell>
          <cell r="BJ508">
            <v>0.39704775563306149</v>
          </cell>
          <cell r="BK508">
            <v>0.23898441360480405</v>
          </cell>
          <cell r="BN508">
            <v>0.41138954946426581</v>
          </cell>
          <cell r="BO508">
            <v>0.41119850629352617</v>
          </cell>
          <cell r="BP508">
            <v>0.32336093725871579</v>
          </cell>
          <cell r="BQ508">
            <v>0.24827472174519458</v>
          </cell>
          <cell r="BS508">
            <v>0.391556362515737</v>
          </cell>
          <cell r="BT508">
            <v>0.38407137753484061</v>
          </cell>
          <cell r="BU508">
            <v>0.31089557082171598</v>
          </cell>
          <cell r="BV508">
            <v>0.23916010718760372</v>
          </cell>
          <cell r="BX508">
            <v>0.29897299580240183</v>
          </cell>
          <cell r="BZ508">
            <v>0.43062012232336488</v>
          </cell>
          <cell r="CA508">
            <v>0.42243452085971772</v>
          </cell>
          <cell r="CB508">
            <v>0.46121733814402599</v>
          </cell>
          <cell r="CC508">
            <v>0.4946406653677462</v>
          </cell>
          <cell r="CE508">
            <v>0.51070392631278028</v>
          </cell>
          <cell r="CF508">
            <v>0.51715251296396492</v>
          </cell>
          <cell r="CG508">
            <v>0.44755063147266089</v>
          </cell>
          <cell r="CH508">
            <v>0.51218912499869218</v>
          </cell>
          <cell r="CJ508">
            <v>0.45902406762324099</v>
          </cell>
          <cell r="CK508">
            <v>0.45640813780138312</v>
          </cell>
          <cell r="CL508">
            <v>0.37977406827629495</v>
          </cell>
          <cell r="CM508">
            <v>0.3019028040648038</v>
          </cell>
          <cell r="CO508">
            <v>0.28563473420617275</v>
          </cell>
          <cell r="CP508">
            <v>0.33586115617919343</v>
          </cell>
          <cell r="CT508">
            <v>0.40994737812489607</v>
          </cell>
          <cell r="CU508">
            <v>0.40218399930440429</v>
          </cell>
          <cell r="CV508">
            <v>0.44357376020672795</v>
          </cell>
          <cell r="CW508">
            <v>0.47425466529069343</v>
          </cell>
          <cell r="CY508">
            <v>0.49351556398154889</v>
          </cell>
          <cell r="CZ508">
            <v>0.49977791196145621</v>
          </cell>
          <cell r="DA508">
            <v>0.43555221532592192</v>
          </cell>
          <cell r="DB508">
            <v>0.50981226414382108</v>
          </cell>
          <cell r="DD508">
            <v>0.46269760296252332</v>
          </cell>
          <cell r="DE508">
            <v>0.46324368111883807</v>
          </cell>
          <cell r="DF508">
            <v>0.38365606063369678</v>
          </cell>
          <cell r="DG508">
            <v>0.31276192943733366</v>
          </cell>
          <cell r="DI508">
            <v>0.35089233338269782</v>
          </cell>
          <cell r="DJ508">
            <v>0.33274898691131666</v>
          </cell>
          <cell r="DK508">
            <v>0.35196058138306791</v>
          </cell>
          <cell r="DL508">
            <v>0.22611194680120997</v>
          </cell>
          <cell r="DN508">
            <v>0.230072062948255</v>
          </cell>
          <cell r="DO508">
            <v>0.25457579945917813</v>
          </cell>
          <cell r="DP508">
            <v>0.26478863605060793</v>
          </cell>
          <cell r="DQ508">
            <v>0.20167509517912027</v>
          </cell>
          <cell r="DS508">
            <v>0.18641849731654508</v>
          </cell>
          <cell r="DT508">
            <v>0.20287997594154736</v>
          </cell>
          <cell r="DU508">
            <v>0.1957319703201281</v>
          </cell>
          <cell r="DV508">
            <v>0.19416980339391046</v>
          </cell>
          <cell r="DX508">
            <v>0.2498507924311289</v>
          </cell>
          <cell r="DY508">
            <v>0.2533695038442374</v>
          </cell>
          <cell r="DZ508">
            <v>0.25203583981214578</v>
          </cell>
          <cell r="EA508">
            <v>0.25409442204845184</v>
          </cell>
          <cell r="EC508">
            <v>0.25107697518391608</v>
          </cell>
          <cell r="ED508">
            <v>0.24727588976876422</v>
          </cell>
          <cell r="EE508">
            <v>0.24165250393683077</v>
          </cell>
          <cell r="EF508">
            <v>0.2378031020611813</v>
          </cell>
          <cell r="EH508">
            <v>0.23351098565404807</v>
          </cell>
          <cell r="EI508">
            <v>0.22858288503059776</v>
          </cell>
          <cell r="EJ508">
            <v>0.22198110351489539</v>
          </cell>
          <cell r="EK508">
            <v>0.21736560805531457</v>
          </cell>
          <cell r="EN508">
            <v>8.488185363615508E-2</v>
          </cell>
          <cell r="ER508">
            <v>0.39529213896034165</v>
          </cell>
          <cell r="ES508">
            <v>0.565294441964872</v>
          </cell>
          <cell r="ET508">
            <v>0.4767354336117629</v>
          </cell>
          <cell r="EU508">
            <v>0.32825570171015289</v>
          </cell>
          <cell r="EX508">
            <v>0.32938936206403013</v>
          </cell>
          <cell r="EZ508" t="str">
            <v>--</v>
          </cell>
          <cell r="FA508" t="str">
            <v>--</v>
          </cell>
          <cell r="FB508" t="str">
            <v>--</v>
          </cell>
          <cell r="FC508">
            <v>0.35296766429874621</v>
          </cell>
          <cell r="FD508">
            <v>0.21412078998212924</v>
          </cell>
          <cell r="FK508">
            <v>0.47827375298090807</v>
          </cell>
          <cell r="FL508">
            <v>0.23916010718760372</v>
          </cell>
          <cell r="FO508">
            <v>0.40758219954648517</v>
          </cell>
          <cell r="FP508">
            <v>0.49463217433846318</v>
          </cell>
          <cell r="FQ508">
            <v>0.51218912499869218</v>
          </cell>
          <cell r="FR508">
            <v>0.3019028040648038</v>
          </cell>
          <cell r="FT508">
            <v>0.40960380563082383</v>
          </cell>
          <cell r="FU508">
            <v>0.47425466529069343</v>
          </cell>
          <cell r="FV508">
            <v>0.50981226414382108</v>
          </cell>
          <cell r="FW508">
            <v>0.31333219580774502</v>
          </cell>
          <cell r="FX508">
            <v>0.23168671028566873</v>
          </cell>
          <cell r="FY508">
            <v>0.20167509517912027</v>
          </cell>
          <cell r="FZ508">
            <v>0.19416980339391046</v>
          </cell>
          <cell r="GA508">
            <v>0.25409442204845184</v>
          </cell>
          <cell r="GB508">
            <v>0.2378031020611813</v>
          </cell>
          <cell r="GC508">
            <v>0.21736560805531457</v>
          </cell>
          <cell r="GL508">
            <v>0.19416980339391046</v>
          </cell>
          <cell r="GM508">
            <v>0.25409442204845184</v>
          </cell>
          <cell r="GN508">
            <v>0.2378031020611813</v>
          </cell>
          <cell r="GO508">
            <v>0.21736560805531457</v>
          </cell>
          <cell r="GP508">
            <v>0.19110260978030519</v>
          </cell>
          <cell r="GQ508">
            <v>0.17026503670963591</v>
          </cell>
          <cell r="GR508">
            <v>0.16238208871474738</v>
          </cell>
          <cell r="GS508">
            <v>0.14649700834683749</v>
          </cell>
          <cell r="GT508">
            <v>0.12857792493586725</v>
          </cell>
          <cell r="GU508">
            <v>0.1104819736136365</v>
          </cell>
          <cell r="GV508">
            <v>9.6531206484446533E-2</v>
          </cell>
          <cell r="GW508">
            <v>9.4521318761562306E-2</v>
          </cell>
          <cell r="GX508">
            <v>8.8290675280406752E-2</v>
          </cell>
          <cell r="GY508">
            <v>7.9981409100927131E-2</v>
          </cell>
          <cell r="GZ508">
            <v>7.2330439954327544E-2</v>
          </cell>
          <cell r="HA508">
            <v>6.5373738939729337E-2</v>
          </cell>
          <cell r="HB508">
            <v>5.9113365693386759E-2</v>
          </cell>
          <cell r="HC508">
            <v>5.3520311455214117E-2</v>
          </cell>
          <cell r="HD508">
            <v>4.8664079763740618E-2</v>
          </cell>
          <cell r="HE508">
            <v>4.4545165837095398E-2</v>
          </cell>
          <cell r="HF508">
            <v>4.1048177375284253E-2</v>
          </cell>
          <cell r="HG508">
            <v>3.8050654303931571E-2</v>
          </cell>
          <cell r="HH508">
            <v>3.5460921487863964E-2</v>
          </cell>
          <cell r="HI508">
            <v>3.3142286536768609E-2</v>
          </cell>
        </row>
        <row r="509">
          <cell r="CT509">
            <v>0.31564362336114421</v>
          </cell>
          <cell r="CU509">
            <v>0.32721077740953314</v>
          </cell>
          <cell r="CV509">
            <v>0.28353529294141172</v>
          </cell>
          <cell r="CW509">
            <v>0.35071755559333251</v>
          </cell>
          <cell r="CY509">
            <v>0.40047943865970526</v>
          </cell>
          <cell r="CZ509">
            <v>0.42961386850657246</v>
          </cell>
          <cell r="DA509">
            <v>0.28410712006578687</v>
          </cell>
          <cell r="DB509">
            <v>0.4082918849743758</v>
          </cell>
          <cell r="DD509">
            <v>0.388303543870479</v>
          </cell>
          <cell r="DE509">
            <v>0.40077143532993581</v>
          </cell>
          <cell r="DF509">
            <v>0.22865608090953349</v>
          </cell>
          <cell r="DG509">
            <v>0.12339783902371733</v>
          </cell>
          <cell r="DI509">
            <v>0.18902677452489558</v>
          </cell>
          <cell r="DJ509">
            <v>0.23320075463286496</v>
          </cell>
          <cell r="DK509">
            <v>0.28868741328377923</v>
          </cell>
          <cell r="DL509">
            <v>0.1193066526817223</v>
          </cell>
          <cell r="DN509">
            <v>0.14140402895338611</v>
          </cell>
          <cell r="DO509">
            <v>0.19086081662356122</v>
          </cell>
          <cell r="DP509">
            <v>0.19824115562768707</v>
          </cell>
          <cell r="DQ509">
            <v>7.8668599972042619E-2</v>
          </cell>
          <cell r="DS509">
            <v>4.1137824018123791E-2</v>
          </cell>
          <cell r="DT509">
            <v>0.1252613585652273</v>
          </cell>
          <cell r="DU509">
            <v>9.6828230416619407E-2</v>
          </cell>
          <cell r="DV509">
            <v>0.1286172202282698</v>
          </cell>
          <cell r="DX509">
            <v>0.11914212481843527</v>
          </cell>
          <cell r="DY509">
            <v>0.14946249138040457</v>
          </cell>
          <cell r="DZ509">
            <v>0.12823864643363875</v>
          </cell>
          <cell r="EA509">
            <v>0.13807591877317599</v>
          </cell>
          <cell r="FV509">
            <v>0.4082918849743758</v>
          </cell>
          <cell r="FW509">
            <v>0.12368497327800634</v>
          </cell>
          <cell r="FX509">
            <v>0.12651918949975052</v>
          </cell>
          <cell r="FY509">
            <v>7.8668599972042619E-2</v>
          </cell>
          <cell r="FZ509">
            <v>0.1286172202282698</v>
          </cell>
          <cell r="GA509">
            <v>0.13807591877317599</v>
          </cell>
          <cell r="GL509">
            <v>0.1286172202282698</v>
          </cell>
          <cell r="GM509">
            <v>0.13807591877317599</v>
          </cell>
          <cell r="GN509">
            <v>0.12949868931162475</v>
          </cell>
          <cell r="GO509">
            <v>0.12516953155138125</v>
          </cell>
        </row>
        <row r="511">
          <cell r="I511" t="str">
            <v xml:space="preserve"> --</v>
          </cell>
          <cell r="J511" t="str">
            <v xml:space="preserve"> --</v>
          </cell>
          <cell r="K511" t="str">
            <v xml:space="preserve"> --</v>
          </cell>
          <cell r="L511" t="str">
            <v xml:space="preserve"> --</v>
          </cell>
          <cell r="N511">
            <v>9.0550686385609556</v>
          </cell>
          <cell r="O511">
            <v>8.2592422753575718</v>
          </cell>
          <cell r="P511">
            <v>9.5384431946900889</v>
          </cell>
          <cell r="Q511">
            <v>7.8937450334884778</v>
          </cell>
          <cell r="S511">
            <v>8.0241338984439619</v>
          </cell>
          <cell r="T511">
            <v>8.4276391263057935</v>
          </cell>
          <cell r="U511">
            <v>9.3672649343691408</v>
          </cell>
          <cell r="V511">
            <v>6.5208310057723518</v>
          </cell>
          <cell r="X511">
            <v>6.8072423264492263</v>
          </cell>
          <cell r="Y511">
            <v>7.1002367674395854</v>
          </cell>
          <cell r="Z511">
            <v>7.6809787626962134</v>
          </cell>
          <cell r="AA511">
            <v>7.854907426888281</v>
          </cell>
          <cell r="AC511">
            <v>7.8770753438813248</v>
          </cell>
          <cell r="AD511">
            <v>8.2226257355094639</v>
          </cell>
          <cell r="AE511">
            <v>9.586358774303152</v>
          </cell>
          <cell r="AF511">
            <v>9.5768067770006695</v>
          </cell>
          <cell r="AJ511">
            <v>8.1300876687497556</v>
          </cell>
          <cell r="AK511">
            <v>8.6780393220611423</v>
          </cell>
          <cell r="AL511">
            <v>10.278725006435595</v>
          </cell>
          <cell r="AM511">
            <v>10.000664745279627</v>
          </cell>
          <cell r="AY511" t="str">
            <v xml:space="preserve"> --</v>
          </cell>
          <cell r="AZ511" t="str">
            <v xml:space="preserve"> --</v>
          </cell>
          <cell r="BA511" t="str">
            <v xml:space="preserve"> --</v>
          </cell>
          <cell r="BB511" t="str">
            <v xml:space="preserve"> --</v>
          </cell>
          <cell r="BD511" t="str">
            <v xml:space="preserve"> --</v>
          </cell>
          <cell r="BE511" t="str">
            <v xml:space="preserve"> --</v>
          </cell>
          <cell r="BF511" t="str">
            <v xml:space="preserve"> --</v>
          </cell>
          <cell r="BG511" t="str">
            <v xml:space="preserve"> --</v>
          </cell>
          <cell r="BI511">
            <v>7.5682146195235713</v>
          </cell>
          <cell r="BJ511">
            <v>9.4544902185883331</v>
          </cell>
          <cell r="BK511">
            <v>9.9259856588319924</v>
          </cell>
          <cell r="BL511" t="str">
            <v xml:space="preserve"> --</v>
          </cell>
          <cell r="BN511">
            <v>8.9191288012991912</v>
          </cell>
          <cell r="BO511">
            <v>9.5951313863006042</v>
          </cell>
          <cell r="BP511">
            <v>10.402362306759834</v>
          </cell>
          <cell r="BQ511">
            <v>8.877221335997719</v>
          </cell>
          <cell r="BS511">
            <v>9.3666833471128328</v>
          </cell>
          <cell r="BT511">
            <v>9.2174366131278287</v>
          </cell>
          <cell r="BU511">
            <v>9.8333006606981002</v>
          </cell>
          <cell r="BV511">
            <v>8.5079806973954142</v>
          </cell>
          <cell r="BX511" t="str">
            <v>--</v>
          </cell>
          <cell r="BZ511" t="str">
            <v>--</v>
          </cell>
          <cell r="CA511" t="str">
            <v>--</v>
          </cell>
          <cell r="CB511" t="str">
            <v>--</v>
          </cell>
          <cell r="CC511" t="str">
            <v>--</v>
          </cell>
          <cell r="CE511">
            <v>8.8154052403833401</v>
          </cell>
          <cell r="CF511">
            <v>9.0202200278960643</v>
          </cell>
          <cell r="CG511">
            <v>9.825493604849564</v>
          </cell>
          <cell r="CH511">
            <v>10.182870001891148</v>
          </cell>
          <cell r="CJ511">
            <v>9.3317120922306049</v>
          </cell>
          <cell r="CK511">
            <v>9.1545836261243387</v>
          </cell>
          <cell r="CL511">
            <v>9.8350761116854724</v>
          </cell>
          <cell r="CM511">
            <v>8.4841673260819999</v>
          </cell>
          <cell r="CO511">
            <v>7.4602195065947283</v>
          </cell>
          <cell r="CP511">
            <v>7.2454173091992775</v>
          </cell>
          <cell r="CQ511" t="str">
            <v>--</v>
          </cell>
          <cell r="CR511" t="str">
            <v>--</v>
          </cell>
          <cell r="CT511" t="str">
            <v>--</v>
          </cell>
          <cell r="CU511" t="str">
            <v>--</v>
          </cell>
          <cell r="CV511" t="str">
            <v>--</v>
          </cell>
          <cell r="CW511" t="str">
            <v>--</v>
          </cell>
          <cell r="CY511">
            <v>9.3837398784785826</v>
          </cell>
          <cell r="CZ511">
            <v>9.4151924594883223</v>
          </cell>
          <cell r="DA511">
            <v>10.199872043751721</v>
          </cell>
          <cell r="DB511">
            <v>10.429217511325476</v>
          </cell>
          <cell r="DD511">
            <v>9.7735423054284123</v>
          </cell>
          <cell r="DE511">
            <v>9.2609363445019621</v>
          </cell>
          <cell r="DF511">
            <v>9.8234340621996594</v>
          </cell>
          <cell r="DG511">
            <v>8.5164552578756147</v>
          </cell>
          <cell r="DI511">
            <v>7.2115804108024477</v>
          </cell>
          <cell r="DJ511">
            <v>7.0089081983974584</v>
          </cell>
          <cell r="DK511">
            <v>7.0584275235032639</v>
          </cell>
          <cell r="DL511">
            <v>6.5186798642685186</v>
          </cell>
          <cell r="DN511">
            <v>6.9519868944026806</v>
          </cell>
          <cell r="DO511">
            <v>8.2449084889181261</v>
          </cell>
          <cell r="DP511">
            <v>9.1503973834623658</v>
          </cell>
          <cell r="DQ511">
            <v>9.1608216419842083</v>
          </cell>
          <cell r="DS511">
            <v>9.1975063603348151</v>
          </cell>
          <cell r="DT511">
            <v>9.8622398178300354</v>
          </cell>
          <cell r="DU511">
            <v>11.747879136188919</v>
          </cell>
          <cell r="DV511">
            <v>9.8939221418679804</v>
          </cell>
          <cell r="DX511">
            <v>10.266899114012631</v>
          </cell>
          <cell r="DY511">
            <v>11.320184915866179</v>
          </cell>
          <cell r="DZ511">
            <v>13.039660554639589</v>
          </cell>
          <cell r="EA511">
            <v>11.44475011215658</v>
          </cell>
          <cell r="EC511">
            <v>11.726133427171099</v>
          </cell>
          <cell r="ED511">
            <v>11.906959145557167</v>
          </cell>
          <cell r="EE511">
            <v>12.850380851399864</v>
          </cell>
          <cell r="EF511">
            <v>10.647753575852629</v>
          </cell>
          <cell r="EH511">
            <v>11.27106616540539</v>
          </cell>
          <cell r="EI511">
            <v>12.120341182044008</v>
          </cell>
          <cell r="EJ511">
            <v>13.08049983471216</v>
          </cell>
          <cell r="EK511">
            <v>10.818876506311351</v>
          </cell>
          <cell r="EN511" t="str">
            <v>--</v>
          </cell>
          <cell r="EP511" t="str">
            <v xml:space="preserve"> </v>
          </cell>
          <cell r="ER511" t="str">
            <v>--</v>
          </cell>
          <cell r="ES511">
            <v>6.0443599026835599</v>
          </cell>
          <cell r="ET511">
            <v>7.1359690732272369</v>
          </cell>
          <cell r="EU511">
            <v>9.4493301280860287</v>
          </cell>
          <cell r="EX511" t="str">
            <v>--</v>
          </cell>
          <cell r="EZ511" t="str">
            <v>--</v>
          </cell>
          <cell r="FA511" t="str">
            <v>--</v>
          </cell>
          <cell r="FB511" t="str">
            <v>--</v>
          </cell>
          <cell r="FC511" t="str">
            <v>--</v>
          </cell>
          <cell r="FD511">
            <v>7.3409805202959024</v>
          </cell>
          <cell r="FK511">
            <v>8.9615193942622415</v>
          </cell>
          <cell r="FL511">
            <v>7.9476542954992588</v>
          </cell>
          <cell r="FO511" t="str">
            <v>--</v>
          </cell>
          <cell r="FP511">
            <v>8.6015566714337321</v>
          </cell>
          <cell r="FQ511">
            <v>9.7694793990411277</v>
          </cell>
          <cell r="FR511">
            <v>8.0129526402660805</v>
          </cell>
          <cell r="FT511" t="str">
            <v>--</v>
          </cell>
          <cell r="FU511">
            <v>9.3038866037884365</v>
          </cell>
          <cell r="FV511">
            <v>10.116945066150484</v>
          </cell>
          <cell r="FW511">
            <v>8.1910887978371694</v>
          </cell>
          <cell r="FX511">
            <v>7.5967435006719226</v>
          </cell>
          <cell r="FY511">
            <v>7.9401348040210635</v>
          </cell>
          <cell r="FZ511">
            <v>10.395643993789109</v>
          </cell>
          <cell r="GA511">
            <v>11.883343593588185</v>
          </cell>
          <cell r="GB511">
            <v>11.985371854484983</v>
          </cell>
          <cell r="GC511">
            <v>11.579821037891923</v>
          </cell>
          <cell r="GL511">
            <v>8.6391733427484816</v>
          </cell>
          <cell r="GM511">
            <v>11.145377106524512</v>
          </cell>
          <cell r="GN511">
            <v>11.985371854484983</v>
          </cell>
          <cell r="GO511">
            <v>11.579821037891923</v>
          </cell>
          <cell r="GP511">
            <v>12.365336309272413</v>
          </cell>
          <cell r="GQ511">
            <v>11.944901354249485</v>
          </cell>
          <cell r="GR511">
            <v>9.7050683607236561</v>
          </cell>
          <cell r="GS511">
            <v>9.4689820331295422</v>
          </cell>
          <cell r="GT511">
            <v>11.027326312831683</v>
          </cell>
          <cell r="GU511">
            <v>12.863109048723899</v>
          </cell>
          <cell r="GV511">
            <v>11.575261001717985</v>
          </cell>
          <cell r="GW511">
            <v>8.3661179210194376</v>
          </cell>
          <cell r="GX511">
            <v>8.8533786655333628</v>
          </cell>
          <cell r="GY511">
            <v>10.297509652412979</v>
          </cell>
          <cell r="GZ511">
            <v>10.636528406041556</v>
          </cell>
          <cell r="HA511">
            <v>10.691248058001035</v>
          </cell>
          <cell r="HB511">
            <v>10.698965909262668</v>
          </cell>
          <cell r="HC511">
            <v>10.755459938749855</v>
          </cell>
          <cell r="HD511">
            <v>10.816248558853479</v>
          </cell>
          <cell r="HE511">
            <v>10.869988925802879</v>
          </cell>
          <cell r="HF511">
            <v>10.869964218059355</v>
          </cell>
          <cell r="HG511">
            <v>10.869939616697296</v>
          </cell>
          <cell r="HH511">
            <v>10.869915121031124</v>
          </cell>
          <cell r="HI511">
            <v>10.864216776083486</v>
          </cell>
        </row>
        <row r="512">
          <cell r="I512" t="str">
            <v xml:space="preserve"> --</v>
          </cell>
          <cell r="J512" t="str">
            <v xml:space="preserve"> --</v>
          </cell>
          <cell r="K512" t="str">
            <v xml:space="preserve"> --</v>
          </cell>
          <cell r="L512" t="str">
            <v xml:space="preserve"> --</v>
          </cell>
          <cell r="N512">
            <v>39.756738945847651</v>
          </cell>
          <cell r="O512">
            <v>43.587533577275323</v>
          </cell>
          <cell r="P512">
            <v>37.742008066935568</v>
          </cell>
          <cell r="Q512">
            <v>45.605729406350669</v>
          </cell>
          <cell r="S512">
            <v>44.864655121197707</v>
          </cell>
          <cell r="T512">
            <v>42.716589379854462</v>
          </cell>
          <cell r="U512">
            <v>38.431708991077556</v>
          </cell>
          <cell r="V512">
            <v>55.207687437586067</v>
          </cell>
          <cell r="X512">
            <v>52.884851564815989</v>
          </cell>
          <cell r="Y512">
            <v>50.702534547987966</v>
          </cell>
          <cell r="Z512">
            <v>46.869026867824736</v>
          </cell>
          <cell r="AA512">
            <v>45.831221227086296</v>
          </cell>
          <cell r="AC512">
            <v>45.702241540654704</v>
          </cell>
          <cell r="AD512">
            <v>43.781635158868731</v>
          </cell>
          <cell r="AE512">
            <v>37.553361863005065</v>
          </cell>
          <cell r="AF512">
            <v>37.590817939917471</v>
          </cell>
          <cell r="AJ512">
            <v>44.279965317441743</v>
          </cell>
          <cell r="AK512">
            <v>41.48402497840901</v>
          </cell>
          <cell r="AL512">
            <v>35.023799136040807</v>
          </cell>
          <cell r="AM512">
            <v>35.997607076061833</v>
          </cell>
          <cell r="AY512" t="str">
            <v xml:space="preserve"> --</v>
          </cell>
          <cell r="AZ512" t="str">
            <v xml:space="preserve"> --</v>
          </cell>
          <cell r="BA512" t="str">
            <v xml:space="preserve"> --</v>
          </cell>
          <cell r="BB512" t="str">
            <v xml:space="preserve"> --</v>
          </cell>
          <cell r="BD512" t="str">
            <v xml:space="preserve"> --</v>
          </cell>
          <cell r="BE512" t="str">
            <v xml:space="preserve"> --</v>
          </cell>
          <cell r="BF512" t="str">
            <v xml:space="preserve"> --</v>
          </cell>
          <cell r="BG512" t="str">
            <v xml:space="preserve"> --</v>
          </cell>
          <cell r="BI512">
            <v>47.567361405332669</v>
          </cell>
          <cell r="BJ512">
            <v>38.077145533686135</v>
          </cell>
          <cell r="BK512">
            <v>36.26843845776439</v>
          </cell>
          <cell r="BL512" t="str">
            <v xml:space="preserve"> --</v>
          </cell>
          <cell r="BN512">
            <v>40.362686538124798</v>
          </cell>
          <cell r="BO512">
            <v>37.519027672095035</v>
          </cell>
          <cell r="BP512">
            <v>34.607523693542078</v>
          </cell>
          <cell r="BQ512">
            <v>40.553230157749496</v>
          </cell>
          <cell r="BS512">
            <v>38.434095256456565</v>
          </cell>
          <cell r="BT512">
            <v>39.056411788856146</v>
          </cell>
          <cell r="BU512">
            <v>36.610291134375053</v>
          </cell>
          <cell r="BV512">
            <v>42.313213064788499</v>
          </cell>
          <cell r="BX512" t="str">
            <v>--</v>
          </cell>
          <cell r="BZ512" t="str">
            <v>--</v>
          </cell>
          <cell r="CA512" t="str">
            <v>--</v>
          </cell>
          <cell r="CB512" t="str">
            <v>--</v>
          </cell>
          <cell r="CC512" t="str">
            <v>--</v>
          </cell>
          <cell r="CE512">
            <v>40.837600788996205</v>
          </cell>
          <cell r="CF512">
            <v>39.910334657764302</v>
          </cell>
          <cell r="CG512">
            <v>36.639380623311887</v>
          </cell>
          <cell r="CH512">
            <v>35.353490708723704</v>
          </cell>
          <cell r="CJ512">
            <v>38.578129762461138</v>
          </cell>
          <cell r="CK512">
            <v>39.324562940543991</v>
          </cell>
          <cell r="CL512">
            <v>36.603682158826274</v>
          </cell>
          <cell r="CM512">
            <v>42.431977843398862</v>
          </cell>
          <cell r="CO512">
            <v>48.25595274800763</v>
          </cell>
          <cell r="CP512">
            <v>49.686579066042114</v>
          </cell>
          <cell r="CQ512" t="str">
            <v>--</v>
          </cell>
          <cell r="CR512" t="str">
            <v>--</v>
          </cell>
          <cell r="CT512" t="str">
            <v>--</v>
          </cell>
          <cell r="CU512" t="str">
            <v>--</v>
          </cell>
          <cell r="CV512" t="str">
            <v>--</v>
          </cell>
          <cell r="CW512" t="str">
            <v>--</v>
          </cell>
          <cell r="CY512">
            <v>38.36423479999192</v>
          </cell>
          <cell r="CZ512">
            <v>38.236074466773516</v>
          </cell>
          <cell r="DA512">
            <v>35.294560407797491</v>
          </cell>
          <cell r="DB512">
            <v>34.518409421326439</v>
          </cell>
          <cell r="DD512">
            <v>36.834137383336348</v>
          </cell>
          <cell r="DE512">
            <v>38.872959127262007</v>
          </cell>
          <cell r="DF512">
            <v>36.647062292123628</v>
          </cell>
          <cell r="DG512">
            <v>42.271108002016334</v>
          </cell>
          <cell r="DI512">
            <v>49.919709618816</v>
          </cell>
          <cell r="DJ512">
            <v>51.363206623581071</v>
          </cell>
          <cell r="DK512">
            <v>51.002861303210423</v>
          </cell>
          <cell r="DL512">
            <v>55.225905780908711</v>
          </cell>
          <cell r="DN512">
            <v>51.783756999002719</v>
          </cell>
          <cell r="DO512">
            <v>43.66331057329154</v>
          </cell>
          <cell r="DP512">
            <v>39.34255365243839</v>
          </cell>
          <cell r="DQ512">
            <v>39.297785075316128</v>
          </cell>
          <cell r="DS512">
            <v>39.141043876037614</v>
          </cell>
          <cell r="DT512">
            <v>36.502864121104885</v>
          </cell>
          <cell r="DU512">
            <v>30.643829054304188</v>
          </cell>
          <cell r="DV512">
            <v>36.385974625431174</v>
          </cell>
          <cell r="DX512">
            <v>35.551143139395904</v>
          </cell>
          <cell r="DY512">
            <v>32.243289549839616</v>
          </cell>
          <cell r="DZ512">
            <v>27.991526195835736</v>
          </cell>
          <cell r="EA512">
            <v>31.892352076110257</v>
          </cell>
          <cell r="EC512">
            <v>31.127054989349148</v>
          </cell>
          <cell r="ED512">
            <v>30.654342182419608</v>
          </cell>
          <cell r="EE512">
            <v>28.403827421211297</v>
          </cell>
          <cell r="EF512">
            <v>34.279531114221179</v>
          </cell>
          <cell r="EH512">
            <v>32.383804215461453</v>
          </cell>
          <cell r="EI512">
            <v>30.11466381332059</v>
          </cell>
          <cell r="EJ512">
            <v>27.90413245764411</v>
          </cell>
          <cell r="EK512">
            <v>33.737329360130126</v>
          </cell>
          <cell r="EN512" t="str">
            <v>--</v>
          </cell>
          <cell r="ER512" t="str">
            <v>--</v>
          </cell>
          <cell r="ES512">
            <v>59.55965657176835</v>
          </cell>
          <cell r="ET512">
            <v>50.448649133114905</v>
          </cell>
          <cell r="EU512">
            <v>38.097938702552071</v>
          </cell>
          <cell r="EX512" t="str">
            <v>--</v>
          </cell>
          <cell r="EZ512" t="str">
            <v>--</v>
          </cell>
          <cell r="FA512" t="str">
            <v>--</v>
          </cell>
          <cell r="FB512" t="str">
            <v>--</v>
          </cell>
          <cell r="FC512" t="str">
            <v>--</v>
          </cell>
          <cell r="FD512">
            <v>49.039770505410495</v>
          </cell>
          <cell r="FK512">
            <v>40.171759292346771</v>
          </cell>
          <cell r="FL512">
            <v>45.296383890762243</v>
          </cell>
          <cell r="FO512" t="str">
            <v>--</v>
          </cell>
          <cell r="FP512">
            <v>41.852889395657982</v>
          </cell>
          <cell r="FQ512">
            <v>36.849455871244679</v>
          </cell>
          <cell r="FR512">
            <v>44.927259171725957</v>
          </cell>
          <cell r="FT512" t="str">
            <v>--</v>
          </cell>
          <cell r="FU512">
            <v>38.693506846204691</v>
          </cell>
          <cell r="FV512">
            <v>35.583864263975947</v>
          </cell>
          <cell r="FW512">
            <v>43.950201113075082</v>
          </cell>
          <cell r="FX512">
            <v>47.388726494208797</v>
          </cell>
          <cell r="FY512">
            <v>45.339280614944705</v>
          </cell>
          <cell r="FZ512">
            <v>34.629889231978552</v>
          </cell>
          <cell r="GA512">
            <v>30.294503997531702</v>
          </cell>
          <cell r="GB512">
            <v>30.036614997914004</v>
          </cell>
          <cell r="GC512">
            <v>31.088563357066967</v>
          </cell>
          <cell r="GL512">
            <v>41.67065362824043</v>
          </cell>
          <cell r="GM512">
            <v>32.300387556133543</v>
          </cell>
          <cell r="GN512">
            <v>30.036614997914004</v>
          </cell>
          <cell r="GO512">
            <v>31.088563357066967</v>
          </cell>
          <cell r="GP512">
            <v>29.113644060780317</v>
          </cell>
          <cell r="GQ512">
            <v>30.138382002788781</v>
          </cell>
          <cell r="GR512">
            <v>37.094020012977701</v>
          </cell>
          <cell r="GS512">
            <v>38.018870322116172</v>
          </cell>
          <cell r="GT512">
            <v>32.646172770011773</v>
          </cell>
          <cell r="GU512">
            <v>27.987012987012985</v>
          </cell>
          <cell r="GV512">
            <v>31.100810594816764</v>
          </cell>
          <cell r="GW512">
            <v>43.030710706995734</v>
          </cell>
          <cell r="GX512">
            <v>40.662442396313359</v>
          </cell>
          <cell r="GY512">
            <v>34.959908963585434</v>
          </cell>
          <cell r="GZ512">
            <v>33.845629537878139</v>
          </cell>
          <cell r="HA512">
            <v>33.672401767030927</v>
          </cell>
          <cell r="HB512">
            <v>33.648111700994271</v>
          </cell>
          <cell r="HC512">
            <v>33.47137194040296</v>
          </cell>
          <cell r="HD512">
            <v>33.28325879727749</v>
          </cell>
          <cell r="HE512">
            <v>33.118708993846532</v>
          </cell>
          <cell r="HF512">
            <v>33.118784273631384</v>
          </cell>
          <cell r="HG512">
            <v>33.118859229632207</v>
          </cell>
          <cell r="HH512">
            <v>33.118933863933457</v>
          </cell>
          <cell r="HI512">
            <v>33.136304937554719</v>
          </cell>
        </row>
        <row r="513">
          <cell r="I513" t="str">
            <v xml:space="preserve"> --</v>
          </cell>
          <cell r="J513" t="str">
            <v xml:space="preserve"> --</v>
          </cell>
          <cell r="K513" t="str">
            <v xml:space="preserve"> --</v>
          </cell>
          <cell r="L513" t="str">
            <v xml:space="preserve"> --</v>
          </cell>
          <cell r="N513">
            <v>53.329923035784873</v>
          </cell>
          <cell r="O513">
            <v>48.95106663104869</v>
          </cell>
          <cell r="P513">
            <v>46.278828063361047</v>
          </cell>
          <cell r="Q513">
            <v>63.186728824750794</v>
          </cell>
          <cell r="S513">
            <v>58.395868662456103</v>
          </cell>
          <cell r="T513">
            <v>56.676224985168119</v>
          </cell>
          <cell r="U513">
            <v>53.639269944433416</v>
          </cell>
          <cell r="V513">
            <v>46.870078968760893</v>
          </cell>
          <cell r="X513">
            <v>34.673462196504303</v>
          </cell>
          <cell r="Y513">
            <v>35.261583978876047</v>
          </cell>
          <cell r="Z513">
            <v>34.424847457627116</v>
          </cell>
          <cell r="AA513">
            <v>37.752327386741904</v>
          </cell>
          <cell r="AC513">
            <v>39.371754338849016</v>
          </cell>
          <cell r="AD513">
            <v>38.167138749917243</v>
          </cell>
          <cell r="AE513">
            <v>32.83100620124025</v>
          </cell>
          <cell r="AF513">
            <v>35.888185571063495</v>
          </cell>
          <cell r="AJ513">
            <v>39.036345192486799</v>
          </cell>
          <cell r="AK513">
            <v>37.938208367577069</v>
          </cell>
          <cell r="AL513">
            <v>32.722585480577877</v>
          </cell>
          <cell r="AM513">
            <v>36.900444843447382</v>
          </cell>
          <cell r="AY513" t="str">
            <v xml:space="preserve"> --</v>
          </cell>
          <cell r="AZ513" t="str">
            <v xml:space="preserve"> --</v>
          </cell>
          <cell r="BA513" t="str">
            <v xml:space="preserve"> --</v>
          </cell>
          <cell r="BB513" t="str">
            <v xml:space="preserve"> --</v>
          </cell>
          <cell r="BD513" t="str">
            <v xml:space="preserve"> --</v>
          </cell>
          <cell r="BE513" t="str">
            <v xml:space="preserve"> --</v>
          </cell>
          <cell r="BF513" t="str">
            <v xml:space="preserve"> --</v>
          </cell>
          <cell r="BG513" t="str">
            <v xml:space="preserve"> --</v>
          </cell>
          <cell r="BI513">
            <v>53.839146367399024</v>
          </cell>
          <cell r="BJ513">
            <v>35.045658115339563</v>
          </cell>
          <cell r="BK513">
            <v>33.561413935538134</v>
          </cell>
          <cell r="BL513" t="str">
            <v xml:space="preserve"> --</v>
          </cell>
          <cell r="BN513">
            <v>49.290215142449739</v>
          </cell>
          <cell r="BO513">
            <v>40.884988531372215</v>
          </cell>
          <cell r="BP513">
            <v>35.467764316281674</v>
          </cell>
          <cell r="BQ513">
            <v>35.67048548961511</v>
          </cell>
          <cell r="BS513">
            <v>47.901433236404024</v>
          </cell>
          <cell r="BT513">
            <v>42.488397254290668</v>
          </cell>
          <cell r="BU513">
            <v>36.395084259893167</v>
          </cell>
          <cell r="BV513">
            <v>36.937084320770587</v>
          </cell>
          <cell r="BX513" t="str">
            <v>--</v>
          </cell>
          <cell r="BZ513" t="str">
            <v>--</v>
          </cell>
          <cell r="CA513" t="str">
            <v>--</v>
          </cell>
          <cell r="CB513" t="str">
            <v>--</v>
          </cell>
          <cell r="CC513" t="str">
            <v>--</v>
          </cell>
          <cell r="CE513">
            <v>45.325703073904506</v>
          </cell>
          <cell r="CF513">
            <v>43.880613995485326</v>
          </cell>
          <cell r="CG513">
            <v>40.95523210436923</v>
          </cell>
          <cell r="CH513">
            <v>42.508057452561118</v>
          </cell>
          <cell r="CJ513">
            <v>48.413337187994486</v>
          </cell>
          <cell r="CK513">
            <v>43.849251009003424</v>
          </cell>
          <cell r="CL513">
            <v>37.306875004132081</v>
          </cell>
          <cell r="CM513">
            <v>38.155375371382995</v>
          </cell>
          <cell r="CO513">
            <v>36.141581829690182</v>
          </cell>
          <cell r="CP513">
            <v>40.211360223947068</v>
          </cell>
          <cell r="CQ513" t="str">
            <v>--</v>
          </cell>
          <cell r="CR513" t="str">
            <v>--</v>
          </cell>
          <cell r="CT513" t="str">
            <v>--</v>
          </cell>
          <cell r="CU513" t="str">
            <v>--</v>
          </cell>
          <cell r="CV513" t="str">
            <v>--</v>
          </cell>
          <cell r="CW513" t="str">
            <v>--</v>
          </cell>
          <cell r="CY513">
            <v>43.735234914108659</v>
          </cell>
          <cell r="CZ513">
            <v>43.199493786131754</v>
          </cell>
          <cell r="DA513">
            <v>40.497604788702517</v>
          </cell>
          <cell r="DB513">
            <v>42.469722068678863</v>
          </cell>
          <cell r="DD513">
            <v>47.949992726214731</v>
          </cell>
          <cell r="DE513">
            <v>45.13104395928584</v>
          </cell>
          <cell r="DF513">
            <v>38.172017136410297</v>
          </cell>
          <cell r="DG513">
            <v>38.746488978308399</v>
          </cell>
          <cell r="DI513">
            <v>39.984846696307102</v>
          </cell>
          <cell r="DJ513">
            <v>43.723352532219891</v>
          </cell>
          <cell r="DK513">
            <v>45.913046457977089</v>
          </cell>
          <cell r="DL513">
            <v>47.468890013402117</v>
          </cell>
          <cell r="DN513">
            <v>48.527871489662118</v>
          </cell>
          <cell r="DO513">
            <v>47.281065345873145</v>
          </cell>
          <cell r="DP513">
            <v>46.864514127989864</v>
          </cell>
          <cell r="DQ513">
            <v>51.282375693959892</v>
          </cell>
          <cell r="DS513">
            <v>51.764979963396549</v>
          </cell>
          <cell r="DT513">
            <v>47.118801249950238</v>
          </cell>
          <cell r="DU513">
            <v>39.573434360796099</v>
          </cell>
          <cell r="DV513">
            <v>44.664717043109071</v>
          </cell>
          <cell r="DX513">
            <v>42.784955999609871</v>
          </cell>
          <cell r="DY513">
            <v>42.244255642345003</v>
          </cell>
          <cell r="DZ513">
            <v>38.898990546062656</v>
          </cell>
          <cell r="EA513">
            <v>41.804122633092128</v>
          </cell>
          <cell r="EC513">
            <v>39.416504243292522</v>
          </cell>
          <cell r="ED513">
            <v>41.542918301724278</v>
          </cell>
          <cell r="EE513">
            <v>39.50733672791285</v>
          </cell>
          <cell r="EF513">
            <v>44.314582383217598</v>
          </cell>
          <cell r="EH513">
            <v>41.545511013211538</v>
          </cell>
          <cell r="EI513">
            <v>42.500725869685553</v>
          </cell>
          <cell r="EJ513">
            <v>40.911355719460765</v>
          </cell>
          <cell r="EK513">
            <v>46.558535522226904</v>
          </cell>
          <cell r="EN513" t="str">
            <v>--</v>
          </cell>
          <cell r="ER513" t="str">
            <v>--</v>
          </cell>
          <cell r="ES513">
            <v>51.969087838101771</v>
          </cell>
          <cell r="ET513">
            <v>39.237103047149652</v>
          </cell>
          <cell r="EU513">
            <v>37.930778860904375</v>
          </cell>
          <cell r="EX513" t="str">
            <v>--</v>
          </cell>
          <cell r="EZ513" t="str">
            <v>--</v>
          </cell>
          <cell r="FA513" t="str">
            <v>--</v>
          </cell>
          <cell r="FB513" t="str">
            <v>--</v>
          </cell>
          <cell r="FC513" t="str">
            <v>--</v>
          </cell>
          <cell r="FD513">
            <v>39.17283948037619</v>
          </cell>
          <cell r="FK513">
            <v>52.041014132999287</v>
          </cell>
          <cell r="FL513">
            <v>41.772465105096323</v>
          </cell>
          <cell r="FO513" t="str">
            <v>--</v>
          </cell>
          <cell r="FP513">
            <v>45.496266177350236</v>
          </cell>
          <cell r="FQ513">
            <v>45.737149667308955</v>
          </cell>
          <cell r="FR513">
            <v>42.714410764814851</v>
          </cell>
          <cell r="FT513" t="str">
            <v>--</v>
          </cell>
          <cell r="FU513">
            <v>42.717781658589118</v>
          </cell>
          <cell r="FV513">
            <v>44.939093591203772</v>
          </cell>
          <cell r="FW513">
            <v>42.799649151142916</v>
          </cell>
          <cell r="FX513">
            <v>40.269884495064659</v>
          </cell>
          <cell r="FY513">
            <v>48.318660526957373</v>
          </cell>
          <cell r="FZ513">
            <v>44.179120854725859</v>
          </cell>
          <cell r="GA513">
            <v>36.17443117146599</v>
          </cell>
          <cell r="GB513">
            <v>36.097505806227502</v>
          </cell>
          <cell r="GC513">
            <v>38.50049621805632</v>
          </cell>
          <cell r="GL513">
            <v>41.282103738188589</v>
          </cell>
          <cell r="GM513">
            <v>41.827891136247445</v>
          </cell>
          <cell r="GN513">
            <v>36.097505806227502</v>
          </cell>
          <cell r="GO513">
            <v>38.50049621805632</v>
          </cell>
          <cell r="GP513">
            <v>37.523037189194433</v>
          </cell>
          <cell r="GQ513">
            <v>35.594017094017097</v>
          </cell>
          <cell r="GR513">
            <v>40.999999999999993</v>
          </cell>
          <cell r="GS513">
            <v>40.833333333333329</v>
          </cell>
          <cell r="GT513">
            <v>36.59401709401709</v>
          </cell>
          <cell r="GU513">
            <v>32.976190476190474</v>
          </cell>
          <cell r="GV513">
            <v>34.850877192982459</v>
          </cell>
          <cell r="GW513">
            <v>47.941176470588232</v>
          </cell>
          <cell r="GX513">
            <v>46.30952380952381</v>
          </cell>
          <cell r="GY513">
            <v>41.589285714285715</v>
          </cell>
          <cell r="GZ513">
            <v>39.869369369369373</v>
          </cell>
          <cell r="HA513">
            <v>38.636363636363633</v>
          </cell>
          <cell r="HB513">
            <v>38.348623853211009</v>
          </cell>
          <cell r="HC513">
            <v>38.518518518518519</v>
          </cell>
          <cell r="HD513">
            <v>38.691588785046726</v>
          </cell>
          <cell r="HE513">
            <v>38.867924528301884</v>
          </cell>
          <cell r="HF513">
            <v>39.047619047619044</v>
          </cell>
          <cell r="HG513">
            <v>39.047619047619044</v>
          </cell>
          <cell r="HH513">
            <v>39.047619047619044</v>
          </cell>
          <cell r="HI513">
            <v>39.047619047619051</v>
          </cell>
        </row>
        <row r="514">
          <cell r="I514" t="str">
            <v xml:space="preserve"> --</v>
          </cell>
          <cell r="J514" t="str">
            <v xml:space="preserve"> --</v>
          </cell>
          <cell r="K514" t="str">
            <v xml:space="preserve"> --</v>
          </cell>
          <cell r="L514" t="str">
            <v xml:space="preserve"> --</v>
          </cell>
          <cell r="N514">
            <v>56.349373312887323</v>
          </cell>
          <cell r="O514">
            <v>51.177161107468436</v>
          </cell>
          <cell r="P514">
            <v>40.367470582352752</v>
          </cell>
          <cell r="Q514">
            <v>58.524372544160848</v>
          </cell>
          <cell r="S514">
            <v>53.774024180133082</v>
          </cell>
          <cell r="T514">
            <v>48.229422836990942</v>
          </cell>
          <cell r="U514">
            <v>47.489906738261531</v>
          </cell>
          <cell r="V514">
            <v>53.021290899478494</v>
          </cell>
          <cell r="X514">
            <v>42.441663490450175</v>
          </cell>
          <cell r="Y514">
            <v>43.018330055647176</v>
          </cell>
          <cell r="Z514">
            <v>39.71360897397367</v>
          </cell>
          <cell r="AA514">
            <v>44.856717167489748</v>
          </cell>
          <cell r="AC514">
            <v>50.881486081108264</v>
          </cell>
          <cell r="AD514">
            <v>46.803417762834108</v>
          </cell>
          <cell r="AE514">
            <v>39.878934863083835</v>
          </cell>
          <cell r="AF514">
            <v>44.937333693262893</v>
          </cell>
          <cell r="AJ514">
            <v>49.582185276428248</v>
          </cell>
          <cell r="AK514">
            <v>45.08835521761177</v>
          </cell>
          <cell r="AL514">
            <v>38.201292755587929</v>
          </cell>
          <cell r="AM514">
            <v>43.973009493388496</v>
          </cell>
          <cell r="AY514" t="str">
            <v xml:space="preserve"> --</v>
          </cell>
          <cell r="AZ514" t="str">
            <v xml:space="preserve"> --</v>
          </cell>
          <cell r="BA514" t="str">
            <v xml:space="preserve"> --</v>
          </cell>
          <cell r="BB514" t="str">
            <v xml:space="preserve"> --</v>
          </cell>
          <cell r="BD514" t="str">
            <v xml:space="preserve"> --</v>
          </cell>
          <cell r="BE514" t="str">
            <v xml:space="preserve"> --</v>
          </cell>
          <cell r="BF514" t="str">
            <v xml:space="preserve"> --</v>
          </cell>
          <cell r="BG514" t="str">
            <v xml:space="preserve"> --</v>
          </cell>
          <cell r="BI514">
            <v>63.989454308530902</v>
          </cell>
          <cell r="BJ514">
            <v>45.540347477463904</v>
          </cell>
          <cell r="BK514">
            <v>45.833038257325086</v>
          </cell>
          <cell r="BL514" t="str">
            <v xml:space="preserve"> --</v>
          </cell>
          <cell r="BN514">
            <v>56.577173765005739</v>
          </cell>
          <cell r="BO514">
            <v>49.563070925755277</v>
          </cell>
          <cell r="BP514">
            <v>46.971004433726286</v>
          </cell>
          <cell r="BQ514">
            <v>47.320034803739858</v>
          </cell>
          <cell r="BS514">
            <v>56.303374009753512</v>
          </cell>
          <cell r="BT514">
            <v>53.990559019209158</v>
          </cell>
          <cell r="BU514">
            <v>49.640439570999199</v>
          </cell>
          <cell r="BV514">
            <v>49.467157831871162</v>
          </cell>
          <cell r="BX514" t="str">
            <v>--</v>
          </cell>
          <cell r="BZ514" t="str">
            <v>--</v>
          </cell>
          <cell r="CA514" t="str">
            <v>--</v>
          </cell>
          <cell r="CB514" t="str">
            <v>--</v>
          </cell>
          <cell r="CC514" t="str">
            <v>--</v>
          </cell>
          <cell r="CE514">
            <v>50.914128904514904</v>
          </cell>
          <cell r="CF514">
            <v>49.484209232785815</v>
          </cell>
          <cell r="CG514">
            <v>45.904362706225363</v>
          </cell>
          <cell r="CH514">
            <v>48.189593342988921</v>
          </cell>
          <cell r="CJ514">
            <v>55.097316765895194</v>
          </cell>
          <cell r="CK514">
            <v>53.728433754131657</v>
          </cell>
          <cell r="CL514">
            <v>49.733220924693065</v>
          </cell>
          <cell r="CM514">
            <v>50.386467969673795</v>
          </cell>
          <cell r="CO514">
            <v>46.622445903808192</v>
          </cell>
          <cell r="CP514">
            <v>45.813345526917345</v>
          </cell>
          <cell r="CQ514" t="str">
            <v>--</v>
          </cell>
          <cell r="CR514" t="str">
            <v>--</v>
          </cell>
          <cell r="CT514" t="str">
            <v>--</v>
          </cell>
          <cell r="CU514" t="str">
            <v>--</v>
          </cell>
          <cell r="CV514" t="str">
            <v>--</v>
          </cell>
          <cell r="CW514" t="str">
            <v>--</v>
          </cell>
          <cell r="CY514">
            <v>49.603800254427235</v>
          </cell>
          <cell r="CZ514">
            <v>49.703168536555296</v>
          </cell>
          <cell r="DA514">
            <v>46.721701204953916</v>
          </cell>
          <cell r="DB514">
            <v>49.468094423457558</v>
          </cell>
          <cell r="DD514">
            <v>55.091227540308125</v>
          </cell>
          <cell r="DE514">
            <v>56.035671778017225</v>
          </cell>
          <cell r="DF514">
            <v>51.29772151645237</v>
          </cell>
          <cell r="DG514">
            <v>50.718240082534706</v>
          </cell>
          <cell r="DI514">
            <v>50.50659850518619</v>
          </cell>
          <cell r="DJ514">
            <v>49.774897982120635</v>
          </cell>
          <cell r="DK514">
            <v>46.937406925831489</v>
          </cell>
          <cell r="DL514">
            <v>46.948322793472741</v>
          </cell>
          <cell r="DN514">
            <v>46.2322934219535</v>
          </cell>
          <cell r="DO514">
            <v>47.502889331917956</v>
          </cell>
          <cell r="DP514">
            <v>49.137511657509584</v>
          </cell>
          <cell r="DQ514">
            <v>54.841072067911654</v>
          </cell>
          <cell r="DS514">
            <v>60.624901602402765</v>
          </cell>
          <cell r="DT514">
            <v>57.648626545330437</v>
          </cell>
          <cell r="DU514">
            <v>49.498653175611551</v>
          </cell>
          <cell r="DV514">
            <v>55.724658867879924</v>
          </cell>
          <cell r="DX514">
            <v>53.743532510480563</v>
          </cell>
          <cell r="DY514">
            <v>55.218187781335182</v>
          </cell>
          <cell r="DZ514">
            <v>53.067440885458197</v>
          </cell>
          <cell r="EA514">
            <v>57.50925812156084</v>
          </cell>
          <cell r="EC514">
            <v>50.214720995772346</v>
          </cell>
          <cell r="ED514">
            <v>51.88200877504805</v>
          </cell>
          <cell r="EE514">
            <v>50.620555037946879</v>
          </cell>
          <cell r="EF514">
            <v>56.205891691476673</v>
          </cell>
          <cell r="EH514">
            <v>49.786794187165569</v>
          </cell>
          <cell r="EI514">
            <v>49.394182795095254</v>
          </cell>
          <cell r="EJ514">
            <v>47.183883940327071</v>
          </cell>
          <cell r="EK514">
            <v>52.48758414216023</v>
          </cell>
          <cell r="EN514" t="str">
            <v>--</v>
          </cell>
          <cell r="ER514" t="str">
            <v>--</v>
          </cell>
          <cell r="ES514">
            <v>57.726300635321365</v>
          </cell>
          <cell r="ET514">
            <v>49.294621428642557</v>
          </cell>
          <cell r="EU514">
            <v>46.705076136296945</v>
          </cell>
          <cell r="EX514" t="str">
            <v>--</v>
          </cell>
          <cell r="EZ514" t="str">
            <v>--</v>
          </cell>
          <cell r="FA514" t="str">
            <v>--</v>
          </cell>
          <cell r="FB514" t="str">
            <v>--</v>
          </cell>
          <cell r="FC514" t="str">
            <v>--</v>
          </cell>
          <cell r="FD514">
            <v>52.217190818818032</v>
          </cell>
          <cell r="FK514">
            <v>60.463778951824388</v>
          </cell>
          <cell r="FL514">
            <v>52.325156826423772</v>
          </cell>
          <cell r="FO514" t="str">
            <v>--</v>
          </cell>
          <cell r="FP514">
            <v>47.228176317204756</v>
          </cell>
          <cell r="FQ514">
            <v>50.272936434470374</v>
          </cell>
          <cell r="FR514">
            <v>52.112331218452475</v>
          </cell>
          <cell r="FT514" t="str">
            <v>--</v>
          </cell>
          <cell r="FU514">
            <v>44.8244384242265</v>
          </cell>
          <cell r="FV514">
            <v>50.661673825937882</v>
          </cell>
          <cell r="FW514">
            <v>52.324981429280847</v>
          </cell>
          <cell r="FX514">
            <v>43.79712031816257</v>
          </cell>
          <cell r="FY514">
            <v>50.696050026793522</v>
          </cell>
          <cell r="FZ514">
            <v>50.71930046175607</v>
          </cell>
          <cell r="GA514">
            <v>45.573745535492741</v>
          </cell>
          <cell r="GB514">
            <v>46.237906531036089</v>
          </cell>
          <cell r="GC514">
            <v>45.236439133692706</v>
          </cell>
          <cell r="GL514">
            <v>43.858715319876794</v>
          </cell>
          <cell r="GM514">
            <v>50.375839108725771</v>
          </cell>
          <cell r="GN514">
            <v>46.237906531036089</v>
          </cell>
          <cell r="GO514">
            <v>45.236439133692706</v>
          </cell>
          <cell r="GP514">
            <v>42.272753662306464</v>
          </cell>
          <cell r="GQ514">
            <v>40.168399168399176</v>
          </cell>
          <cell r="GR514">
            <v>42.664893617021278</v>
          </cell>
          <cell r="GS514">
            <v>43.245555956823559</v>
          </cell>
          <cell r="GT514">
            <v>41.335511982570807</v>
          </cell>
          <cell r="GU514">
            <v>37.460317460317462</v>
          </cell>
          <cell r="GV514">
            <v>39.467747459755678</v>
          </cell>
          <cell r="GW514">
            <v>49.593090864105896</v>
          </cell>
          <cell r="GX514">
            <v>49.860215053763433</v>
          </cell>
          <cell r="GY514">
            <v>48.517740429505125</v>
          </cell>
          <cell r="GZ514">
            <v>46.4980148810399</v>
          </cell>
          <cell r="HA514">
            <v>45.294466403162048</v>
          </cell>
          <cell r="HB514">
            <v>45.036224088296528</v>
          </cell>
          <cell r="HC514">
            <v>45.235659194986745</v>
          </cell>
          <cell r="HD514">
            <v>45.91507869077963</v>
          </cell>
          <cell r="HE514">
            <v>46.592607685724765</v>
          </cell>
          <cell r="HF514">
            <v>46.807881773399004</v>
          </cell>
          <cell r="HG514">
            <v>46.807987711213514</v>
          </cell>
          <cell r="HH514">
            <v>46.808093194359294</v>
          </cell>
          <cell r="HI514">
            <v>46.832644311743991</v>
          </cell>
        </row>
        <row r="515">
          <cell r="I515" t="str">
            <v xml:space="preserve"> --</v>
          </cell>
          <cell r="J515" t="str">
            <v xml:space="preserve"> --</v>
          </cell>
          <cell r="K515" t="str">
            <v xml:space="preserve"> --</v>
          </cell>
          <cell r="L515" t="str">
            <v xml:space="preserve"> --</v>
          </cell>
          <cell r="N515">
            <v>36.737288668745194</v>
          </cell>
          <cell r="O515">
            <v>41.361439100855577</v>
          </cell>
          <cell r="P515">
            <v>43.653365547943864</v>
          </cell>
          <cell r="Q515">
            <v>50.268085686940616</v>
          </cell>
          <cell r="S515">
            <v>49.486499603520727</v>
          </cell>
          <cell r="T515">
            <v>51.163391528031646</v>
          </cell>
          <cell r="U515">
            <v>44.581072197249433</v>
          </cell>
          <cell r="V515">
            <v>49.056475506868473</v>
          </cell>
          <cell r="X515">
            <v>45.116650270870117</v>
          </cell>
          <cell r="Y515">
            <v>42.945788471216837</v>
          </cell>
          <cell r="Z515">
            <v>41.580265351478182</v>
          </cell>
          <cell r="AA515">
            <v>38.726831446338451</v>
          </cell>
          <cell r="AC515">
            <v>34.192509798395449</v>
          </cell>
          <cell r="AD515">
            <v>35.145356145951858</v>
          </cell>
          <cell r="AE515">
            <v>30.505433201161473</v>
          </cell>
          <cell r="AF515">
            <v>28.541669817718066</v>
          </cell>
          <cell r="AJ515">
            <v>33.734125233500293</v>
          </cell>
          <cell r="AK515">
            <v>34.333878128374316</v>
          </cell>
          <cell r="AL515">
            <v>29.545091861030755</v>
          </cell>
          <cell r="AM515">
            <v>28.925042426120719</v>
          </cell>
          <cell r="AY515" t="str">
            <v xml:space="preserve"> --</v>
          </cell>
          <cell r="AZ515" t="str">
            <v xml:space="preserve"> --</v>
          </cell>
          <cell r="BA515" t="str">
            <v xml:space="preserve"> --</v>
          </cell>
          <cell r="BB515" t="str">
            <v xml:space="preserve"> --</v>
          </cell>
          <cell r="BD515" t="str">
            <v xml:space="preserve"> --</v>
          </cell>
          <cell r="BE515" t="str">
            <v xml:space="preserve"> --</v>
          </cell>
          <cell r="BF515" t="str">
            <v xml:space="preserve"> --</v>
          </cell>
          <cell r="BG515" t="str">
            <v xml:space="preserve"> --</v>
          </cell>
          <cell r="BI515">
            <v>37.417053464200784</v>
          </cell>
          <cell r="BJ515">
            <v>27.582456171561795</v>
          </cell>
          <cell r="BK515">
            <v>23.996814135977445</v>
          </cell>
          <cell r="BL515" t="str">
            <v xml:space="preserve"> --</v>
          </cell>
          <cell r="BN515">
            <v>33.075727915568791</v>
          </cell>
          <cell r="BO515">
            <v>28.840945277711974</v>
          </cell>
          <cell r="BP515">
            <v>23.104283576097465</v>
          </cell>
          <cell r="BQ515">
            <v>28.903680843624741</v>
          </cell>
          <cell r="BS515">
            <v>30.032154483107078</v>
          </cell>
          <cell r="BT515">
            <v>27.554250023937655</v>
          </cell>
          <cell r="BU515">
            <v>23.364935823269015</v>
          </cell>
          <cell r="BV515">
            <v>29.783139553687931</v>
          </cell>
          <cell r="BX515" t="str">
            <v>--</v>
          </cell>
          <cell r="BZ515" t="str">
            <v>--</v>
          </cell>
          <cell r="CA515" t="str">
            <v>--</v>
          </cell>
          <cell r="CB515" t="str">
            <v>--</v>
          </cell>
          <cell r="CC515" t="str">
            <v>--</v>
          </cell>
          <cell r="CE515">
            <v>35.249174958385801</v>
          </cell>
          <cell r="CF515">
            <v>34.306739420463813</v>
          </cell>
          <cell r="CG515">
            <v>31.690250021455761</v>
          </cell>
          <cell r="CH515">
            <v>29.671954818295895</v>
          </cell>
          <cell r="CJ515">
            <v>31.894150184560424</v>
          </cell>
          <cell r="CK515">
            <v>29.445380195415765</v>
          </cell>
          <cell r="CL515">
            <v>24.177336238265291</v>
          </cell>
          <cell r="CM515">
            <v>30.200885245108061</v>
          </cell>
          <cell r="CO515">
            <v>37.77508867388962</v>
          </cell>
          <cell r="CP515">
            <v>44.084593763071837</v>
          </cell>
          <cell r="CQ515" t="str">
            <v>--</v>
          </cell>
          <cell r="CR515" t="str">
            <v>--</v>
          </cell>
          <cell r="CT515" t="str">
            <v>--</v>
          </cell>
          <cell r="CU515" t="str">
            <v>--</v>
          </cell>
          <cell r="CV515" t="str">
            <v>--</v>
          </cell>
          <cell r="CW515" t="str">
            <v>--</v>
          </cell>
          <cell r="CY515">
            <v>32.495669459673344</v>
          </cell>
          <cell r="CZ515">
            <v>31.732399716349974</v>
          </cell>
          <cell r="DA515">
            <v>29.070463991546092</v>
          </cell>
          <cell r="DB515">
            <v>27.520037066547744</v>
          </cell>
          <cell r="DD515">
            <v>29.69290256924296</v>
          </cell>
          <cell r="DE515">
            <v>27.968331308530615</v>
          </cell>
          <cell r="DF515">
            <v>23.521357912081555</v>
          </cell>
          <cell r="DG515">
            <v>30.29935689779002</v>
          </cell>
          <cell r="DI515">
            <v>39.397957809936912</v>
          </cell>
          <cell r="DJ515">
            <v>45.311661173680321</v>
          </cell>
          <cell r="DK515">
            <v>49.978500835356023</v>
          </cell>
          <cell r="DL515">
            <v>55.746473000838094</v>
          </cell>
          <cell r="DN515">
            <v>54.079335066711337</v>
          </cell>
          <cell r="DO515">
            <v>43.441486587246729</v>
          </cell>
          <cell r="DP515">
            <v>37.069556122918662</v>
          </cell>
          <cell r="DQ515">
            <v>35.739088701364366</v>
          </cell>
          <cell r="DS515">
            <v>30.281122237031404</v>
          </cell>
          <cell r="DT515">
            <v>25.973038825724679</v>
          </cell>
          <cell r="DU515">
            <v>20.71861023948874</v>
          </cell>
          <cell r="DV515">
            <v>25.326032800660329</v>
          </cell>
          <cell r="DX515">
            <v>24.592566628525205</v>
          </cell>
          <cell r="DY515">
            <v>19.269357410849445</v>
          </cell>
          <cell r="DZ515">
            <v>13.823075856440198</v>
          </cell>
          <cell r="EA515">
            <v>16.187216587641551</v>
          </cell>
          <cell r="EC515">
            <v>20.328838236869323</v>
          </cell>
          <cell r="ED515">
            <v>20.315251709095833</v>
          </cell>
          <cell r="EE515">
            <v>17.290609111177268</v>
          </cell>
          <cell r="EF515">
            <v>22.388221805962097</v>
          </cell>
          <cell r="EH515">
            <v>24.142521041507422</v>
          </cell>
          <cell r="EI515">
            <v>23.221206887910888</v>
          </cell>
          <cell r="EJ515">
            <v>21.631604236777797</v>
          </cell>
          <cell r="EK515">
            <v>27.808280740196793</v>
          </cell>
          <cell r="EN515" t="str">
            <v>--</v>
          </cell>
          <cell r="ER515" t="str">
            <v>--</v>
          </cell>
          <cell r="ES515">
            <v>53.802443774548749</v>
          </cell>
          <cell r="ET515">
            <v>40.391130751622001</v>
          </cell>
          <cell r="EU515">
            <v>29.323641427159494</v>
          </cell>
          <cell r="EX515" t="str">
            <v>--</v>
          </cell>
          <cell r="EZ515" t="str">
            <v>--</v>
          </cell>
          <cell r="FA515" t="str">
            <v>--</v>
          </cell>
          <cell r="FB515" t="str">
            <v>--</v>
          </cell>
          <cell r="FC515" t="str">
            <v>--</v>
          </cell>
          <cell r="FD515">
            <v>35.995419166968652</v>
          </cell>
          <cell r="FK515">
            <v>31.74899447352167</v>
          </cell>
          <cell r="FL515">
            <v>34.743692169434787</v>
          </cell>
          <cell r="FO515" t="str">
            <v>--</v>
          </cell>
          <cell r="FP515">
            <v>40.120979255803462</v>
          </cell>
          <cell r="FQ515">
            <v>32.313669104083267</v>
          </cell>
          <cell r="FR515">
            <v>35.529338718088333</v>
          </cell>
          <cell r="FT515" t="str">
            <v>--</v>
          </cell>
          <cell r="FU515">
            <v>36.586850080567316</v>
          </cell>
          <cell r="FV515">
            <v>29.861284029241844</v>
          </cell>
          <cell r="FW515">
            <v>34.424868834937151</v>
          </cell>
          <cell r="FX515">
            <v>43.861490671110886</v>
          </cell>
          <cell r="FY515">
            <v>42.961891115108564</v>
          </cell>
          <cell r="FZ515">
            <v>28.089709624948334</v>
          </cell>
          <cell r="GA515">
            <v>20.895189633504948</v>
          </cell>
          <cell r="GB515">
            <v>19.896214273105414</v>
          </cell>
          <cell r="GC515">
            <v>24.352620441430581</v>
          </cell>
          <cell r="GL515">
            <v>39.094042046552218</v>
          </cell>
          <cell r="GM515">
            <v>23.752439583655217</v>
          </cell>
          <cell r="GN515">
            <v>19.896214273105414</v>
          </cell>
          <cell r="GO515">
            <v>24.352620441430581</v>
          </cell>
          <cell r="GP515">
            <v>24.363927587668279</v>
          </cell>
          <cell r="GQ515">
            <v>25.563999928406702</v>
          </cell>
          <cell r="GR515">
            <v>35.429126395956416</v>
          </cell>
          <cell r="GS515">
            <v>35.606647698625942</v>
          </cell>
          <cell r="GT515">
            <v>27.904677881458056</v>
          </cell>
          <cell r="GU515">
            <v>23.502886002885994</v>
          </cell>
          <cell r="GV515">
            <v>26.483940328043538</v>
          </cell>
          <cell r="GW515">
            <v>41.37879631347807</v>
          </cell>
          <cell r="GX515">
            <v>37.11175115207373</v>
          </cell>
          <cell r="GY515">
            <v>28.031454248366032</v>
          </cell>
          <cell r="GZ515">
            <v>27.216984026207619</v>
          </cell>
          <cell r="HA515">
            <v>27.014299000232512</v>
          </cell>
          <cell r="HB515">
            <v>26.960511465908759</v>
          </cell>
          <cell r="HC515">
            <v>26.754231263934734</v>
          </cell>
          <cell r="HD515">
            <v>26.059768891544586</v>
          </cell>
          <cell r="HE515">
            <v>25.394025836423658</v>
          </cell>
          <cell r="HF515">
            <v>25.358521547851424</v>
          </cell>
          <cell r="HG515">
            <v>25.358490566037744</v>
          </cell>
          <cell r="HH515">
            <v>25.358459717193206</v>
          </cell>
          <cell r="HI515">
            <v>25.351279673429786</v>
          </cell>
        </row>
        <row r="516">
          <cell r="CT516" t="str">
            <v>--</v>
          </cell>
          <cell r="CU516" t="str">
            <v>--</v>
          </cell>
          <cell r="CV516" t="str">
            <v>--</v>
          </cell>
          <cell r="CW516" t="str">
            <v>--</v>
          </cell>
          <cell r="CY516">
            <v>9.666451605991383E-2</v>
          </cell>
          <cell r="CZ516">
            <v>9.4592287734326361E-2</v>
          </cell>
          <cell r="DA516">
            <v>8.5923487022474765E-2</v>
          </cell>
          <cell r="DB516">
            <v>8.3857742967545321E-2</v>
          </cell>
          <cell r="DD516">
            <v>9.7090283839265518E-2</v>
          </cell>
          <cell r="DE516">
            <v>8.5473748595419077E-2</v>
          </cell>
          <cell r="DF516">
            <v>7.1451894051043324E-2</v>
          </cell>
          <cell r="DG516">
            <v>0.1091895215857165</v>
          </cell>
          <cell r="DI516">
            <v>0.12822416280471904</v>
          </cell>
          <cell r="DJ516">
            <v>0.13953419261720856</v>
          </cell>
          <cell r="DK516">
            <v>0.14310970017222893</v>
          </cell>
          <cell r="DL516">
            <v>0.15715849171952267</v>
          </cell>
          <cell r="DN516">
            <v>0.14079021139986589</v>
          </cell>
          <cell r="DO516">
            <v>0.10775149017633108</v>
          </cell>
          <cell r="DP516">
            <v>0.10825551058067981</v>
          </cell>
          <cell r="DQ516">
            <v>9.0721111549312852E-2</v>
          </cell>
          <cell r="DS516">
            <v>7.8974294113865973E-2</v>
          </cell>
          <cell r="DT516">
            <v>7.6777899744747469E-2</v>
          </cell>
          <cell r="DU516">
            <v>5.4300876491044786E-2</v>
          </cell>
          <cell r="DV516">
            <v>7.8174675158069848E-2</v>
          </cell>
          <cell r="DX516">
            <v>6.3060305271516806E-2</v>
          </cell>
          <cell r="DY516">
            <v>5.6220709274437786E-2</v>
          </cell>
          <cell r="DZ516">
            <v>3.6233570725354158E-2</v>
          </cell>
          <cell r="EA516">
            <v>5.436080037664786E-2</v>
          </cell>
          <cell r="FV516">
            <v>9.7792544296604972E-2</v>
          </cell>
          <cell r="FW516">
            <v>0.1398741105559006</v>
          </cell>
          <cell r="FX516">
            <v>0.1616752819372306</v>
          </cell>
          <cell r="FY516">
            <v>9.1277316689120175E-2</v>
          </cell>
          <cell r="FZ516">
            <v>7.1510839731127818E-2</v>
          </cell>
          <cell r="GA516">
            <v>5.3923074327059714E-2</v>
          </cell>
          <cell r="GL516">
            <v>7.1510839731127818E-2</v>
          </cell>
          <cell r="GM516">
            <v>5.3923074327059714E-2</v>
          </cell>
          <cell r="GN516">
            <v>6.9475727997587597E-2</v>
          </cell>
          <cell r="GO516">
            <v>8.1143483010449047E-2</v>
          </cell>
          <cell r="GP516">
            <v>7.3996704331450086E-2</v>
          </cell>
          <cell r="GQ516">
            <v>8.2956349206349186E-2</v>
          </cell>
          <cell r="GR516">
            <v>0.11572908863920099</v>
          </cell>
          <cell r="GS516">
            <v>9.2894005847953223E-2</v>
          </cell>
          <cell r="GT516">
            <v>7.9587878787878805E-2</v>
          </cell>
          <cell r="GU516">
            <v>7.1722222222222215E-2</v>
          </cell>
          <cell r="GV516">
            <v>8.7844444444444447E-2</v>
          </cell>
          <cell r="GW516">
            <v>0.12832222222222223</v>
          </cell>
          <cell r="GX516">
            <v>8.754166666666667E-2</v>
          </cell>
          <cell r="GY516">
            <v>8.3744444444444469E-2</v>
          </cell>
          <cell r="GZ516">
            <v>8.1453594771241825E-2</v>
          </cell>
        </row>
        <row r="518">
          <cell r="DV518">
            <v>320.8</v>
          </cell>
          <cell r="DX518">
            <v>320.8</v>
          </cell>
          <cell r="DY518">
            <v>351.5</v>
          </cell>
          <cell r="DZ518">
            <v>351.5</v>
          </cell>
          <cell r="EA518">
            <v>351.5</v>
          </cell>
          <cell r="FZ518">
            <v>320.8</v>
          </cell>
          <cell r="GA518">
            <v>351.5</v>
          </cell>
        </row>
        <row r="519">
          <cell r="DV519">
            <v>54.101352643267916</v>
          </cell>
          <cell r="DX519">
            <v>51.492392031743236</v>
          </cell>
          <cell r="DY519">
            <v>50.69577408583249</v>
          </cell>
          <cell r="DZ519">
            <v>45.984716102519457</v>
          </cell>
          <cell r="EA519">
            <v>50.145220808257399</v>
          </cell>
          <cell r="FZ519">
            <v>52.811350341314949</v>
          </cell>
          <cell r="GA519">
            <v>45.016412873486864</v>
          </cell>
        </row>
        <row r="520">
          <cell r="DV520">
            <v>34.762668400819166</v>
          </cell>
          <cell r="DX520">
            <v>33.300002660658578</v>
          </cell>
          <cell r="DY520">
            <v>27.720875854336931</v>
          </cell>
          <cell r="DZ520">
            <v>20.908801412896992</v>
          </cell>
          <cell r="EA520">
            <v>24.528314762806808</v>
          </cell>
          <cell r="FZ520">
            <v>36.721939111537431</v>
          </cell>
          <cell r="GA520">
            <v>29.737171335525822</v>
          </cell>
        </row>
        <row r="522">
          <cell r="I522" t="str">
            <v xml:space="preserve"> --</v>
          </cell>
          <cell r="J522" t="str">
            <v xml:space="preserve"> --</v>
          </cell>
          <cell r="K522" t="str">
            <v xml:space="preserve"> --</v>
          </cell>
          <cell r="L522" t="str">
            <v xml:space="preserve"> --</v>
          </cell>
          <cell r="N522">
            <v>0.15762592462134553</v>
          </cell>
          <cell r="O522">
            <v>0.18431260128592891</v>
          </cell>
          <cell r="P522">
            <v>0.19651714417608782</v>
          </cell>
          <cell r="Q522">
            <v>0.20881091454398645</v>
          </cell>
          <cell r="S522">
            <v>0.23327063835573006</v>
          </cell>
          <cell r="T522">
            <v>0.25159648533154094</v>
          </cell>
          <cell r="U522">
            <v>8.6427254657616859E-2</v>
          </cell>
          <cell r="V522">
            <v>0.30644776573879007</v>
          </cell>
          <cell r="X522">
            <v>0.26143086070299992</v>
          </cell>
          <cell r="Y522">
            <v>0.25253965000262135</v>
          </cell>
          <cell r="Z522">
            <v>0.24532908302025194</v>
          </cell>
          <cell r="AA522">
            <v>0.20721147469541631</v>
          </cell>
          <cell r="AC522">
            <v>0.21006773544656487</v>
          </cell>
          <cell r="AD522">
            <v>0.21617851575794</v>
          </cell>
          <cell r="AE522">
            <v>0.17569232295882561</v>
          </cell>
          <cell r="AF522">
            <v>0.1460072493230794</v>
          </cell>
          <cell r="AJ522">
            <v>0.20307028074660968</v>
          </cell>
          <cell r="AK522">
            <v>0.20345553066242442</v>
          </cell>
          <cell r="AL522">
            <v>0.17019992780833634</v>
          </cell>
          <cell r="AM522">
            <v>0.14305419415596632</v>
          </cell>
          <cell r="AY522" t="str">
            <v xml:space="preserve"> --</v>
          </cell>
          <cell r="AZ522" t="str">
            <v xml:space="preserve"> --</v>
          </cell>
          <cell r="BA522" t="str">
            <v xml:space="preserve"> --</v>
          </cell>
          <cell r="BB522" t="str">
            <v xml:space="preserve"> --</v>
          </cell>
          <cell r="BD522" t="str">
            <v>--</v>
          </cell>
          <cell r="BE522" t="str">
            <v>--</v>
          </cell>
          <cell r="BF522" t="str">
            <v>--</v>
          </cell>
          <cell r="BG522" t="str">
            <v>--</v>
          </cell>
          <cell r="BI522">
            <v>0.12108880151754829</v>
          </cell>
          <cell r="BJ522">
            <v>0.1826820513980057</v>
          </cell>
          <cell r="BK522">
            <v>0.16901217737046384</v>
          </cell>
          <cell r="BL522" t="str">
            <v xml:space="preserve"> --</v>
          </cell>
          <cell r="BN522">
            <v>0.28358572888619077</v>
          </cell>
          <cell r="BO522">
            <v>0.17850078760310875</v>
          </cell>
          <cell r="BP522">
            <v>0.18218651008962822</v>
          </cell>
          <cell r="BQ522">
            <v>0.12918355204378454</v>
          </cell>
          <cell r="BS522">
            <v>0.14063909625744631</v>
          </cell>
          <cell r="BT522">
            <v>0.19751103436967804</v>
          </cell>
          <cell r="BU522">
            <v>0.18190769523883057</v>
          </cell>
          <cell r="BV522">
            <v>0.12565423594801478</v>
          </cell>
          <cell r="BX522">
            <v>0.11605255993050766</v>
          </cell>
          <cell r="BZ522" t="str">
            <v>--</v>
          </cell>
          <cell r="CA522" t="str">
            <v>--</v>
          </cell>
          <cell r="CB522" t="str">
            <v>--</v>
          </cell>
          <cell r="CC522" t="str">
            <v>--</v>
          </cell>
          <cell r="CE522">
            <v>0.15026700493667891</v>
          </cell>
          <cell r="CF522">
            <v>0.14144760934846082</v>
          </cell>
          <cell r="CG522">
            <v>0.12396940722273189</v>
          </cell>
          <cell r="CH522">
            <v>0.12195520875242812</v>
          </cell>
          <cell r="CJ522">
            <v>0.10454099534965254</v>
          </cell>
          <cell r="CK522">
            <v>0.12453714679080181</v>
          </cell>
          <cell r="CL522">
            <v>0.1308445242345169</v>
          </cell>
          <cell r="CM522">
            <v>0.11655114445659008</v>
          </cell>
          <cell r="CO522">
            <v>0.12071136699266746</v>
          </cell>
          <cell r="CP522">
            <v>0.14336356190850214</v>
          </cell>
          <cell r="CQ522" t="str">
            <v>--</v>
          </cell>
          <cell r="CR522" t="str">
            <v>--</v>
          </cell>
          <cell r="CT522" t="str">
            <v>--</v>
          </cell>
          <cell r="CU522" t="str">
            <v>--</v>
          </cell>
          <cell r="CV522" t="str">
            <v>--</v>
          </cell>
          <cell r="CW522" t="str">
            <v>--</v>
          </cell>
          <cell r="CY522">
            <v>0.15560516490851511</v>
          </cell>
          <cell r="CZ522">
            <v>0.14862632753926122</v>
          </cell>
          <cell r="DA522">
            <v>0.13431774736298838</v>
          </cell>
          <cell r="DB522">
            <v>0.12931070017301263</v>
          </cell>
          <cell r="DD522">
            <v>0.10959061031807436</v>
          </cell>
          <cell r="DE522">
            <v>0.12748594448789152</v>
          </cell>
          <cell r="DF522">
            <v>0.13790253217282167</v>
          </cell>
          <cell r="DG522">
            <v>0.12011930390678846</v>
          </cell>
          <cell r="DI522">
            <v>0.11292214084343749</v>
          </cell>
          <cell r="DJ522">
            <v>0.13631717567325652</v>
          </cell>
          <cell r="DK522">
            <v>0.15017072708884358</v>
          </cell>
          <cell r="DL522">
            <v>9.5088120605816395E-2</v>
          </cell>
          <cell r="DN522">
            <v>8.7443530549375759E-2</v>
          </cell>
          <cell r="DO522">
            <v>7.058829231818535E-2</v>
          </cell>
          <cell r="DP522">
            <v>8.4458851303377963E-2</v>
          </cell>
          <cell r="DQ522">
            <v>5.4927967287613906E-2</v>
          </cell>
          <cell r="DS522">
            <v>2.2983201549149575E-2</v>
          </cell>
          <cell r="DT522">
            <v>3.1074748685658786E-2</v>
          </cell>
          <cell r="DU522">
            <v>5.3961878763270132E-2</v>
          </cell>
          <cell r="DV522">
            <v>1.7262713663489592E-2</v>
          </cell>
          <cell r="DX522">
            <v>1.0464044977572454E-2</v>
          </cell>
          <cell r="DY522">
            <v>3.6162994220203193E-2</v>
          </cell>
          <cell r="DZ522">
            <v>8.6906084554521437E-2</v>
          </cell>
          <cell r="EA522">
            <v>4.8023700661606314E-2</v>
          </cell>
          <cell r="EC522">
            <v>6.3932873624178196E-2</v>
          </cell>
          <cell r="ED522">
            <v>8.1267027636407252E-2</v>
          </cell>
          <cell r="EE522">
            <v>0.12177803798576316</v>
          </cell>
          <cell r="EF522">
            <v>8.4480583298813319E-2</v>
          </cell>
          <cell r="EH522">
            <v>9.5312900488525795E-2</v>
          </cell>
          <cell r="EI522">
            <v>0.11094932700185438</v>
          </cell>
          <cell r="EJ522">
            <v>0.15129476279973242</v>
          </cell>
          <cell r="EK522">
            <v>0.10769883514321879</v>
          </cell>
          <cell r="EN522" t="str">
            <v>--</v>
          </cell>
          <cell r="ER522" t="str">
            <v>--</v>
          </cell>
          <cell r="ES522">
            <v>0.22375565121460456</v>
          </cell>
          <cell r="ET522">
            <v>0.31470748432328077</v>
          </cell>
          <cell r="EU522">
            <v>0.16706310750888353</v>
          </cell>
          <cell r="EX522" t="str">
            <v>--</v>
          </cell>
          <cell r="EZ522" t="str">
            <v>--</v>
          </cell>
          <cell r="FA522" t="str">
            <v>--</v>
          </cell>
          <cell r="FB522" t="str">
            <v>--</v>
          </cell>
          <cell r="FC522" t="str">
            <v>--</v>
          </cell>
          <cell r="FD522">
            <v>0.11889238365671612</v>
          </cell>
          <cell r="FK522">
            <v>0.13395654714186725</v>
          </cell>
          <cell r="FL522">
            <v>0.12608019611917526</v>
          </cell>
          <cell r="FO522" t="str">
            <v>--</v>
          </cell>
          <cell r="FP522">
            <v>0.20988142420930514</v>
          </cell>
          <cell r="FQ522">
            <v>0.12527538091149865</v>
          </cell>
          <cell r="FR522">
            <v>9.8701762446909216E-2</v>
          </cell>
          <cell r="FT522" t="str">
            <v>--</v>
          </cell>
          <cell r="FU522">
            <v>0.21636906802688344</v>
          </cell>
          <cell r="FV522">
            <v>0.13112999264066338</v>
          </cell>
          <cell r="FW522">
            <v>0.10344138844799788</v>
          </cell>
          <cell r="FX522">
            <v>0.11011054268325571</v>
          </cell>
          <cell r="FY522">
            <v>7.0090269020559953E-2</v>
          </cell>
          <cell r="FZ522">
            <v>3.1209725217493375E-2</v>
          </cell>
          <cell r="GA522">
            <v>4.4377427231499636E-2</v>
          </cell>
          <cell r="GB522">
            <v>8.7812314650176373E-2</v>
          </cell>
          <cell r="GC522">
            <v>0.1161920124285864</v>
          </cell>
          <cell r="GL522">
            <v>3.2757526992792323E-2</v>
          </cell>
          <cell r="GM522">
            <v>4.4814706952640886E-2</v>
          </cell>
          <cell r="GN522">
            <v>8.7812314650176373E-2</v>
          </cell>
          <cell r="GO522">
            <v>0.1161920124285864</v>
          </cell>
          <cell r="GP522">
            <v>0.16142476708825113</v>
          </cell>
          <cell r="GQ522">
            <v>0.14065591372673608</v>
          </cell>
          <cell r="GR522">
            <v>5.6844532683229573E-2</v>
          </cell>
          <cell r="GS522">
            <v>0.12158401601614727</v>
          </cell>
          <cell r="GT522">
            <v>0.15095959965237923</v>
          </cell>
          <cell r="GU522">
            <v>0.17181156720288132</v>
          </cell>
          <cell r="GV522">
            <v>0.1502641309992454</v>
          </cell>
          <cell r="GW522">
            <v>2.3262049381406261E-2</v>
          </cell>
          <cell r="GX522">
            <v>7.5013183550501308E-2</v>
          </cell>
          <cell r="GY522">
            <v>0.10780833832570101</v>
          </cell>
          <cell r="GZ522">
            <v>0.1087235820526604</v>
          </cell>
          <cell r="HA522">
            <v>0.10848897106982264</v>
          </cell>
          <cell r="HB522">
            <v>0.1072365667940237</v>
          </cell>
          <cell r="HC522">
            <v>0.10522541671169461</v>
          </cell>
          <cell r="HD522">
            <v>0.10015393191132617</v>
          </cell>
          <cell r="HE522">
            <v>9.2691353397275883E-2</v>
          </cell>
          <cell r="HF522">
            <v>8.5358661193953883E-2</v>
          </cell>
          <cell r="HG522">
            <v>7.8908130598787582E-2</v>
          </cell>
          <cell r="HH522">
            <v>7.3142912327952128E-2</v>
          </cell>
          <cell r="HI522">
            <v>6.9993678496940381E-2</v>
          </cell>
        </row>
        <row r="523">
          <cell r="I523" t="str">
            <v xml:space="preserve"> --</v>
          </cell>
          <cell r="J523" t="str">
            <v xml:space="preserve"> --</v>
          </cell>
          <cell r="K523" t="str">
            <v xml:space="preserve"> --</v>
          </cell>
          <cell r="L523" t="str">
            <v xml:space="preserve"> --</v>
          </cell>
          <cell r="N523">
            <v>7.8107670769622356E-2</v>
          </cell>
          <cell r="O523">
            <v>9.6149033443407361E-2</v>
          </cell>
          <cell r="P523">
            <v>0.11006953613238286</v>
          </cell>
          <cell r="Q523">
            <v>7.9008191663905686E-2</v>
          </cell>
          <cell r="S523">
            <v>6.6501930003068671E-2</v>
          </cell>
          <cell r="T523">
            <v>7.5552707465555952E-2</v>
          </cell>
          <cell r="U523">
            <v>2.66219583571915E-2</v>
          </cell>
          <cell r="V523">
            <v>7.9197116670950932E-2</v>
          </cell>
          <cell r="X523">
            <v>5.5905057054800159E-2</v>
          </cell>
          <cell r="Y523">
            <v>5.2963288810685336E-2</v>
          </cell>
          <cell r="Z523">
            <v>6.782310528335829E-2</v>
          </cell>
          <cell r="AA523">
            <v>6.3483540269685945E-2</v>
          </cell>
          <cell r="AC523">
            <v>6.0605075941560234E-2</v>
          </cell>
          <cell r="AD523">
            <v>6.4548787640234515E-2</v>
          </cell>
          <cell r="AE523">
            <v>6.8585279200458191E-2</v>
          </cell>
          <cell r="AF523">
            <v>6.4241008452138273E-2</v>
          </cell>
          <cell r="AJ523">
            <v>5.9296239286979691E-2</v>
          </cell>
          <cell r="AK523">
            <v>6.1348582287084549E-2</v>
          </cell>
          <cell r="AL523">
            <v>6.4440591534931077E-2</v>
          </cell>
          <cell r="AM523">
            <v>5.9393779845456365E-2</v>
          </cell>
          <cell r="AY523" t="str">
            <v xml:space="preserve"> --</v>
          </cell>
          <cell r="AZ523" t="str">
            <v xml:space="preserve"> --</v>
          </cell>
          <cell r="BA523" t="str">
            <v xml:space="preserve"> --</v>
          </cell>
          <cell r="BB523" t="str">
            <v xml:space="preserve"> --</v>
          </cell>
          <cell r="BD523" t="str">
            <v>--</v>
          </cell>
          <cell r="BE523" t="str">
            <v>--</v>
          </cell>
          <cell r="BF523" t="str">
            <v>--</v>
          </cell>
          <cell r="BG523" t="str">
            <v>--</v>
          </cell>
          <cell r="BI523">
            <v>4.4031214235677255E-2</v>
          </cell>
          <cell r="BJ523">
            <v>6.6393362378762005E-2</v>
          </cell>
          <cell r="BK523">
            <v>7.1329844422492059E-2</v>
          </cell>
          <cell r="BL523" t="str">
            <v xml:space="preserve"> --</v>
          </cell>
          <cell r="BN523">
            <v>0.10464485751848938</v>
          </cell>
          <cell r="BO523">
            <v>6.3454400623697282E-2</v>
          </cell>
          <cell r="BP523">
            <v>7.2504131363563276E-2</v>
          </cell>
          <cell r="BQ523">
            <v>6.2046437222117591E-2</v>
          </cell>
          <cell r="BS523">
            <v>5.0100518167856399E-2</v>
          </cell>
          <cell r="BT523">
            <v>7.1361384283182519E-2</v>
          </cell>
          <cell r="BU523">
            <v>7.3254081783326944E-2</v>
          </cell>
          <cell r="BV523">
            <v>6.0275634636063703E-2</v>
          </cell>
          <cell r="BX523">
            <v>5.4973104556372873E-2</v>
          </cell>
          <cell r="BZ523" t="str">
            <v>--</v>
          </cell>
          <cell r="CA523" t="str">
            <v>--</v>
          </cell>
          <cell r="CB523" t="str">
            <v>--</v>
          </cell>
          <cell r="CC523" t="str">
            <v>--</v>
          </cell>
          <cell r="CE523">
            <v>4.8411985910462869E-2</v>
          </cell>
          <cell r="CF523">
            <v>4.4385212115972211E-2</v>
          </cell>
          <cell r="CG523">
            <v>4.2663836355871565E-2</v>
          </cell>
          <cell r="CH523">
            <v>4.1752431525718038E-2</v>
          </cell>
          <cell r="CJ523">
            <v>3.4811932088306331E-2</v>
          </cell>
          <cell r="CK523">
            <v>4.1868069827691735E-2</v>
          </cell>
          <cell r="CL523">
            <v>4.8395764537750754E-2</v>
          </cell>
          <cell r="CM523">
            <v>5.1256085704195854E-2</v>
          </cell>
          <cell r="CO523">
            <v>5.6992499063524979E-2</v>
          </cell>
          <cell r="CP523">
            <v>6.5361290193295063E-2</v>
          </cell>
          <cell r="CQ523" t="str">
            <v>--</v>
          </cell>
          <cell r="CR523" t="str">
            <v>--</v>
          </cell>
          <cell r="CT523" t="str">
            <v>--</v>
          </cell>
          <cell r="CU523" t="str">
            <v>--</v>
          </cell>
          <cell r="CV523" t="str">
            <v>--</v>
          </cell>
          <cell r="CW523" t="str">
            <v>--</v>
          </cell>
          <cell r="CY523">
            <v>5.1559963511605682E-2</v>
          </cell>
          <cell r="CZ523">
            <v>4.7431509625934933E-2</v>
          </cell>
          <cell r="DA523">
            <v>4.6414377429357466E-2</v>
          </cell>
          <cell r="DB523">
            <v>4.4536070449193714E-2</v>
          </cell>
          <cell r="DD523">
            <v>3.6804423345672112E-2</v>
          </cell>
          <cell r="DE523">
            <v>4.276136228512472E-2</v>
          </cell>
          <cell r="DF523">
            <v>5.0613362339561589E-2</v>
          </cell>
          <cell r="DG523">
            <v>5.2202438566743475E-2</v>
          </cell>
          <cell r="DI523">
            <v>4.9808514179079867E-2</v>
          </cell>
          <cell r="DJ523">
            <v>5.8443916942687253E-2</v>
          </cell>
          <cell r="DK523">
            <v>6.5135278879223615E-2</v>
          </cell>
          <cell r="DL523">
            <v>4.6193219013044191E-2</v>
          </cell>
          <cell r="DN523">
            <v>4.6234635488333349E-2</v>
          </cell>
          <cell r="DO523">
            <v>3.5495984220130138E-2</v>
          </cell>
          <cell r="DP523">
            <v>4.0193769767141667E-2</v>
          </cell>
          <cell r="DQ523">
            <v>2.7186504794828717E-2</v>
          </cell>
          <cell r="DS523">
            <v>1.1757404745525937E-2</v>
          </cell>
          <cell r="DT523">
            <v>1.5729306216574951E-2</v>
          </cell>
          <cell r="DU523">
            <v>2.7404466481619889E-2</v>
          </cell>
          <cell r="DV523">
            <v>9.0504008508099937E-3</v>
          </cell>
          <cell r="DX523">
            <v>5.3883202157368132E-3</v>
          </cell>
          <cell r="DY523">
            <v>1.7373294466464063E-2</v>
          </cell>
          <cell r="DZ523">
            <v>4.0429383602955185E-2</v>
          </cell>
          <cell r="EA523">
            <v>2.2927654840255225E-2</v>
          </cell>
          <cell r="EC523">
            <v>3.1268842421975709E-2</v>
          </cell>
          <cell r="ED523">
            <v>3.8852080077171953E-2</v>
          </cell>
          <cell r="EE523">
            <v>5.6863875746527008E-2</v>
          </cell>
          <cell r="EF523">
            <v>4.0144896991595472E-2</v>
          </cell>
          <cell r="EH523">
            <v>4.6449933161843628E-2</v>
          </cell>
          <cell r="EI523">
            <v>5.3437079017568889E-2</v>
          </cell>
          <cell r="EJ523">
            <v>7.1669070184121664E-2</v>
          </cell>
          <cell r="EK523">
            <v>5.2102834076127605E-2</v>
          </cell>
          <cell r="EN523" t="str">
            <v>--</v>
          </cell>
          <cell r="ER523" t="str">
            <v>--</v>
          </cell>
          <cell r="ES523">
            <v>5.4762103290411195E-2</v>
          </cell>
          <cell r="ET523">
            <v>9.0847884019173694E-2</v>
          </cell>
          <cell r="EU523">
            <v>6.1887340889485137E-2</v>
          </cell>
          <cell r="EX523" t="str">
            <v>--</v>
          </cell>
          <cell r="EZ523" t="str">
            <v>--</v>
          </cell>
          <cell r="FA523" t="str">
            <v>--</v>
          </cell>
          <cell r="FB523" t="str">
            <v>--</v>
          </cell>
          <cell r="FC523" t="str">
            <v>--</v>
          </cell>
          <cell r="FD523">
            <v>5.677276068144832E-2</v>
          </cell>
          <cell r="FK523">
            <v>4.5861282969716713E-2</v>
          </cell>
          <cell r="FL523">
            <v>5.7362499001397602E-2</v>
          </cell>
          <cell r="FO523" t="str">
            <v>--</v>
          </cell>
          <cell r="FP523">
            <v>7.1898922057923143E-2</v>
          </cell>
          <cell r="FQ523">
            <v>4.1014861972388995E-2</v>
          </cell>
          <cell r="FR523">
            <v>4.1329465944798152E-2</v>
          </cell>
          <cell r="FT523" t="str">
            <v>--</v>
          </cell>
          <cell r="FU523">
            <v>7.5506267426631718E-2</v>
          </cell>
          <cell r="FV523">
            <v>4.3876236467601255E-2</v>
          </cell>
          <cell r="FW523">
            <v>4.283811003138157E-2</v>
          </cell>
          <cell r="FX523">
            <v>5.5465987040748552E-2</v>
          </cell>
          <cell r="FY523">
            <v>3.6786524159108373E-2</v>
          </cell>
          <cell r="FZ523">
            <v>1.6527217468364139E-2</v>
          </cell>
          <cell r="GA523">
            <v>2.3008965330520964E-2</v>
          </cell>
          <cell r="GB523">
            <v>4.3362773007700334E-2</v>
          </cell>
          <cell r="GC523">
            <v>5.7618759457135724E-2</v>
          </cell>
          <cell r="GL523">
            <v>1.7588265111605411E-2</v>
          </cell>
          <cell r="GM523">
            <v>2.2739650896666318E-2</v>
          </cell>
          <cell r="GN523">
            <v>4.3362773007700334E-2</v>
          </cell>
          <cell r="GO523">
            <v>5.7618759457135724E-2</v>
          </cell>
          <cell r="GP523">
            <v>8.179121534591402E-2</v>
          </cell>
          <cell r="GQ523">
            <v>7.3019810395644313E-2</v>
          </cell>
          <cell r="GR523">
            <v>3.0053284901509086E-2</v>
          </cell>
          <cell r="GS523">
            <v>6.562952721168501E-2</v>
          </cell>
          <cell r="GT523">
            <v>8.3311071841587231E-2</v>
          </cell>
          <cell r="GU523">
            <v>9.6206078021133359E-2</v>
          </cell>
          <cell r="GV523">
            <v>8.4385298536664724E-2</v>
          </cell>
          <cell r="GW523">
            <v>1.3287306036406566E-2</v>
          </cell>
          <cell r="GX523">
            <v>4.3796896994359999E-2</v>
          </cell>
          <cell r="GY523">
            <v>6.3629823622510392E-2</v>
          </cell>
          <cell r="GZ523">
            <v>6.5184866457542789E-2</v>
          </cell>
          <cell r="HA523">
            <v>6.6005209801803535E-2</v>
          </cell>
          <cell r="HB523">
            <v>6.6065963395697688E-2</v>
          </cell>
          <cell r="HC523">
            <v>6.563596927911132E-2</v>
          </cell>
          <cell r="HD523">
            <v>6.3183096359622187E-2</v>
          </cell>
          <cell r="HE523">
            <v>5.9166479350667413E-2</v>
          </cell>
          <cell r="HF523">
            <v>5.5245855165635668E-2</v>
          </cell>
          <cell r="HG523">
            <v>5.1714771305945241E-2</v>
          </cell>
          <cell r="HH523">
            <v>4.8423959584433261E-2</v>
          </cell>
          <cell r="HI523">
            <v>4.6734985890029293E-2</v>
          </cell>
        </row>
        <row r="526">
          <cell r="I526">
            <v>8.2082211452162994</v>
          </cell>
          <cell r="J526">
            <v>8.9420016185594822</v>
          </cell>
          <cell r="K526">
            <v>8.9386281588447645</v>
          </cell>
          <cell r="L526">
            <v>8.0296757526578997</v>
          </cell>
          <cell r="N526">
            <v>7.9865384615384603</v>
          </cell>
          <cell r="O526">
            <v>7.2639139619742661</v>
          </cell>
          <cell r="P526">
            <v>9.8819072716791556</v>
          </cell>
          <cell r="Q526">
            <v>6.8539540526196072</v>
          </cell>
          <cell r="S526">
            <v>7.8854566216730602</v>
          </cell>
          <cell r="T526">
            <v>8.7595192596219142</v>
          </cell>
          <cell r="U526">
            <v>9.3463515871892842</v>
          </cell>
          <cell r="V526">
            <v>4.9279040221289465</v>
          </cell>
          <cell r="X526">
            <v>6.7792841648590025</v>
          </cell>
          <cell r="Y526">
            <v>6.9708990033273643</v>
          </cell>
          <cell r="Z526">
            <v>7.2376576147911491</v>
          </cell>
          <cell r="AA526">
            <v>7.605823895287025</v>
          </cell>
          <cell r="AC526">
            <v>7.1724995948750392</v>
          </cell>
          <cell r="AD526">
            <v>8.3789658746221996</v>
          </cell>
          <cell r="AE526">
            <v>9.2739308413774921</v>
          </cell>
          <cell r="AF526">
            <v>9.6854839546393041</v>
          </cell>
          <cell r="AJ526">
            <v>7.2512162870187868</v>
          </cell>
          <cell r="AK526">
            <v>8.7364508478176219</v>
          </cell>
          <cell r="AL526">
            <v>9.8030048551263356</v>
          </cell>
          <cell r="AM526">
            <v>9.9230004698398933</v>
          </cell>
          <cell r="AY526">
            <v>8.0435175757748354</v>
          </cell>
          <cell r="AZ526">
            <v>9.4255698952501774</v>
          </cell>
          <cell r="BA526">
            <v>9.8972780932665678</v>
          </cell>
          <cell r="BB526">
            <v>10.702700826457757</v>
          </cell>
          <cell r="BD526">
            <v>8.2088201072079521</v>
          </cell>
          <cell r="BE526">
            <v>9.2494092928853373</v>
          </cell>
          <cell r="BF526">
            <v>9.7089853909838997</v>
          </cell>
          <cell r="BG526">
            <v>10.412149242058005</v>
          </cell>
          <cell r="BI526">
            <v>8.3520447229718169</v>
          </cell>
          <cell r="BJ526">
            <v>7.7871386226277091</v>
          </cell>
          <cell r="BK526">
            <v>9.3538360675279009</v>
          </cell>
          <cell r="BL526" t="str">
            <v>--</v>
          </cell>
          <cell r="BN526">
            <v>8.4085988667906406</v>
          </cell>
          <cell r="BO526">
            <v>8.2785778301840125</v>
          </cell>
          <cell r="BP526">
            <v>9.7133510459360561</v>
          </cell>
          <cell r="BQ526">
            <v>7.0436934817887584</v>
          </cell>
          <cell r="BS526">
            <v>8.3873161061877948</v>
          </cell>
          <cell r="BT526">
            <v>7.9396156012390877</v>
          </cell>
          <cell r="BU526">
            <v>9.2076220612744901</v>
          </cell>
          <cell r="BV526">
            <v>7.0436934817887584</v>
          </cell>
          <cell r="BX526">
            <v>5.9818126319538072</v>
          </cell>
          <cell r="BZ526">
            <v>8.2859595536124253</v>
          </cell>
          <cell r="CA526">
            <v>9.2042217996973346</v>
          </cell>
          <cell r="CB526">
            <v>8.323998565108214</v>
          </cell>
          <cell r="CC526">
            <v>8.7314563311552558</v>
          </cell>
          <cell r="CE526">
            <v>8.1068445578303958</v>
          </cell>
          <cell r="CF526">
            <v>9.1018849634782502</v>
          </cell>
          <cell r="CG526">
            <v>9.2938601352100196</v>
          </cell>
          <cell r="CH526">
            <v>10.003715752921142</v>
          </cell>
          <cell r="CJ526">
            <v>8.381763409727176</v>
          </cell>
          <cell r="CK526">
            <v>8.0037100547583684</v>
          </cell>
          <cell r="CL526">
            <v>9.2152991825597912</v>
          </cell>
          <cell r="CM526">
            <v>7.0845728055578627</v>
          </cell>
          <cell r="CO526">
            <v>6.5541537009244895</v>
          </cell>
          <cell r="CP526">
            <v>6.8999084038947194</v>
          </cell>
          <cell r="CY526">
            <v>8.6567068516457599</v>
          </cell>
          <cell r="CZ526">
            <v>9.3785591637807943</v>
          </cell>
          <cell r="DA526">
            <v>9.694379412446386</v>
          </cell>
          <cell r="DB526">
            <v>10.167769895218024</v>
          </cell>
          <cell r="DD526">
            <v>8.7883668939148567</v>
          </cell>
          <cell r="DE526">
            <v>8.0332934701839118</v>
          </cell>
          <cell r="DF526">
            <v>9.278887757617051</v>
          </cell>
          <cell r="DG526">
            <v>7.14627593003289</v>
          </cell>
          <cell r="DI526">
            <v>6.1841521600905187</v>
          </cell>
          <cell r="DJ526">
            <v>6.9365145032394553</v>
          </cell>
          <cell r="DK526">
            <v>6.8618807680866016</v>
          </cell>
          <cell r="DL526">
            <v>6.4106544006759716</v>
          </cell>
          <cell r="DN526">
            <v>7.5473557541055802</v>
          </cell>
          <cell r="DO526">
            <v>8.5510591767388089</v>
          </cell>
          <cell r="DP526">
            <v>9.2146885596109573</v>
          </cell>
          <cell r="DQ526">
            <v>9.5448519226453499</v>
          </cell>
          <cell r="DS526">
            <v>9.2330463534843101</v>
          </cell>
          <cell r="DT526">
            <v>9.8724012118626252</v>
          </cell>
          <cell r="DU526">
            <v>12.147956607274468</v>
          </cell>
          <cell r="DV526">
            <v>10.138860978714197</v>
          </cell>
          <cell r="DX526">
            <v>10.226681835920015</v>
          </cell>
          <cell r="DY526">
            <v>11.104181156706437</v>
          </cell>
          <cell r="DZ526">
            <v>12.995411815695476</v>
          </cell>
          <cell r="EA526">
            <v>11.8</v>
          </cell>
          <cell r="EC526">
            <v>11</v>
          </cell>
          <cell r="ED526">
            <v>12</v>
          </cell>
          <cell r="EE526">
            <v>12.2</v>
          </cell>
          <cell r="EF526">
            <v>10.5</v>
          </cell>
          <cell r="EH526">
            <v>11.2</v>
          </cell>
          <cell r="EI526">
            <v>12.2</v>
          </cell>
          <cell r="EJ526">
            <v>12.4</v>
          </cell>
          <cell r="EK526">
            <v>10.7</v>
          </cell>
          <cell r="EN526">
            <v>7.1163845924552049</v>
          </cell>
          <cell r="ER526">
            <v>7.8509667146864812</v>
          </cell>
          <cell r="ES526">
            <v>4.6247406764124097</v>
          </cell>
          <cell r="ET526">
            <v>6.3928519133927955</v>
          </cell>
          <cell r="EU526">
            <v>8.5745982175279885</v>
          </cell>
          <cell r="EX526">
            <v>8.4858505909140192</v>
          </cell>
          <cell r="FC526">
            <v>8.1993547433947036</v>
          </cell>
          <cell r="FD526">
            <v>4.7640657157472726</v>
          </cell>
          <cell r="FK526">
            <v>8.9615193942622415</v>
          </cell>
          <cell r="FL526">
            <v>5.2738470713027255</v>
          </cell>
          <cell r="FN526" t="str">
            <v>--</v>
          </cell>
          <cell r="FO526" t="str">
            <v>--</v>
          </cell>
          <cell r="FP526">
            <v>7.315559628090309</v>
          </cell>
          <cell r="FQ526">
            <v>8.4758329033930959</v>
          </cell>
          <cell r="FR526">
            <v>5.4052325217850647</v>
          </cell>
          <cell r="FT526">
            <v>6.689319431476294</v>
          </cell>
          <cell r="FU526">
            <v>7.7437443545773617</v>
          </cell>
          <cell r="FV526">
            <v>8.6878728961975735</v>
          </cell>
          <cell r="FW526">
            <v>5.5446133972347136</v>
          </cell>
          <cell r="FX526">
            <v>6.2269465685163583</v>
          </cell>
          <cell r="FY526">
            <v>9.4603661886815811</v>
          </cell>
          <cell r="FZ526">
            <v>11.081689163678794</v>
          </cell>
          <cell r="GA526">
            <v>11.922957842564612</v>
          </cell>
          <cell r="GB526">
            <v>10.652445804034118</v>
          </cell>
          <cell r="GC526">
            <v>10.865263333006883</v>
          </cell>
          <cell r="GL526">
            <v>11.081689163678794</v>
          </cell>
          <cell r="GM526">
            <v>11.922957842564612</v>
          </cell>
          <cell r="GN526">
            <v>10.652445804034118</v>
          </cell>
          <cell r="GO526">
            <v>10.865263333006883</v>
          </cell>
          <cell r="GP526">
            <v>11.8</v>
          </cell>
          <cell r="GQ526">
            <v>10.5</v>
          </cell>
          <cell r="GR526">
            <v>8.9</v>
          </cell>
          <cell r="GS526">
            <v>9.5</v>
          </cell>
          <cell r="GT526">
            <v>11</v>
          </cell>
          <cell r="GU526">
            <v>12</v>
          </cell>
          <cell r="GV526">
            <v>10</v>
          </cell>
          <cell r="GW526">
            <v>8</v>
          </cell>
          <cell r="GX526">
            <v>9.6</v>
          </cell>
          <cell r="GY526">
            <v>10</v>
          </cell>
          <cell r="GZ526">
            <v>10.199999999999999</v>
          </cell>
          <cell r="HA526">
            <v>10.199999999999999</v>
          </cell>
          <cell r="HB526">
            <v>10.3</v>
          </cell>
          <cell r="HC526">
            <v>10.4</v>
          </cell>
          <cell r="HD526">
            <v>10.5</v>
          </cell>
          <cell r="HE526">
            <v>10.6</v>
          </cell>
          <cell r="HF526">
            <v>10.6</v>
          </cell>
          <cell r="HG526">
            <v>10.6</v>
          </cell>
          <cell r="HH526">
            <v>10.6</v>
          </cell>
          <cell r="HI526">
            <v>10.6</v>
          </cell>
        </row>
        <row r="527">
          <cell r="I527">
            <v>43.858467459762068</v>
          </cell>
          <cell r="J527">
            <v>40.259442500301674</v>
          </cell>
          <cell r="K527">
            <v>40.274636510500812</v>
          </cell>
          <cell r="L527">
            <v>44.833690810097352</v>
          </cell>
          <cell r="N527">
            <v>45.075848784011562</v>
          </cell>
          <cell r="O527">
            <v>49.560058376869222</v>
          </cell>
          <cell r="P527">
            <v>36.430214340478017</v>
          </cell>
          <cell r="Q527">
            <v>52.524425643385605</v>
          </cell>
          <cell r="S527">
            <v>45.653665636882124</v>
          </cell>
          <cell r="T527">
            <v>41.098145837690481</v>
          </cell>
          <cell r="U527">
            <v>38.517703581089265</v>
          </cell>
          <cell r="V527">
            <v>73.053370841519211</v>
          </cell>
          <cell r="X527">
            <v>53.10295176385889</v>
          </cell>
          <cell r="Y527">
            <v>51.64326722108067</v>
          </cell>
          <cell r="Z527">
            <v>49.739849431988944</v>
          </cell>
          <cell r="AA527">
            <v>47.332150330626938</v>
          </cell>
          <cell r="AC527">
            <v>50.191707261612194</v>
          </cell>
          <cell r="AD527">
            <v>42.964729226353619</v>
          </cell>
          <cell r="AE527">
            <v>38.818490902885344</v>
          </cell>
          <cell r="AF527">
            <v>37.169025490725382</v>
          </cell>
          <cell r="AJ527">
            <v>49.64684347431151</v>
          </cell>
          <cell r="AK527">
            <v>41.206664613689036</v>
          </cell>
          <cell r="AL527">
            <v>36.723433816493866</v>
          </cell>
          <cell r="AM527">
            <v>36.279349284945518</v>
          </cell>
          <cell r="AY527">
            <v>44.756537995793593</v>
          </cell>
          <cell r="AZ527">
            <v>38.193977022165484</v>
          </cell>
          <cell r="BA527">
            <v>36.373636934069722</v>
          </cell>
          <cell r="BB527">
            <v>33.636369533011433</v>
          </cell>
          <cell r="BD527">
            <v>43.855267297658692</v>
          </cell>
          <cell r="BE527">
            <v>38.921404448704919</v>
          </cell>
          <cell r="BF527">
            <v>37.079054659440366</v>
          </cell>
          <cell r="BG527">
            <v>34.574994233260192</v>
          </cell>
          <cell r="BI527">
            <v>43.10321746839319</v>
          </cell>
          <cell r="BJ527">
            <v>46.230074671320132</v>
          </cell>
          <cell r="BK527">
            <v>38.486883605941088</v>
          </cell>
          <cell r="BN527">
            <v>42.813315952292932</v>
          </cell>
          <cell r="BO527">
            <v>43.485729962871908</v>
          </cell>
          <cell r="BP527">
            <v>37.062389519075339</v>
          </cell>
          <cell r="BQ527">
            <v>51.109549404835455</v>
          </cell>
          <cell r="BS527">
            <v>42.921954465792432</v>
          </cell>
          <cell r="BT527">
            <v>45.342245529344893</v>
          </cell>
          <cell r="BU527">
            <v>39.09804264383218</v>
          </cell>
          <cell r="BV527">
            <v>51.109549404835455</v>
          </cell>
          <cell r="BX527">
            <v>60.182426657254751</v>
          </cell>
          <cell r="BZ527">
            <v>43.446989774775211</v>
          </cell>
          <cell r="CA527">
            <v>39.112486403993216</v>
          </cell>
          <cell r="CB527">
            <v>43.248445706011474</v>
          </cell>
          <cell r="CC527">
            <v>41.230235409351067</v>
          </cell>
          <cell r="CE527">
            <v>44.406920279762396</v>
          </cell>
          <cell r="CF527">
            <v>39.552246753778725</v>
          </cell>
          <cell r="CG527">
            <v>38.735250451653677</v>
          </cell>
          <cell r="CH527">
            <v>35.986628258092793</v>
          </cell>
          <cell r="CJ527">
            <v>42.950389124824738</v>
          </cell>
          <cell r="CK527">
            <v>44.979140615666438</v>
          </cell>
          <cell r="CL527">
            <v>39.065470677426291</v>
          </cell>
          <cell r="CM527">
            <v>50.814637647252241</v>
          </cell>
          <cell r="CO527">
            <v>54.926999949546584</v>
          </cell>
          <cell r="CP527">
            <v>52.174605650822052</v>
          </cell>
          <cell r="CY527">
            <v>41.58625285221008</v>
          </cell>
          <cell r="CZ527">
            <v>38.385427197632836</v>
          </cell>
          <cell r="DA527">
            <v>37.134919594523446</v>
          </cell>
          <cell r="DB527">
            <v>35.405994009493725</v>
          </cell>
          <cell r="DD527">
            <v>40.963242015904818</v>
          </cell>
          <cell r="DE527">
            <v>44.813500382646701</v>
          </cell>
          <cell r="DF527">
            <v>38.797753502781141</v>
          </cell>
          <cell r="DG527">
            <v>50.375888578142707</v>
          </cell>
          <cell r="DI527">
            <v>58.213315371388049</v>
          </cell>
          <cell r="DJ527">
            <v>51.899264368563585</v>
          </cell>
          <cell r="DK527">
            <v>52.463750415818438</v>
          </cell>
          <cell r="DL527">
            <v>56.156513438322271</v>
          </cell>
          <cell r="DN527">
            <v>47.698824824067508</v>
          </cell>
          <cell r="DO527">
            <v>42.100047790488603</v>
          </cell>
          <cell r="DP527">
            <v>39.068059400067142</v>
          </cell>
          <cell r="DQ527">
            <v>37.716666839628267</v>
          </cell>
          <cell r="DS527">
            <v>38.990381529292918</v>
          </cell>
          <cell r="DT527">
            <v>36.465292715963152</v>
          </cell>
          <cell r="DU527">
            <v>29.634613592908618</v>
          </cell>
          <cell r="DV527">
            <v>35.506947058036786</v>
          </cell>
          <cell r="DX527">
            <v>35.202033834233738</v>
          </cell>
          <cell r="DY527">
            <v>32.420220358398588</v>
          </cell>
          <cell r="DZ527">
            <v>27.702084790048946</v>
          </cell>
          <cell r="EA527">
            <v>30.508474576271183</v>
          </cell>
          <cell r="EC527">
            <v>32.727272727272727</v>
          </cell>
          <cell r="ED527">
            <v>30</v>
          </cell>
          <cell r="EE527">
            <v>29.508196721311478</v>
          </cell>
          <cell r="EF527">
            <v>34.285714285714285</v>
          </cell>
          <cell r="EH527">
            <v>32.142857142857146</v>
          </cell>
          <cell r="EI527">
            <v>29.508196721311478</v>
          </cell>
          <cell r="EJ527">
            <v>29.032258064516128</v>
          </cell>
          <cell r="EK527">
            <v>33.644859813084118</v>
          </cell>
          <cell r="EN527">
            <v>50.587485165103672</v>
          </cell>
          <cell r="ER527">
            <v>45.854225738412921</v>
          </cell>
          <cell r="ES527">
            <v>77.842202447395593</v>
          </cell>
          <cell r="ET527">
            <v>56.312895226903805</v>
          </cell>
          <cell r="EU527">
            <v>41.984474475328376</v>
          </cell>
          <cell r="EX527">
            <v>42.423560978726123</v>
          </cell>
          <cell r="FC527">
            <v>43.905893971719109</v>
          </cell>
          <cell r="FD527">
            <v>75.565708258399169</v>
          </cell>
          <cell r="FK527">
            <v>40.171759292346771</v>
          </cell>
          <cell r="FL527">
            <v>68.261365021165503</v>
          </cell>
          <cell r="FP527">
            <v>49.210179166289734</v>
          </cell>
          <cell r="FQ527">
            <v>42.473701889035901</v>
          </cell>
          <cell r="FR527">
            <v>66.602130167216359</v>
          </cell>
          <cell r="FT527">
            <v>53.817133968223445</v>
          </cell>
          <cell r="FU527">
            <v>46.489138008178486</v>
          </cell>
          <cell r="FV527">
            <v>41.43707030492601</v>
          </cell>
          <cell r="FW527">
            <v>64.927881208010675</v>
          </cell>
          <cell r="FX527">
            <v>57.813246996557119</v>
          </cell>
          <cell r="FY527">
            <v>38.05349526857696</v>
          </cell>
          <cell r="FZ527">
            <v>32.486022183326661</v>
          </cell>
          <cell r="GA527">
            <v>30.193849945087493</v>
          </cell>
          <cell r="GB527">
            <v>33.795055766786135</v>
          </cell>
          <cell r="GC527">
            <v>33.133113203651419</v>
          </cell>
          <cell r="GL527">
            <v>32.486022183326661</v>
          </cell>
          <cell r="GM527">
            <v>30.193849945087493</v>
          </cell>
          <cell r="GN527">
            <v>33.795055766786135</v>
          </cell>
          <cell r="GO527">
            <v>33.133113203651419</v>
          </cell>
          <cell r="GP527">
            <v>30.508474576271183</v>
          </cell>
          <cell r="GQ527">
            <v>34.285714285714285</v>
          </cell>
          <cell r="GR527">
            <v>40.449438202247187</v>
          </cell>
          <cell r="GS527">
            <v>37.89473684210526</v>
          </cell>
          <cell r="GT527">
            <v>32.727272727272727</v>
          </cell>
          <cell r="GU527">
            <v>30</v>
          </cell>
          <cell r="GV527">
            <v>36</v>
          </cell>
          <cell r="GW527">
            <v>45</v>
          </cell>
          <cell r="GX527">
            <v>37.5</v>
          </cell>
          <cell r="GY527">
            <v>36</v>
          </cell>
          <cell r="GZ527">
            <v>35.294117647058826</v>
          </cell>
          <cell r="HA527">
            <v>35.294117647058826</v>
          </cell>
          <cell r="HB527">
            <v>34.95145631067961</v>
          </cell>
          <cell r="HC527">
            <v>34.615384615384613</v>
          </cell>
          <cell r="HD527">
            <v>34.285714285714285</v>
          </cell>
          <cell r="HE527">
            <v>33.962264150943398</v>
          </cell>
          <cell r="HF527">
            <v>33.962264150943398</v>
          </cell>
          <cell r="HG527">
            <v>33.962264150943398</v>
          </cell>
          <cell r="HH527">
            <v>33.962264150943398</v>
          </cell>
          <cell r="HI527">
            <v>33.962264150943398</v>
          </cell>
        </row>
        <row r="528">
          <cell r="I528">
            <v>53.972195608392155</v>
          </cell>
          <cell r="J528">
            <v>66.956420289334815</v>
          </cell>
          <cell r="K528">
            <v>68.942451887028227</v>
          </cell>
          <cell r="L528">
            <v>59.87551305759775</v>
          </cell>
          <cell r="N528">
            <v>60.359243844025393</v>
          </cell>
          <cell r="O528">
            <v>48.370191573805528</v>
          </cell>
          <cell r="P528">
            <v>54.095178127086243</v>
          </cell>
          <cell r="Q528">
            <v>69.646701299114568</v>
          </cell>
          <cell r="S528">
            <v>58.342390941501648</v>
          </cell>
          <cell r="T528">
            <v>57.606039921662187</v>
          </cell>
          <cell r="U528">
            <v>51.276915062512408</v>
          </cell>
          <cell r="V528">
            <v>45.730054581349435</v>
          </cell>
          <cell r="X528">
            <v>35.911431688792469</v>
          </cell>
          <cell r="Y528">
            <v>36.885369112570984</v>
          </cell>
          <cell r="Z528">
            <v>37.407355932203387</v>
          </cell>
          <cell r="AA528">
            <v>42.171613433295676</v>
          </cell>
          <cell r="AC528">
            <v>41.620324453106925</v>
          </cell>
          <cell r="AD528">
            <v>39.326111011282713</v>
          </cell>
          <cell r="AE528">
            <v>32.389557911582322</v>
          </cell>
          <cell r="AF528">
            <v>39.947120110084526</v>
          </cell>
          <cell r="AJ528">
            <v>42.930068416256788</v>
          </cell>
          <cell r="AK528">
            <v>39.657690028860301</v>
          </cell>
          <cell r="AL528">
            <v>33.269893779236554</v>
          </cell>
          <cell r="AM528">
            <v>41.337606923821816</v>
          </cell>
          <cell r="AY528">
            <v>46.26635962630067</v>
          </cell>
          <cell r="AZ528">
            <v>41.812920720455352</v>
          </cell>
          <cell r="BA528">
            <v>38.861825029263571</v>
          </cell>
          <cell r="BB528">
            <v>44.855632722082639</v>
          </cell>
          <cell r="BD528">
            <v>46.913519568064544</v>
          </cell>
          <cell r="BE528">
            <v>44.048962045038159</v>
          </cell>
          <cell r="BF528">
            <v>40.294606717876761</v>
          </cell>
          <cell r="BG528">
            <v>44.934402262715835</v>
          </cell>
          <cell r="BI528">
            <v>38.440999885484317</v>
          </cell>
          <cell r="BJ528">
            <v>43.107749018166786</v>
          </cell>
          <cell r="BK528">
            <v>35.296230228709405</v>
          </cell>
          <cell r="BL528" t="str">
            <v>--</v>
          </cell>
          <cell r="BN528">
            <v>49.276742528028628</v>
          </cell>
          <cell r="BO528">
            <v>44.990765972172703</v>
          </cell>
          <cell r="BP528">
            <v>37.415489919425369</v>
          </cell>
          <cell r="BQ528">
            <v>40.890451800321081</v>
          </cell>
          <cell r="BS528">
            <v>51.54926926587806</v>
          </cell>
          <cell r="BT528">
            <v>45.466133446602527</v>
          </cell>
          <cell r="BU528">
            <v>38.173960160062677</v>
          </cell>
          <cell r="BV528">
            <v>40.890451800321081</v>
          </cell>
          <cell r="BX528">
            <v>41.651654699676072</v>
          </cell>
          <cell r="BZ528">
            <v>46.20399174065146</v>
          </cell>
          <cell r="CA528">
            <v>45.369182125479867</v>
          </cell>
          <cell r="CB528">
            <v>46.427455153036625</v>
          </cell>
          <cell r="CC528">
            <v>47.546622078029152</v>
          </cell>
          <cell r="CE528">
            <v>47.219454188715133</v>
          </cell>
          <cell r="CF528">
            <v>44.735458239277648</v>
          </cell>
          <cell r="CG528">
            <v>42.612953511441823</v>
          </cell>
          <cell r="CH528">
            <v>46.696629897357234</v>
          </cell>
          <cell r="CJ528">
            <v>52.327070415234004</v>
          </cell>
          <cell r="CK528">
            <v>46.203559971023495</v>
          </cell>
          <cell r="CL528">
            <v>39.193060535473052</v>
          </cell>
          <cell r="CM528">
            <v>42.044253823655218</v>
          </cell>
          <cell r="CO528">
            <v>37.710047269993495</v>
          </cell>
          <cell r="CP528">
            <v>48.118518895533782</v>
          </cell>
          <cell r="CY528">
            <v>45.677994650464903</v>
          </cell>
          <cell r="CZ528">
            <v>44.408350230838337</v>
          </cell>
          <cell r="DA528">
            <v>42.214803581206404</v>
          </cell>
          <cell r="DB528">
            <v>46.605565568414633</v>
          </cell>
          <cell r="DD528">
            <v>52.49279895257493</v>
          </cell>
          <cell r="DE528">
            <v>47.681887494542295</v>
          </cell>
          <cell r="DF528">
            <v>39.381666277048801</v>
          </cell>
          <cell r="DG528">
            <v>42.72247538470927</v>
          </cell>
          <cell r="DI528">
            <v>44.401395007945538</v>
          </cell>
          <cell r="DJ528">
            <v>48.842789115160187</v>
          </cell>
          <cell r="DK528">
            <v>45.400267897964156</v>
          </cell>
          <cell r="DL528">
            <v>47.717395841427361</v>
          </cell>
          <cell r="DN528">
            <v>49.279501883560656</v>
          </cell>
          <cell r="DO528">
            <v>47.322502448443998</v>
          </cell>
          <cell r="DP528">
            <v>49.258739909974949</v>
          </cell>
          <cell r="DQ528">
            <v>50.963759366562506</v>
          </cell>
          <cell r="DS528">
            <v>49.807417716572317</v>
          </cell>
          <cell r="DT528">
            <v>47.614680299693497</v>
          </cell>
          <cell r="DU528">
            <v>37.848032477786539</v>
          </cell>
          <cell r="DV528">
            <v>41.684925798275245</v>
          </cell>
          <cell r="DX528">
            <v>43.344937371989424</v>
          </cell>
          <cell r="DY528">
            <v>44.892819279969807</v>
          </cell>
          <cell r="DZ528">
            <v>38.857163568336347</v>
          </cell>
          <cell r="EA528">
            <v>37</v>
          </cell>
          <cell r="EC528">
            <v>43</v>
          </cell>
          <cell r="ED528">
            <v>42</v>
          </cell>
          <cell r="EE528">
            <v>41</v>
          </cell>
          <cell r="EF528">
            <v>41</v>
          </cell>
          <cell r="EH528">
            <v>44</v>
          </cell>
          <cell r="EI528">
            <v>43</v>
          </cell>
          <cell r="EJ528">
            <v>43</v>
          </cell>
          <cell r="EK528">
            <v>43</v>
          </cell>
          <cell r="EN528">
            <v>67.105895040145583</v>
          </cell>
          <cell r="ER528">
            <v>61.216582611507839</v>
          </cell>
          <cell r="ES528">
            <v>49.222149132743866</v>
          </cell>
          <cell r="ET528">
            <v>50.171911455942244</v>
          </cell>
          <cell r="EU528">
            <v>44.967462867062721</v>
          </cell>
          <cell r="EX528">
            <v>48.132686429405481</v>
          </cell>
          <cell r="FC528">
            <v>48.742007014124965</v>
          </cell>
          <cell r="FD528">
            <v>53.073758245799517</v>
          </cell>
          <cell r="FK528">
            <v>52.041014132999287</v>
          </cell>
          <cell r="FL528">
            <v>54.050411735036548</v>
          </cell>
          <cell r="FN528" t="str">
            <v>--</v>
          </cell>
          <cell r="FO528" t="str">
            <v>--</v>
          </cell>
          <cell r="FP528">
            <v>56.622829437017671</v>
          </cell>
          <cell r="FQ528">
            <v>54.792846089488869</v>
          </cell>
          <cell r="FR528">
            <v>54.672732027453847</v>
          </cell>
          <cell r="FT528">
            <v>53.266992896100462</v>
          </cell>
          <cell r="FU528">
            <v>54.47593142704639</v>
          </cell>
          <cell r="FV528">
            <v>54.350101422136184</v>
          </cell>
          <cell r="FW528">
            <v>54.728403956706039</v>
          </cell>
          <cell r="FX528">
            <v>49.088810547644499</v>
          </cell>
          <cell r="FY528">
            <v>51.276214807412977</v>
          </cell>
          <cell r="FZ528">
            <v>38.131582151597847</v>
          </cell>
          <cell r="GA528">
            <v>36.702067230016013</v>
          </cell>
          <cell r="GB528">
            <v>40.470156996976677</v>
          </cell>
          <cell r="GC528">
            <v>42.405749997850535</v>
          </cell>
          <cell r="GL528">
            <v>38.131582151597847</v>
          </cell>
          <cell r="GM528">
            <v>36.702067230016013</v>
          </cell>
          <cell r="GN528">
            <v>40.470156996976677</v>
          </cell>
          <cell r="GO528">
            <v>42.405749997850535</v>
          </cell>
          <cell r="GP528">
            <v>40</v>
          </cell>
          <cell r="GQ528">
            <v>37</v>
          </cell>
          <cell r="GR528">
            <v>45</v>
          </cell>
          <cell r="GS528">
            <v>40</v>
          </cell>
          <cell r="GT528">
            <v>39</v>
          </cell>
          <cell r="GU528">
            <v>35</v>
          </cell>
          <cell r="GV528">
            <v>39</v>
          </cell>
          <cell r="GW528">
            <v>50</v>
          </cell>
          <cell r="GX528">
            <v>45</v>
          </cell>
          <cell r="GY528">
            <v>43</v>
          </cell>
          <cell r="GZ528">
            <v>41</v>
          </cell>
          <cell r="HA528">
            <v>40</v>
          </cell>
          <cell r="HB528">
            <v>40</v>
          </cell>
          <cell r="HC528">
            <v>40</v>
          </cell>
          <cell r="HD528">
            <v>40</v>
          </cell>
          <cell r="HE528">
            <v>40</v>
          </cell>
          <cell r="HF528">
            <v>40</v>
          </cell>
          <cell r="HG528">
            <v>40</v>
          </cell>
          <cell r="HH528">
            <v>40</v>
          </cell>
          <cell r="HI528">
            <v>40</v>
          </cell>
        </row>
        <row r="529">
          <cell r="I529">
            <v>55.66545661301609</v>
          </cell>
          <cell r="J529">
            <v>47.707855677567267</v>
          </cell>
          <cell r="K529">
            <v>57.390017855624514</v>
          </cell>
          <cell r="L529">
            <v>57.152450090744097</v>
          </cell>
          <cell r="N529">
            <v>68.798839139746804</v>
          </cell>
          <cell r="O529">
            <v>44.942892193151295</v>
          </cell>
          <cell r="P529">
            <v>45.319510650355014</v>
          </cell>
          <cell r="Q529">
            <v>68.92173174271656</v>
          </cell>
          <cell r="S529">
            <v>49.712675261406844</v>
          </cell>
          <cell r="T529">
            <v>48.182041093025433</v>
          </cell>
          <cell r="U529">
            <v>50.024627558641853</v>
          </cell>
          <cell r="V529">
            <v>57.518911827479748</v>
          </cell>
          <cell r="X529">
            <v>43.415914962097148</v>
          </cell>
          <cell r="Y529">
            <v>45.35240270563439</v>
          </cell>
          <cell r="Z529">
            <v>40.788603714612009</v>
          </cell>
          <cell r="AA529">
            <v>53.360877207667194</v>
          </cell>
          <cell r="AC529">
            <v>55.300898190500334</v>
          </cell>
          <cell r="AD529">
            <v>44.468451619253869</v>
          </cell>
          <cell r="AE529">
            <v>42.199585182073569</v>
          </cell>
          <cell r="AF529">
            <v>48.551154988238018</v>
          </cell>
          <cell r="AJ529">
            <v>55.294898085577834</v>
          </cell>
          <cell r="AK529">
            <v>43.664356680937182</v>
          </cell>
          <cell r="AL529">
            <v>41.090865513347929</v>
          </cell>
          <cell r="AM529">
            <v>47.982550230460063</v>
          </cell>
          <cell r="AY529">
            <v>51.71129782668735</v>
          </cell>
          <cell r="AZ529">
            <v>44.162846698386907</v>
          </cell>
          <cell r="BA529">
            <v>44.18330516283303</v>
          </cell>
          <cell r="BB529">
            <v>48.486963808970309</v>
          </cell>
          <cell r="BD529">
            <v>54.7265409926326</v>
          </cell>
          <cell r="BE529">
            <v>48.682090647251428</v>
          </cell>
          <cell r="BF529">
            <v>48.121389969764181</v>
          </cell>
          <cell r="BG529">
            <v>52.039911754094383</v>
          </cell>
          <cell r="BI529">
            <v>49.664652707807441</v>
          </cell>
          <cell r="BJ529">
            <v>56.60123142177062</v>
          </cell>
          <cell r="BK529">
            <v>49.977380034535273</v>
          </cell>
          <cell r="BL529" t="str">
            <v>--</v>
          </cell>
          <cell r="BN529">
            <v>56.091717415413342</v>
          </cell>
          <cell r="BO529">
            <v>57.787972178780777</v>
          </cell>
          <cell r="BP529">
            <v>51.21450032759958</v>
          </cell>
          <cell r="BQ529">
            <v>53.188969891675924</v>
          </cell>
          <cell r="BS529">
            <v>61.513199995818923</v>
          </cell>
          <cell r="BT529">
            <v>61.016268777549492</v>
          </cell>
          <cell r="BU529">
            <v>53.362772863404139</v>
          </cell>
          <cell r="BV529">
            <v>53.188969891675924</v>
          </cell>
          <cell r="BX529">
            <v>53.953428047779624</v>
          </cell>
          <cell r="BZ529">
            <v>44.600363327968537</v>
          </cell>
          <cell r="CA529">
            <v>48.398495796831398</v>
          </cell>
          <cell r="CB529">
            <v>47.266626061574179</v>
          </cell>
          <cell r="CC529">
            <v>51.360400189233673</v>
          </cell>
          <cell r="CE529">
            <v>55.403253856520145</v>
          </cell>
          <cell r="CF529">
            <v>48.728464342768198</v>
          </cell>
          <cell r="CG529">
            <v>49.251035971308816</v>
          </cell>
          <cell r="CH529">
            <v>52.233006076606941</v>
          </cell>
          <cell r="CJ529">
            <v>60.54631906203646</v>
          </cell>
          <cell r="CK529">
            <v>59.992951296244669</v>
          </cell>
          <cell r="CL529">
            <v>53.928156006587336</v>
          </cell>
          <cell r="CM529">
            <v>53.76935699064795</v>
          </cell>
          <cell r="CO529">
            <v>49.241948260672523</v>
          </cell>
          <cell r="CP529">
            <v>49.313280865843282</v>
          </cell>
          <cell r="CY529">
            <v>53.88890010702098</v>
          </cell>
          <cell r="CZ529">
            <v>50.052250030822343</v>
          </cell>
          <cell r="DA529">
            <v>49.821169538111739</v>
          </cell>
          <cell r="DB529">
            <v>53.816203560439305</v>
          </cell>
          <cell r="DD529">
            <v>60.471643417082177</v>
          </cell>
          <cell r="DE529">
            <v>63.455137113261252</v>
          </cell>
          <cell r="DF529">
            <v>53.749181567196601</v>
          </cell>
          <cell r="DG529">
            <v>54.1035299166276</v>
          </cell>
          <cell r="DI529">
            <v>56.306905579968983</v>
          </cell>
          <cell r="DJ529">
            <v>50.3871696037967</v>
          </cell>
          <cell r="DK529">
            <v>45.776256277762002</v>
          </cell>
          <cell r="DL529">
            <v>46.52230688871137</v>
          </cell>
          <cell r="DN529">
            <v>46.180725113875461</v>
          </cell>
          <cell r="DO529">
            <v>51.218621229582411</v>
          </cell>
          <cell r="DP529">
            <v>50.077202234894528</v>
          </cell>
          <cell r="DQ529">
            <v>57.283813128823539</v>
          </cell>
          <cell r="DS529">
            <v>61.573831137898537</v>
          </cell>
          <cell r="DT529">
            <v>57.592390543777739</v>
          </cell>
          <cell r="DU529">
            <v>49.00526279771745</v>
          </cell>
          <cell r="DV529">
            <v>49.826066941832579</v>
          </cell>
          <cell r="DX529">
            <v>57.003453180475084</v>
          </cell>
          <cell r="DY529">
            <v>58.428238975756237</v>
          </cell>
          <cell r="DZ529">
            <v>55.094671180951686</v>
          </cell>
          <cell r="EA529">
            <v>49</v>
          </cell>
          <cell r="EC529">
            <v>53</v>
          </cell>
          <cell r="ED529">
            <v>53</v>
          </cell>
          <cell r="EE529">
            <v>53</v>
          </cell>
          <cell r="EF529">
            <v>51</v>
          </cell>
          <cell r="EH529">
            <v>51</v>
          </cell>
          <cell r="EI529">
            <v>50</v>
          </cell>
          <cell r="EJ529">
            <v>49</v>
          </cell>
          <cell r="EK529">
            <v>48</v>
          </cell>
          <cell r="EN529">
            <v>64.487189630698339</v>
          </cell>
          <cell r="ER529">
            <v>60.169199508626086</v>
          </cell>
          <cell r="ES529">
            <v>61.289420699583751</v>
          </cell>
          <cell r="ET529">
            <v>63.485505442305588</v>
          </cell>
          <cell r="EU529">
            <v>54.841220624953486</v>
          </cell>
          <cell r="EX529">
            <v>56.108797035712001</v>
          </cell>
          <cell r="FC529">
            <v>61.277125413507179</v>
          </cell>
          <cell r="FD529">
            <v>73.013020441858984</v>
          </cell>
          <cell r="FK529">
            <v>60.463778951824388</v>
          </cell>
          <cell r="FL529">
            <v>71.038616680349136</v>
          </cell>
          <cell r="FN529" t="str">
            <v>--</v>
          </cell>
          <cell r="FO529" t="str">
            <v>--</v>
          </cell>
          <cell r="FP529">
            <v>61.300995986826216</v>
          </cell>
          <cell r="FQ529">
            <v>61.64870776319794</v>
          </cell>
          <cell r="FR529">
            <v>70.474845027106227</v>
          </cell>
          <cell r="FT529">
            <v>51.726199569312797</v>
          </cell>
          <cell r="FU529">
            <v>59.951463291387199</v>
          </cell>
          <cell r="FV529">
            <v>62.983284973730349</v>
          </cell>
          <cell r="FW529">
            <v>69.732319617782551</v>
          </cell>
          <cell r="FX529">
            <v>47.894811382133696</v>
          </cell>
          <cell r="FY529">
            <v>57.795385820610271</v>
          </cell>
          <cell r="FZ529">
            <v>45.586873840056626</v>
          </cell>
          <cell r="GA529">
            <v>48.494677884026629</v>
          </cell>
          <cell r="GB529">
            <v>50.270145453094379</v>
          </cell>
          <cell r="GC529">
            <v>47.269908170542692</v>
          </cell>
          <cell r="GL529">
            <v>45.586873840056626</v>
          </cell>
          <cell r="GM529">
            <v>48.494677884026629</v>
          </cell>
          <cell r="GN529">
            <v>50.270145453094379</v>
          </cell>
          <cell r="GO529">
            <v>47.269908170542692</v>
          </cell>
          <cell r="GP529">
            <v>45</v>
          </cell>
          <cell r="GQ529">
            <v>42</v>
          </cell>
          <cell r="GR529">
            <v>44</v>
          </cell>
          <cell r="GS529">
            <v>45</v>
          </cell>
          <cell r="GT529">
            <v>44</v>
          </cell>
          <cell r="GU529">
            <v>40</v>
          </cell>
          <cell r="GV529">
            <v>44</v>
          </cell>
          <cell r="GW529">
            <v>49</v>
          </cell>
          <cell r="GX529">
            <v>52</v>
          </cell>
          <cell r="GY529">
            <v>50</v>
          </cell>
          <cell r="GZ529">
            <v>48</v>
          </cell>
          <cell r="HA529">
            <v>47</v>
          </cell>
          <cell r="HB529">
            <v>47</v>
          </cell>
          <cell r="HC529">
            <v>47</v>
          </cell>
          <cell r="HD529">
            <v>48</v>
          </cell>
          <cell r="HE529">
            <v>48</v>
          </cell>
          <cell r="HF529">
            <v>48</v>
          </cell>
          <cell r="HG529">
            <v>48</v>
          </cell>
          <cell r="HH529">
            <v>48</v>
          </cell>
          <cell r="HI529">
            <v>48</v>
          </cell>
        </row>
        <row r="530">
          <cell r="I530">
            <v>42.165206455138133</v>
          </cell>
          <cell r="J530">
            <v>59.508007112069222</v>
          </cell>
          <cell r="K530">
            <v>51.827070541904526</v>
          </cell>
          <cell r="L530">
            <v>47.556753776950998</v>
          </cell>
          <cell r="N530">
            <v>36.636253488290151</v>
          </cell>
          <cell r="O530">
            <v>52.987357757523455</v>
          </cell>
          <cell r="P530">
            <v>45.205881817209246</v>
          </cell>
          <cell r="Q530">
            <v>53.249395199783606</v>
          </cell>
          <cell r="S530">
            <v>54.283381316976929</v>
          </cell>
          <cell r="T530">
            <v>50.522144666327236</v>
          </cell>
          <cell r="U530">
            <v>39.769991084959813</v>
          </cell>
          <cell r="V530">
            <v>61.264513595388898</v>
          </cell>
          <cell r="X530">
            <v>45.598468490554211</v>
          </cell>
          <cell r="Y530">
            <v>43.176233628017272</v>
          </cell>
          <cell r="Z530">
            <v>46.358601649580322</v>
          </cell>
          <cell r="AA530">
            <v>36.142886556255426</v>
          </cell>
          <cell r="AC530">
            <v>36.511133524218792</v>
          </cell>
          <cell r="AD530">
            <v>37.822388618382462</v>
          </cell>
          <cell r="AE530">
            <v>29.008463632394104</v>
          </cell>
          <cell r="AF530">
            <v>28.564990612571897</v>
          </cell>
          <cell r="AJ530">
            <v>37.282013804990463</v>
          </cell>
          <cell r="AK530">
            <v>37.199997961612148</v>
          </cell>
          <cell r="AL530">
            <v>28.902462082382492</v>
          </cell>
          <cell r="AM530">
            <v>29.634405978307271</v>
          </cell>
          <cell r="AY530">
            <v>39.311599795406913</v>
          </cell>
          <cell r="AZ530">
            <v>35.844051044233929</v>
          </cell>
          <cell r="BA530">
            <v>31.052156800500264</v>
          </cell>
          <cell r="BB530">
            <v>30.005038446123756</v>
          </cell>
          <cell r="BD530">
            <v>36.042245873090629</v>
          </cell>
          <cell r="BE530">
            <v>34.288275846491658</v>
          </cell>
          <cell r="BF530">
            <v>29.252271407552939</v>
          </cell>
          <cell r="BG530">
            <v>27.469484741881651</v>
          </cell>
          <cell r="BI530">
            <v>31.879564646070072</v>
          </cell>
          <cell r="BJ530">
            <v>32.736592267716304</v>
          </cell>
          <cell r="BK530">
            <v>23.80573380011522</v>
          </cell>
          <cell r="BN530">
            <v>35.998341064908217</v>
          </cell>
          <cell r="BO530">
            <v>30.688523756263834</v>
          </cell>
          <cell r="BP530">
            <v>23.263379110901127</v>
          </cell>
          <cell r="BQ530">
            <v>38.811031313480612</v>
          </cell>
          <cell r="BS530">
            <v>32.958023735851569</v>
          </cell>
          <cell r="BT530">
            <v>29.792110198397928</v>
          </cell>
          <cell r="BU530">
            <v>23.909229940490711</v>
          </cell>
          <cell r="BV530">
            <v>38.811031313480612</v>
          </cell>
          <cell r="BX530">
            <v>47.880653309151199</v>
          </cell>
          <cell r="BZ530">
            <v>45.050618187458142</v>
          </cell>
          <cell r="CA530">
            <v>36.083172732641685</v>
          </cell>
          <cell r="CB530">
            <v>42.40927479747392</v>
          </cell>
          <cell r="CC530">
            <v>37.416457298146554</v>
          </cell>
          <cell r="CE530">
            <v>36.223120611957391</v>
          </cell>
          <cell r="CF530">
            <v>35.559240650288167</v>
          </cell>
          <cell r="CG530">
            <v>32.097167991786684</v>
          </cell>
          <cell r="CH530">
            <v>30.450252078843093</v>
          </cell>
          <cell r="CJ530">
            <v>34.731140478022283</v>
          </cell>
          <cell r="CK530">
            <v>31.189749290445263</v>
          </cell>
          <cell r="CL530">
            <v>24.330375206312006</v>
          </cell>
          <cell r="CM530">
            <v>39.089534480259502</v>
          </cell>
          <cell r="CO530">
            <v>43.395098958867557</v>
          </cell>
          <cell r="CP530">
            <v>50.979843680512559</v>
          </cell>
          <cell r="CY530">
            <v>33.375347395653996</v>
          </cell>
          <cell r="CZ530">
            <v>32.741527397648831</v>
          </cell>
          <cell r="DA530">
            <v>29.52855363761811</v>
          </cell>
          <cell r="DB530">
            <v>28.195356017469052</v>
          </cell>
          <cell r="DD530">
            <v>32.984397551397578</v>
          </cell>
          <cell r="DE530">
            <v>29.040250763927737</v>
          </cell>
          <cell r="DF530">
            <v>24.430238212633341</v>
          </cell>
          <cell r="DG530">
            <v>38.994834046224376</v>
          </cell>
          <cell r="DI530">
            <v>46.307804799364604</v>
          </cell>
          <cell r="DJ530">
            <v>50.354883879927065</v>
          </cell>
          <cell r="DK530">
            <v>52.087762036020592</v>
          </cell>
          <cell r="DL530">
            <v>57.351602391038256</v>
          </cell>
          <cell r="DN530">
            <v>50.797601593752695</v>
          </cell>
          <cell r="DO530">
            <v>38.20392900935019</v>
          </cell>
          <cell r="DP530">
            <v>38.249597075147562</v>
          </cell>
          <cell r="DQ530">
            <v>31.396613077367235</v>
          </cell>
          <cell r="DS530">
            <v>27.223968107966698</v>
          </cell>
          <cell r="DT530">
            <v>26.487582471878909</v>
          </cell>
          <cell r="DU530">
            <v>18.477383272977704</v>
          </cell>
          <cell r="DV530">
            <v>27.365805914479452</v>
          </cell>
          <cell r="DX530">
            <v>21.543518025748078</v>
          </cell>
          <cell r="DY530">
            <v>18.884800662612157</v>
          </cell>
          <cell r="DZ530">
            <v>11.464577177433604</v>
          </cell>
          <cell r="EA530">
            <v>18.508474576271183</v>
          </cell>
          <cell r="EC530">
            <v>22.72727272727272</v>
          </cell>
          <cell r="ED530">
            <v>19</v>
          </cell>
          <cell r="EE530">
            <v>17.508196721311478</v>
          </cell>
          <cell r="EF530">
            <v>24.285714285714278</v>
          </cell>
          <cell r="EH530">
            <v>25.142857142857139</v>
          </cell>
          <cell r="EI530">
            <v>22.508196721311478</v>
          </cell>
          <cell r="EJ530">
            <v>23.032258064516128</v>
          </cell>
          <cell r="EK530">
            <v>28.644859813084111</v>
          </cell>
          <cell r="EN530">
            <v>53.206190574550916</v>
          </cell>
          <cell r="ER530">
            <v>46.901608841294667</v>
          </cell>
          <cell r="ES530">
            <v>65.774930880555701</v>
          </cell>
          <cell r="ET530">
            <v>42.999301240540468</v>
          </cell>
          <cell r="EU530">
            <v>32.110716717437604</v>
          </cell>
          <cell r="EX530">
            <v>34.44745037241961</v>
          </cell>
          <cell r="FC530">
            <v>31.370775572336896</v>
          </cell>
          <cell r="FD530">
            <v>55.626446062339696</v>
          </cell>
          <cell r="FK530">
            <v>31.74899447352167</v>
          </cell>
          <cell r="FL530">
            <v>51.273160075852914</v>
          </cell>
          <cell r="FP530">
            <v>44.53201261648119</v>
          </cell>
          <cell r="FQ530">
            <v>35.617840215326829</v>
          </cell>
          <cell r="FR530">
            <v>50.800017167563979</v>
          </cell>
          <cell r="FT530">
            <v>55.357927295011109</v>
          </cell>
          <cell r="FU530">
            <v>41.013606143837677</v>
          </cell>
          <cell r="FV530">
            <v>32.803886753331852</v>
          </cell>
          <cell r="FW530">
            <v>49.923965546934156</v>
          </cell>
          <cell r="FX530">
            <v>59.007246162067929</v>
          </cell>
          <cell r="FY530">
            <v>31.534324255379666</v>
          </cell>
          <cell r="FZ530">
            <v>25.030730494867882</v>
          </cell>
          <cell r="GA530">
            <v>18.401239291076877</v>
          </cell>
          <cell r="GB530">
            <v>23.995067310668425</v>
          </cell>
          <cell r="GC530">
            <v>28.268955030959262</v>
          </cell>
          <cell r="GL530">
            <v>25.030730494867882</v>
          </cell>
          <cell r="GM530">
            <v>18.401239291076877</v>
          </cell>
          <cell r="GN530">
            <v>23.995067310668425</v>
          </cell>
          <cell r="GO530">
            <v>28.268955030959262</v>
          </cell>
          <cell r="GP530">
            <v>25.508474576271183</v>
          </cell>
          <cell r="GQ530">
            <v>29.285714285714278</v>
          </cell>
          <cell r="GR530">
            <v>41.449438202247194</v>
          </cell>
          <cell r="GS530">
            <v>32.89473684210526</v>
          </cell>
          <cell r="GT530">
            <v>27.72727272727272</v>
          </cell>
          <cell r="GU530">
            <v>25</v>
          </cell>
          <cell r="GV530">
            <v>31</v>
          </cell>
          <cell r="GW530">
            <v>46</v>
          </cell>
          <cell r="GX530">
            <v>30.5</v>
          </cell>
          <cell r="GY530">
            <v>29</v>
          </cell>
          <cell r="GZ530">
            <v>28.294117647058826</v>
          </cell>
          <cell r="HA530">
            <v>28.294117647058826</v>
          </cell>
          <cell r="HB530">
            <v>27.951456310679617</v>
          </cell>
          <cell r="HC530">
            <v>27.615384615384613</v>
          </cell>
          <cell r="HD530">
            <v>26.285714285714278</v>
          </cell>
          <cell r="HE530">
            <v>25.962264150943398</v>
          </cell>
          <cell r="HF530">
            <v>25.962264150943398</v>
          </cell>
          <cell r="HG530">
            <v>25.962264150943398</v>
          </cell>
          <cell r="HH530">
            <v>25.962264150943398</v>
          </cell>
          <cell r="HI530">
            <v>25.962264150943398</v>
          </cell>
        </row>
        <row r="531">
          <cell r="CY531">
            <v>-1.9501797035064605E-2</v>
          </cell>
          <cell r="CZ531">
            <v>-0.22644124558515211</v>
          </cell>
          <cell r="DA531">
            <v>0.15484451882236305</v>
          </cell>
          <cell r="DB531">
            <v>0.18042276371540611</v>
          </cell>
          <cell r="DD531">
            <v>-0.16699025239686938</v>
          </cell>
          <cell r="DE531">
            <v>-5.1900619924071245E-2</v>
          </cell>
          <cell r="DF531">
            <v>-0.49007383378106673</v>
          </cell>
          <cell r="DG531">
            <v>-2.642954176468638</v>
          </cell>
          <cell r="DI531">
            <v>-2.8897067720727634</v>
          </cell>
          <cell r="DJ531">
            <v>0.54890451746475599</v>
          </cell>
          <cell r="DK531">
            <v>-0.44014965170838616</v>
          </cell>
          <cell r="DL531">
            <v>-0.21282382622607821</v>
          </cell>
          <cell r="DN531">
            <v>-0.92910634439198303</v>
          </cell>
          <cell r="DO531">
            <v>-19.0151064064396</v>
          </cell>
          <cell r="DP531">
            <v>0.18856156543986757</v>
          </cell>
          <cell r="DQ531">
            <v>-0.47791807854325408</v>
          </cell>
          <cell r="DS531">
            <v>-0.61037077953462604</v>
          </cell>
          <cell r="DT531">
            <v>-2.0480494164703877E-2</v>
          </cell>
          <cell r="DU531">
            <v>-0.48426031220923837</v>
          </cell>
          <cell r="DV531">
            <v>4.6425958406413974</v>
          </cell>
          <cell r="DX531">
            <v>0.7482015666352877</v>
          </cell>
          <cell r="DY531">
            <v>0.50701062770518734</v>
          </cell>
          <cell r="DZ531">
            <v>0.18528608643079747</v>
          </cell>
          <cell r="EA531">
            <v>-0.14529999999999998</v>
          </cell>
          <cell r="FV531" t="str">
            <v>na</v>
          </cell>
          <cell r="FW531" t="str">
            <v>na</v>
          </cell>
          <cell r="FX531">
            <v>-2.3765778174735552</v>
          </cell>
          <cell r="FY531">
            <v>-1.7925096150839543</v>
          </cell>
          <cell r="FZ531">
            <v>0.11064203351713076</v>
          </cell>
          <cell r="GA531">
            <v>2.3829869784543267</v>
          </cell>
          <cell r="GL531">
            <v>0.11064203351713076</v>
          </cell>
          <cell r="GM531">
            <v>2.3829869784543267</v>
          </cell>
          <cell r="GN531">
            <v>0.15120618959283982</v>
          </cell>
          <cell r="GO531">
            <v>0.16875577920839202</v>
          </cell>
          <cell r="GP531">
            <v>0.21</v>
          </cell>
          <cell r="GQ531">
            <v>0.17</v>
          </cell>
          <cell r="GR531">
            <v>0</v>
          </cell>
          <cell r="GS531">
            <v>0.08</v>
          </cell>
          <cell r="GT531">
            <v>0.17</v>
          </cell>
          <cell r="GU531">
            <v>0.26</v>
          </cell>
          <cell r="GV531">
            <v>0.14000000000000001</v>
          </cell>
          <cell r="GW531">
            <v>-0.15</v>
          </cell>
          <cell r="GX531">
            <v>0.05</v>
          </cell>
          <cell r="GY531">
            <v>0.12</v>
          </cell>
          <cell r="GZ531">
            <v>0.11</v>
          </cell>
        </row>
        <row r="532">
          <cell r="DL532">
            <v>1338.8619999999996</v>
          </cell>
          <cell r="DN532">
            <v>-49.704999999999998</v>
          </cell>
          <cell r="DO532">
            <v>52.272999999999001</v>
          </cell>
          <cell r="DP532">
            <v>121.12099999999968</v>
          </cell>
          <cell r="DQ532">
            <v>508.3719999999995</v>
          </cell>
          <cell r="DS532">
            <v>26.476999000000518</v>
          </cell>
          <cell r="DT532">
            <v>2.8610000000000255</v>
          </cell>
          <cell r="DU532">
            <v>6.8530000000000868</v>
          </cell>
          <cell r="DV532">
            <v>13.637999999999916</v>
          </cell>
          <cell r="DX532">
            <v>10.990999999999588</v>
          </cell>
          <cell r="DY532">
            <v>20.629999999999839</v>
          </cell>
          <cell r="DZ532">
            <v>19.523</v>
          </cell>
          <cell r="EA532">
            <v>0</v>
          </cell>
          <cell r="FX532">
            <v>2270.2959999999998</v>
          </cell>
          <cell r="FY532">
            <v>632.07100000000003</v>
          </cell>
          <cell r="FZ532">
            <v>49.828999999999994</v>
          </cell>
          <cell r="GA532">
            <v>51.143999999999423</v>
          </cell>
          <cell r="GL532">
            <v>632.07100000000003</v>
          </cell>
          <cell r="GM532">
            <v>51.143999999999423</v>
          </cell>
          <cell r="GN532">
            <v>0</v>
          </cell>
          <cell r="GO532">
            <v>0</v>
          </cell>
          <cell r="GP532">
            <v>0</v>
          </cell>
          <cell r="GQ532">
            <v>0</v>
          </cell>
          <cell r="GR532">
            <v>0</v>
          </cell>
          <cell r="GS532">
            <v>0</v>
          </cell>
          <cell r="GT532">
            <v>0</v>
          </cell>
          <cell r="GU532">
            <v>0</v>
          </cell>
          <cell r="GV532">
            <v>0</v>
          </cell>
          <cell r="GW532">
            <v>0</v>
          </cell>
          <cell r="GX532">
            <v>0</v>
          </cell>
          <cell r="GY532">
            <v>0</v>
          </cell>
          <cell r="GZ532">
            <v>0</v>
          </cell>
        </row>
        <row r="534">
          <cell r="GL534">
            <v>1094.4279999999999</v>
          </cell>
          <cell r="GM534">
            <v>1473.4609999999998</v>
          </cell>
          <cell r="GN534">
            <v>1473.4609999999998</v>
          </cell>
          <cell r="GO534">
            <v>1473.4609999999998</v>
          </cell>
          <cell r="GP534">
            <v>1473.4609999999998</v>
          </cell>
          <cell r="GQ534">
            <v>1473.4609999999998</v>
          </cell>
          <cell r="GR534">
            <v>1473.4609999999998</v>
          </cell>
          <cell r="GS534">
            <v>1473.4609999999998</v>
          </cell>
          <cell r="GT534">
            <v>1473.4609999999998</v>
          </cell>
          <cell r="GU534">
            <v>1473.4609999999998</v>
          </cell>
          <cell r="GV534">
            <v>1473.4609999999998</v>
          </cell>
          <cell r="GW534">
            <v>1473.4609999999998</v>
          </cell>
          <cell r="GX534">
            <v>1473.4609999999998</v>
          </cell>
          <cell r="GY534">
            <v>1473.4609999999998</v>
          </cell>
          <cell r="GZ534">
            <v>1473.4609999999998</v>
          </cell>
        </row>
        <row r="535">
          <cell r="DZ535" t="str">
            <v>See Debt sheet</v>
          </cell>
          <cell r="GM535">
            <v>4.0726144974539844E-2</v>
          </cell>
          <cell r="GN535">
            <v>4.0726144974539844E-2</v>
          </cell>
          <cell r="GO535">
            <v>4.0726144974539844E-2</v>
          </cell>
          <cell r="GP535">
            <v>4.0726144974539844E-2</v>
          </cell>
          <cell r="GQ535">
            <v>0.05</v>
          </cell>
          <cell r="GR535">
            <v>0.05</v>
          </cell>
          <cell r="GS535">
            <v>6.5000000000000002E-2</v>
          </cell>
          <cell r="GT535">
            <v>6.5000000000000002E-2</v>
          </cell>
          <cell r="GU535">
            <v>6.5000000000000002E-2</v>
          </cell>
          <cell r="GV535">
            <v>6.5000000000000002E-2</v>
          </cell>
          <cell r="GW535">
            <v>6.5000000000000002E-2</v>
          </cell>
          <cell r="GX535">
            <v>6.5000000000000002E-2</v>
          </cell>
          <cell r="GY535">
            <v>6.5000000000000002E-2</v>
          </cell>
          <cell r="GZ535">
            <v>6.5000000000000002E-2</v>
          </cell>
        </row>
        <row r="536">
          <cell r="DI536">
            <v>0.01</v>
          </cell>
          <cell r="DJ536">
            <v>0.01</v>
          </cell>
          <cell r="DK536">
            <v>0.01</v>
          </cell>
          <cell r="DL536">
            <v>0.01</v>
          </cell>
          <cell r="DN536">
            <v>0.01</v>
          </cell>
          <cell r="DO536">
            <v>0.01</v>
          </cell>
          <cell r="DP536">
            <v>0.01</v>
          </cell>
          <cell r="DQ536">
            <v>0.01</v>
          </cell>
          <cell r="DS536">
            <v>0.01</v>
          </cell>
          <cell r="DT536">
            <v>0.01</v>
          </cell>
          <cell r="DU536">
            <v>0.01</v>
          </cell>
          <cell r="DV536">
            <v>0.01</v>
          </cell>
          <cell r="DX536">
            <v>0.01</v>
          </cell>
          <cell r="DY536">
            <v>1.03E-2</v>
          </cell>
          <cell r="DZ536">
            <v>1.0999999999999999E-2</v>
          </cell>
          <cell r="EA536">
            <v>1.4999999999999999E-2</v>
          </cell>
          <cell r="GA536">
            <v>1.21E-2</v>
          </cell>
          <cell r="GL536">
            <v>0.03</v>
          </cell>
          <cell r="GM536">
            <v>1.21E-2</v>
          </cell>
          <cell r="GN536">
            <v>1.7000000000000001E-2</v>
          </cell>
          <cell r="GO536">
            <v>1.7000000000000001E-2</v>
          </cell>
          <cell r="GP536">
            <v>1.7000000000000001E-2</v>
          </cell>
          <cell r="GQ536">
            <v>1.7000000000000001E-2</v>
          </cell>
          <cell r="GR536">
            <v>1.7000000000000001E-2</v>
          </cell>
          <cell r="GS536">
            <v>1.7000000000000001E-2</v>
          </cell>
          <cell r="GT536">
            <v>1.7000000000000001E-2</v>
          </cell>
          <cell r="GU536">
            <v>1.7000000000000001E-2</v>
          </cell>
          <cell r="GV536">
            <v>1.7000000000000001E-2</v>
          </cell>
          <cell r="GW536">
            <v>1.7000000000000001E-2</v>
          </cell>
          <cell r="GX536">
            <v>1.7000000000000001E-2</v>
          </cell>
          <cell r="GY536">
            <v>1.7000000000000001E-2</v>
          </cell>
          <cell r="GZ536">
            <v>1.7000000000000001E-2</v>
          </cell>
        </row>
        <row r="537">
          <cell r="DX537">
            <v>8</v>
          </cell>
          <cell r="DY537">
            <v>8</v>
          </cell>
          <cell r="DZ537">
            <v>8</v>
          </cell>
          <cell r="EA537">
            <v>8</v>
          </cell>
          <cell r="FX537">
            <v>8</v>
          </cell>
          <cell r="FY537">
            <v>8</v>
          </cell>
          <cell r="FZ537">
            <v>8</v>
          </cell>
          <cell r="GA537">
            <v>8</v>
          </cell>
          <cell r="GL537">
            <v>8</v>
          </cell>
          <cell r="GM537">
            <v>8</v>
          </cell>
          <cell r="GN537">
            <v>8</v>
          </cell>
          <cell r="GO537">
            <v>8</v>
          </cell>
          <cell r="GP537">
            <v>8</v>
          </cell>
          <cell r="GQ537">
            <v>8</v>
          </cell>
          <cell r="GR537">
            <v>8</v>
          </cell>
          <cell r="GS537">
            <v>8</v>
          </cell>
          <cell r="GT537">
            <v>8</v>
          </cell>
          <cell r="GU537">
            <v>8</v>
          </cell>
          <cell r="GV537">
            <v>8</v>
          </cell>
          <cell r="GW537">
            <v>8</v>
          </cell>
          <cell r="GX537">
            <v>8</v>
          </cell>
          <cell r="GY537">
            <v>8</v>
          </cell>
          <cell r="GZ537">
            <v>8</v>
          </cell>
        </row>
        <row r="543">
          <cell r="DI543">
            <v>-145.5259999999999</v>
          </cell>
          <cell r="DJ543">
            <v>-253.24499999999986</v>
          </cell>
          <cell r="DK543">
            <v>-278.63999999999976</v>
          </cell>
          <cell r="DL543">
            <v>-307.96099999999922</v>
          </cell>
        </row>
        <row r="545">
          <cell r="CT545" t="str">
            <v>F1998 Restated for JIT</v>
          </cell>
          <cell r="CY545" t="str">
            <v>F1999 Restated for JIT</v>
          </cell>
          <cell r="DD545" t="str">
            <v>F2000 Restated for JIT</v>
          </cell>
          <cell r="DI545" t="str">
            <v>F2001 Restated for JIT</v>
          </cell>
          <cell r="DN545" t="str">
            <v>F2002</v>
          </cell>
          <cell r="DS545" t="str">
            <v>F2003</v>
          </cell>
          <cell r="DX545" t="str">
            <v>F2004E</v>
          </cell>
        </row>
        <row r="546">
          <cell r="CT546" t="str">
            <v>6/97</v>
          </cell>
          <cell r="CU546" t="str">
            <v>9/97</v>
          </cell>
          <cell r="CV546" t="str">
            <v xml:space="preserve"> 12/97</v>
          </cell>
          <cell r="CW546" t="str">
            <v xml:space="preserve"> 3/98</v>
          </cell>
          <cell r="CY546" t="str">
            <v>6/98</v>
          </cell>
          <cell r="CZ546" t="str">
            <v>9/98</v>
          </cell>
          <cell r="DA546" t="str">
            <v xml:space="preserve"> 12/98</v>
          </cell>
          <cell r="DB546" t="str">
            <v xml:space="preserve"> 3/99</v>
          </cell>
          <cell r="DD546" t="str">
            <v>6/99</v>
          </cell>
          <cell r="DE546" t="str">
            <v>9/99</v>
          </cell>
          <cell r="DF546" t="str">
            <v xml:space="preserve"> 12/99</v>
          </cell>
          <cell r="DG546" t="str">
            <v xml:space="preserve"> 3/00</v>
          </cell>
          <cell r="DI546" t="str">
            <v>6/00</v>
          </cell>
          <cell r="DJ546" t="str">
            <v>9/00</v>
          </cell>
          <cell r="DK546" t="str">
            <v xml:space="preserve"> 12/00</v>
          </cell>
          <cell r="DL546" t="str">
            <v xml:space="preserve"> 3/01</v>
          </cell>
          <cell r="DN546" t="str">
            <v>6/01</v>
          </cell>
          <cell r="DO546" t="str">
            <v>9/01</v>
          </cell>
          <cell r="DP546" t="str">
            <v xml:space="preserve"> 12/01</v>
          </cell>
          <cell r="DQ546" t="str">
            <v xml:space="preserve"> 3/02</v>
          </cell>
          <cell r="DS546" t="str">
            <v>6/02</v>
          </cell>
          <cell r="DT546" t="str">
            <v>9/02</v>
          </cell>
          <cell r="DU546" t="str">
            <v xml:space="preserve"> 12/02</v>
          </cell>
          <cell r="DV546" t="str">
            <v xml:space="preserve"> 3/03</v>
          </cell>
          <cell r="DX546" t="str">
            <v>6/03</v>
          </cell>
          <cell r="DY546" t="str">
            <v>9/03</v>
          </cell>
          <cell r="DZ546" t="str">
            <v xml:space="preserve"> 12/03</v>
          </cell>
          <cell r="EA546" t="str">
            <v xml:space="preserve"> 3/04E</v>
          </cell>
          <cell r="FV546" t="str">
            <v>F1999</v>
          </cell>
          <cell r="FW546" t="str">
            <v>F2000</v>
          </cell>
          <cell r="FX546" t="str">
            <v>F2001</v>
          </cell>
          <cell r="FY546" t="str">
            <v>F2002</v>
          </cell>
          <cell r="FZ546" t="str">
            <v>F2003</v>
          </cell>
          <cell r="GA546" t="str">
            <v>F2004E</v>
          </cell>
          <cell r="GE546" t="str">
            <v>C1998</v>
          </cell>
          <cell r="GF546" t="str">
            <v>C1999</v>
          </cell>
          <cell r="GG546" t="str">
            <v>C2000</v>
          </cell>
          <cell r="GH546" t="str">
            <v>C2001</v>
          </cell>
          <cell r="GI546" t="str">
            <v>C2002</v>
          </cell>
          <cell r="GJ546" t="str">
            <v>C2003</v>
          </cell>
          <cell r="GL546">
            <v>2003</v>
          </cell>
          <cell r="GM546">
            <v>2004</v>
          </cell>
          <cell r="GN546">
            <v>2005</v>
          </cell>
          <cell r="GO546">
            <v>2006</v>
          </cell>
          <cell r="GP546">
            <v>2007</v>
          </cell>
          <cell r="GQ546">
            <v>2008</v>
          </cell>
          <cell r="GR546">
            <v>2009</v>
          </cell>
          <cell r="GS546">
            <v>2010</v>
          </cell>
          <cell r="GT546">
            <v>2011</v>
          </cell>
          <cell r="GU546">
            <v>2012</v>
          </cell>
          <cell r="GV546">
            <v>2013</v>
          </cell>
          <cell r="GW546">
            <v>2014</v>
          </cell>
          <cell r="GX546">
            <v>2015</v>
          </cell>
          <cell r="GY546">
            <v>2016</v>
          </cell>
          <cell r="GZ546">
            <v>2017</v>
          </cell>
        </row>
        <row r="548">
          <cell r="DD548">
            <v>-3.9989999999999952</v>
          </cell>
          <cell r="DE548">
            <v>57.314000000000057</v>
          </cell>
          <cell r="DF548">
            <v>0.9919999999999618</v>
          </cell>
          <cell r="DG548">
            <v>-88.668000000000177</v>
          </cell>
          <cell r="DI548">
            <v>-219.14999999999975</v>
          </cell>
          <cell r="DJ548">
            <v>-60.684999999999889</v>
          </cell>
          <cell r="DK548">
            <v>-35.087999999999965</v>
          </cell>
          <cell r="DL548">
            <v>-145.82099999999957</v>
          </cell>
          <cell r="DN548">
            <v>383.49300000000011</v>
          </cell>
          <cell r="DO548">
            <v>52.007000000000261</v>
          </cell>
          <cell r="DP548">
            <v>169.86700000000044</v>
          </cell>
          <cell r="DQ548">
            <v>253.54900000000009</v>
          </cell>
          <cell r="DS548">
            <v>297.70499999999998</v>
          </cell>
          <cell r="DT548">
            <v>114.12399999999985</v>
          </cell>
          <cell r="DU548">
            <v>342.77799999999996</v>
          </cell>
          <cell r="DV548">
            <v>-146.82299999999981</v>
          </cell>
          <cell r="DX548">
            <v>246.30200000000019</v>
          </cell>
          <cell r="DY548">
            <v>4.5340000000002192</v>
          </cell>
          <cell r="DZ548">
            <v>297.80300000000057</v>
          </cell>
          <cell r="EA548">
            <v>-3.5240399409574081</v>
          </cell>
          <cell r="FV548">
            <v>160.88200000000001</v>
          </cell>
          <cell r="FW548">
            <v>-34.361000000000132</v>
          </cell>
          <cell r="FX548">
            <v>-460.74399999999923</v>
          </cell>
          <cell r="FY548">
            <v>858.91600000000085</v>
          </cell>
          <cell r="FZ548">
            <v>607.78399999999988</v>
          </cell>
          <cell r="GA548">
            <v>545.1149600590436</v>
          </cell>
          <cell r="GL548">
            <v>607.78399999999988</v>
          </cell>
          <cell r="GM548">
            <v>545.1149600590436</v>
          </cell>
          <cell r="GN548">
            <v>264.57740052271026</v>
          </cell>
          <cell r="GO548">
            <v>372.25480376221464</v>
          </cell>
          <cell r="GP548">
            <v>986.11273752929412</v>
          </cell>
          <cell r="GQ548">
            <v>670.79632918735672</v>
          </cell>
          <cell r="GR548">
            <v>-112.44446163975203</v>
          </cell>
          <cell r="GS548">
            <v>1708.4133890743524</v>
          </cell>
          <cell r="GT548">
            <v>1682.921330210517</v>
          </cell>
          <cell r="GU548">
            <v>1921.1548384261228</v>
          </cell>
          <cell r="GV548">
            <v>1382.7045580795752</v>
          </cell>
          <cell r="GW548">
            <v>351.06889725756105</v>
          </cell>
          <cell r="GX548">
            <v>3462.9941822199298</v>
          </cell>
          <cell r="GY548">
            <v>2183.6320455810283</v>
          </cell>
          <cell r="GZ548">
            <v>2358.2542827223469</v>
          </cell>
        </row>
        <row r="549">
          <cell r="DD549">
            <v>0</v>
          </cell>
          <cell r="DE549">
            <v>-3.5230000000000001</v>
          </cell>
          <cell r="DF549">
            <v>0</v>
          </cell>
          <cell r="DG549">
            <v>-7.5190000000000001</v>
          </cell>
          <cell r="DI549">
            <v>-92.944000000000003</v>
          </cell>
          <cell r="DJ549">
            <v>-13.803000000000001</v>
          </cell>
          <cell r="DK549">
            <v>-10.685</v>
          </cell>
          <cell r="DL549">
            <v>-35.350999999999999</v>
          </cell>
          <cell r="DN549">
            <v>-47.673999999999999</v>
          </cell>
          <cell r="DO549">
            <v>-83.287000000000006</v>
          </cell>
          <cell r="DP549">
            <v>-46.223999999999997</v>
          </cell>
          <cell r="DQ549">
            <v>-82.132000000000005</v>
          </cell>
          <cell r="DS549">
            <v>-49.884</v>
          </cell>
          <cell r="DT549">
            <v>-81.254999999999995</v>
          </cell>
          <cell r="DU549">
            <v>-55.606000000000002</v>
          </cell>
          <cell r="DV549">
            <v>0</v>
          </cell>
          <cell r="DX549">
            <v>-301.32</v>
          </cell>
          <cell r="DY549">
            <v>-139.06200000000001</v>
          </cell>
          <cell r="DZ549">
            <v>-62.962000000000003</v>
          </cell>
          <cell r="EA549">
            <v>-35</v>
          </cell>
          <cell r="FV549" t="str">
            <v>NA</v>
          </cell>
          <cell r="FW549">
            <v>-11.042</v>
          </cell>
          <cell r="FX549">
            <v>-152.78300000000002</v>
          </cell>
          <cell r="FY549">
            <v>-259.31700000000001</v>
          </cell>
          <cell r="FZ549">
            <v>-186.745</v>
          </cell>
          <cell r="GA549">
            <v>-538.34400000000005</v>
          </cell>
          <cell r="GL549">
            <v>-186.745</v>
          </cell>
          <cell r="GM549">
            <v>-538.34400000000005</v>
          </cell>
          <cell r="GN549">
            <v>0</v>
          </cell>
          <cell r="GO549">
            <v>0</v>
          </cell>
          <cell r="GP549">
            <v>0</v>
          </cell>
          <cell r="GQ549">
            <v>0</v>
          </cell>
          <cell r="GR549">
            <v>0</v>
          </cell>
          <cell r="GS549">
            <v>0</v>
          </cell>
          <cell r="GT549">
            <v>0</v>
          </cell>
          <cell r="GU549">
            <v>0</v>
          </cell>
          <cell r="GV549">
            <v>0</v>
          </cell>
          <cell r="GW549">
            <v>0</v>
          </cell>
          <cell r="GX549">
            <v>0</v>
          </cell>
          <cell r="GY549">
            <v>0</v>
          </cell>
          <cell r="GZ549">
            <v>0</v>
          </cell>
        </row>
        <row r="550">
          <cell r="DD550">
            <v>-3.9989999999999952</v>
          </cell>
          <cell r="DE550">
            <v>60.83700000000006</v>
          </cell>
          <cell r="DF550">
            <v>0.9919999999999618</v>
          </cell>
          <cell r="DG550">
            <v>-81.149000000000171</v>
          </cell>
          <cell r="DI550">
            <v>-126.20599999999976</v>
          </cell>
          <cell r="DJ550">
            <v>-46.881999999999891</v>
          </cell>
          <cell r="DK550">
            <v>-24.402999999999963</v>
          </cell>
          <cell r="DL550">
            <v>-110.46999999999957</v>
          </cell>
          <cell r="DN550">
            <v>431.16700000000009</v>
          </cell>
          <cell r="DO550">
            <v>135.29400000000027</v>
          </cell>
          <cell r="DP550">
            <v>216.09100000000043</v>
          </cell>
          <cell r="DQ550">
            <v>335.6810000000001</v>
          </cell>
          <cell r="DS550">
            <v>347.589</v>
          </cell>
          <cell r="DT550">
            <v>195.37899999999985</v>
          </cell>
          <cell r="DU550">
            <v>398.38399999999996</v>
          </cell>
          <cell r="DV550">
            <v>-146.77099999999999</v>
          </cell>
          <cell r="DX550">
            <v>547.62200000000018</v>
          </cell>
          <cell r="DY550">
            <v>143.59600000000023</v>
          </cell>
          <cell r="DZ550">
            <v>360.76500000000055</v>
          </cell>
          <cell r="EA550">
            <v>31.475960059042592</v>
          </cell>
          <cell r="EC550">
            <v>-108.66774407281795</v>
          </cell>
          <cell r="ED550">
            <v>218.15801686555375</v>
          </cell>
          <cell r="EE550">
            <v>96.644844973571765</v>
          </cell>
          <cell r="EF550">
            <v>58.442282756402733</v>
          </cell>
          <cell r="EH550">
            <v>10.158580205633399</v>
          </cell>
          <cell r="EI550">
            <v>202.42573942607214</v>
          </cell>
          <cell r="EJ550">
            <v>-21.729494550070513</v>
          </cell>
          <cell r="EK550">
            <v>181.39997868057961</v>
          </cell>
          <cell r="ER550">
            <v>2.407999999999987</v>
          </cell>
          <cell r="ES550">
            <v>54.369</v>
          </cell>
          <cell r="ET550">
            <v>38.285999999999987</v>
          </cell>
          <cell r="EU550">
            <v>65.3780000000001</v>
          </cell>
          <cell r="FB550">
            <v>55.682999999999971</v>
          </cell>
          <cell r="FC550">
            <v>58.057000000000087</v>
          </cell>
          <cell r="FD550">
            <v>-67.391999999999996</v>
          </cell>
          <cell r="FK550">
            <v>143.77699999999999</v>
          </cell>
          <cell r="FL550">
            <v>-18.874000000000024</v>
          </cell>
          <cell r="FP550">
            <v>122.41500000000002</v>
          </cell>
          <cell r="FQ550">
            <v>139.16100000000006</v>
          </cell>
          <cell r="FR550">
            <v>-18.791000000000167</v>
          </cell>
          <cell r="FV550">
            <v>160.88200000000001</v>
          </cell>
          <cell r="FW550">
            <v>-23.319000000000131</v>
          </cell>
          <cell r="FX550">
            <v>-307.96099999999922</v>
          </cell>
          <cell r="FY550">
            <v>1118.2330000000009</v>
          </cell>
          <cell r="FZ550">
            <v>794.5809999999999</v>
          </cell>
          <cell r="GA550">
            <v>1083.4589600590436</v>
          </cell>
          <cell r="GB550">
            <v>264.57740052271026</v>
          </cell>
          <cell r="GC550">
            <v>372.25480376221464</v>
          </cell>
          <cell r="GL550">
            <v>794.5809999999999</v>
          </cell>
          <cell r="GM550">
            <v>1083.4589600590436</v>
          </cell>
          <cell r="GN550">
            <v>264.57740052271026</v>
          </cell>
          <cell r="GO550">
            <v>372.25480376221464</v>
          </cell>
          <cell r="GP550">
            <v>986.11273752929412</v>
          </cell>
          <cell r="GQ550">
            <v>670.79632918735672</v>
          </cell>
          <cell r="GR550">
            <v>-112.44446163975203</v>
          </cell>
          <cell r="GS550">
            <v>1708.4133890743524</v>
          </cell>
          <cell r="GT550">
            <v>1682.921330210517</v>
          </cell>
          <cell r="GU550">
            <v>1921.1548384261228</v>
          </cell>
          <cell r="GV550">
            <v>1382.7045580795752</v>
          </cell>
          <cell r="GW550">
            <v>351.06889725756105</v>
          </cell>
          <cell r="GX550">
            <v>3462.9941822199298</v>
          </cell>
          <cell r="GY550">
            <v>2183.6320455810283</v>
          </cell>
          <cell r="GZ550">
            <v>2358.2542827223469</v>
          </cell>
          <cell r="HA550">
            <v>2502.9330653464222</v>
          </cell>
          <cell r="HB550">
            <v>2746.5496735815314</v>
          </cell>
          <cell r="HC550">
            <v>2839.9379995074928</v>
          </cell>
          <cell r="HD550">
            <v>3063.3791811824294</v>
          </cell>
          <cell r="HE550">
            <v>2973.834092266994</v>
          </cell>
          <cell r="HF550">
            <v>2966.3920078798806</v>
          </cell>
          <cell r="HG550">
            <v>2893.3182537317984</v>
          </cell>
          <cell r="HH550">
            <v>2792.8932371570463</v>
          </cell>
          <cell r="HI550">
            <v>2755.31255343765</v>
          </cell>
        </row>
        <row r="551">
          <cell r="DD551">
            <v>26.786999999999995</v>
          </cell>
          <cell r="DE551">
            <v>34.478000000000065</v>
          </cell>
          <cell r="DF551">
            <v>47.798999999999971</v>
          </cell>
          <cell r="DG551">
            <v>60.545999999999836</v>
          </cell>
          <cell r="DI551">
            <v>70.111000000000246</v>
          </cell>
          <cell r="DJ551">
            <v>92.322000000000116</v>
          </cell>
          <cell r="DK551">
            <v>107.55800000000001</v>
          </cell>
          <cell r="DL551">
            <v>82.401000000000423</v>
          </cell>
          <cell r="DN551">
            <v>88.328000000000074</v>
          </cell>
          <cell r="DO551">
            <v>69.175000000000253</v>
          </cell>
          <cell r="DP551">
            <v>81.989000000000445</v>
          </cell>
          <cell r="DQ551">
            <v>57.896000000000114</v>
          </cell>
          <cell r="DS551">
            <v>26.824999999999999</v>
          </cell>
          <cell r="DT551">
            <v>34.669999999999867</v>
          </cell>
          <cell r="DU551">
            <v>60.650999999999947</v>
          </cell>
          <cell r="DV551">
            <v>19.526000000000014</v>
          </cell>
          <cell r="DX551">
            <v>11.626000000000166</v>
          </cell>
          <cell r="DY551">
            <v>38.97200000000025</v>
          </cell>
          <cell r="DZ551">
            <v>93.944000000000244</v>
          </cell>
          <cell r="EA551">
            <v>52.214884401437999</v>
          </cell>
          <cell r="FV551">
            <v>51.003</v>
          </cell>
          <cell r="FW551">
            <v>169.60999999999984</v>
          </cell>
          <cell r="FX551">
            <v>352.39200000000079</v>
          </cell>
          <cell r="FY551">
            <v>297.38800000000089</v>
          </cell>
          <cell r="FZ551">
            <v>141.67199999999983</v>
          </cell>
          <cell r="GA551">
            <v>196.75688440143864</v>
          </cell>
          <cell r="GL551">
            <v>141.67199999999983</v>
          </cell>
          <cell r="GM551">
            <v>196.75688440143864</v>
          </cell>
          <cell r="GN551">
            <v>397.26680020206288</v>
          </cell>
          <cell r="GO551">
            <v>582.58318028801273</v>
          </cell>
          <cell r="GP551">
            <v>931.59146727027985</v>
          </cell>
          <cell r="GQ551">
            <v>943.61250296306287</v>
          </cell>
          <cell r="GR551">
            <v>420.11066522089675</v>
          </cell>
          <cell r="GS551">
            <v>983.92315785779465</v>
          </cell>
          <cell r="GT551">
            <v>1401.7135379142194</v>
          </cell>
          <cell r="GU551">
            <v>1876.9911646475489</v>
          </cell>
          <cell r="GV551">
            <v>1927.425394887015</v>
          </cell>
          <cell r="GW551">
            <v>324.57340844216208</v>
          </cell>
          <cell r="GX551">
            <v>1100.0867556491457</v>
          </cell>
          <cell r="GY551">
            <v>1733.7937258761274</v>
          </cell>
          <cell r="GZ551">
            <v>1948.6997884089014</v>
          </cell>
        </row>
        <row r="552">
          <cell r="CT552">
            <v>14.079000000000001</v>
          </cell>
          <cell r="CU552">
            <v>15.21</v>
          </cell>
          <cell r="CV552">
            <v>16.878</v>
          </cell>
          <cell r="CW552">
            <v>21.064</v>
          </cell>
          <cell r="CY552">
            <v>28.660999999999998</v>
          </cell>
          <cell r="CZ552">
            <v>30.161000000000001</v>
          </cell>
          <cell r="DA552">
            <v>32.420999999999999</v>
          </cell>
          <cell r="DB552">
            <v>34.115000000000002</v>
          </cell>
          <cell r="DD552">
            <v>40.142000000000003</v>
          </cell>
          <cell r="DE552">
            <v>41.954999999999998</v>
          </cell>
          <cell r="DF552">
            <v>48.2</v>
          </cell>
          <cell r="DG552">
            <v>57.3</v>
          </cell>
          <cell r="DI552">
            <v>57.711999999999996</v>
          </cell>
          <cell r="DJ552">
            <v>65.875</v>
          </cell>
          <cell r="DK552">
            <v>73.097000000000008</v>
          </cell>
          <cell r="DL552">
            <v>85.028999999999996</v>
          </cell>
          <cell r="DN552">
            <v>73.578000000000003</v>
          </cell>
          <cell r="DO552">
            <v>81.194000000000003</v>
          </cell>
          <cell r="DP552">
            <v>84.472999999999999</v>
          </cell>
          <cell r="DQ552">
            <v>80.662000000000006</v>
          </cell>
          <cell r="DS552">
            <v>82.331999999999994</v>
          </cell>
          <cell r="DT552">
            <v>85.123999999999995</v>
          </cell>
          <cell r="DU552">
            <v>89.858000000000004</v>
          </cell>
          <cell r="DV552">
            <v>92.202999999999989</v>
          </cell>
          <cell r="DX552">
            <v>91.194999999999993</v>
          </cell>
          <cell r="DY552">
            <v>83.429000000000002</v>
          </cell>
          <cell r="DZ552">
            <v>85.581000000000003</v>
          </cell>
          <cell r="EA552">
            <v>84.395395780436118</v>
          </cell>
          <cell r="FV552">
            <v>180.15299999999999</v>
          </cell>
          <cell r="FW552">
            <v>187.59700000000004</v>
          </cell>
          <cell r="FX552">
            <v>281.71299999999997</v>
          </cell>
          <cell r="FY552">
            <v>319.90700000000004</v>
          </cell>
          <cell r="FZ552">
            <v>349.51699999999994</v>
          </cell>
          <cell r="GA552">
            <v>344.60039578043609</v>
          </cell>
          <cell r="GL552">
            <v>349.51699999999994</v>
          </cell>
          <cell r="GM552">
            <v>344.60039578043609</v>
          </cell>
          <cell r="GN552">
            <v>303.47634416587994</v>
          </cell>
          <cell r="GO552">
            <v>284.99435535065123</v>
          </cell>
          <cell r="GP552">
            <v>324.69731327519764</v>
          </cell>
          <cell r="GQ552">
            <v>373.08169449908894</v>
          </cell>
          <cell r="GR552">
            <v>366.05558652080828</v>
          </cell>
          <cell r="GS552">
            <v>360.17849323509233</v>
          </cell>
          <cell r="GT552">
            <v>421.05014190253354</v>
          </cell>
          <cell r="GU552">
            <v>656.11001822468256</v>
          </cell>
          <cell r="GV552">
            <v>857.71678101386976</v>
          </cell>
          <cell r="GW552">
            <v>885.48692906294809</v>
          </cell>
          <cell r="GX552">
            <v>878.93077020466376</v>
          </cell>
          <cell r="GY552">
            <v>868.58384192582889</v>
          </cell>
          <cell r="GZ552">
            <v>886.12680411651036</v>
          </cell>
        </row>
        <row r="553">
          <cell r="DD553" t="str">
            <v xml:space="preserve"> --</v>
          </cell>
          <cell r="DE553" t="str">
            <v xml:space="preserve"> --</v>
          </cell>
          <cell r="DF553" t="str">
            <v xml:space="preserve"> --</v>
          </cell>
          <cell r="DG553" t="str">
            <v xml:space="preserve"> --</v>
          </cell>
          <cell r="DI553" t="str">
            <v xml:space="preserve"> --</v>
          </cell>
          <cell r="DJ553" t="str">
            <v xml:space="preserve"> --</v>
          </cell>
          <cell r="DK553" t="str">
            <v xml:space="preserve"> --</v>
          </cell>
          <cell r="DL553" t="str">
            <v xml:space="preserve"> --</v>
          </cell>
          <cell r="DN553" t="str">
            <v xml:space="preserve"> --</v>
          </cell>
          <cell r="DO553" t="str">
            <v xml:space="preserve"> --</v>
          </cell>
          <cell r="DP553" t="str">
            <v xml:space="preserve"> --</v>
          </cell>
          <cell r="DQ553">
            <v>0</v>
          </cell>
          <cell r="DS553">
            <v>0</v>
          </cell>
          <cell r="DT553">
            <v>0</v>
          </cell>
          <cell r="DU553">
            <v>0</v>
          </cell>
          <cell r="DV553">
            <v>0</v>
          </cell>
          <cell r="DX553">
            <v>0</v>
          </cell>
          <cell r="DY553">
            <v>0</v>
          </cell>
          <cell r="DZ553">
            <v>0</v>
          </cell>
          <cell r="EA553">
            <v>0</v>
          </cell>
          <cell r="FV553">
            <v>-0.42699999999999999</v>
          </cell>
          <cell r="FW553">
            <v>2.8180000000000001</v>
          </cell>
          <cell r="FX553">
            <v>-1.3819999999999999</v>
          </cell>
          <cell r="FY553">
            <v>0</v>
          </cell>
          <cell r="FZ553">
            <v>-1.2</v>
          </cell>
          <cell r="GA553">
            <v>0</v>
          </cell>
          <cell r="GL553">
            <v>-1.2</v>
          </cell>
          <cell r="GM553">
            <v>0</v>
          </cell>
          <cell r="GN553">
            <v>0</v>
          </cell>
          <cell r="GO553">
            <v>0</v>
          </cell>
          <cell r="GP553">
            <v>0</v>
          </cell>
          <cell r="GQ553">
            <v>0</v>
          </cell>
          <cell r="GR553">
            <v>0</v>
          </cell>
          <cell r="GS553">
            <v>0</v>
          </cell>
          <cell r="GT553">
            <v>0</v>
          </cell>
          <cell r="GU553">
            <v>0</v>
          </cell>
          <cell r="GV553">
            <v>0</v>
          </cell>
          <cell r="GW553">
            <v>0</v>
          </cell>
          <cell r="GX553">
            <v>0</v>
          </cell>
          <cell r="GY553">
            <v>0</v>
          </cell>
          <cell r="GZ553">
            <v>0</v>
          </cell>
        </row>
        <row r="554">
          <cell r="DD554" t="str">
            <v xml:space="preserve"> --</v>
          </cell>
          <cell r="DE554" t="str">
            <v xml:space="preserve"> --</v>
          </cell>
          <cell r="DF554" t="str">
            <v xml:space="preserve"> --</v>
          </cell>
          <cell r="DG554" t="str">
            <v xml:space="preserve"> --</v>
          </cell>
          <cell r="DI554" t="str">
            <v xml:space="preserve"> --</v>
          </cell>
          <cell r="DJ554" t="str">
            <v xml:space="preserve"> --</v>
          </cell>
          <cell r="DK554" t="str">
            <v xml:space="preserve"> --</v>
          </cell>
          <cell r="DL554" t="str">
            <v xml:space="preserve"> --</v>
          </cell>
          <cell r="DN554" t="str">
            <v xml:space="preserve"> --</v>
          </cell>
          <cell r="DO554" t="str">
            <v xml:space="preserve"> --</v>
          </cell>
          <cell r="DP554" t="str">
            <v xml:space="preserve"> --</v>
          </cell>
          <cell r="DQ554">
            <v>0</v>
          </cell>
          <cell r="DS554">
            <v>0</v>
          </cell>
          <cell r="DT554">
            <v>0</v>
          </cell>
          <cell r="DU554">
            <v>0</v>
          </cell>
          <cell r="DV554">
            <v>0</v>
          </cell>
          <cell r="DX554">
            <v>0</v>
          </cell>
          <cell r="DY554">
            <v>0</v>
          </cell>
          <cell r="DZ554">
            <v>0</v>
          </cell>
          <cell r="EA554">
            <v>0</v>
          </cell>
          <cell r="FV554">
            <v>8.7729999999999997</v>
          </cell>
          <cell r="FW554">
            <v>44.878999999999998</v>
          </cell>
          <cell r="FX554">
            <v>43.063000000000002</v>
          </cell>
          <cell r="FY554">
            <v>0</v>
          </cell>
          <cell r="FZ554">
            <v>2.6</v>
          </cell>
          <cell r="GA554">
            <v>0</v>
          </cell>
          <cell r="GL554">
            <v>2.6</v>
          </cell>
          <cell r="GM554">
            <v>0</v>
          </cell>
          <cell r="GN554">
            <v>0</v>
          </cell>
          <cell r="GO554">
            <v>0</v>
          </cell>
          <cell r="GP554">
            <v>0</v>
          </cell>
          <cell r="GQ554">
            <v>0</v>
          </cell>
          <cell r="GR554">
            <v>0</v>
          </cell>
          <cell r="GS554">
            <v>0</v>
          </cell>
          <cell r="GT554">
            <v>0</v>
          </cell>
          <cell r="GU554">
            <v>0</v>
          </cell>
          <cell r="GV554">
            <v>0</v>
          </cell>
          <cell r="GW554">
            <v>0</v>
          </cell>
          <cell r="GX554">
            <v>0</v>
          </cell>
          <cell r="GY554">
            <v>0</v>
          </cell>
          <cell r="GZ554">
            <v>0</v>
          </cell>
        </row>
        <row r="555">
          <cell r="DD555" t="str">
            <v xml:space="preserve"> --</v>
          </cell>
          <cell r="DE555" t="str">
            <v xml:space="preserve"> --</v>
          </cell>
          <cell r="DF555" t="str">
            <v xml:space="preserve"> --</v>
          </cell>
          <cell r="DG555" t="str">
            <v xml:space="preserve"> --</v>
          </cell>
          <cell r="DI555" t="str">
            <v xml:space="preserve"> --</v>
          </cell>
          <cell r="DJ555" t="str">
            <v xml:space="preserve"> --</v>
          </cell>
          <cell r="DK555" t="str">
            <v xml:space="preserve"> --</v>
          </cell>
          <cell r="DL555" t="str">
            <v xml:space="preserve"> --</v>
          </cell>
          <cell r="DN555" t="str">
            <v xml:space="preserve"> --</v>
          </cell>
          <cell r="DO555" t="str">
            <v xml:space="preserve"> --</v>
          </cell>
          <cell r="DP555" t="str">
            <v xml:space="preserve"> --</v>
          </cell>
          <cell r="DQ555">
            <v>0</v>
          </cell>
          <cell r="DS555">
            <v>0</v>
          </cell>
          <cell r="DT555">
            <v>0</v>
          </cell>
          <cell r="DU555">
            <v>0</v>
          </cell>
          <cell r="DV555">
            <v>0</v>
          </cell>
          <cell r="DX555">
            <v>0</v>
          </cell>
          <cell r="DY555">
            <v>0</v>
          </cell>
          <cell r="DZ555">
            <v>0</v>
          </cell>
          <cell r="EA555">
            <v>0</v>
          </cell>
          <cell r="FV555">
            <v>-2.5289999999999999</v>
          </cell>
          <cell r="FW555">
            <v>-1.591</v>
          </cell>
          <cell r="FX555">
            <v>-7.9000000000000001E-2</v>
          </cell>
          <cell r="FY555">
            <v>0</v>
          </cell>
          <cell r="FZ555">
            <v>0.5</v>
          </cell>
          <cell r="GA555">
            <v>0</v>
          </cell>
          <cell r="GL555">
            <v>0.5</v>
          </cell>
          <cell r="GM555">
            <v>0</v>
          </cell>
          <cell r="GN555">
            <v>0</v>
          </cell>
          <cell r="GO555">
            <v>0</v>
          </cell>
          <cell r="GP555">
            <v>0</v>
          </cell>
          <cell r="GQ555">
            <v>0</v>
          </cell>
          <cell r="GR555">
            <v>0</v>
          </cell>
          <cell r="GS555">
            <v>0</v>
          </cell>
          <cell r="GT555">
            <v>0</v>
          </cell>
          <cell r="GU555">
            <v>0</v>
          </cell>
          <cell r="GV555">
            <v>0</v>
          </cell>
          <cell r="GW555">
            <v>0</v>
          </cell>
          <cell r="GX555">
            <v>0</v>
          </cell>
          <cell r="GY555">
            <v>0</v>
          </cell>
          <cell r="GZ555">
            <v>0</v>
          </cell>
        </row>
        <row r="556">
          <cell r="DD556" t="str">
            <v xml:space="preserve"> --</v>
          </cell>
          <cell r="DE556" t="str">
            <v xml:space="preserve"> --</v>
          </cell>
          <cell r="DF556" t="str">
            <v xml:space="preserve"> --</v>
          </cell>
          <cell r="DG556" t="str">
            <v xml:space="preserve"> --</v>
          </cell>
          <cell r="DI556" t="str">
            <v xml:space="preserve"> --</v>
          </cell>
          <cell r="DJ556" t="str">
            <v xml:space="preserve"> --</v>
          </cell>
          <cell r="DK556" t="str">
            <v xml:space="preserve"> --</v>
          </cell>
          <cell r="DL556" t="str">
            <v xml:space="preserve"> --</v>
          </cell>
          <cell r="DN556" t="str">
            <v xml:space="preserve"> --</v>
          </cell>
          <cell r="DO556" t="str">
            <v xml:space="preserve"> --</v>
          </cell>
          <cell r="DP556" t="str">
            <v xml:space="preserve"> --</v>
          </cell>
          <cell r="DQ556">
            <v>0</v>
          </cell>
          <cell r="DS556">
            <v>0</v>
          </cell>
          <cell r="DT556">
            <v>0</v>
          </cell>
          <cell r="DU556">
            <v>0</v>
          </cell>
          <cell r="DV556">
            <v>0</v>
          </cell>
          <cell r="DX556">
            <v>0</v>
          </cell>
          <cell r="DY556">
            <v>0</v>
          </cell>
          <cell r="DZ556">
            <v>0</v>
          </cell>
          <cell r="EA556">
            <v>0</v>
          </cell>
          <cell r="FV556">
            <v>2</v>
          </cell>
          <cell r="FW556" t="str">
            <v xml:space="preserve"> --</v>
          </cell>
          <cell r="FX556" t="str">
            <v xml:space="preserve"> --</v>
          </cell>
          <cell r="FY556">
            <v>0</v>
          </cell>
          <cell r="FZ556">
            <v>0</v>
          </cell>
          <cell r="GA556">
            <v>0</v>
          </cell>
          <cell r="GL556">
            <v>0</v>
          </cell>
          <cell r="GM556">
            <v>0</v>
          </cell>
          <cell r="GN556">
            <v>0</v>
          </cell>
          <cell r="GO556">
            <v>0</v>
          </cell>
          <cell r="GP556">
            <v>0</v>
          </cell>
          <cell r="GQ556">
            <v>0</v>
          </cell>
          <cell r="GR556">
            <v>0</v>
          </cell>
          <cell r="GS556">
            <v>0</v>
          </cell>
          <cell r="GT556">
            <v>0</v>
          </cell>
          <cell r="GU556">
            <v>0</v>
          </cell>
          <cell r="GV556">
            <v>0</v>
          </cell>
          <cell r="GW556">
            <v>0</v>
          </cell>
          <cell r="GX556">
            <v>0</v>
          </cell>
          <cell r="GY556">
            <v>0</v>
          </cell>
          <cell r="GZ556">
            <v>0</v>
          </cell>
        </row>
        <row r="557">
          <cell r="DD557" t="str">
            <v xml:space="preserve"> --</v>
          </cell>
          <cell r="DE557" t="str">
            <v xml:space="preserve"> --</v>
          </cell>
          <cell r="DF557" t="str">
            <v xml:space="preserve"> --</v>
          </cell>
          <cell r="DG557" t="str">
            <v xml:space="preserve"> --</v>
          </cell>
          <cell r="DI557" t="str">
            <v xml:space="preserve"> --</v>
          </cell>
          <cell r="DJ557" t="str">
            <v xml:space="preserve"> --</v>
          </cell>
          <cell r="DK557" t="str">
            <v xml:space="preserve"> --</v>
          </cell>
          <cell r="DL557" t="str">
            <v xml:space="preserve"> --</v>
          </cell>
          <cell r="DN557" t="str">
            <v xml:space="preserve"> --</v>
          </cell>
          <cell r="DO557" t="str">
            <v xml:space="preserve"> --</v>
          </cell>
          <cell r="DP557" t="str">
            <v xml:space="preserve"> --</v>
          </cell>
          <cell r="DQ557">
            <v>0</v>
          </cell>
          <cell r="DS557">
            <v>0</v>
          </cell>
          <cell r="DT557">
            <v>0</v>
          </cell>
          <cell r="DU557">
            <v>0</v>
          </cell>
          <cell r="DV557">
            <v>0</v>
          </cell>
          <cell r="DX557">
            <v>0</v>
          </cell>
          <cell r="DY557">
            <v>0</v>
          </cell>
          <cell r="DZ557">
            <v>0</v>
          </cell>
          <cell r="EA557">
            <v>0</v>
          </cell>
          <cell r="FV557" t="str">
            <v xml:space="preserve"> --</v>
          </cell>
          <cell r="FW557" t="str">
            <v xml:space="preserve"> --</v>
          </cell>
          <cell r="FX557" t="str">
            <v xml:space="preserve"> --</v>
          </cell>
          <cell r="FY557">
            <v>0</v>
          </cell>
          <cell r="FZ557">
            <v>0</v>
          </cell>
          <cell r="GA557">
            <v>0</v>
          </cell>
          <cell r="GL557">
            <v>0</v>
          </cell>
          <cell r="GM557">
            <v>0</v>
          </cell>
          <cell r="GN557">
            <v>0</v>
          </cell>
          <cell r="GO557">
            <v>0</v>
          </cell>
          <cell r="GP557">
            <v>0</v>
          </cell>
          <cell r="GQ557">
            <v>0</v>
          </cell>
          <cell r="GR557">
            <v>0</v>
          </cell>
          <cell r="GS557">
            <v>0</v>
          </cell>
          <cell r="GT557">
            <v>0</v>
          </cell>
          <cell r="GU557">
            <v>0</v>
          </cell>
          <cell r="GV557">
            <v>0</v>
          </cell>
          <cell r="GW557">
            <v>0</v>
          </cell>
          <cell r="GX557">
            <v>0</v>
          </cell>
          <cell r="GY557">
            <v>0</v>
          </cell>
          <cell r="GZ557">
            <v>0</v>
          </cell>
        </row>
        <row r="558">
          <cell r="DD558" t="str">
            <v xml:space="preserve"> --</v>
          </cell>
          <cell r="DE558" t="str">
            <v xml:space="preserve"> --</v>
          </cell>
          <cell r="DF558" t="str">
            <v xml:space="preserve"> --</v>
          </cell>
          <cell r="DG558" t="str">
            <v xml:space="preserve"> --</v>
          </cell>
          <cell r="DI558" t="str">
            <v xml:space="preserve"> --</v>
          </cell>
          <cell r="DJ558" t="str">
            <v xml:space="preserve"> --</v>
          </cell>
          <cell r="DK558" t="str">
            <v xml:space="preserve"> --</v>
          </cell>
          <cell r="DL558" t="str">
            <v xml:space="preserve"> --</v>
          </cell>
          <cell r="DN558" t="str">
            <v xml:space="preserve"> --</v>
          </cell>
          <cell r="DO558" t="str">
            <v xml:space="preserve"> --</v>
          </cell>
          <cell r="DP558" t="str">
            <v xml:space="preserve"> --</v>
          </cell>
          <cell r="DQ558">
            <v>0</v>
          </cell>
          <cell r="DS558">
            <v>0</v>
          </cell>
          <cell r="DT558">
            <v>0</v>
          </cell>
          <cell r="DU558">
            <v>0</v>
          </cell>
          <cell r="DV558">
            <v>0</v>
          </cell>
          <cell r="DX558">
            <v>0</v>
          </cell>
          <cell r="DY558">
            <v>0</v>
          </cell>
          <cell r="DZ558">
            <v>0</v>
          </cell>
          <cell r="EA558">
            <v>0</v>
          </cell>
          <cell r="FV558">
            <v>11.553000000000001</v>
          </cell>
          <cell r="FW558">
            <v>-2.4140000000000001</v>
          </cell>
          <cell r="FX558">
            <v>139.06700000000001</v>
          </cell>
          <cell r="FY558">
            <v>0</v>
          </cell>
          <cell r="FZ558">
            <v>0</v>
          </cell>
          <cell r="GA558">
            <v>0</v>
          </cell>
          <cell r="GL558">
            <v>0</v>
          </cell>
          <cell r="GM558">
            <v>0</v>
          </cell>
          <cell r="GN558">
            <v>0</v>
          </cell>
          <cell r="GO558">
            <v>0</v>
          </cell>
          <cell r="GP558">
            <v>0</v>
          </cell>
          <cell r="GQ558">
            <v>0</v>
          </cell>
          <cell r="GR558">
            <v>0</v>
          </cell>
          <cell r="GS558">
            <v>0</v>
          </cell>
          <cell r="GT558">
            <v>0</v>
          </cell>
          <cell r="GU558">
            <v>0</v>
          </cell>
          <cell r="GV558">
            <v>0</v>
          </cell>
          <cell r="GW558">
            <v>0</v>
          </cell>
          <cell r="GX558">
            <v>0</v>
          </cell>
          <cell r="GY558">
            <v>0</v>
          </cell>
          <cell r="GZ558">
            <v>0</v>
          </cell>
        </row>
        <row r="559">
          <cell r="DD559" t="str">
            <v xml:space="preserve"> --</v>
          </cell>
          <cell r="DE559" t="str">
            <v xml:space="preserve"> --</v>
          </cell>
          <cell r="DF559" t="str">
            <v xml:space="preserve"> --</v>
          </cell>
          <cell r="DG559" t="str">
            <v xml:space="preserve"> --</v>
          </cell>
          <cell r="DI559" t="str">
            <v xml:space="preserve"> --</v>
          </cell>
          <cell r="DJ559" t="str">
            <v xml:space="preserve"> --</v>
          </cell>
          <cell r="DK559" t="str">
            <v xml:space="preserve"> --</v>
          </cell>
          <cell r="DL559" t="str">
            <v xml:space="preserve"> --</v>
          </cell>
          <cell r="DN559" t="str">
            <v xml:space="preserve"> --</v>
          </cell>
          <cell r="DO559" t="str">
            <v xml:space="preserve"> --</v>
          </cell>
          <cell r="DP559" t="str">
            <v xml:space="preserve"> --</v>
          </cell>
          <cell r="DQ559">
            <v>0</v>
          </cell>
          <cell r="DS559">
            <v>0</v>
          </cell>
          <cell r="DT559">
            <v>0</v>
          </cell>
          <cell r="DU559">
            <v>0</v>
          </cell>
          <cell r="DV559">
            <v>65.7</v>
          </cell>
          <cell r="DY559">
            <v>0</v>
          </cell>
          <cell r="DZ559">
            <v>-8.7160000000000082</v>
          </cell>
          <cell r="EA559">
            <v>-107.88975429999999</v>
          </cell>
          <cell r="FV559">
            <v>2.1799999999999997</v>
          </cell>
          <cell r="FW559">
            <v>3.6840000000000002</v>
          </cell>
          <cell r="FX559">
            <v>528.90000000000009</v>
          </cell>
          <cell r="FY559">
            <v>0</v>
          </cell>
          <cell r="FZ559">
            <v>65.7</v>
          </cell>
          <cell r="GA559">
            <v>-116.6057543</v>
          </cell>
          <cell r="GL559">
            <v>65.7</v>
          </cell>
          <cell r="GM559">
            <v>-116.6057543</v>
          </cell>
          <cell r="GN559">
            <v>95.961684520750225</v>
          </cell>
          <cell r="GO559">
            <v>123.29346678133655</v>
          </cell>
          <cell r="GP559">
            <v>179.31824337043827</v>
          </cell>
          <cell r="GQ559">
            <v>175.64648886332907</v>
          </cell>
          <cell r="GR559">
            <v>0</v>
          </cell>
          <cell r="GS559">
            <v>96.7088903388684</v>
          </cell>
          <cell r="GT559">
            <v>221.94690332770284</v>
          </cell>
          <cell r="GU559">
            <v>397.15439995463078</v>
          </cell>
          <cell r="GV559">
            <v>269.45398519998821</v>
          </cell>
          <cell r="GW559">
            <v>-329.11879620855689</v>
          </cell>
          <cell r="GX559">
            <v>93.25032559242436</v>
          </cell>
          <cell r="GY559">
            <v>234.99082049290962</v>
          </cell>
          <cell r="GZ559">
            <v>241.2572423727205</v>
          </cell>
        </row>
        <row r="560">
          <cell r="DD560">
            <v>-70.927999999999997</v>
          </cell>
          <cell r="DE560">
            <v>-15.596</v>
          </cell>
          <cell r="DF560">
            <v>-95.007000000000005</v>
          </cell>
          <cell r="DG560">
            <v>-198.995</v>
          </cell>
          <cell r="DI560">
            <v>-254.029</v>
          </cell>
          <cell r="DJ560">
            <v>-205.07900000000001</v>
          </cell>
          <cell r="DK560">
            <v>-205.05799999999999</v>
          </cell>
          <cell r="DL560">
            <v>-277.89999999999998</v>
          </cell>
          <cell r="DN560">
            <v>269.26100000000002</v>
          </cell>
          <cell r="DO560">
            <v>-15.074999999999999</v>
          </cell>
          <cell r="DP560">
            <v>49.628999999999998</v>
          </cell>
          <cell r="DQ560">
            <v>197.12299999999999</v>
          </cell>
          <cell r="DS560">
            <v>238.43199999999999</v>
          </cell>
          <cell r="DT560">
            <v>75.584999999999994</v>
          </cell>
          <cell r="DU560">
            <v>247.875</v>
          </cell>
          <cell r="DV560">
            <v>-324.2</v>
          </cell>
          <cell r="DX560">
            <v>444.80099999999999</v>
          </cell>
          <cell r="DY560">
            <v>21.194999999999993</v>
          </cell>
          <cell r="DZ560">
            <v>189.95600000000027</v>
          </cell>
          <cell r="EA560">
            <v>2.7554341771684676</v>
          </cell>
          <cell r="FV560">
            <v>-91.824000000000026</v>
          </cell>
          <cell r="FW560">
            <v>-380.52600000000001</v>
          </cell>
          <cell r="FX560">
            <v>-942.06599999999992</v>
          </cell>
          <cell r="FY560">
            <v>500.93800000000005</v>
          </cell>
          <cell r="FZ560">
            <v>237.69200000000006</v>
          </cell>
          <cell r="GA560">
            <v>658.70743417716869</v>
          </cell>
          <cell r="GL560">
            <v>237.69200000000006</v>
          </cell>
          <cell r="GM560">
            <v>658.70743417716869</v>
          </cell>
          <cell r="GN560">
            <v>-532.12742836598272</v>
          </cell>
          <cell r="GO560">
            <v>-618.61619865778607</v>
          </cell>
          <cell r="GP560">
            <v>-449.49428638662164</v>
          </cell>
          <cell r="GQ560">
            <v>-821.54435713812416</v>
          </cell>
          <cell r="GR560">
            <v>-898.61071338145712</v>
          </cell>
          <cell r="GS560">
            <v>267.60284764259688</v>
          </cell>
          <cell r="GT560">
            <v>-361.78925293393877</v>
          </cell>
          <cell r="GU560">
            <v>-1009.100744400739</v>
          </cell>
          <cell r="GV560">
            <v>-1671.8916030212981</v>
          </cell>
          <cell r="GW560">
            <v>-529.87264403899212</v>
          </cell>
          <cell r="GX560">
            <v>1390.726330773696</v>
          </cell>
          <cell r="GY560">
            <v>-653.73634271383776</v>
          </cell>
          <cell r="GZ560">
            <v>-717.82955217578547</v>
          </cell>
        </row>
        <row r="561">
          <cell r="DD561" t="str">
            <v xml:space="preserve"> --</v>
          </cell>
          <cell r="DE561" t="str">
            <v xml:space="preserve"> --</v>
          </cell>
          <cell r="DF561" t="str">
            <v xml:space="preserve"> --</v>
          </cell>
          <cell r="DG561" t="str">
            <v xml:space="preserve"> --</v>
          </cell>
          <cell r="DI561" t="str">
            <v xml:space="preserve"> --</v>
          </cell>
          <cell r="DJ561" t="str">
            <v xml:space="preserve"> --</v>
          </cell>
          <cell r="DK561" t="str">
            <v xml:space="preserve"> --</v>
          </cell>
          <cell r="DL561" t="str">
            <v xml:space="preserve"> --</v>
          </cell>
          <cell r="DN561" t="str">
            <v xml:space="preserve"> --</v>
          </cell>
          <cell r="DO561" t="str">
            <v xml:space="preserve"> --</v>
          </cell>
          <cell r="DP561">
            <v>0</v>
          </cell>
          <cell r="DQ561">
            <v>0</v>
          </cell>
          <cell r="DS561">
            <v>0</v>
          </cell>
          <cell r="DT561">
            <v>0</v>
          </cell>
          <cell r="DU561">
            <v>0</v>
          </cell>
          <cell r="DV561">
            <v>0</v>
          </cell>
          <cell r="DX561">
            <v>-79.122000000000071</v>
          </cell>
          <cell r="DY561">
            <v>-251.24099999999999</v>
          </cell>
          <cell r="DZ561">
            <v>-45.309999999999945</v>
          </cell>
          <cell r="EA561">
            <v>333.72220642666639</v>
          </cell>
          <cell r="FV561">
            <v>-180.87299999999999</v>
          </cell>
          <cell r="FW561">
            <v>-444.30599999999998</v>
          </cell>
          <cell r="FX561">
            <v>-581.22500000000002</v>
          </cell>
          <cell r="FY561">
            <v>-215.32400000000007</v>
          </cell>
          <cell r="FZ561">
            <v>496.19299999999998</v>
          </cell>
          <cell r="GA561">
            <v>-41.950793573333613</v>
          </cell>
          <cell r="GL561">
            <v>496.19299999999998</v>
          </cell>
          <cell r="GM561">
            <v>-41.950793573333613</v>
          </cell>
          <cell r="GN561">
            <v>-402.19941431363395</v>
          </cell>
          <cell r="GO561">
            <v>-420.20805311087565</v>
          </cell>
          <cell r="GP561">
            <v>-322.49275787088754</v>
          </cell>
          <cell r="GQ561">
            <v>-214.17381980195296</v>
          </cell>
          <cell r="GR561">
            <v>-609.32126241528249</v>
          </cell>
          <cell r="GS561">
            <v>137.09728404343787</v>
          </cell>
          <cell r="GT561">
            <v>-463.11462549873568</v>
          </cell>
          <cell r="GU561">
            <v>-490.83569633231946</v>
          </cell>
          <cell r="GV561">
            <v>-1147.1696403926899</v>
          </cell>
          <cell r="GW561">
            <v>-483.84850583158823</v>
          </cell>
          <cell r="GX561">
            <v>323.1416806803818</v>
          </cell>
          <cell r="GY561">
            <v>-389.88512599909518</v>
          </cell>
          <cell r="GZ561">
            <v>-346.84970449640969</v>
          </cell>
        </row>
        <row r="562">
          <cell r="DD562" t="str">
            <v xml:space="preserve"> --</v>
          </cell>
          <cell r="DE562" t="str">
            <v xml:space="preserve"> --</v>
          </cell>
          <cell r="DF562" t="str">
            <v xml:space="preserve"> --</v>
          </cell>
          <cell r="DG562" t="str">
            <v xml:space="preserve"> --</v>
          </cell>
          <cell r="DI562" t="str">
            <v xml:space="preserve"> --</v>
          </cell>
          <cell r="DJ562" t="str">
            <v xml:space="preserve"> --</v>
          </cell>
          <cell r="DK562" t="str">
            <v xml:space="preserve"> --</v>
          </cell>
          <cell r="DL562" t="str">
            <v xml:space="preserve"> --</v>
          </cell>
          <cell r="DN562" t="str">
            <v xml:space="preserve"> --</v>
          </cell>
          <cell r="DO562" t="str">
            <v xml:space="preserve"> --</v>
          </cell>
          <cell r="DP562">
            <v>0</v>
          </cell>
          <cell r="DQ562">
            <v>0</v>
          </cell>
          <cell r="DS562">
            <v>0</v>
          </cell>
          <cell r="DT562">
            <v>0</v>
          </cell>
          <cell r="DU562">
            <v>0</v>
          </cell>
          <cell r="DV562">
            <v>0</v>
          </cell>
          <cell r="DX562">
            <v>-9.0140000000001237</v>
          </cell>
          <cell r="DY562">
            <v>-45.65099999999984</v>
          </cell>
          <cell r="DZ562">
            <v>-8.1739999999999782</v>
          </cell>
          <cell r="EA562">
            <v>70.399581804854051</v>
          </cell>
          <cell r="FV562">
            <v>-112.381</v>
          </cell>
          <cell r="FW562">
            <v>-597.69799999999998</v>
          </cell>
          <cell r="FX562">
            <v>-559.84199999999998</v>
          </cell>
          <cell r="FY562">
            <v>494.82500000000005</v>
          </cell>
          <cell r="FZ562">
            <v>184.71</v>
          </cell>
          <cell r="GA562">
            <v>7.5605818048541096</v>
          </cell>
          <cell r="GL562">
            <v>184.71</v>
          </cell>
          <cell r="GM562">
            <v>7.5605818048541096</v>
          </cell>
          <cell r="GN562">
            <v>-324.38067040980627</v>
          </cell>
          <cell r="GO562">
            <v>-205.3248419536144</v>
          </cell>
          <cell r="GP562">
            <v>-167.43754254081728</v>
          </cell>
          <cell r="GQ562">
            <v>-584.38210290405959</v>
          </cell>
          <cell r="GR562">
            <v>-480.46399704896885</v>
          </cell>
          <cell r="GS562">
            <v>18.849538823751118</v>
          </cell>
          <cell r="GT562">
            <v>-14.330431438091637</v>
          </cell>
          <cell r="GU562">
            <v>-448.17761217834732</v>
          </cell>
          <cell r="GV562">
            <v>-1248.8966666012111</v>
          </cell>
          <cell r="GW562">
            <v>-440.1293372689488</v>
          </cell>
          <cell r="GX562">
            <v>725.74683829171317</v>
          </cell>
          <cell r="GY562">
            <v>-263.88313673475386</v>
          </cell>
          <cell r="GZ562">
            <v>-408.36736476425267</v>
          </cell>
        </row>
        <row r="563">
          <cell r="DD563" t="str">
            <v xml:space="preserve"> --</v>
          </cell>
          <cell r="DE563" t="str">
            <v xml:space="preserve"> --</v>
          </cell>
          <cell r="DF563" t="str">
            <v xml:space="preserve"> --</v>
          </cell>
          <cell r="DG563" t="str">
            <v xml:space="preserve"> --</v>
          </cell>
          <cell r="DI563" t="str">
            <v xml:space="preserve"> --</v>
          </cell>
          <cell r="DJ563" t="str">
            <v xml:space="preserve"> --</v>
          </cell>
          <cell r="DK563" t="str">
            <v xml:space="preserve"> --</v>
          </cell>
          <cell r="DL563" t="str">
            <v xml:space="preserve"> --</v>
          </cell>
          <cell r="DN563" t="str">
            <v xml:space="preserve"> --</v>
          </cell>
          <cell r="DO563" t="str">
            <v xml:space="preserve"> --</v>
          </cell>
          <cell r="DP563">
            <v>0</v>
          </cell>
          <cell r="DQ563">
            <v>0</v>
          </cell>
          <cell r="DS563">
            <v>0</v>
          </cell>
          <cell r="DT563">
            <v>0</v>
          </cell>
          <cell r="DU563">
            <v>0</v>
          </cell>
          <cell r="DV563">
            <v>0</v>
          </cell>
          <cell r="DX563">
            <v>310.51100000000008</v>
          </cell>
          <cell r="DY563">
            <v>41.041999999999987</v>
          </cell>
          <cell r="DZ563">
            <v>5.1549999999998875</v>
          </cell>
          <cell r="EA563">
            <v>104.25013460000002</v>
          </cell>
          <cell r="FV563">
            <v>-30.847999999999999</v>
          </cell>
          <cell r="FW563">
            <v>-89.463999999999999</v>
          </cell>
          <cell r="FX563">
            <v>-159.90199999999999</v>
          </cell>
          <cell r="FY563">
            <v>-299.46899999999999</v>
          </cell>
          <cell r="FZ563">
            <v>127.523</v>
          </cell>
          <cell r="GA563">
            <v>460.95813459999999</v>
          </cell>
          <cell r="GL563">
            <v>127.523</v>
          </cell>
          <cell r="GM563">
            <v>460.95813459999999</v>
          </cell>
          <cell r="GN563">
            <v>-92.724453704043299</v>
          </cell>
          <cell r="GO563">
            <v>-119.13420871749065</v>
          </cell>
          <cell r="GP563">
            <v>-173.26901084252199</v>
          </cell>
          <cell r="GQ563">
            <v>-169.7211215728895</v>
          </cell>
          <cell r="GR563">
            <v>0</v>
          </cell>
          <cell r="GS563">
            <v>-93.446452818955549</v>
          </cell>
          <cell r="GT563">
            <v>-214.45960921950314</v>
          </cell>
          <cell r="GU563">
            <v>-383.75654779160527</v>
          </cell>
          <cell r="GV563">
            <v>-260.36405780938162</v>
          </cell>
          <cell r="GW563">
            <v>318.01609918145891</v>
          </cell>
          <cell r="GX563">
            <v>-90.104561434746756</v>
          </cell>
          <cell r="GY563">
            <v>-227.06349481556185</v>
          </cell>
          <cell r="GZ563">
            <v>-233.11852134397668</v>
          </cell>
        </row>
        <row r="564">
          <cell r="DD564" t="str">
            <v xml:space="preserve"> --</v>
          </cell>
          <cell r="DE564" t="str">
            <v xml:space="preserve"> --</v>
          </cell>
          <cell r="DF564" t="str">
            <v xml:space="preserve"> --</v>
          </cell>
          <cell r="DG564" t="str">
            <v xml:space="preserve"> --</v>
          </cell>
          <cell r="DI564" t="str">
            <v xml:space="preserve"> --</v>
          </cell>
          <cell r="DJ564" t="str">
            <v xml:space="preserve"> --</v>
          </cell>
          <cell r="DK564" t="str">
            <v xml:space="preserve"> --</v>
          </cell>
          <cell r="DL564" t="str">
            <v xml:space="preserve"> --</v>
          </cell>
          <cell r="DN564" t="str">
            <v xml:space="preserve"> --</v>
          </cell>
          <cell r="DO564" t="str">
            <v xml:space="preserve"> --</v>
          </cell>
          <cell r="DP564">
            <v>0</v>
          </cell>
          <cell r="DQ564">
            <v>0</v>
          </cell>
          <cell r="DS564">
            <v>0</v>
          </cell>
          <cell r="DT564">
            <v>0</v>
          </cell>
          <cell r="DU564">
            <v>0</v>
          </cell>
          <cell r="DV564">
            <v>0</v>
          </cell>
          <cell r="DX564">
            <v>261.22599999999989</v>
          </cell>
          <cell r="DY564">
            <v>292.70499999999993</v>
          </cell>
          <cell r="DZ564">
            <v>239.48600000000033</v>
          </cell>
          <cell r="EA564">
            <v>-574.01254055435197</v>
          </cell>
          <cell r="FV564">
            <v>253.64500000000001</v>
          </cell>
          <cell r="FW564">
            <v>721.96500000000003</v>
          </cell>
          <cell r="FX564">
            <v>464.00900000000001</v>
          </cell>
          <cell r="FY564">
            <v>482.16200000000003</v>
          </cell>
          <cell r="FZ564">
            <v>-477.988</v>
          </cell>
          <cell r="GA564">
            <v>219.40445944564817</v>
          </cell>
          <cell r="GL564">
            <v>-477.988</v>
          </cell>
          <cell r="GM564">
            <v>219.40445944564817</v>
          </cell>
          <cell r="GN564">
            <v>348.01143485421812</v>
          </cell>
          <cell r="GO564">
            <v>204.21204663035542</v>
          </cell>
          <cell r="GP564">
            <v>327.38273189136953</v>
          </cell>
          <cell r="GQ564">
            <v>258.08270778262704</v>
          </cell>
          <cell r="GR564">
            <v>191.17454608279422</v>
          </cell>
          <cell r="GS564">
            <v>266.41048895952281</v>
          </cell>
          <cell r="GT564">
            <v>470.81729930543224</v>
          </cell>
          <cell r="GU564">
            <v>565.44272217483285</v>
          </cell>
          <cell r="GV564">
            <v>1155.3574727520236</v>
          </cell>
          <cell r="GW564">
            <v>-132.55375423331861</v>
          </cell>
          <cell r="GX564">
            <v>491.05784856847913</v>
          </cell>
          <cell r="GY564">
            <v>376.06641267254417</v>
          </cell>
          <cell r="GZ564">
            <v>423.4495962081437</v>
          </cell>
        </row>
        <row r="565">
          <cell r="DD565" t="str">
            <v xml:space="preserve"> --</v>
          </cell>
          <cell r="DE565" t="str">
            <v xml:space="preserve"> --</v>
          </cell>
          <cell r="DF565" t="str">
            <v xml:space="preserve"> --</v>
          </cell>
          <cell r="DG565" t="str">
            <v xml:space="preserve"> --</v>
          </cell>
          <cell r="DI565" t="str">
            <v xml:space="preserve"> --</v>
          </cell>
          <cell r="DJ565" t="str">
            <v xml:space="preserve"> --</v>
          </cell>
          <cell r="DK565" t="str">
            <v xml:space="preserve"> --</v>
          </cell>
          <cell r="DL565" t="str">
            <v xml:space="preserve"> --</v>
          </cell>
          <cell r="DN565" t="str">
            <v xml:space="preserve"> --</v>
          </cell>
          <cell r="DO565" t="str">
            <v xml:space="preserve"> --</v>
          </cell>
          <cell r="DP565">
            <v>0</v>
          </cell>
          <cell r="DQ565">
            <v>0</v>
          </cell>
          <cell r="DS565">
            <v>0</v>
          </cell>
          <cell r="DT565">
            <v>0</v>
          </cell>
          <cell r="DU565">
            <v>0</v>
          </cell>
          <cell r="DV565">
            <v>0</v>
          </cell>
          <cell r="DX565">
            <v>0</v>
          </cell>
          <cell r="DY565">
            <v>0</v>
          </cell>
          <cell r="DZ565">
            <v>0</v>
          </cell>
          <cell r="EA565">
            <v>0</v>
          </cell>
          <cell r="FV565">
            <v>0.314</v>
          </cell>
          <cell r="FW565">
            <v>-2.2919999999999998</v>
          </cell>
          <cell r="FX565">
            <v>1.7230000000000001</v>
          </cell>
          <cell r="FY565">
            <v>0</v>
          </cell>
          <cell r="FZ565">
            <v>0</v>
          </cell>
          <cell r="GA565">
            <v>0</v>
          </cell>
          <cell r="GL565">
            <v>0</v>
          </cell>
          <cell r="GM565">
            <v>0</v>
          </cell>
          <cell r="GN565">
            <v>0</v>
          </cell>
          <cell r="GO565">
            <v>0</v>
          </cell>
          <cell r="GP565">
            <v>0</v>
          </cell>
          <cell r="GQ565">
            <v>0</v>
          </cell>
          <cell r="GR565">
            <v>0</v>
          </cell>
          <cell r="GS565">
            <v>0</v>
          </cell>
          <cell r="GT565">
            <v>0</v>
          </cell>
          <cell r="GU565">
            <v>0</v>
          </cell>
          <cell r="GV565">
            <v>0</v>
          </cell>
          <cell r="GW565">
            <v>0</v>
          </cell>
          <cell r="GX565">
            <v>0</v>
          </cell>
          <cell r="GY565">
            <v>0</v>
          </cell>
          <cell r="GZ565">
            <v>0</v>
          </cell>
        </row>
        <row r="566">
          <cell r="DD566" t="str">
            <v xml:space="preserve"> --</v>
          </cell>
          <cell r="DE566" t="str">
            <v xml:space="preserve"> --</v>
          </cell>
          <cell r="DF566" t="str">
            <v xml:space="preserve"> --</v>
          </cell>
          <cell r="DG566" t="str">
            <v xml:space="preserve"> --</v>
          </cell>
          <cell r="DI566" t="str">
            <v xml:space="preserve"> --</v>
          </cell>
          <cell r="DJ566" t="str">
            <v xml:space="preserve"> --</v>
          </cell>
          <cell r="DK566" t="str">
            <v xml:space="preserve"> --</v>
          </cell>
          <cell r="DL566" t="str">
            <v xml:space="preserve"> --</v>
          </cell>
          <cell r="DN566" t="str">
            <v xml:space="preserve"> --</v>
          </cell>
          <cell r="DO566" t="str">
            <v xml:space="preserve"> --</v>
          </cell>
          <cell r="DP566">
            <v>0</v>
          </cell>
          <cell r="DQ566">
            <v>0</v>
          </cell>
          <cell r="DS566">
            <v>0</v>
          </cell>
          <cell r="DT566">
            <v>0</v>
          </cell>
          <cell r="DU566">
            <v>0</v>
          </cell>
          <cell r="DV566">
            <v>0</v>
          </cell>
          <cell r="DX566">
            <v>-38.821000000000026</v>
          </cell>
          <cell r="DY566">
            <v>-15.659999999999968</v>
          </cell>
          <cell r="DZ566">
            <v>-1.2010000000000218</v>
          </cell>
          <cell r="EA566">
            <v>68.396051899999975</v>
          </cell>
          <cell r="FV566">
            <v>-21.681000000000001</v>
          </cell>
          <cell r="FW566">
            <v>-16.106999999999999</v>
          </cell>
          <cell r="FX566">
            <v>-179.744</v>
          </cell>
          <cell r="FY566">
            <v>0</v>
          </cell>
          <cell r="FZ566">
            <v>-92.798000000000002</v>
          </cell>
          <cell r="GA566">
            <v>12.714051899999959</v>
          </cell>
          <cell r="GL566">
            <v>-92.798000000000002</v>
          </cell>
          <cell r="GM566">
            <v>12.714051899999959</v>
          </cell>
          <cell r="GN566">
            <v>-60.834324792717325</v>
          </cell>
          <cell r="GO566">
            <v>-78.161141506160732</v>
          </cell>
          <cell r="GP566">
            <v>-113.67770702376436</v>
          </cell>
          <cell r="GQ566">
            <v>-111.35002064184914</v>
          </cell>
          <cell r="GR566">
            <v>0</v>
          </cell>
          <cell r="GS566">
            <v>-61.308011365159359</v>
          </cell>
          <cell r="GT566">
            <v>-140.70188608304056</v>
          </cell>
          <cell r="GU566">
            <v>-251.77361027329982</v>
          </cell>
          <cell r="GV566">
            <v>-170.81871097003886</v>
          </cell>
          <cell r="GW566">
            <v>208.64285411340461</v>
          </cell>
          <cell r="GX566">
            <v>-59.115475332131382</v>
          </cell>
          <cell r="GY566">
            <v>-148.97099783697104</v>
          </cell>
          <cell r="GZ566">
            <v>-152.94355777929013</v>
          </cell>
        </row>
        <row r="567">
          <cell r="FX567" t="str">
            <v xml:space="preserve"> </v>
          </cell>
          <cell r="FZ567">
            <v>237.64000000000004</v>
          </cell>
        </row>
        <row r="568">
          <cell r="DD568">
            <v>-121.78999999999999</v>
          </cell>
          <cell r="DE568">
            <v>-149.18600000000001</v>
          </cell>
          <cell r="DF568">
            <v>-176.77100000000002</v>
          </cell>
          <cell r="DG568">
            <v>-431.66899999999998</v>
          </cell>
          <cell r="DI568">
            <v>-309.08</v>
          </cell>
          <cell r="DJ568">
            <v>-305.45100000000002</v>
          </cell>
          <cell r="DK568">
            <v>-301.76499999999999</v>
          </cell>
          <cell r="DL568">
            <v>-209.34100000000001</v>
          </cell>
          <cell r="DN568">
            <v>-423.32299999999998</v>
          </cell>
          <cell r="DO568">
            <v>-241.65999999999997</v>
          </cell>
          <cell r="DP568">
            <v>-290.66000000000003</v>
          </cell>
          <cell r="DQ568">
            <v>-127.61699999999999</v>
          </cell>
          <cell r="DS568">
            <v>-101.63</v>
          </cell>
          <cell r="DT568">
            <v>-524.56400000000008</v>
          </cell>
          <cell r="DU568">
            <v>-169.751</v>
          </cell>
          <cell r="DV568">
            <v>-17.100999999999978</v>
          </cell>
          <cell r="DX568">
            <v>-62.67</v>
          </cell>
          <cell r="DY568">
            <v>-79.478999999999999</v>
          </cell>
          <cell r="DZ568">
            <v>-177.005</v>
          </cell>
          <cell r="EA568">
            <v>-46.137109418400001</v>
          </cell>
          <cell r="FV568">
            <v>-572.20399999999995</v>
          </cell>
          <cell r="FW568">
            <v>-879.41599999999994</v>
          </cell>
          <cell r="FX568">
            <v>-1125.6369999999999</v>
          </cell>
          <cell r="FY568">
            <v>-1083.26</v>
          </cell>
          <cell r="FZ568">
            <v>-813.04600000000005</v>
          </cell>
          <cell r="GA568">
            <v>-365.29110941839997</v>
          </cell>
          <cell r="GL568">
            <v>-813.04600000000005</v>
          </cell>
          <cell r="GM568">
            <v>-365.29110941839997</v>
          </cell>
          <cell r="GN568">
            <v>-274.22959448147645</v>
          </cell>
          <cell r="GO568">
            <v>-428.76283578712491</v>
          </cell>
          <cell r="GP568">
            <v>-768.70866339637155</v>
          </cell>
          <cell r="GQ568">
            <v>-1103.2280497911302</v>
          </cell>
          <cell r="GR568">
            <v>-898.38913617375465</v>
          </cell>
          <cell r="GS568">
            <v>-812.64725371427232</v>
          </cell>
          <cell r="GT568">
            <v>-1196.8861893395299</v>
          </cell>
          <cell r="GU568">
            <v>-2022.3541199955921</v>
          </cell>
          <cell r="GV568">
            <v>-1893.4836967949752</v>
          </cell>
          <cell r="GW568">
            <v>-665.32402017975062</v>
          </cell>
          <cell r="GX568">
            <v>-716.25939253009756</v>
          </cell>
          <cell r="GY568">
            <v>-1020.4526235604511</v>
          </cell>
          <cell r="GZ568">
            <v>-1038.7328336992064</v>
          </cell>
        </row>
        <row r="569">
          <cell r="S569">
            <v>-7.9720000000000004</v>
          </cell>
          <cell r="T569">
            <v>-9.0050000000000008</v>
          </cell>
          <cell r="U569">
            <v>-7.5789999999999997</v>
          </cell>
          <cell r="V569">
            <v>-9.1270000000000007</v>
          </cell>
          <cell r="X569">
            <v>-36.283999999999999</v>
          </cell>
          <cell r="Y569">
            <v>-20.702999999999999</v>
          </cell>
          <cell r="Z569">
            <v>-18.169</v>
          </cell>
          <cell r="AA569">
            <v>-27.026</v>
          </cell>
          <cell r="AC569">
            <v>-40.002000000000002</v>
          </cell>
          <cell r="AD569">
            <v>-26.606999999999999</v>
          </cell>
          <cell r="AE569">
            <v>-40.299999999999997</v>
          </cell>
          <cell r="AF569">
            <v>-52.8</v>
          </cell>
          <cell r="AH569">
            <v>-37.545000000000002</v>
          </cell>
          <cell r="AJ569">
            <v>-45.493000000000002</v>
          </cell>
          <cell r="AK569">
            <v>-32.097999999999999</v>
          </cell>
          <cell r="AL569">
            <v>-45.805</v>
          </cell>
          <cell r="AM569">
            <v>-58.317</v>
          </cell>
          <cell r="AY569">
            <v>-60.646000000000001</v>
          </cell>
          <cell r="AZ569">
            <v>-50.517000000000003</v>
          </cell>
          <cell r="BA569">
            <v>-61.631999999999998</v>
          </cell>
          <cell r="BB569">
            <v>-65.911000000000001</v>
          </cell>
          <cell r="BI569">
            <v>-37.545000000000002</v>
          </cell>
          <cell r="BJ569">
            <v>-70.072000000000003</v>
          </cell>
          <cell r="BK569">
            <v>-71.097999999999999</v>
          </cell>
          <cell r="BL569">
            <v>-60</v>
          </cell>
          <cell r="BN569">
            <v>-62.722000000000001</v>
          </cell>
          <cell r="BO569">
            <v>-90.393000000000001</v>
          </cell>
          <cell r="BP569">
            <v>-160.00200000000001</v>
          </cell>
          <cell r="BQ569" t="str">
            <v>--</v>
          </cell>
          <cell r="BU569">
            <v>-167.4</v>
          </cell>
          <cell r="BV569">
            <v>-130.5</v>
          </cell>
          <cell r="BX569">
            <v>-193.49799999999999</v>
          </cell>
          <cell r="BZ569">
            <v>-51.225000000000001</v>
          </cell>
          <cell r="CA569">
            <v>-57.094000000000001</v>
          </cell>
          <cell r="CB569">
            <v>-82.064999999999998</v>
          </cell>
          <cell r="CC569">
            <v>-47.109000000000002</v>
          </cell>
          <cell r="CE569">
            <v>-75.528000000000006</v>
          </cell>
          <cell r="CF569">
            <v>-63.68</v>
          </cell>
          <cell r="CG569">
            <v>-82.971999999999994</v>
          </cell>
          <cell r="CH569">
            <v>-206.386</v>
          </cell>
          <cell r="CJ569">
            <v>-73.155000000000001</v>
          </cell>
          <cell r="CK569">
            <v>-102.30799999999999</v>
          </cell>
          <cell r="CL569">
            <v>-175.03399999999999</v>
          </cell>
          <cell r="CM569">
            <v>-145.52699999999999</v>
          </cell>
          <cell r="CO569">
            <v>-203.50700000000001</v>
          </cell>
          <cell r="CP569">
            <v>-279.649</v>
          </cell>
          <cell r="CT569">
            <v>-54.146000000000001</v>
          </cell>
          <cell r="CU569">
            <v>-60.015000000000001</v>
          </cell>
          <cell r="CV569">
            <v>-84.986999999999995</v>
          </cell>
          <cell r="CW569">
            <v>-50.531999999999996</v>
          </cell>
          <cell r="CY569">
            <v>-82.02</v>
          </cell>
          <cell r="CZ569">
            <v>-70.171999999999997</v>
          </cell>
          <cell r="DA569">
            <v>-89.463999999999999</v>
          </cell>
          <cell r="DB569">
            <v>-212.87899999999999</v>
          </cell>
          <cell r="DD569">
            <v>-69.010999999999996</v>
          </cell>
          <cell r="DE569">
            <v>-112.819</v>
          </cell>
          <cell r="DF569">
            <v>-154.904</v>
          </cell>
          <cell r="DG569">
            <v>-125.664</v>
          </cell>
          <cell r="DI569">
            <v>-148.73400000000001</v>
          </cell>
          <cell r="DJ569">
            <v>-257.541</v>
          </cell>
          <cell r="DK569">
            <v>-161.38499999999999</v>
          </cell>
          <cell r="DL569">
            <v>-136.696</v>
          </cell>
          <cell r="DN569">
            <v>-111.224</v>
          </cell>
          <cell r="DO569">
            <v>-121.354</v>
          </cell>
          <cell r="DP569">
            <v>-52.493000000000002</v>
          </cell>
          <cell r="DQ569">
            <v>-45.320999999999998</v>
          </cell>
          <cell r="DS569">
            <v>-54.354999999999997</v>
          </cell>
          <cell r="DT569">
            <v>-56.055999999999997</v>
          </cell>
          <cell r="DU569">
            <v>-46.240999999999993</v>
          </cell>
          <cell r="DV569">
            <v>-51.659000000000027</v>
          </cell>
          <cell r="DX569">
            <v>-32.316000000000003</v>
          </cell>
          <cell r="DY569">
            <v>-33.768000000000001</v>
          </cell>
          <cell r="DZ569">
            <v>-29.654</v>
          </cell>
          <cell r="EA569">
            <v>-46.137109418400001</v>
          </cell>
          <cell r="EC569">
            <v>-52.89847911454401</v>
          </cell>
          <cell r="ED569">
            <v>-65.074686761073934</v>
          </cell>
          <cell r="EE569">
            <v>-78.629259935450833</v>
          </cell>
          <cell r="EF569">
            <v>-77.62716867040767</v>
          </cell>
          <cell r="EH569">
            <v>-75.032467560515173</v>
          </cell>
          <cell r="EI569">
            <v>-85.599483794905765</v>
          </cell>
          <cell r="EJ569">
            <v>-97.628566529468685</v>
          </cell>
          <cell r="EK569">
            <v>-95.502317902235305</v>
          </cell>
          <cell r="EM569" t="str">
            <v>--</v>
          </cell>
          <cell r="EN569" t="str">
            <v>--</v>
          </cell>
          <cell r="EO569" t="str">
            <v>--</v>
          </cell>
          <cell r="EP569" t="str">
            <v>--</v>
          </cell>
          <cell r="EQ569" t="str">
            <v>--</v>
          </cell>
          <cell r="ER569">
            <v>-23.52</v>
          </cell>
          <cell r="ES569">
            <v>-37.503</v>
          </cell>
          <cell r="ET569">
            <v>-98.617000000000004</v>
          </cell>
          <cell r="EU569">
            <v>-147.86500000000001</v>
          </cell>
          <cell r="EW569" t="str">
            <v>--</v>
          </cell>
          <cell r="EX569" t="str">
            <v>--</v>
          </cell>
          <cell r="EZ569" t="str">
            <v>--</v>
          </cell>
          <cell r="FA569" t="str">
            <v>--</v>
          </cell>
          <cell r="FB569">
            <v>-104.072</v>
          </cell>
          <cell r="FC569">
            <v>-165.93299999999999</v>
          </cell>
          <cell r="FD569">
            <v>-250.458</v>
          </cell>
          <cell r="FF569" t="str">
            <v>--</v>
          </cell>
          <cell r="FH569" t="str">
            <v>--</v>
          </cell>
          <cell r="FI569" t="str">
            <v>--</v>
          </cell>
          <cell r="FJ569" t="str">
            <v>--</v>
          </cell>
          <cell r="FK569">
            <v>-342.96300000000002</v>
          </cell>
          <cell r="FL569">
            <v>-433.149</v>
          </cell>
          <cell r="FN569" t="str">
            <v>--</v>
          </cell>
          <cell r="FO569" t="str">
            <v>--</v>
          </cell>
          <cell r="FP569">
            <v>-237.97</v>
          </cell>
          <cell r="FQ569">
            <v>-383.68599999999998</v>
          </cell>
          <cell r="FR569">
            <v>-457.68400000000003</v>
          </cell>
          <cell r="FT569" t="str">
            <v xml:space="preserve"> --</v>
          </cell>
          <cell r="FU569" t="str">
            <v xml:space="preserve"> --</v>
          </cell>
          <cell r="FV569">
            <v>-322.185</v>
          </cell>
          <cell r="FW569">
            <v>-462.39799999999997</v>
          </cell>
          <cell r="FX569">
            <v>-704.35599999999999</v>
          </cell>
          <cell r="FY569">
            <v>-330.39200000000005</v>
          </cell>
          <cell r="FZ569">
            <v>-208.31100000000001</v>
          </cell>
          <cell r="GA569">
            <v>-141.8751094184</v>
          </cell>
          <cell r="GB569">
            <v>-274.22959448147645</v>
          </cell>
          <cell r="GC569">
            <v>-353.76283578712491</v>
          </cell>
          <cell r="GL569">
            <v>-208.31100000000001</v>
          </cell>
          <cell r="GM569">
            <v>-141.8751094184</v>
          </cell>
          <cell r="GN569">
            <v>-274.22959448147645</v>
          </cell>
          <cell r="GO569">
            <v>-353.76283578712491</v>
          </cell>
          <cell r="GP569">
            <v>-468.70866339637155</v>
          </cell>
          <cell r="GQ569">
            <v>-603.22804979113005</v>
          </cell>
          <cell r="GR569">
            <v>-548.38913617375465</v>
          </cell>
          <cell r="GS569">
            <v>-562.64725371427232</v>
          </cell>
          <cell r="GT569">
            <v>-796.88618933952989</v>
          </cell>
          <cell r="GU569">
            <v>-1222.3541199955921</v>
          </cell>
          <cell r="GV569">
            <v>-1393.4836967949752</v>
          </cell>
          <cell r="GW569">
            <v>-465.32402017975062</v>
          </cell>
          <cell r="GX569">
            <v>-666.25939253009756</v>
          </cell>
          <cell r="GY569">
            <v>-895.45262356045112</v>
          </cell>
          <cell r="GZ569">
            <v>-938.73283369920648</v>
          </cell>
          <cell r="HA569">
            <v>-971.86458077094323</v>
          </cell>
          <cell r="HB569">
            <v>-926.91584391028709</v>
          </cell>
          <cell r="HC569">
            <v>-786.55430183244346</v>
          </cell>
          <cell r="HD569">
            <v>-612.0822566987016</v>
          </cell>
          <cell r="HE569">
            <v>-567.70629308804564</v>
          </cell>
          <cell r="HF569">
            <v>-553.51363576084452</v>
          </cell>
          <cell r="HG569">
            <v>-491.77557638751955</v>
          </cell>
          <cell r="HH569">
            <v>-375.53771287774225</v>
          </cell>
          <cell r="HI569">
            <v>-295.73594889122199</v>
          </cell>
        </row>
        <row r="570">
          <cell r="DD570" t="str">
            <v xml:space="preserve"> --</v>
          </cell>
          <cell r="DE570" t="str">
            <v xml:space="preserve"> --</v>
          </cell>
          <cell r="DF570" t="str">
            <v xml:space="preserve"> --</v>
          </cell>
          <cell r="DG570" t="str">
            <v xml:space="preserve"> --</v>
          </cell>
          <cell r="DI570" t="str">
            <v xml:space="preserve"> --</v>
          </cell>
          <cell r="DJ570" t="str">
            <v xml:space="preserve"> --</v>
          </cell>
          <cell r="DK570" t="str">
            <v xml:space="preserve"> --</v>
          </cell>
          <cell r="DL570" t="str">
            <v xml:space="preserve"> --</v>
          </cell>
          <cell r="DN570" t="str">
            <v xml:space="preserve"> --</v>
          </cell>
          <cell r="DO570" t="str">
            <v xml:space="preserve"> --</v>
          </cell>
          <cell r="DP570" t="str">
            <v xml:space="preserve"> --</v>
          </cell>
          <cell r="DQ570">
            <v>0</v>
          </cell>
          <cell r="DS570">
            <v>0</v>
          </cell>
          <cell r="DT570">
            <v>0</v>
          </cell>
          <cell r="DU570">
            <v>0</v>
          </cell>
          <cell r="DV570">
            <v>0</v>
          </cell>
          <cell r="DX570">
            <v>0</v>
          </cell>
          <cell r="DY570">
            <v>0</v>
          </cell>
          <cell r="DZ570">
            <v>0</v>
          </cell>
          <cell r="EA570">
            <v>0</v>
          </cell>
          <cell r="FV570" t="str">
            <v xml:space="preserve"> --</v>
          </cell>
          <cell r="FW570">
            <v>0</v>
          </cell>
          <cell r="FX570">
            <v>0</v>
          </cell>
          <cell r="FY570">
            <v>0</v>
          </cell>
          <cell r="FZ570">
            <v>0</v>
          </cell>
          <cell r="GA570">
            <v>0</v>
          </cell>
          <cell r="GL570">
            <v>0</v>
          </cell>
          <cell r="GM570">
            <v>0</v>
          </cell>
          <cell r="GN570">
            <v>0</v>
          </cell>
          <cell r="GO570">
            <v>0</v>
          </cell>
          <cell r="GP570">
            <v>0</v>
          </cell>
          <cell r="GQ570">
            <v>0</v>
          </cell>
          <cell r="GR570">
            <v>0</v>
          </cell>
          <cell r="GS570">
            <v>0</v>
          </cell>
          <cell r="GT570">
            <v>0</v>
          </cell>
          <cell r="GU570">
            <v>0</v>
          </cell>
          <cell r="GV570">
            <v>0</v>
          </cell>
          <cell r="GW570">
            <v>0</v>
          </cell>
          <cell r="GX570">
            <v>0</v>
          </cell>
          <cell r="GY570">
            <v>0</v>
          </cell>
          <cell r="GZ570">
            <v>0</v>
          </cell>
        </row>
        <row r="571">
          <cell r="X571">
            <v>-6.25</v>
          </cell>
          <cell r="Y571">
            <v>-2.2000000000000002</v>
          </cell>
          <cell r="Z571">
            <v>1.504</v>
          </cell>
          <cell r="AD571">
            <v>-24</v>
          </cell>
          <cell r="AE571" t="str">
            <v>--</v>
          </cell>
          <cell r="AF571">
            <v>-22</v>
          </cell>
          <cell r="AH571">
            <v>-24.524000000000001</v>
          </cell>
          <cell r="AY571" t="str">
            <v xml:space="preserve"> --</v>
          </cell>
          <cell r="AZ571">
            <v>-24</v>
          </cell>
          <cell r="BA571" t="str">
            <v xml:space="preserve"> --</v>
          </cell>
          <cell r="BB571">
            <v>-118.898</v>
          </cell>
          <cell r="BI571">
            <v>-24.524000000000001</v>
          </cell>
          <cell r="BJ571">
            <v>-47.819000000000003</v>
          </cell>
          <cell r="BK571">
            <v>-4.2009999999999899</v>
          </cell>
          <cell r="BL571" t="str">
            <v xml:space="preserve"> --</v>
          </cell>
          <cell r="BN571" t="str">
            <v xml:space="preserve"> --</v>
          </cell>
          <cell r="BO571" t="str">
            <v xml:space="preserve"> --</v>
          </cell>
          <cell r="BP571" t="str">
            <v xml:space="preserve"> --</v>
          </cell>
          <cell r="BQ571" t="str">
            <v xml:space="preserve"> --</v>
          </cell>
          <cell r="BX571">
            <v>0</v>
          </cell>
          <cell r="CJ571" t="str">
            <v xml:space="preserve"> --</v>
          </cell>
          <cell r="CK571" t="str">
            <v xml:space="preserve"> --</v>
          </cell>
          <cell r="CO571" t="str">
            <v xml:space="preserve"> --</v>
          </cell>
          <cell r="CP571" t="str">
            <v xml:space="preserve"> --</v>
          </cell>
          <cell r="DD571" t="str">
            <v xml:space="preserve"> --</v>
          </cell>
          <cell r="DE571" t="str">
            <v xml:space="preserve"> --</v>
          </cell>
          <cell r="DF571">
            <v>-32.048999999999999</v>
          </cell>
          <cell r="DG571">
            <v>-53.694000000000003</v>
          </cell>
          <cell r="DI571">
            <v>-28.838000000000001</v>
          </cell>
          <cell r="DJ571">
            <v>-36.612000000000002</v>
          </cell>
          <cell r="DK571">
            <v>-47.402000000000001</v>
          </cell>
          <cell r="DL571">
            <v>-46.03</v>
          </cell>
          <cell r="DN571">
            <v>-11.601000000000001</v>
          </cell>
          <cell r="DO571">
            <v>-37.177999999999997</v>
          </cell>
          <cell r="DP571">
            <v>-99.275000000000006</v>
          </cell>
          <cell r="DQ571">
            <v>-33.518000000000001</v>
          </cell>
          <cell r="DS571">
            <v>-12.090999999999999</v>
          </cell>
          <cell r="DT571">
            <v>-3.294</v>
          </cell>
          <cell r="DU571">
            <v>8.2329999999999988</v>
          </cell>
          <cell r="DV571">
            <v>-0.99099999999999788</v>
          </cell>
          <cell r="DX571">
            <v>-6.2519999999999998</v>
          </cell>
          <cell r="DY571">
            <v>-23.072000000000003</v>
          </cell>
          <cell r="DZ571">
            <v>0</v>
          </cell>
          <cell r="EA571">
            <v>0</v>
          </cell>
          <cell r="EC571">
            <v>0</v>
          </cell>
          <cell r="ED571">
            <v>0</v>
          </cell>
          <cell r="EE571">
            <v>0</v>
          </cell>
          <cell r="EF571">
            <v>0</v>
          </cell>
          <cell r="EH571">
            <v>0</v>
          </cell>
          <cell r="EI571">
            <v>0</v>
          </cell>
          <cell r="EJ571">
            <v>0</v>
          </cell>
          <cell r="EK571">
            <v>0</v>
          </cell>
          <cell r="EM571" t="str">
            <v>--</v>
          </cell>
          <cell r="EN571" t="str">
            <v>--</v>
          </cell>
          <cell r="EO571" t="str">
            <v>--</v>
          </cell>
          <cell r="EP571" t="str">
            <v>--</v>
          </cell>
          <cell r="EQ571" t="str">
            <v>--</v>
          </cell>
          <cell r="ER571" t="str">
            <v xml:space="preserve"> --</v>
          </cell>
          <cell r="ES571" t="str">
            <v xml:space="preserve"> --</v>
          </cell>
          <cell r="ET571">
            <v>-6.25</v>
          </cell>
          <cell r="EU571">
            <v>-24</v>
          </cell>
          <cell r="EW571" t="str">
            <v>--</v>
          </cell>
          <cell r="EX571" t="str">
            <v>--</v>
          </cell>
          <cell r="EZ571" t="str">
            <v>--</v>
          </cell>
          <cell r="FA571" t="str">
            <v>--</v>
          </cell>
          <cell r="FB571">
            <v>-6.25</v>
          </cell>
          <cell r="FC571">
            <v>-24</v>
          </cell>
          <cell r="FD571">
            <v>-26.798999999999999</v>
          </cell>
          <cell r="FF571" t="str">
            <v>--</v>
          </cell>
          <cell r="FH571" t="str">
            <v>--</v>
          </cell>
          <cell r="FI571" t="str">
            <v>--</v>
          </cell>
          <cell r="FJ571" t="str">
            <v>--</v>
          </cell>
          <cell r="FK571">
            <v>-24</v>
          </cell>
          <cell r="FL571">
            <v>-60.926000000000002</v>
          </cell>
          <cell r="FN571" t="str">
            <v>--</v>
          </cell>
          <cell r="FO571" t="str">
            <v>--</v>
          </cell>
          <cell r="FP571">
            <v>-6.25</v>
          </cell>
          <cell r="FQ571">
            <v>-24</v>
          </cell>
          <cell r="FR571">
            <v>-60.926000000000002</v>
          </cell>
          <cell r="FT571" t="str">
            <v xml:space="preserve"> --</v>
          </cell>
          <cell r="FU571" t="str">
            <v xml:space="preserve"> --</v>
          </cell>
          <cell r="FV571">
            <v>-130.441</v>
          </cell>
          <cell r="FW571">
            <v>-85.742999999999995</v>
          </cell>
          <cell r="FX571">
            <v>-158.88200000000001</v>
          </cell>
          <cell r="FY571">
            <v>-181.572</v>
          </cell>
          <cell r="FZ571">
            <v>-8.1429999999999989</v>
          </cell>
          <cell r="GA571">
            <v>-29.324000000000002</v>
          </cell>
          <cell r="GB571">
            <v>0</v>
          </cell>
          <cell r="GC571">
            <v>0</v>
          </cell>
          <cell r="GL571">
            <v>-8.1429999999999989</v>
          </cell>
          <cell r="GM571">
            <v>-29.324000000000002</v>
          </cell>
          <cell r="GN571">
            <v>0</v>
          </cell>
          <cell r="GO571">
            <v>0</v>
          </cell>
          <cell r="GP571">
            <v>0</v>
          </cell>
          <cell r="GQ571">
            <v>0</v>
          </cell>
          <cell r="GR571">
            <v>0</v>
          </cell>
          <cell r="GS571">
            <v>0</v>
          </cell>
          <cell r="GT571">
            <v>0</v>
          </cell>
          <cell r="GU571">
            <v>0</v>
          </cell>
          <cell r="GV571">
            <v>0</v>
          </cell>
          <cell r="GW571">
            <v>0</v>
          </cell>
          <cell r="GX571">
            <v>0</v>
          </cell>
          <cell r="GY571">
            <v>0</v>
          </cell>
          <cell r="GZ571">
            <v>0</v>
          </cell>
          <cell r="HA571">
            <v>0</v>
          </cell>
          <cell r="HB571">
            <v>0</v>
          </cell>
          <cell r="HC571">
            <v>0</v>
          </cell>
          <cell r="HD571">
            <v>0</v>
          </cell>
          <cell r="HE571">
            <v>0</v>
          </cell>
          <cell r="HF571">
            <v>0</v>
          </cell>
          <cell r="HG571">
            <v>0</v>
          </cell>
          <cell r="HH571">
            <v>0</v>
          </cell>
          <cell r="HI571">
            <v>0</v>
          </cell>
        </row>
        <row r="572">
          <cell r="BX572">
            <v>-28.838000000000001</v>
          </cell>
          <cell r="CJ572">
            <v>-41.582000000000001</v>
          </cell>
          <cell r="CK572">
            <v>-47.777999999999999</v>
          </cell>
          <cell r="CO572">
            <v>-28.838000000000001</v>
          </cell>
          <cell r="CP572">
            <v>-36.612000000000002</v>
          </cell>
          <cell r="DD572">
            <v>-41.582000000000001</v>
          </cell>
          <cell r="DE572">
            <v>-47.802999999999997</v>
          </cell>
          <cell r="DF572" t="str">
            <v xml:space="preserve"> --</v>
          </cell>
          <cell r="DG572">
            <v>-160.37</v>
          </cell>
          <cell r="DI572">
            <v>-163.517</v>
          </cell>
          <cell r="DJ572" t="str">
            <v>--</v>
          </cell>
          <cell r="DK572">
            <v>-75.525000000000006</v>
          </cell>
          <cell r="DL572" t="str">
            <v>--</v>
          </cell>
          <cell r="DN572">
            <v>-301.738</v>
          </cell>
          <cell r="DO572">
            <v>-83.885000000000005</v>
          </cell>
          <cell r="DP572">
            <v>-143.649</v>
          </cell>
          <cell r="DQ572">
            <v>0</v>
          </cell>
          <cell r="DS572">
            <v>-2.0249999999999999</v>
          </cell>
          <cell r="DT572">
            <v>-447</v>
          </cell>
          <cell r="DU572">
            <v>-40.864999999999988</v>
          </cell>
          <cell r="DV572">
            <v>-11.711999999999966</v>
          </cell>
          <cell r="DX572">
            <v>0</v>
          </cell>
          <cell r="DY572">
            <v>0</v>
          </cell>
          <cell r="DZ572">
            <v>0</v>
          </cell>
          <cell r="EA572">
            <v>0</v>
          </cell>
          <cell r="EC572">
            <v>0</v>
          </cell>
          <cell r="ED572">
            <v>0</v>
          </cell>
          <cell r="EE572">
            <v>0</v>
          </cell>
          <cell r="EF572">
            <v>0</v>
          </cell>
          <cell r="EH572">
            <v>-75</v>
          </cell>
          <cell r="EI572">
            <v>0</v>
          </cell>
          <cell r="EJ572">
            <v>0</v>
          </cell>
          <cell r="EK572">
            <v>0</v>
          </cell>
          <cell r="EM572" t="str">
            <v>--</v>
          </cell>
          <cell r="EN572" t="str">
            <v>--</v>
          </cell>
          <cell r="EO572" t="str">
            <v>--</v>
          </cell>
          <cell r="EP572" t="str">
            <v>--</v>
          </cell>
          <cell r="EQ572" t="str">
            <v>--</v>
          </cell>
          <cell r="ER572">
            <v>-15.151999999999999</v>
          </cell>
          <cell r="ES572">
            <v>-82.353999999999999</v>
          </cell>
          <cell r="ET572">
            <v>4.3630000000000004</v>
          </cell>
          <cell r="EU572">
            <v>-21.820999999999998</v>
          </cell>
          <cell r="EW572" t="str">
            <v>--</v>
          </cell>
          <cell r="EX572" t="str">
            <v>--</v>
          </cell>
          <cell r="EZ572" t="str">
            <v>--</v>
          </cell>
          <cell r="FA572" t="str">
            <v>--</v>
          </cell>
          <cell r="FB572" t="str">
            <v>--</v>
          </cell>
          <cell r="FC572">
            <v>-22.2</v>
          </cell>
          <cell r="FD572">
            <v>-229.86099999999999</v>
          </cell>
          <cell r="FF572" t="str">
            <v>--</v>
          </cell>
          <cell r="FH572" t="str">
            <v>--</v>
          </cell>
          <cell r="FI572" t="str">
            <v>--</v>
          </cell>
          <cell r="FJ572" t="str">
            <v>--</v>
          </cell>
          <cell r="FK572">
            <v>-76.094999999999999</v>
          </cell>
          <cell r="FL572">
            <v>-255.95599999999999</v>
          </cell>
          <cell r="FN572" t="str">
            <v>--</v>
          </cell>
          <cell r="FO572" t="str">
            <v>--</v>
          </cell>
          <cell r="FP572">
            <v>-133.83699999999999</v>
          </cell>
          <cell r="FQ572">
            <v>-133.81200000000001</v>
          </cell>
          <cell r="FR572">
            <v>-274.572</v>
          </cell>
          <cell r="FT572" t="str">
            <v xml:space="preserve"> --</v>
          </cell>
          <cell r="FU572" t="str">
            <v xml:space="preserve"> --</v>
          </cell>
          <cell r="FV572">
            <v>-104.9</v>
          </cell>
          <cell r="FW572">
            <v>-249.755</v>
          </cell>
          <cell r="FX572">
            <v>-239.042</v>
          </cell>
          <cell r="FY572">
            <v>-529.27199999999993</v>
          </cell>
          <cell r="FZ572">
            <v>-501.60199999999998</v>
          </cell>
          <cell r="GA572">
            <v>0</v>
          </cell>
          <cell r="GB572">
            <v>0</v>
          </cell>
          <cell r="GC572">
            <v>-75</v>
          </cell>
          <cell r="GL572">
            <v>-501.60199999999998</v>
          </cell>
          <cell r="GM572">
            <v>0</v>
          </cell>
          <cell r="GN572">
            <v>0</v>
          </cell>
          <cell r="GO572">
            <v>-75</v>
          </cell>
          <cell r="GP572">
            <v>-300</v>
          </cell>
          <cell r="GQ572">
            <v>-500</v>
          </cell>
          <cell r="GR572">
            <v>-350</v>
          </cell>
          <cell r="GS572">
            <v>-250</v>
          </cell>
          <cell r="GT572">
            <v>-400</v>
          </cell>
          <cell r="GU572">
            <v>-800</v>
          </cell>
          <cell r="GV572">
            <v>-500</v>
          </cell>
          <cell r="GW572">
            <v>-200</v>
          </cell>
          <cell r="GX572">
            <v>-50</v>
          </cell>
          <cell r="GY572">
            <v>-125</v>
          </cell>
          <cell r="GZ572">
            <v>-100</v>
          </cell>
          <cell r="HA572">
            <v>-75</v>
          </cell>
          <cell r="HB572">
            <v>-50</v>
          </cell>
          <cell r="HC572">
            <v>-25</v>
          </cell>
          <cell r="HD572">
            <v>-25</v>
          </cell>
          <cell r="HE572">
            <v>-25</v>
          </cell>
          <cell r="HF572">
            <v>-25</v>
          </cell>
          <cell r="HG572">
            <v>-25</v>
          </cell>
          <cell r="HH572">
            <v>-25</v>
          </cell>
          <cell r="HI572">
            <v>-25</v>
          </cell>
        </row>
        <row r="573">
          <cell r="DD573">
            <v>-11.196999999999999</v>
          </cell>
          <cell r="DE573">
            <v>11.436</v>
          </cell>
          <cell r="DF573">
            <v>10.182</v>
          </cell>
          <cell r="DG573">
            <v>-91.941000000000003</v>
          </cell>
          <cell r="DI573">
            <v>32.009</v>
          </cell>
          <cell r="DJ573">
            <v>-11.298</v>
          </cell>
          <cell r="DK573">
            <v>-17.452999999999999</v>
          </cell>
          <cell r="DL573">
            <v>-26.614999999999998</v>
          </cell>
          <cell r="DN573">
            <v>1.2400000000000002</v>
          </cell>
          <cell r="DO573">
            <v>0.75700000000000001</v>
          </cell>
          <cell r="DP573">
            <v>4.7569999999999997</v>
          </cell>
          <cell r="DQ573">
            <v>-48.777999999999999</v>
          </cell>
          <cell r="DS573">
            <v>-33.158999999999999</v>
          </cell>
          <cell r="DT573">
            <v>-18.213999999999999</v>
          </cell>
          <cell r="DU573">
            <v>-90.878000000000014</v>
          </cell>
          <cell r="DV573">
            <v>47.261000000000017</v>
          </cell>
          <cell r="DX573">
            <v>-24.102</v>
          </cell>
          <cell r="DY573">
            <v>-22.638999999999999</v>
          </cell>
          <cell r="DZ573">
            <v>-147.351</v>
          </cell>
          <cell r="EA573">
            <v>0</v>
          </cell>
          <cell r="FV573">
            <v>-14.678000000000001</v>
          </cell>
          <cell r="FW573">
            <v>-81.52</v>
          </cell>
          <cell r="FX573">
            <v>-23.356999999999999</v>
          </cell>
          <cell r="FY573">
            <v>-42.024000000000001</v>
          </cell>
          <cell r="FZ573">
            <v>-94.989999999999981</v>
          </cell>
          <cell r="GA573">
            <v>-194.09199999999998</v>
          </cell>
          <cell r="GL573">
            <v>-94.989999999999981</v>
          </cell>
          <cell r="GM573">
            <v>-194.09199999999998</v>
          </cell>
          <cell r="GN573">
            <v>0</v>
          </cell>
          <cell r="GO573">
            <v>0</v>
          </cell>
          <cell r="GP573">
            <v>0</v>
          </cell>
          <cell r="GQ573">
            <v>0</v>
          </cell>
          <cell r="GR573">
            <v>0</v>
          </cell>
          <cell r="GS573">
            <v>0</v>
          </cell>
          <cell r="GT573">
            <v>0</v>
          </cell>
          <cell r="GU573">
            <v>0</v>
          </cell>
          <cell r="GV573">
            <v>0</v>
          </cell>
          <cell r="GW573">
            <v>0</v>
          </cell>
          <cell r="GX573">
            <v>0</v>
          </cell>
          <cell r="GY573">
            <v>0</v>
          </cell>
          <cell r="GZ573">
            <v>0</v>
          </cell>
        </row>
        <row r="575">
          <cell r="DD575">
            <v>54.207999999999998</v>
          </cell>
          <cell r="DE575">
            <v>62.033000000000001</v>
          </cell>
          <cell r="DF575">
            <v>502.67900000000003</v>
          </cell>
          <cell r="DG575">
            <v>732.70899999999995</v>
          </cell>
          <cell r="DI575">
            <v>613.14400000000001</v>
          </cell>
          <cell r="DJ575">
            <v>150.25300000000001</v>
          </cell>
          <cell r="DK575">
            <v>188.55099999999999</v>
          </cell>
          <cell r="DL575">
            <v>585.78500000000008</v>
          </cell>
          <cell r="DN575">
            <v>-62.52500000000002</v>
          </cell>
          <cell r="DO575">
            <v>60.216999999999999</v>
          </cell>
          <cell r="DP575">
            <v>168.41500000000002</v>
          </cell>
          <cell r="DQ575">
            <v>203.23599999999999</v>
          </cell>
          <cell r="DS575">
            <v>-129.60900000000001</v>
          </cell>
          <cell r="DT575">
            <v>76.073999999999998</v>
          </cell>
          <cell r="DU575">
            <v>-44.204999999999991</v>
          </cell>
          <cell r="DV575">
            <v>-5.8039999999999718</v>
          </cell>
          <cell r="DX575">
            <v>249.76599999999999</v>
          </cell>
          <cell r="DY575">
            <v>-80.100999999999999</v>
          </cell>
          <cell r="DZ575">
            <v>18.401</v>
          </cell>
          <cell r="EA575">
            <v>0</v>
          </cell>
          <cell r="FV575">
            <v>501.76100000000002</v>
          </cell>
          <cell r="FW575">
            <v>1351.6289999999999</v>
          </cell>
          <cell r="FX575">
            <v>1537.7329999999999</v>
          </cell>
          <cell r="FY575">
            <v>369.34299999999996</v>
          </cell>
          <cell r="FZ575">
            <v>-103.54399999999998</v>
          </cell>
          <cell r="GA575">
            <v>188.066</v>
          </cell>
          <cell r="GL575">
            <v>-103.54399999999998</v>
          </cell>
          <cell r="GM575">
            <v>188.066</v>
          </cell>
          <cell r="GN575">
            <v>0</v>
          </cell>
          <cell r="GO575">
            <v>0</v>
          </cell>
          <cell r="GP575">
            <v>5.4782699999999984</v>
          </cell>
          <cell r="GQ575">
            <v>5.3660959000000013</v>
          </cell>
          <cell r="GR575">
            <v>0</v>
          </cell>
          <cell r="GS575">
            <v>2.9545092719999957</v>
          </cell>
          <cell r="GT575">
            <v>6.7805987792400018</v>
          </cell>
          <cell r="GU575">
            <v>12.133283227322401</v>
          </cell>
          <cell r="GV575">
            <v>8.2319660049987391</v>
          </cell>
          <cell r="GW575">
            <v>-10.054758477534172</v>
          </cell>
          <cell r="GX575">
            <v>2.8488482353013538</v>
          </cell>
          <cell r="GY575">
            <v>7.1790975529593908</v>
          </cell>
          <cell r="GZ575">
            <v>7.3705401543716675</v>
          </cell>
        </row>
        <row r="576">
          <cell r="DD576">
            <v>59.720999999999997</v>
          </cell>
          <cell r="DE576">
            <v>64.405000000000001</v>
          </cell>
          <cell r="DF576">
            <v>55.753</v>
          </cell>
          <cell r="DG576">
            <v>43.743000000000002</v>
          </cell>
          <cell r="DI576">
            <v>223.321</v>
          </cell>
          <cell r="DJ576">
            <v>-11.747999999999999</v>
          </cell>
          <cell r="DK576">
            <v>173.21799999999999</v>
          </cell>
          <cell r="DL576">
            <v>-415.29399999999998</v>
          </cell>
          <cell r="DN576">
            <v>43.597999999999985</v>
          </cell>
          <cell r="DO576">
            <v>62.677999999999997</v>
          </cell>
          <cell r="DP576">
            <v>146.41800000000001</v>
          </cell>
          <cell r="DQ576">
            <v>-299.01100000000002</v>
          </cell>
          <cell r="DS576">
            <v>-130.352</v>
          </cell>
          <cell r="DT576">
            <v>78.635999999999996</v>
          </cell>
          <cell r="DU576">
            <v>-46.899000000000001</v>
          </cell>
          <cell r="DV576">
            <v>-8.58299999999997</v>
          </cell>
          <cell r="DX576">
            <v>245.47</v>
          </cell>
          <cell r="DY576">
            <v>-2.9519999999999982</v>
          </cell>
          <cell r="DZ576">
            <v>1.478</v>
          </cell>
          <cell r="EA576">
            <v>0</v>
          </cell>
          <cell r="FV576">
            <v>318.31599999999997</v>
          </cell>
          <cell r="FW576">
            <v>223.62200000000001</v>
          </cell>
          <cell r="FX576">
            <v>-30.502999999999986</v>
          </cell>
          <cell r="FY576">
            <v>-46.317000000000036</v>
          </cell>
          <cell r="FZ576">
            <v>-107.19799999999998</v>
          </cell>
          <cell r="GA576">
            <v>243.99600000000001</v>
          </cell>
          <cell r="GL576">
            <v>-107.19799999999998</v>
          </cell>
          <cell r="GM576">
            <v>243.99600000000001</v>
          </cell>
          <cell r="GN576">
            <v>0</v>
          </cell>
          <cell r="GO576">
            <v>0</v>
          </cell>
          <cell r="GP576">
            <v>0</v>
          </cell>
          <cell r="GQ576">
            <v>0</v>
          </cell>
          <cell r="GR576">
            <v>0</v>
          </cell>
          <cell r="GS576">
            <v>0</v>
          </cell>
          <cell r="GT576">
            <v>0</v>
          </cell>
          <cell r="GU576">
            <v>0</v>
          </cell>
          <cell r="GV576">
            <v>0</v>
          </cell>
          <cell r="GW576">
            <v>0</v>
          </cell>
          <cell r="GX576">
            <v>0</v>
          </cell>
          <cell r="GY576">
            <v>0</v>
          </cell>
          <cell r="GZ576">
            <v>0</v>
          </cell>
        </row>
        <row r="577">
          <cell r="DD577">
            <v>-8.4740000000000002</v>
          </cell>
          <cell r="DE577">
            <v>-9.1460000000000008</v>
          </cell>
          <cell r="DF577">
            <v>-7.86</v>
          </cell>
          <cell r="DG577">
            <v>-15.45</v>
          </cell>
          <cell r="DI577">
            <v>-5.1580000000000004</v>
          </cell>
          <cell r="DJ577">
            <v>-8.4640000000000004</v>
          </cell>
          <cell r="DK577">
            <v>-9.66</v>
          </cell>
          <cell r="DL577">
            <v>-8.5060000000000002</v>
          </cell>
          <cell r="DN577">
            <v>-9.8350000000000009</v>
          </cell>
          <cell r="DO577">
            <v>-8.7560000000000002</v>
          </cell>
          <cell r="DP577">
            <v>-9.0939999999999994</v>
          </cell>
          <cell r="DQ577">
            <v>-6.1369999999999996</v>
          </cell>
          <cell r="DS577">
            <v>-8.2100000000000009</v>
          </cell>
          <cell r="DT577">
            <v>-5.423</v>
          </cell>
          <cell r="DU577">
            <v>-6.2479999999999993</v>
          </cell>
          <cell r="DV577">
            <v>-4.3500000000000032</v>
          </cell>
          <cell r="DX577">
            <v>-5.056</v>
          </cell>
          <cell r="DY577">
            <v>-2.4589999999999996</v>
          </cell>
          <cell r="DZ577">
            <v>-2.6</v>
          </cell>
          <cell r="EA577">
            <v>0</v>
          </cell>
          <cell r="FV577">
            <v>-19.337</v>
          </cell>
          <cell r="FW577">
            <v>-40.93</v>
          </cell>
          <cell r="FX577">
            <v>-31.788</v>
          </cell>
          <cell r="FY577">
            <v>-33.822000000000003</v>
          </cell>
          <cell r="FZ577">
            <v>-24.231000000000002</v>
          </cell>
          <cell r="GA577">
            <v>-10.115</v>
          </cell>
          <cell r="GL577">
            <v>-24.231000000000002</v>
          </cell>
          <cell r="GM577">
            <v>-10.115</v>
          </cell>
          <cell r="GN577">
            <v>0</v>
          </cell>
          <cell r="GO577">
            <v>0</v>
          </cell>
          <cell r="GP577">
            <v>5.4782699999999984</v>
          </cell>
          <cell r="GQ577">
            <v>5.3660959000000013</v>
          </cell>
          <cell r="GR577">
            <v>0</v>
          </cell>
          <cell r="GS577">
            <v>2.9545092719999957</v>
          </cell>
          <cell r="GT577">
            <v>6.7805987792400018</v>
          </cell>
          <cell r="GU577">
            <v>12.133283227322401</v>
          </cell>
          <cell r="GV577">
            <v>8.2319660049987391</v>
          </cell>
          <cell r="GW577">
            <v>-10.054758477534172</v>
          </cell>
          <cell r="GX577">
            <v>2.8488482353013538</v>
          </cell>
          <cell r="GY577">
            <v>7.1790975529593908</v>
          </cell>
          <cell r="GZ577">
            <v>7.3705401543716675</v>
          </cell>
        </row>
        <row r="578">
          <cell r="DD578" t="str">
            <v xml:space="preserve"> --</v>
          </cell>
          <cell r="DE578" t="str">
            <v xml:space="preserve"> --</v>
          </cell>
          <cell r="DF578" t="str">
            <v xml:space="preserve"> --</v>
          </cell>
          <cell r="DG578" t="str">
            <v xml:space="preserve"> --</v>
          </cell>
          <cell r="DI578" t="str">
            <v xml:space="preserve"> --</v>
          </cell>
          <cell r="DJ578" t="str">
            <v xml:space="preserve"> --</v>
          </cell>
          <cell r="DK578" t="str">
            <v xml:space="preserve"> --</v>
          </cell>
          <cell r="DL578" t="str">
            <v xml:space="preserve"> --</v>
          </cell>
          <cell r="DN578" t="str">
            <v xml:space="preserve"> --</v>
          </cell>
          <cell r="DO578" t="str">
            <v xml:space="preserve"> --</v>
          </cell>
          <cell r="DP578" t="str">
            <v xml:space="preserve"> --</v>
          </cell>
          <cell r="DQ578">
            <v>0</v>
          </cell>
          <cell r="DS578">
            <v>8.9529999999999994</v>
          </cell>
          <cell r="DT578">
            <v>0</v>
          </cell>
          <cell r="DU578">
            <v>11.803000000000001</v>
          </cell>
          <cell r="DV578">
            <v>7.1290000000000013</v>
          </cell>
          <cell r="DX578">
            <v>0</v>
          </cell>
          <cell r="DZ578">
            <v>0</v>
          </cell>
          <cell r="EA578">
            <v>0</v>
          </cell>
          <cell r="FV578">
            <v>18.722999999999999</v>
          </cell>
          <cell r="FW578">
            <v>0</v>
          </cell>
          <cell r="FX578">
            <v>0</v>
          </cell>
          <cell r="FY578">
            <v>0</v>
          </cell>
          <cell r="FZ578">
            <v>27.885000000000002</v>
          </cell>
          <cell r="GA578">
            <v>0</v>
          </cell>
          <cell r="GL578">
            <v>27.885000000000002</v>
          </cell>
          <cell r="GM578">
            <v>0</v>
          </cell>
          <cell r="GN578">
            <v>0</v>
          </cell>
          <cell r="GO578">
            <v>0</v>
          </cell>
          <cell r="GP578">
            <v>0</v>
          </cell>
          <cell r="GQ578">
            <v>0</v>
          </cell>
          <cell r="GR578">
            <v>0</v>
          </cell>
          <cell r="GS578">
            <v>0</v>
          </cell>
          <cell r="GT578">
            <v>0</v>
          </cell>
          <cell r="GU578">
            <v>0</v>
          </cell>
          <cell r="GV578">
            <v>0</v>
          </cell>
          <cell r="GW578">
            <v>0</v>
          </cell>
          <cell r="GX578">
            <v>0</v>
          </cell>
          <cell r="GY578">
            <v>0</v>
          </cell>
          <cell r="GZ578">
            <v>0</v>
          </cell>
        </row>
        <row r="579">
          <cell r="DD579">
            <v>2.9609999999999999</v>
          </cell>
          <cell r="DE579">
            <v>6.774</v>
          </cell>
          <cell r="DF579">
            <v>456.42700000000002</v>
          </cell>
          <cell r="DG579">
            <v>729.34699999999998</v>
          </cell>
          <cell r="DI579">
            <v>395.17099999999999</v>
          </cell>
          <cell r="DJ579">
            <v>170.465</v>
          </cell>
          <cell r="DK579">
            <v>24.992999999999999</v>
          </cell>
          <cell r="DL579">
            <v>1009.585</v>
          </cell>
          <cell r="DN579">
            <v>15.712</v>
          </cell>
          <cell r="DO579">
            <v>6.2949999999999999</v>
          </cell>
          <cell r="DP579">
            <v>31.091000000000001</v>
          </cell>
          <cell r="DQ579">
            <v>508.38400000000001</v>
          </cell>
          <cell r="DS579">
            <v>0</v>
          </cell>
          <cell r="DT579">
            <v>2.8610000000000002</v>
          </cell>
          <cell r="DU579">
            <v>-2.8610000000000002</v>
          </cell>
          <cell r="DV579">
            <v>0</v>
          </cell>
          <cell r="DX579">
            <v>9.3520000000000003</v>
          </cell>
          <cell r="DY579">
            <v>16.957000000000001</v>
          </cell>
          <cell r="DZ579">
            <v>19.523</v>
          </cell>
          <cell r="EA579">
            <v>0</v>
          </cell>
          <cell r="FV579">
            <v>217.62100000000001</v>
          </cell>
          <cell r="FW579">
            <v>1195.509</v>
          </cell>
          <cell r="FX579">
            <v>1600.2139999999999</v>
          </cell>
          <cell r="FY579">
            <v>561.48199999999997</v>
          </cell>
          <cell r="FZ579">
            <v>0</v>
          </cell>
          <cell r="GA579">
            <v>45.832000000000001</v>
          </cell>
          <cell r="GL579">
            <v>0</v>
          </cell>
          <cell r="GM579">
            <v>45.832000000000001</v>
          </cell>
          <cell r="GN579">
            <v>0</v>
          </cell>
          <cell r="GO579">
            <v>0</v>
          </cell>
        </row>
        <row r="580">
          <cell r="DD580" t="str">
            <v xml:space="preserve"> --</v>
          </cell>
          <cell r="DE580" t="str">
            <v xml:space="preserve"> --</v>
          </cell>
          <cell r="DF580">
            <v>-1.641</v>
          </cell>
          <cell r="DG580">
            <v>-24.931000000000001</v>
          </cell>
          <cell r="DI580">
            <v>-0.19</v>
          </cell>
          <cell r="DJ580" t="str">
            <v xml:space="preserve"> --</v>
          </cell>
          <cell r="DK580" t="str">
            <v xml:space="preserve"> --</v>
          </cell>
          <cell r="DL580" t="str">
            <v xml:space="preserve"> --</v>
          </cell>
          <cell r="DN580" t="str">
            <v xml:space="preserve"> --</v>
          </cell>
          <cell r="DO580" t="str">
            <v xml:space="preserve"> --</v>
          </cell>
          <cell r="DP580" t="str">
            <v xml:space="preserve"> --</v>
          </cell>
          <cell r="DQ580">
            <v>0</v>
          </cell>
          <cell r="DS580">
            <v>0</v>
          </cell>
          <cell r="DT580">
            <v>0</v>
          </cell>
          <cell r="DU580">
            <v>0</v>
          </cell>
          <cell r="DV580">
            <v>0</v>
          </cell>
          <cell r="DX580">
            <v>0</v>
          </cell>
          <cell r="DY580">
            <v>0</v>
          </cell>
          <cell r="DZ580">
            <v>0</v>
          </cell>
          <cell r="EA580">
            <v>0</v>
          </cell>
          <cell r="FV580">
            <v>-9.2270000000000003</v>
          </cell>
          <cell r="FW580">
            <v>-26.572000000000003</v>
          </cell>
          <cell r="FX580">
            <v>-0.19</v>
          </cell>
          <cell r="FY580">
            <v>0</v>
          </cell>
          <cell r="FZ580">
            <v>0</v>
          </cell>
          <cell r="GA580">
            <v>0</v>
          </cell>
          <cell r="GL580">
            <v>0</v>
          </cell>
          <cell r="GM580">
            <v>0</v>
          </cell>
          <cell r="GN580">
            <v>0</v>
          </cell>
          <cell r="GO580">
            <v>0</v>
          </cell>
          <cell r="GP580">
            <v>0</v>
          </cell>
          <cell r="GQ580">
            <v>0</v>
          </cell>
          <cell r="GR580">
            <v>0</v>
          </cell>
          <cell r="GS580">
            <v>0</v>
          </cell>
          <cell r="GT580">
            <v>0</v>
          </cell>
          <cell r="GU580">
            <v>0</v>
          </cell>
          <cell r="GV580">
            <v>0</v>
          </cell>
          <cell r="GW580">
            <v>0</v>
          </cell>
          <cell r="GX580">
            <v>0</v>
          </cell>
          <cell r="GY580">
            <v>0</v>
          </cell>
          <cell r="GZ580">
            <v>0</v>
          </cell>
        </row>
        <row r="581">
          <cell r="DD581" t="str">
            <v xml:space="preserve"> --</v>
          </cell>
          <cell r="DE581" t="str">
            <v xml:space="preserve"> --</v>
          </cell>
          <cell r="DF581" t="str">
            <v xml:space="preserve"> --</v>
          </cell>
          <cell r="DG581" t="str">
            <v xml:space="preserve"> --</v>
          </cell>
          <cell r="DI581" t="str">
            <v xml:space="preserve"> --</v>
          </cell>
          <cell r="DJ581" t="str">
            <v xml:space="preserve"> --</v>
          </cell>
          <cell r="DK581" t="str">
            <v xml:space="preserve"> --</v>
          </cell>
          <cell r="DL581" t="str">
            <v xml:space="preserve"> --</v>
          </cell>
          <cell r="DN581">
            <v>-112</v>
          </cell>
          <cell r="DO581" t="str">
            <v xml:space="preserve"> --</v>
          </cell>
          <cell r="DP581" t="str">
            <v xml:space="preserve"> --</v>
          </cell>
          <cell r="DQ581">
            <v>0</v>
          </cell>
          <cell r="DS581">
            <v>0</v>
          </cell>
          <cell r="DT581">
            <v>0</v>
          </cell>
          <cell r="DU581">
            <v>0</v>
          </cell>
          <cell r="DV581">
            <v>0</v>
          </cell>
          <cell r="DX581">
            <v>0</v>
          </cell>
          <cell r="DY581">
            <v>-91.647000000000006</v>
          </cell>
          <cell r="DZ581">
            <v>0</v>
          </cell>
          <cell r="EA581">
            <v>0</v>
          </cell>
          <cell r="FV581">
            <v>-24.335000000000001</v>
          </cell>
          <cell r="FW581">
            <v>0</v>
          </cell>
          <cell r="FX581">
            <v>0</v>
          </cell>
          <cell r="FY581">
            <v>-112</v>
          </cell>
          <cell r="FZ581">
            <v>0</v>
          </cell>
          <cell r="GA581">
            <v>-91.647000000000006</v>
          </cell>
          <cell r="GL581">
            <v>0</v>
          </cell>
          <cell r="GM581">
            <v>-91.647000000000006</v>
          </cell>
          <cell r="GN581">
            <v>0</v>
          </cell>
          <cell r="GO581">
            <v>0</v>
          </cell>
          <cell r="GP581">
            <v>0</v>
          </cell>
          <cell r="GQ581">
            <v>0</v>
          </cell>
          <cell r="GR581">
            <v>0</v>
          </cell>
          <cell r="GS581">
            <v>0</v>
          </cell>
          <cell r="GT581">
            <v>0</v>
          </cell>
          <cell r="GU581">
            <v>0</v>
          </cell>
          <cell r="GV581">
            <v>0</v>
          </cell>
          <cell r="GW581">
            <v>0</v>
          </cell>
          <cell r="GX581">
            <v>0</v>
          </cell>
          <cell r="GY581">
            <v>0</v>
          </cell>
          <cell r="GZ581">
            <v>0</v>
          </cell>
        </row>
        <row r="582">
          <cell r="FV582" t="str">
            <v xml:space="preserve"> </v>
          </cell>
          <cell r="FX582" t="str">
            <v xml:space="preserve"> </v>
          </cell>
        </row>
        <row r="583">
          <cell r="DD583">
            <v>-9.7270000000000003</v>
          </cell>
          <cell r="DE583">
            <v>9.9670000000000005</v>
          </cell>
          <cell r="DF583">
            <v>-3.2349999999999999</v>
          </cell>
          <cell r="DG583">
            <v>-5.1550000000000002</v>
          </cell>
          <cell r="DI583">
            <v>-2.7330000000000001</v>
          </cell>
          <cell r="DJ583">
            <v>-30.478999999999999</v>
          </cell>
          <cell r="DK583">
            <v>-3.4860000000000002</v>
          </cell>
          <cell r="DL583">
            <v>2.5910000000000002</v>
          </cell>
          <cell r="DN583">
            <v>14.071</v>
          </cell>
          <cell r="DO583">
            <v>-13.852</v>
          </cell>
          <cell r="DP583">
            <v>1.052</v>
          </cell>
          <cell r="DQ583">
            <v>-32.996000000000002</v>
          </cell>
          <cell r="DS583">
            <v>15.411</v>
          </cell>
          <cell r="DT583">
            <v>-3.6139999999999999</v>
          </cell>
          <cell r="DU583">
            <v>-4.202</v>
          </cell>
          <cell r="DV583">
            <v>-19.893000000000001</v>
          </cell>
          <cell r="DX583">
            <v>2.3540000000000001</v>
          </cell>
          <cell r="DY583">
            <v>-5.2</v>
          </cell>
          <cell r="DZ583">
            <v>1.046</v>
          </cell>
          <cell r="EA583" t="str">
            <v xml:space="preserve"> --</v>
          </cell>
          <cell r="FV583">
            <v>-5.8719999999999999</v>
          </cell>
          <cell r="FW583">
            <v>-8.15</v>
          </cell>
          <cell r="FX583">
            <v>-34.106999999999992</v>
          </cell>
          <cell r="FY583">
            <v>-31.725000000000001</v>
          </cell>
          <cell r="FZ583">
            <v>-12.298</v>
          </cell>
          <cell r="GA583">
            <v>-1.8</v>
          </cell>
          <cell r="GL583">
            <v>-12.298</v>
          </cell>
          <cell r="GM583">
            <v>-1.8</v>
          </cell>
          <cell r="GN583">
            <v>0</v>
          </cell>
          <cell r="GO583">
            <v>0</v>
          </cell>
          <cell r="GP583">
            <v>0</v>
          </cell>
          <cell r="GQ583">
            <v>0</v>
          </cell>
          <cell r="GR583">
            <v>0</v>
          </cell>
          <cell r="GS583">
            <v>0</v>
          </cell>
          <cell r="GT583">
            <v>0</v>
          </cell>
          <cell r="GU583">
            <v>0</v>
          </cell>
          <cell r="GV583">
            <v>0</v>
          </cell>
          <cell r="GW583">
            <v>0</v>
          </cell>
          <cell r="GX583">
            <v>0</v>
          </cell>
          <cell r="GY583">
            <v>0</v>
          </cell>
          <cell r="GZ583">
            <v>0</v>
          </cell>
        </row>
        <row r="584">
          <cell r="DD584" t="str">
            <v xml:space="preserve"> --</v>
          </cell>
          <cell r="DE584" t="str">
            <v xml:space="preserve"> --</v>
          </cell>
          <cell r="DF584">
            <v>-0.81799999999999995</v>
          </cell>
          <cell r="DG584" t="str">
            <v xml:space="preserve"> --</v>
          </cell>
          <cell r="DI584">
            <v>-32.706000000000003</v>
          </cell>
          <cell r="DJ584" t="str">
            <v xml:space="preserve"> --</v>
          </cell>
          <cell r="DK584" t="str">
            <v xml:space="preserve"> --</v>
          </cell>
          <cell r="DL584" t="str">
            <v xml:space="preserve"> --</v>
          </cell>
          <cell r="DN584" t="str">
            <v xml:space="preserve"> --</v>
          </cell>
          <cell r="DO584" t="str">
            <v xml:space="preserve"> --</v>
          </cell>
          <cell r="DP584" t="str">
            <v xml:space="preserve"> --</v>
          </cell>
          <cell r="DQ584" t="str">
            <v xml:space="preserve"> --</v>
          </cell>
          <cell r="DS584" t="str">
            <v xml:space="preserve"> --</v>
          </cell>
          <cell r="DT584" t="str">
            <v xml:space="preserve"> --</v>
          </cell>
          <cell r="DU584" t="str">
            <v xml:space="preserve"> --</v>
          </cell>
          <cell r="DV584" t="str">
            <v xml:space="preserve"> --</v>
          </cell>
          <cell r="DX584" t="str">
            <v xml:space="preserve"> --</v>
          </cell>
          <cell r="DY584" t="str">
            <v xml:space="preserve"> --</v>
          </cell>
          <cell r="DZ584" t="str">
            <v xml:space="preserve"> --</v>
          </cell>
          <cell r="EA584" t="str">
            <v xml:space="preserve"> --</v>
          </cell>
          <cell r="FV584" t="str">
            <v xml:space="preserve"> --</v>
          </cell>
          <cell r="FW584">
            <v>-0.81799999999999995</v>
          </cell>
          <cell r="FX584">
            <v>-32.706000000000003</v>
          </cell>
          <cell r="FY584">
            <v>0</v>
          </cell>
          <cell r="FZ584">
            <v>0</v>
          </cell>
          <cell r="GA584">
            <v>0</v>
          </cell>
          <cell r="GL584">
            <v>0</v>
          </cell>
          <cell r="GM584">
            <v>0</v>
          </cell>
          <cell r="GN584">
            <v>0</v>
          </cell>
          <cell r="GO584">
            <v>0</v>
          </cell>
          <cell r="GP584">
            <v>0</v>
          </cell>
          <cell r="GQ584">
            <v>0</v>
          </cell>
          <cell r="GR584">
            <v>0</v>
          </cell>
          <cell r="GS584">
            <v>0</v>
          </cell>
          <cell r="GT584">
            <v>0</v>
          </cell>
          <cell r="GU584">
            <v>0</v>
          </cell>
          <cell r="GV584">
            <v>0</v>
          </cell>
          <cell r="GW584">
            <v>0</v>
          </cell>
          <cell r="GX584">
            <v>0</v>
          </cell>
          <cell r="GY584">
            <v>0</v>
          </cell>
          <cell r="GZ584">
            <v>0</v>
          </cell>
        </row>
        <row r="585">
          <cell r="FX585" t="str">
            <v xml:space="preserve"> </v>
          </cell>
        </row>
        <row r="586">
          <cell r="DD586">
            <v>-81.307999999999993</v>
          </cell>
          <cell r="DE586">
            <v>-19.871999999999957</v>
          </cell>
          <cell r="DF586">
            <v>322.84699999999998</v>
          </cell>
          <cell r="DG586">
            <v>207.21699999999973</v>
          </cell>
          <cell r="DI586">
            <v>49.475000000000215</v>
          </cell>
          <cell r="DJ586">
            <v>-246.36199999999991</v>
          </cell>
          <cell r="DK586">
            <v>-151.78799999999995</v>
          </cell>
          <cell r="DL586">
            <v>233.21400000000051</v>
          </cell>
          <cell r="DN586">
            <v>-88.283999999999892</v>
          </cell>
          <cell r="DO586">
            <v>-143.2879999999997</v>
          </cell>
          <cell r="DP586">
            <v>48.67400000000044</v>
          </cell>
          <cell r="DQ586">
            <v>296.17200000000014</v>
          </cell>
          <cell r="DS586">
            <v>81.876999999999981</v>
          </cell>
          <cell r="DT586">
            <v>-337.98000000000019</v>
          </cell>
          <cell r="DU586">
            <v>124.61999999999998</v>
          </cell>
          <cell r="DV586">
            <v>-189.62099999999975</v>
          </cell>
          <cell r="DX586">
            <v>435.75200000000012</v>
          </cell>
          <cell r="DY586">
            <v>-160.24599999999975</v>
          </cell>
          <cell r="DZ586">
            <v>140.24500000000057</v>
          </cell>
          <cell r="EA586">
            <v>-49.66114935935741</v>
          </cell>
          <cell r="FV586">
            <v>84.567000000000078</v>
          </cell>
          <cell r="FW586">
            <v>428.8839999999999</v>
          </cell>
          <cell r="FX586">
            <v>-115.46099999999923</v>
          </cell>
          <cell r="FY586">
            <v>113.27400000000097</v>
          </cell>
          <cell r="FZ586">
            <v>-321.10399999999993</v>
          </cell>
          <cell r="GA586">
            <v>366.08985064064353</v>
          </cell>
          <cell r="GL586">
            <v>-321.10399999999993</v>
          </cell>
          <cell r="GM586">
            <v>366.08985064064353</v>
          </cell>
          <cell r="GN586">
            <v>-9.652193958766162</v>
          </cell>
          <cell r="GO586">
            <v>-56.508032024910264</v>
          </cell>
          <cell r="GP586">
            <v>222.88234413292258</v>
          </cell>
          <cell r="GQ586">
            <v>-427.06562470377344</v>
          </cell>
          <cell r="GR586">
            <v>-1010.8335978135067</v>
          </cell>
          <cell r="GS586">
            <v>898.72064463208005</v>
          </cell>
          <cell r="GT586">
            <v>492.8157396502271</v>
          </cell>
          <cell r="GU586">
            <v>-89.065998342146941</v>
          </cell>
          <cell r="GV586">
            <v>-502.54717271040124</v>
          </cell>
          <cell r="GW586">
            <v>-324.30988139972374</v>
          </cell>
          <cell r="GX586">
            <v>2749.5836379251336</v>
          </cell>
          <cell r="GY586">
            <v>1170.3585195735363</v>
          </cell>
          <cell r="GZ586">
            <v>1326.8919891775122</v>
          </cell>
        </row>
        <row r="587">
          <cell r="GL587">
            <v>0</v>
          </cell>
          <cell r="GM587">
            <v>0</v>
          </cell>
          <cell r="GN587">
            <v>0</v>
          </cell>
          <cell r="GO587">
            <v>0</v>
          </cell>
        </row>
        <row r="588">
          <cell r="DD588">
            <v>-73.009999999999991</v>
          </cell>
          <cell r="DE588">
            <v>-51.981999999999942</v>
          </cell>
          <cell r="DF588">
            <v>-153.91200000000003</v>
          </cell>
          <cell r="DG588">
            <v>-206.81300000000016</v>
          </cell>
          <cell r="DI588">
            <v>-274.93999999999977</v>
          </cell>
          <cell r="DJ588">
            <v>-304.42299999999989</v>
          </cell>
          <cell r="DK588">
            <v>-185.78799999999995</v>
          </cell>
          <cell r="DL588">
            <v>-247.16599999999957</v>
          </cell>
          <cell r="DN588">
            <v>319.9430000000001</v>
          </cell>
          <cell r="DO588">
            <v>13.940000000000268</v>
          </cell>
          <cell r="DP588">
            <v>163.59800000000044</v>
          </cell>
          <cell r="DQ588">
            <v>290.36000000000013</v>
          </cell>
          <cell r="DS588">
            <v>293.23399999999998</v>
          </cell>
          <cell r="DT588">
            <v>139.32299999999987</v>
          </cell>
          <cell r="DU588">
            <v>352.14299999999997</v>
          </cell>
          <cell r="DV588">
            <v>-198.43</v>
          </cell>
          <cell r="DX588">
            <v>515.30600000000015</v>
          </cell>
          <cell r="DY588">
            <v>109.82800000000023</v>
          </cell>
          <cell r="DZ588">
            <v>331.11100000000056</v>
          </cell>
          <cell r="EA588">
            <v>-14.66114935935741</v>
          </cell>
          <cell r="FV588">
            <v>-161.303</v>
          </cell>
          <cell r="FW588">
            <v>-485.7170000000001</v>
          </cell>
          <cell r="FX588">
            <v>-1012.3169999999992</v>
          </cell>
          <cell r="FY588">
            <v>787.84100000000092</v>
          </cell>
          <cell r="FZ588">
            <v>586.26999999999975</v>
          </cell>
          <cell r="GA588">
            <v>941.5838506406435</v>
          </cell>
          <cell r="GL588">
            <v>586.26999999999975</v>
          </cell>
          <cell r="GM588">
            <v>941.5838506406435</v>
          </cell>
          <cell r="GN588">
            <v>-9.652193958766162</v>
          </cell>
          <cell r="GO588">
            <v>18.491967975089707</v>
          </cell>
          <cell r="GP588">
            <v>517.40407413292257</v>
          </cell>
          <cell r="GQ588">
            <v>67.568279396226671</v>
          </cell>
          <cell r="GR588">
            <v>-660.83359781350669</v>
          </cell>
          <cell r="GS588">
            <v>1145.7661353600802</v>
          </cell>
          <cell r="GT588">
            <v>886.03514087098711</v>
          </cell>
          <cell r="GU588">
            <v>698.80071843053065</v>
          </cell>
          <cell r="GV588">
            <v>-10.779138715399995</v>
          </cell>
          <cell r="GW588">
            <v>-114.25512292218957</v>
          </cell>
          <cell r="GX588">
            <v>2796.7347896898323</v>
          </cell>
          <cell r="GY588">
            <v>1288.179422020577</v>
          </cell>
          <cell r="GZ588">
            <v>1419.5214490231406</v>
          </cell>
        </row>
        <row r="589">
          <cell r="DD589">
            <v>-3.9989999999999952</v>
          </cell>
          <cell r="DE589">
            <v>60.83700000000006</v>
          </cell>
          <cell r="DF589">
            <v>0.9919999999999618</v>
          </cell>
          <cell r="DG589">
            <v>-81.149000000000171</v>
          </cell>
          <cell r="DI589">
            <v>-126.20599999999976</v>
          </cell>
          <cell r="DJ589">
            <v>-46.881999999999891</v>
          </cell>
          <cell r="DK589">
            <v>-24.402999999999963</v>
          </cell>
          <cell r="DL589">
            <v>-110.46999999999957</v>
          </cell>
          <cell r="DN589">
            <v>431.16700000000009</v>
          </cell>
          <cell r="DO589">
            <v>135.29400000000027</v>
          </cell>
          <cell r="DP589">
            <v>216.09100000000043</v>
          </cell>
          <cell r="DQ589">
            <v>335.6810000000001</v>
          </cell>
          <cell r="DS589">
            <v>347.589</v>
          </cell>
          <cell r="DT589">
            <v>195.37899999999985</v>
          </cell>
          <cell r="DU589">
            <v>398.38399999999996</v>
          </cell>
          <cell r="DV589">
            <v>-146.77099999999999</v>
          </cell>
          <cell r="DX589">
            <v>547.62200000000018</v>
          </cell>
          <cell r="DY589">
            <v>143.59600000000023</v>
          </cell>
          <cell r="DZ589">
            <v>360.76500000000055</v>
          </cell>
          <cell r="EA589">
            <v>31.475960059042592</v>
          </cell>
          <cell r="FV589">
            <v>160.88200000000001</v>
          </cell>
          <cell r="FW589">
            <v>-23.319000000000131</v>
          </cell>
          <cell r="FX589">
            <v>-307.96099999999922</v>
          </cell>
          <cell r="FY589">
            <v>1118.2330000000009</v>
          </cell>
          <cell r="FZ589">
            <v>794.5809999999999</v>
          </cell>
          <cell r="GA589">
            <v>1083.4589600590436</v>
          </cell>
          <cell r="GL589">
            <v>794.5809999999999</v>
          </cell>
          <cell r="GM589">
            <v>1083.4589600590436</v>
          </cell>
          <cell r="GN589">
            <v>264.57740052271026</v>
          </cell>
          <cell r="GO589">
            <v>372.25480376221464</v>
          </cell>
          <cell r="GP589">
            <v>986.11273752929412</v>
          </cell>
          <cell r="GQ589">
            <v>670.79632918735672</v>
          </cell>
          <cell r="GR589">
            <v>-112.44446163975203</v>
          </cell>
          <cell r="GS589">
            <v>1708.4133890743524</v>
          </cell>
          <cell r="GT589">
            <v>1682.921330210517</v>
          </cell>
          <cell r="GU589">
            <v>1921.1548384261228</v>
          </cell>
          <cell r="GV589">
            <v>1382.7045580795752</v>
          </cell>
          <cell r="GW589">
            <v>351.06889725756105</v>
          </cell>
          <cell r="GX589">
            <v>3462.9941822199298</v>
          </cell>
          <cell r="GY589">
            <v>2183.6320455810283</v>
          </cell>
          <cell r="GZ589">
            <v>2358.2542827223469</v>
          </cell>
        </row>
        <row r="590">
          <cell r="DD590">
            <v>-69.010999999999996</v>
          </cell>
          <cell r="DE590">
            <v>-112.819</v>
          </cell>
          <cell r="DF590">
            <v>-154.904</v>
          </cell>
          <cell r="DG590">
            <v>-125.664</v>
          </cell>
          <cell r="DI590">
            <v>-148.73400000000001</v>
          </cell>
          <cell r="DJ590">
            <v>-257.541</v>
          </cell>
          <cell r="DK590">
            <v>-161.38499999999999</v>
          </cell>
          <cell r="DL590">
            <v>-136.696</v>
          </cell>
          <cell r="DN590">
            <v>-111.224</v>
          </cell>
          <cell r="DO590">
            <v>-121.354</v>
          </cell>
          <cell r="DP590">
            <v>-52.493000000000002</v>
          </cell>
          <cell r="DQ590">
            <v>-45.320999999999998</v>
          </cell>
          <cell r="DS590">
            <v>-54.354999999999997</v>
          </cell>
          <cell r="DT590">
            <v>-56.055999999999997</v>
          </cell>
          <cell r="DU590">
            <v>-46.240999999999993</v>
          </cell>
          <cell r="DV590">
            <v>-51.659000000000027</v>
          </cell>
          <cell r="DX590">
            <v>-32.316000000000003</v>
          </cell>
          <cell r="DY590">
            <v>-33.768000000000001</v>
          </cell>
          <cell r="DZ590">
            <v>-29.654</v>
          </cell>
          <cell r="EA590">
            <v>-46.137109418400001</v>
          </cell>
          <cell r="FV590">
            <v>-322.185</v>
          </cell>
          <cell r="FW590">
            <v>-462.39799999999997</v>
          </cell>
          <cell r="FX590">
            <v>-704.35599999999999</v>
          </cell>
          <cell r="FY590">
            <v>-330.39200000000005</v>
          </cell>
          <cell r="FZ590">
            <v>-208.31100000000001</v>
          </cell>
          <cell r="GA590">
            <v>-141.8751094184</v>
          </cell>
          <cell r="GL590">
            <v>-208.31100000000001</v>
          </cell>
          <cell r="GM590">
            <v>-141.8751094184</v>
          </cell>
          <cell r="GN590">
            <v>-274.22959448147645</v>
          </cell>
          <cell r="GO590">
            <v>-353.76283578712491</v>
          </cell>
          <cell r="GP590">
            <v>-468.70866339637155</v>
          </cell>
          <cell r="GQ590">
            <v>-603.22804979113005</v>
          </cell>
          <cell r="GR590">
            <v>-548.38913617375465</v>
          </cell>
          <cell r="GS590">
            <v>-562.64725371427232</v>
          </cell>
          <cell r="GT590">
            <v>-796.88618933952989</v>
          </cell>
          <cell r="GU590">
            <v>-1222.3541199955921</v>
          </cell>
          <cell r="GV590">
            <v>-1393.4836967949752</v>
          </cell>
          <cell r="GW590">
            <v>-465.32402017975062</v>
          </cell>
          <cell r="GX590">
            <v>-666.25939253009756</v>
          </cell>
          <cell r="GY590">
            <v>-895.45262356045112</v>
          </cell>
          <cell r="GZ590">
            <v>-938.73283369920648</v>
          </cell>
        </row>
        <row r="592">
          <cell r="DD592">
            <v>-114.59199999999998</v>
          </cell>
          <cell r="DE592">
            <v>-99.78499999999994</v>
          </cell>
          <cell r="DF592">
            <v>-185.96100000000004</v>
          </cell>
          <cell r="DG592">
            <v>-420.87700000000018</v>
          </cell>
          <cell r="DI592">
            <v>-467.29499999999979</v>
          </cell>
          <cell r="DJ592">
            <v>-341.03499999999991</v>
          </cell>
          <cell r="DK592">
            <v>-308.71499999999992</v>
          </cell>
          <cell r="DL592">
            <v>-293.19599999999957</v>
          </cell>
          <cell r="DN592">
            <v>6.6040000000000987</v>
          </cell>
          <cell r="DO592">
            <v>-107.12299999999973</v>
          </cell>
          <cell r="DP592">
            <v>-79.325999999999567</v>
          </cell>
          <cell r="DQ592">
            <v>256.8420000000001</v>
          </cell>
          <cell r="DS592">
            <v>279.11799999999999</v>
          </cell>
          <cell r="DT592">
            <v>-310.97100000000012</v>
          </cell>
          <cell r="DU592">
            <v>319.51099999999997</v>
          </cell>
          <cell r="DV592">
            <v>-211.13299999999995</v>
          </cell>
          <cell r="DX592">
            <v>509.05400000000014</v>
          </cell>
          <cell r="DY592">
            <v>86.756000000000228</v>
          </cell>
          <cell r="DZ592">
            <v>331.11100000000056</v>
          </cell>
          <cell r="EA592">
            <v>-14.66114935935741</v>
          </cell>
          <cell r="FV592">
            <v>-396.64400000000001</v>
          </cell>
          <cell r="FW592">
            <v>-821.21500000000003</v>
          </cell>
          <cell r="FX592">
            <v>-1410.2409999999991</v>
          </cell>
          <cell r="FY592">
            <v>76.997000000000895</v>
          </cell>
          <cell r="FZ592">
            <v>76.524999999999892</v>
          </cell>
          <cell r="GA592">
            <v>912.25985064064355</v>
          </cell>
          <cell r="GL592">
            <v>76.524999999999892</v>
          </cell>
          <cell r="GM592">
            <v>912.25985064064355</v>
          </cell>
          <cell r="GN592">
            <v>-9.652193958766162</v>
          </cell>
          <cell r="GO592">
            <v>-56.508032024910321</v>
          </cell>
          <cell r="GP592">
            <v>217.40407413292257</v>
          </cell>
          <cell r="GQ592">
            <v>-432.43172060377333</v>
          </cell>
          <cell r="GR592">
            <v>-1010.8335978135067</v>
          </cell>
          <cell r="GS592">
            <v>895.76613536008017</v>
          </cell>
          <cell r="GT592">
            <v>486.03514087098711</v>
          </cell>
          <cell r="GU592">
            <v>-101.19928156946935</v>
          </cell>
          <cell r="GV592">
            <v>-510.77913871539999</v>
          </cell>
          <cell r="GW592">
            <v>-314.25512292218957</v>
          </cell>
          <cell r="GX592">
            <v>2746.7347896898323</v>
          </cell>
          <cell r="GY592">
            <v>1163.179422020577</v>
          </cell>
          <cell r="GZ592">
            <v>1319.5214490231406</v>
          </cell>
        </row>
        <row r="595">
          <cell r="CT595">
            <v>12.324</v>
          </cell>
          <cell r="CU595">
            <v>13.061</v>
          </cell>
          <cell r="CV595">
            <v>14.683</v>
          </cell>
          <cell r="CW595">
            <v>16.675999999999998</v>
          </cell>
          <cell r="CY595">
            <v>22.204999999999998</v>
          </cell>
          <cell r="CZ595">
            <v>23.792000000000002</v>
          </cell>
          <cell r="DA595">
            <v>25.629000000000001</v>
          </cell>
          <cell r="DB595">
            <v>24.576000000000001</v>
          </cell>
          <cell r="DD595">
            <v>30.388000000000002</v>
          </cell>
          <cell r="DE595">
            <v>33.167999999999999</v>
          </cell>
          <cell r="DF595">
            <v>37.465000000000003</v>
          </cell>
          <cell r="DG595">
            <v>45.25</v>
          </cell>
          <cell r="DI595">
            <v>48.341999999999999</v>
          </cell>
          <cell r="DJ595">
            <v>53.37</v>
          </cell>
          <cell r="DK595">
            <v>57.956000000000003</v>
          </cell>
          <cell r="DL595">
            <v>58.503999999999998</v>
          </cell>
          <cell r="DN595">
            <v>71.322000000000003</v>
          </cell>
          <cell r="DO595">
            <v>77.391999999999996</v>
          </cell>
          <cell r="DP595">
            <v>81.42</v>
          </cell>
          <cell r="DQ595">
            <v>77.158000000000001</v>
          </cell>
          <cell r="DS595">
            <v>79.097999999999999</v>
          </cell>
          <cell r="DT595">
            <v>79.191000000000003</v>
          </cell>
          <cell r="DU595">
            <v>83.710999999999999</v>
          </cell>
          <cell r="DV595">
            <v>85.370999999999995</v>
          </cell>
          <cell r="DX595">
            <v>82.378</v>
          </cell>
          <cell r="DY595">
            <v>74.855999999999995</v>
          </cell>
          <cell r="DZ595">
            <v>76.028000000000006</v>
          </cell>
          <cell r="EA595">
            <v>75.895395780436118</v>
          </cell>
          <cell r="FV595">
            <v>96.201999999999998</v>
          </cell>
          <cell r="FW595">
            <v>146.27100000000004</v>
          </cell>
          <cell r="FX595">
            <v>218.17199999999997</v>
          </cell>
          <cell r="FY595">
            <v>307.29200000000003</v>
          </cell>
          <cell r="FZ595">
            <v>327.37099999999998</v>
          </cell>
          <cell r="GA595">
            <v>309.1573957804361</v>
          </cell>
          <cell r="GL595">
            <v>327.37099999999998</v>
          </cell>
          <cell r="GM595">
            <v>309.1573957804361</v>
          </cell>
          <cell r="GN595">
            <v>286.47634416587994</v>
          </cell>
          <cell r="GO595">
            <v>277.49435535065123</v>
          </cell>
          <cell r="GP595">
            <v>320.19731327519764</v>
          </cell>
          <cell r="GQ595">
            <v>369.08169449908894</v>
          </cell>
          <cell r="GR595">
            <v>363.45558652080825</v>
          </cell>
          <cell r="GS595">
            <v>357.57849323509231</v>
          </cell>
          <cell r="GT595">
            <v>418.45014190253352</v>
          </cell>
          <cell r="GU595">
            <v>653.51001822468254</v>
          </cell>
          <cell r="GV595">
            <v>855.91678101386981</v>
          </cell>
          <cell r="GW595">
            <v>885.48692906294809</v>
          </cell>
          <cell r="GX595">
            <v>878.93077020466376</v>
          </cell>
          <cell r="GY595">
            <v>868.58384192582889</v>
          </cell>
          <cell r="GZ595">
            <v>886.12680411651036</v>
          </cell>
        </row>
        <row r="596">
          <cell r="CT596">
            <v>1.7549999999999999</v>
          </cell>
          <cell r="CU596">
            <v>2.149</v>
          </cell>
          <cell r="CV596">
            <v>2.1949999999999998</v>
          </cell>
          <cell r="CW596">
            <v>4.3879999999999999</v>
          </cell>
          <cell r="CY596">
            <v>6.4560000000000004</v>
          </cell>
          <cell r="CZ596">
            <v>6.3689999999999998</v>
          </cell>
          <cell r="DA596">
            <v>6.7919999999999998</v>
          </cell>
          <cell r="DB596">
            <v>9.5389999999999997</v>
          </cell>
          <cell r="DD596">
            <v>9.7539999999999996</v>
          </cell>
          <cell r="DE596">
            <v>8.7870000000000008</v>
          </cell>
          <cell r="DF596">
            <v>10.734999999999999</v>
          </cell>
          <cell r="DG596">
            <v>12.05</v>
          </cell>
          <cell r="DI596">
            <v>9.3699999999999992</v>
          </cell>
          <cell r="DJ596">
            <v>12.505000000000001</v>
          </cell>
          <cell r="DK596">
            <v>15.141</v>
          </cell>
          <cell r="DL596">
            <v>26.524999999999999</v>
          </cell>
          <cell r="DN596">
            <v>2.2559999999999998</v>
          </cell>
          <cell r="DO596">
            <v>3.802</v>
          </cell>
          <cell r="DP596">
            <v>3.0529999999999999</v>
          </cell>
          <cell r="DQ596">
            <v>3.504</v>
          </cell>
          <cell r="DS596">
            <v>3.234</v>
          </cell>
          <cell r="DT596">
            <v>5.9329999999999998</v>
          </cell>
          <cell r="DU596">
            <v>6.1470000000000002</v>
          </cell>
          <cell r="DV596">
            <v>6.8319999999999999</v>
          </cell>
          <cell r="DX596">
            <v>8.8170000000000002</v>
          </cell>
          <cell r="DY596">
            <v>8.5730000000000004</v>
          </cell>
          <cell r="DZ596">
            <v>9.5530000000000008</v>
          </cell>
          <cell r="EA596">
            <v>8.5</v>
          </cell>
          <cell r="FV596">
            <v>29.155999999999999</v>
          </cell>
          <cell r="FW596">
            <v>41.326000000000001</v>
          </cell>
          <cell r="FX596">
            <v>63.540999999999997</v>
          </cell>
          <cell r="FY596">
            <v>12.615</v>
          </cell>
          <cell r="FZ596">
            <v>22.146000000000001</v>
          </cell>
          <cell r="GA596">
            <v>35.442999999999998</v>
          </cell>
          <cell r="GL596">
            <v>22.411999999999999</v>
          </cell>
          <cell r="GM596">
            <v>25.89</v>
          </cell>
          <cell r="GN596">
            <v>17</v>
          </cell>
          <cell r="GO596">
            <v>7.5</v>
          </cell>
          <cell r="GP596">
            <v>4.5</v>
          </cell>
          <cell r="GQ596">
            <v>4</v>
          </cell>
          <cell r="GR596">
            <v>2.6</v>
          </cell>
          <cell r="GS596">
            <v>2.6</v>
          </cell>
          <cell r="GT596">
            <v>2.6</v>
          </cell>
          <cell r="GU596">
            <v>2.6</v>
          </cell>
          <cell r="GV596">
            <v>1.8</v>
          </cell>
          <cell r="GW596">
            <v>0</v>
          </cell>
          <cell r="GX596">
            <v>0</v>
          </cell>
          <cell r="GY596">
            <v>0</v>
          </cell>
          <cell r="GZ596">
            <v>0</v>
          </cell>
        </row>
        <row r="597">
          <cell r="S597">
            <v>2.3719131210949125</v>
          </cell>
          <cell r="T597">
            <v>2.793114143920596</v>
          </cell>
          <cell r="U597">
            <v>1.734324942791762</v>
          </cell>
          <cell r="V597">
            <v>2.0121252204585542</v>
          </cell>
          <cell r="X597">
            <v>6.3644974565865642</v>
          </cell>
          <cell r="Y597">
            <v>3.1396724294813469</v>
          </cell>
          <cell r="Z597">
            <v>2.6015177548682704</v>
          </cell>
          <cell r="AA597">
            <v>3.3740324594257181</v>
          </cell>
          <cell r="AC597">
            <v>3.9476956478831546</v>
          </cell>
          <cell r="AD597">
            <v>2.382431948424069</v>
          </cell>
          <cell r="AE597">
            <v>3.1679899378979637</v>
          </cell>
          <cell r="AF597">
            <v>4.1192073646434695</v>
          </cell>
          <cell r="AH597">
            <v>2.8047960555804572</v>
          </cell>
          <cell r="AJ597">
            <v>4.0531895937277262</v>
          </cell>
          <cell r="AK597">
            <v>2.6193895870736088</v>
          </cell>
          <cell r="AL597">
            <v>3.3165592643544999</v>
          </cell>
          <cell r="AM597">
            <v>4.1981858757468862</v>
          </cell>
          <cell r="AY597">
            <v>3.2566856406401032</v>
          </cell>
          <cell r="AZ597">
            <v>2.5361212912294793</v>
          </cell>
          <cell r="BA597">
            <v>2.8951521984216457</v>
          </cell>
          <cell r="BB597">
            <v>3.3442082297427564</v>
          </cell>
          <cell r="BI597">
            <v>2.8047960555804572</v>
          </cell>
          <cell r="BJ597">
            <v>4.1859020310633221</v>
          </cell>
          <cell r="BK597">
            <v>3.9653095370886784</v>
          </cell>
          <cell r="BL597">
            <v>3.9819485001327317</v>
          </cell>
          <cell r="BN597">
            <v>2.7717530602324452</v>
          </cell>
          <cell r="BO597">
            <v>3.5487201633165828</v>
          </cell>
          <cell r="BP597">
            <v>5.6609821681290695</v>
          </cell>
          <cell r="BQ597" t="str">
            <v>--</v>
          </cell>
          <cell r="BU597">
            <v>5.462555066079295</v>
          </cell>
          <cell r="BV597">
            <v>3.4461814724833637</v>
          </cell>
          <cell r="BX597">
            <v>4.6547510223719026</v>
          </cell>
          <cell r="BZ597">
            <v>4.4300786992994903</v>
          </cell>
          <cell r="CA597">
            <v>4.6531377343113283</v>
          </cell>
          <cell r="CB597">
            <v>5.9073567520875327</v>
          </cell>
          <cell r="CC597">
            <v>2.966188137514167</v>
          </cell>
          <cell r="CE597">
            <v>3.5475810239549088</v>
          </cell>
          <cell r="CF597">
            <v>2.7835817633430957</v>
          </cell>
          <cell r="CG597">
            <v>3.3996558223387692</v>
          </cell>
          <cell r="CH597">
            <v>8.8380438506337793</v>
          </cell>
          <cell r="CJ597">
            <v>2.5301767371078752</v>
          </cell>
          <cell r="CK597">
            <v>3.2280945319155649</v>
          </cell>
          <cell r="CL597">
            <v>4.9506165855866042</v>
          </cell>
          <cell r="CM597">
            <v>3.4106824786725407</v>
          </cell>
          <cell r="CO597">
            <v>4.4462967008957834</v>
          </cell>
          <cell r="CP597">
            <v>5.0301106214587641</v>
          </cell>
          <cell r="CT597">
            <v>4.3935410580980205</v>
          </cell>
          <cell r="CU597">
            <v>4.5949774136742976</v>
          </cell>
          <cell r="CV597">
            <v>5.7881223183273169</v>
          </cell>
          <cell r="CW597">
            <v>3.0302230750779566</v>
          </cell>
          <cell r="CY597">
            <v>3.6937626660662013</v>
          </cell>
          <cell r="CZ597">
            <v>2.9493947545393406</v>
          </cell>
          <cell r="DA597">
            <v>3.4907331538491548</v>
          </cell>
          <cell r="DB597">
            <v>8.6620686848958321</v>
          </cell>
          <cell r="DD597">
            <v>2.270995129656443</v>
          </cell>
          <cell r="DE597">
            <v>3.4014411480945492</v>
          </cell>
          <cell r="DF597">
            <v>4.1346323235019344</v>
          </cell>
          <cell r="DG597">
            <v>2.7771049723756907</v>
          </cell>
          <cell r="DI597">
            <v>3.0767034876504904</v>
          </cell>
          <cell r="DJ597">
            <v>4.82557616638561</v>
          </cell>
          <cell r="DK597">
            <v>2.7846124646283386</v>
          </cell>
          <cell r="DL597">
            <v>2.3365239983590866</v>
          </cell>
          <cell r="DN597">
            <v>1.5594627183758167</v>
          </cell>
          <cell r="DO597">
            <v>1.5680432086003722</v>
          </cell>
          <cell r="DP597">
            <v>0.64471874232375337</v>
          </cell>
          <cell r="DQ597">
            <v>0.5873791440939371</v>
          </cell>
          <cell r="DS597">
            <v>0.68718551670080152</v>
          </cell>
          <cell r="DT597">
            <v>0.70785821621143807</v>
          </cell>
          <cell r="DU597">
            <v>0.55238857497819871</v>
          </cell>
          <cell r="DV597">
            <v>0.60511180611683157</v>
          </cell>
          <cell r="DX597">
            <v>0.39228920342809975</v>
          </cell>
          <cell r="DY597">
            <v>0.45110612375761466</v>
          </cell>
          <cell r="DZ597">
            <v>0.3900405113905403</v>
          </cell>
          <cell r="EA597">
            <v>0.60790393071898263</v>
          </cell>
          <cell r="EC597">
            <v>0.71646482602625028</v>
          </cell>
          <cell r="ED597">
            <v>0.90193154122549768</v>
          </cell>
          <cell r="EE597">
            <v>1.1091465473991036</v>
          </cell>
          <cell r="EF597">
            <v>1.1153059746825449</v>
          </cell>
          <cell r="EH597">
            <v>1.0625956926565734</v>
          </cell>
          <cell r="EI597">
            <v>1.2297070221819146</v>
          </cell>
          <cell r="EJ597">
            <v>1.4152597746871147</v>
          </cell>
          <cell r="EK597">
            <v>1.3984924675165622</v>
          </cell>
          <cell r="ER597">
            <v>1.8714194780394651</v>
          </cell>
          <cell r="ES597">
            <v>2.4209541023820282</v>
          </cell>
          <cell r="ET597">
            <v>3.6138004324086634</v>
          </cell>
          <cell r="EU597">
            <v>3.1568104184457728</v>
          </cell>
          <cell r="FB597">
            <v>3.2620361083249749</v>
          </cell>
          <cell r="FC597">
            <v>3.1442187440785232</v>
          </cell>
          <cell r="FD597">
            <v>3.3022348210165471</v>
          </cell>
          <cell r="FK597">
            <v>4.0832331265700716</v>
          </cell>
          <cell r="FL597">
            <v>3.6316676448394403</v>
          </cell>
          <cell r="FN597" t="str">
            <v>--</v>
          </cell>
          <cell r="FO597" t="str">
            <v>--</v>
          </cell>
          <cell r="FP597">
            <v>4.4391590650474759</v>
          </cell>
          <cell r="FQ597">
            <v>4.1739026380201256</v>
          </cell>
          <cell r="FR597">
            <v>3.301478756401933</v>
          </cell>
          <cell r="FU597" t="str">
            <v>--</v>
          </cell>
          <cell r="FV597">
            <v>3.3490467973638802</v>
          </cell>
          <cell r="FW597">
            <v>3.1612418045955781</v>
          </cell>
          <cell r="FX597">
            <v>3.2284436132959322</v>
          </cell>
          <cell r="FY597">
            <v>1.0751727998125562</v>
          </cell>
          <cell r="FZ597">
            <v>0.63631476215058758</v>
          </cell>
          <cell r="GA597">
            <v>0.45890899378373545</v>
          </cell>
          <cell r="GB597">
            <v>0.95725039803875678</v>
          </cell>
          <cell r="GC597">
            <v>1.2748469616259339</v>
          </cell>
          <cell r="GL597">
            <v>0.63631476215058758</v>
          </cell>
          <cell r="GM597">
            <v>0.45890899378373545</v>
          </cell>
          <cell r="GN597">
            <v>0.95725039803875678</v>
          </cell>
          <cell r="GO597">
            <v>1.2748469616259339</v>
          </cell>
          <cell r="GP597">
            <v>1.4638119808130119</v>
          </cell>
          <cell r="GQ597">
            <v>1.6344025151662434</v>
          </cell>
          <cell r="GR597">
            <v>1.5088202149352814</v>
          </cell>
          <cell r="GS597">
            <v>1.5734929934512483</v>
          </cell>
          <cell r="GT597">
            <v>1.9043754787999156</v>
          </cell>
          <cell r="GU597">
            <v>1.8704443480701713</v>
          </cell>
          <cell r="GV597">
            <v>1.6280597923834774</v>
          </cell>
          <cell r="GW597">
            <v>0.52550072158848471</v>
          </cell>
          <cell r="GX597">
            <v>0.75803398301205849</v>
          </cell>
          <cell r="GY597">
            <v>1.0309340104405449</v>
          </cell>
          <cell r="GZ597">
            <v>1.0593662547372615</v>
          </cell>
          <cell r="HA597">
            <v>1.0616783547185575</v>
          </cell>
          <cell r="HB597">
            <v>1.0439326836660054</v>
          </cell>
          <cell r="HC597">
            <v>1.0678787314469382</v>
          </cell>
          <cell r="HD597">
            <v>1.0562110689904205</v>
          </cell>
          <cell r="HE597">
            <v>0.99522463910916492</v>
          </cell>
          <cell r="HF597">
            <v>1.0005450924060495</v>
          </cell>
          <cell r="HG597">
            <v>1.0031068140902355</v>
          </cell>
          <cell r="HH597">
            <v>0.91487888556637043</v>
          </cell>
          <cell r="HI597">
            <v>0.9250073929849677</v>
          </cell>
        </row>
        <row r="599">
          <cell r="DI599">
            <v>0.363931197099576</v>
          </cell>
          <cell r="DJ599">
            <v>0.363931197099576</v>
          </cell>
          <cell r="DK599">
            <v>0.363931197099576</v>
          </cell>
          <cell r="DL599">
            <v>0.363931197099576</v>
          </cell>
          <cell r="DN599">
            <v>0.23311276795863867</v>
          </cell>
          <cell r="DO599">
            <v>0.23311276795863867</v>
          </cell>
          <cell r="DP599">
            <v>0.23311276795863867</v>
          </cell>
          <cell r="DQ599">
            <v>0.23311276795863867</v>
          </cell>
          <cell r="DS599">
            <v>0.13809237438017319</v>
          </cell>
          <cell r="DT599">
            <v>0.13809237438017319</v>
          </cell>
          <cell r="DU599">
            <v>0.13809237438017319</v>
          </cell>
          <cell r="DV599">
            <v>0.13809237438017319</v>
          </cell>
          <cell r="DX599">
            <v>-8.2588880268720244E-2</v>
          </cell>
          <cell r="DY599">
            <v>-8.2588880268720244E-2</v>
          </cell>
          <cell r="DZ599">
            <v>-8.2588880268720244E-2</v>
          </cell>
          <cell r="EA599">
            <v>-8.2588880268720244E-2</v>
          </cell>
          <cell r="FX599">
            <v>0.363931197099576</v>
          </cell>
          <cell r="FY599">
            <v>0.23311276795863867</v>
          </cell>
          <cell r="FZ599">
            <v>0.13809237438017319</v>
          </cell>
          <cell r="GA599">
            <v>-8.2588880268720244E-2</v>
          </cell>
          <cell r="GL599">
            <v>0.13809237438017319</v>
          </cell>
          <cell r="GM599">
            <v>-8.2588880268720244E-2</v>
          </cell>
          <cell r="GN599">
            <v>2.0466783761085683E-2</v>
          </cell>
          <cell r="GO599">
            <v>5.8275083085586266E-2</v>
          </cell>
          <cell r="GP599">
            <v>7.6232077325003145E-2</v>
          </cell>
          <cell r="GQ599">
            <v>5.6237295833925893E-2</v>
          </cell>
          <cell r="GR599">
            <v>-6.0919856370901249E-3</v>
          </cell>
          <cell r="GS599">
            <v>-7.0059036916403361E-3</v>
          </cell>
          <cell r="GT599">
            <v>6.7470706178969442E-2</v>
          </cell>
          <cell r="GU599">
            <v>0.39393933785563862</v>
          </cell>
          <cell r="GV599">
            <v>0.27319054878965021</v>
          </cell>
          <cell r="GW599">
            <v>5.6457446365526964E-2</v>
          </cell>
          <cell r="GX599">
            <v>-8.7948055684222703E-3</v>
          </cell>
          <cell r="GY599">
            <v>-9.7019043353071543E-3</v>
          </cell>
          <cell r="GZ599">
            <v>1.8309794516324862E-2</v>
          </cell>
        </row>
        <row r="600">
          <cell r="S600">
            <v>5.3224018907478868E-2</v>
          </cell>
          <cell r="T600">
            <v>5.7445600515447476E-2</v>
          </cell>
          <cell r="U600">
            <v>4.7002133359793613E-2</v>
          </cell>
          <cell r="V600">
            <v>5.2996167692486357E-2</v>
          </cell>
          <cell r="X600">
            <v>0.15404144395810601</v>
          </cell>
          <cell r="Y600">
            <v>8.2328566656592495E-2</v>
          </cell>
          <cell r="Z600">
            <v>6.158983050847458E-2</v>
          </cell>
          <cell r="AA600">
            <v>8.1635242163004676E-2</v>
          </cell>
          <cell r="AC600">
            <v>0.10636594970737531</v>
          </cell>
          <cell r="AD600">
            <v>6.2908442645431592E-2</v>
          </cell>
          <cell r="AE600">
            <v>8.0616123224644926E-2</v>
          </cell>
          <cell r="AF600">
            <v>0.10379398466679772</v>
          </cell>
          <cell r="AH600">
            <v>7.0866364665911674E-2</v>
          </cell>
          <cell r="AJ600">
            <v>0.11451290545064616</v>
          </cell>
          <cell r="AK600">
            <v>6.8164684246181162E-2</v>
          </cell>
          <cell r="AL600">
            <v>7.8920390423763129E-2</v>
          </cell>
          <cell r="AM600">
            <v>9.8042083602324082E-2</v>
          </cell>
          <cell r="AY600">
            <v>9.5917428073000105E-2</v>
          </cell>
          <cell r="AZ600">
            <v>7.2942205896367407E-2</v>
          </cell>
          <cell r="BA600">
            <v>7.8416204386991692E-2</v>
          </cell>
          <cell r="BB600">
            <v>7.6920024694326031E-2</v>
          </cell>
          <cell r="BI600">
            <v>6.1421303188443736E-2</v>
          </cell>
          <cell r="BJ600">
            <v>8.0466686571277646E-2</v>
          </cell>
          <cell r="BK600">
            <v>6.0278697197428031E-2</v>
          </cell>
          <cell r="BL600">
            <v>3.1633139931830583E-2</v>
          </cell>
          <cell r="BN600">
            <v>7.3067818566462564E-2</v>
          </cell>
          <cell r="BO600">
            <v>7.8596184311891026E-2</v>
          </cell>
          <cell r="BP600">
            <v>0.103650928765494</v>
          </cell>
          <cell r="BQ600" t="str">
            <v>--</v>
          </cell>
          <cell r="BU600">
            <v>0.10214429804168514</v>
          </cell>
          <cell r="BV600">
            <v>6.8802079351731521E-2</v>
          </cell>
          <cell r="BX600">
            <v>8.4654718925928324E-2</v>
          </cell>
          <cell r="BZ600">
            <v>0.10673186912558003</v>
          </cell>
          <cell r="CA600">
            <v>0.10392763983013052</v>
          </cell>
          <cell r="CB600">
            <v>0.13643618347769704</v>
          </cell>
          <cell r="CC600">
            <v>6.8139904564501419E-2</v>
          </cell>
          <cell r="CE600">
            <v>9.9791902015577624E-2</v>
          </cell>
          <cell r="CF600">
            <v>7.6665161775771262E-2</v>
          </cell>
          <cell r="CG600">
            <v>8.7748501955442551E-2</v>
          </cell>
          <cell r="CH600">
            <v>0.19627564523813826</v>
          </cell>
          <cell r="CJ600">
            <v>6.6298057142028563E-2</v>
          </cell>
          <cell r="CK600">
            <v>7.3525015235664098E-2</v>
          </cell>
          <cell r="CL600">
            <v>9.6433852615990134E-2</v>
          </cell>
          <cell r="CM600">
            <v>7.0098900590744612E-2</v>
          </cell>
          <cell r="CO600">
            <v>8.0608132783764538E-2</v>
          </cell>
          <cell r="CP600">
            <v>9.4888747508164742E-2</v>
          </cell>
          <cell r="CT600">
            <v>9.9554133686349133E-2</v>
          </cell>
          <cell r="CU600">
            <v>9.7854744850458253E-2</v>
          </cell>
          <cell r="CV600">
            <v>0.12771664808230418</v>
          </cell>
          <cell r="CW600">
            <v>6.6903217264663042E-2</v>
          </cell>
          <cell r="CY600">
            <v>9.7634372250982954E-2</v>
          </cell>
          <cell r="CZ600">
            <v>7.6787807095967248E-2</v>
          </cell>
          <cell r="DA600">
            <v>8.5491794740951185E-2</v>
          </cell>
          <cell r="DB600">
            <v>0.18472553533604014</v>
          </cell>
          <cell r="DD600">
            <v>5.5774577312255519E-2</v>
          </cell>
          <cell r="DE600">
            <v>7.3961921270042738E-2</v>
          </cell>
          <cell r="DF600">
            <v>7.8721782349294112E-2</v>
          </cell>
          <cell r="DG600">
            <v>5.6384540556450952E-2</v>
          </cell>
          <cell r="DI600">
            <v>5.5560494797484025E-2</v>
          </cell>
          <cell r="DJ600">
            <v>8.3644419385787191E-2</v>
          </cell>
          <cell r="DK600">
            <v>4.9821056631802058E-2</v>
          </cell>
          <cell r="DL600">
            <v>4.3891121147534351E-2</v>
          </cell>
          <cell r="DN600">
            <v>3.5756468691872108E-2</v>
          </cell>
          <cell r="DO600">
            <v>3.7398171540852496E-2</v>
          </cell>
          <cell r="DP600">
            <v>1.5201971364933902E-2</v>
          </cell>
          <cell r="DQ600">
            <v>1.3749051967357338E-2</v>
          </cell>
          <cell r="DS600">
            <v>1.7382325128628567E-2</v>
          </cell>
          <cell r="DT600">
            <v>1.6780153822067986E-2</v>
          </cell>
          <cell r="DU600">
            <v>1.2005990402685292E-2</v>
          </cell>
          <cell r="DV600">
            <v>1.6884426380874413E-2</v>
          </cell>
          <cell r="DX600">
            <v>1.040211132344946E-2</v>
          </cell>
          <cell r="DY600">
            <v>9.6390714658022483E-3</v>
          </cell>
          <cell r="DZ600">
            <v>7.1415085070023103E-3</v>
          </cell>
          <cell r="EA600">
            <v>1.2999999999999999E-2</v>
          </cell>
          <cell r="EC600">
            <v>1.4E-2</v>
          </cell>
          <cell r="ED600">
            <v>1.6E-2</v>
          </cell>
          <cell r="EE600">
            <v>1.7000000000000001E-2</v>
          </cell>
          <cell r="EF600">
            <v>1.9E-2</v>
          </cell>
          <cell r="EH600">
            <v>1.7000000000000001E-2</v>
          </cell>
          <cell r="EI600">
            <v>1.7999999999999999E-2</v>
          </cell>
          <cell r="EJ600">
            <v>1.7999999999999999E-2</v>
          </cell>
          <cell r="EK600">
            <v>0.02</v>
          </cell>
          <cell r="ER600">
            <v>4.111564649634207E-2</v>
          </cell>
          <cell r="ES600">
            <v>5.8597796586599839E-2</v>
          </cell>
          <cell r="ET600">
            <v>8.8598860991147943E-2</v>
          </cell>
          <cell r="EU600">
            <v>8.1800614839233982E-2</v>
          </cell>
          <cell r="FB600">
            <v>7.7912083140559474E-2</v>
          </cell>
          <cell r="FC600">
            <v>7.4302528022468117E-2</v>
          </cell>
          <cell r="FD600">
            <v>5.8148775780421262E-2</v>
          </cell>
          <cell r="FK600">
            <v>0.10542894690326696</v>
          </cell>
          <cell r="FL600">
            <v>7.5464982268345152E-2</v>
          </cell>
          <cell r="FP600">
            <v>0.10247826261082936</v>
          </cell>
          <cell r="FQ600">
            <v>0.10703861034989817</v>
          </cell>
          <cell r="FR600">
            <v>7.1670015142522941E-2</v>
          </cell>
          <cell r="FV600">
            <v>8.1508333615834497E-2</v>
          </cell>
          <cell r="FW600">
            <v>6.6444876235823999E-2</v>
          </cell>
          <cell r="FX600">
            <v>5.8164616643237785E-2</v>
          </cell>
          <cell r="FY600">
            <v>2.521141973718901E-2</v>
          </cell>
          <cell r="FZ600">
            <v>1.5570348058507034E-2</v>
          </cell>
          <cell r="GA600">
            <v>9.9135223759262113E-3</v>
          </cell>
          <cell r="GB600">
            <v>1.6563237043528238E-2</v>
          </cell>
          <cell r="GC600">
            <v>1.8265206715004999E-2</v>
          </cell>
          <cell r="GL600">
            <v>1.5570348058507034E-2</v>
          </cell>
          <cell r="GM600">
            <v>9.9135223759262113E-3</v>
          </cell>
          <cell r="GN600">
            <v>1.6563237043528238E-2</v>
          </cell>
          <cell r="GO600">
            <v>1.8265206715004999E-2</v>
          </cell>
          <cell r="GP600">
            <v>0.02</v>
          </cell>
          <cell r="GQ600">
            <v>2.1999999999999999E-2</v>
          </cell>
          <cell r="GR600">
            <v>0.02</v>
          </cell>
          <cell r="GS600">
            <v>1.9E-2</v>
          </cell>
          <cell r="GT600">
            <v>2.3E-2</v>
          </cell>
          <cell r="GU600">
            <v>2.8000000000000001E-2</v>
          </cell>
          <cell r="GV600">
            <v>2.8000000000000001E-2</v>
          </cell>
          <cell r="GW600">
            <v>1.0999999999999999E-2</v>
          </cell>
          <cell r="GX600">
            <v>1.4999999999999999E-2</v>
          </cell>
          <cell r="GY600">
            <v>1.7999999999999999E-2</v>
          </cell>
          <cell r="GZ600">
            <v>1.7000000000000001E-2</v>
          </cell>
          <cell r="HA600">
            <v>1.6E-2</v>
          </cell>
          <cell r="HB600">
            <v>1.4E-2</v>
          </cell>
          <cell r="HC600">
            <v>1.0999999999999999E-2</v>
          </cell>
          <cell r="HD600">
            <v>8.0000000000000002E-3</v>
          </cell>
          <cell r="HE600">
            <v>7.0000000000000001E-3</v>
          </cell>
          <cell r="HF600">
            <v>6.4999999999999997E-3</v>
          </cell>
          <cell r="HG600">
            <v>5.4999999999999997E-3</v>
          </cell>
          <cell r="HH600">
            <v>4.0000000000000001E-3</v>
          </cell>
          <cell r="HI600">
            <v>3.0000000000000001E-3</v>
          </cell>
        </row>
        <row r="601">
          <cell r="DD601">
            <v>0.12901472792191529</v>
          </cell>
          <cell r="DE601">
            <v>0.13602236691959657</v>
          </cell>
          <cell r="DF601">
            <v>0.14021411048340465</v>
          </cell>
          <cell r="DG601">
            <v>0.14899277590827972</v>
          </cell>
          <cell r="DI601">
            <v>0.14607790700836726</v>
          </cell>
          <cell r="DJ601">
            <v>0.14483206387047884</v>
          </cell>
          <cell r="DK601">
            <v>0.139727505326635</v>
          </cell>
          <cell r="DL601">
            <v>0.12607479495390503</v>
          </cell>
          <cell r="DN601">
            <v>0.15602800418498602</v>
          </cell>
          <cell r="DO601">
            <v>0.15496282710247625</v>
          </cell>
          <cell r="DP601">
            <v>0.16001548663761611</v>
          </cell>
          <cell r="DQ601">
            <v>0.1496850441054651</v>
          </cell>
          <cell r="DS601">
            <v>0.15566680360837296</v>
          </cell>
          <cell r="DT601">
            <v>0.1575618903606727</v>
          </cell>
          <cell r="DU601">
            <v>0.16322030139143107</v>
          </cell>
          <cell r="DV601">
            <v>0.16849819380223255</v>
          </cell>
          <cell r="DX601">
            <v>0.16762839638627705</v>
          </cell>
          <cell r="DY601">
            <v>0.17658392342274071</v>
          </cell>
          <cell r="DZ601">
            <v>0.18398871306153367</v>
          </cell>
          <cell r="EA601">
            <v>0.18491644639305441</v>
          </cell>
          <cell r="FX601">
            <v>0.13917806778984654</v>
          </cell>
          <cell r="FY601">
            <v>0.16806230006874712</v>
          </cell>
          <cell r="FZ601">
            <v>0.16106853891399486</v>
          </cell>
          <cell r="GA601">
            <v>0.1572736607031977</v>
          </cell>
          <cell r="GL601">
            <v>0.16106853891399486</v>
          </cell>
          <cell r="GM601">
            <v>0.1572736607031977</v>
          </cell>
          <cell r="GN601">
            <v>0.177718743929168</v>
          </cell>
          <cell r="GO601">
            <v>0.17346454912892814</v>
          </cell>
          <cell r="GP601">
            <v>0.18286681447539141</v>
          </cell>
          <cell r="GQ601">
            <v>0.1678027117918115</v>
          </cell>
          <cell r="GR601">
            <v>0.12389218595076856</v>
          </cell>
          <cell r="GS601">
            <v>0.10309081249388004</v>
          </cell>
          <cell r="GT601">
            <v>0.10664827888428706</v>
          </cell>
          <cell r="GU601">
            <v>0.13898310316759596</v>
          </cell>
          <cell r="GV601">
            <v>0.14098618483128975</v>
          </cell>
          <cell r="GW601">
            <v>0.1245674524367478</v>
          </cell>
          <cell r="GX601">
            <v>0.1275970651231309</v>
          </cell>
          <cell r="GY601">
            <v>0.12914478880686964</v>
          </cell>
          <cell r="GZ601">
            <v>0.12884379409861718</v>
          </cell>
        </row>
        <row r="602">
          <cell r="DN602">
            <v>1.1657375000000001</v>
          </cell>
          <cell r="DO602">
            <v>1.1657375000000001</v>
          </cell>
          <cell r="DP602">
            <v>1.1657375000000001</v>
          </cell>
          <cell r="DQ602">
            <v>1.1657375000000001</v>
          </cell>
          <cell r="DS602">
            <v>2.0140874999999996</v>
          </cell>
          <cell r="DT602">
            <v>2.0140874999999996</v>
          </cell>
          <cell r="DU602">
            <v>2.0140874999999996</v>
          </cell>
          <cell r="DV602">
            <v>2.0140874999999996</v>
          </cell>
          <cell r="DX602">
            <v>4.1982499999999954</v>
          </cell>
          <cell r="DY602">
            <v>9.2982500000000066</v>
          </cell>
          <cell r="DZ602">
            <v>1.5743888888888904</v>
          </cell>
          <cell r="EA602">
            <v>1.5743888888888904</v>
          </cell>
          <cell r="FY602">
            <v>11.657375000000002</v>
          </cell>
          <cell r="FZ602">
            <v>20.140874999999994</v>
          </cell>
          <cell r="GA602">
            <v>49.410916666666672</v>
          </cell>
          <cell r="GL602">
            <v>20.140874999999994</v>
          </cell>
          <cell r="GM602">
            <v>49.410916666666672</v>
          </cell>
          <cell r="GN602">
            <v>37.158478495949041</v>
          </cell>
          <cell r="GO602">
            <v>36.777604381132711</v>
          </cell>
          <cell r="GP602">
            <v>53.385625000000005</v>
          </cell>
          <cell r="GQ602">
            <v>89.019125000000003</v>
          </cell>
          <cell r="GR602">
            <v>117.92475</v>
          </cell>
          <cell r="GS602">
            <v>107.458</v>
          </cell>
          <cell r="GT602">
            <v>88.739125000000001</v>
          </cell>
          <cell r="GU602">
            <v>17.7343886773</v>
          </cell>
          <cell r="GV602">
            <v>34.278699310184557</v>
          </cell>
          <cell r="GW602">
            <v>53.595354473390614</v>
          </cell>
          <cell r="GX602">
            <v>96.088582924546444</v>
          </cell>
          <cell r="GY602">
            <v>137.90350622389127</v>
          </cell>
          <cell r="GZ602">
            <v>112.29864202171933</v>
          </cell>
        </row>
        <row r="603">
          <cell r="DX603" t="str">
            <v>Use this formula for actual quarters in incomplete years.</v>
          </cell>
          <cell r="GA603">
            <v>-133.16222222222223</v>
          </cell>
        </row>
        <row r="604">
          <cell r="GL604">
            <v>424.02</v>
          </cell>
          <cell r="GM604">
            <v>780.55185064064256</v>
          </cell>
          <cell r="GN604">
            <v>770.89965668187642</v>
          </cell>
          <cell r="GO604">
            <v>714.3916246569662</v>
          </cell>
          <cell r="GP604">
            <v>937.27396878988884</v>
          </cell>
          <cell r="GQ604">
            <v>510.2083440861154</v>
          </cell>
          <cell r="GR604">
            <v>-500.62525372739128</v>
          </cell>
          <cell r="GS604">
            <v>398.09539090468877</v>
          </cell>
          <cell r="GT604">
            <v>890.91113055491587</v>
          </cell>
          <cell r="GU604">
            <v>801.84513221276893</v>
          </cell>
          <cell r="GV604">
            <v>299.29795950236769</v>
          </cell>
          <cell r="GW604">
            <v>-25.011921897356046</v>
          </cell>
          <cell r="GX604">
            <v>2724.5717160277777</v>
          </cell>
          <cell r="GY604">
            <v>3894.9302356013141</v>
          </cell>
          <cell r="GZ604">
            <v>5221.8222247788262</v>
          </cell>
        </row>
        <row r="607">
          <cell r="GL607">
            <v>501.60199999999998</v>
          </cell>
          <cell r="GM607">
            <v>0</v>
          </cell>
          <cell r="GN607">
            <v>0</v>
          </cell>
          <cell r="GO607">
            <v>75</v>
          </cell>
          <cell r="GP607">
            <v>300</v>
          </cell>
          <cell r="GQ607">
            <v>500</v>
          </cell>
          <cell r="GR607">
            <v>350</v>
          </cell>
          <cell r="GS607">
            <v>250</v>
          </cell>
          <cell r="GT607">
            <v>400</v>
          </cell>
          <cell r="GU607">
            <v>800</v>
          </cell>
          <cell r="GV607">
            <v>500</v>
          </cell>
          <cell r="GW607">
            <v>200</v>
          </cell>
          <cell r="GX607">
            <v>50</v>
          </cell>
          <cell r="GY607">
            <v>125</v>
          </cell>
          <cell r="GZ607">
            <v>100</v>
          </cell>
        </row>
        <row r="608">
          <cell r="GL608">
            <v>0</v>
          </cell>
          <cell r="GM608">
            <v>0</v>
          </cell>
          <cell r="GN608">
            <v>0</v>
          </cell>
          <cell r="GO608">
            <v>300</v>
          </cell>
          <cell r="GP608">
            <v>909.09090909090901</v>
          </cell>
          <cell r="GQ608">
            <v>1515.151515151515</v>
          </cell>
          <cell r="GR608">
            <v>1060.6060606060605</v>
          </cell>
          <cell r="GS608">
            <v>757.57575757575751</v>
          </cell>
          <cell r="GT608">
            <v>1212.121212121212</v>
          </cell>
          <cell r="GU608">
            <v>2424.242424242424</v>
          </cell>
          <cell r="GV608">
            <v>1515.151515151515</v>
          </cell>
          <cell r="GW608">
            <v>606.06060606060601</v>
          </cell>
          <cell r="GX608">
            <v>200</v>
          </cell>
          <cell r="GY608">
            <v>500</v>
          </cell>
          <cell r="GZ608">
            <v>400</v>
          </cell>
        </row>
        <row r="611">
          <cell r="GL611">
            <v>0</v>
          </cell>
          <cell r="GM611">
            <v>0</v>
          </cell>
          <cell r="GN611">
            <v>0</v>
          </cell>
          <cell r="GO611">
            <v>0</v>
          </cell>
          <cell r="GP611">
            <v>0</v>
          </cell>
          <cell r="GQ611">
            <v>0</v>
          </cell>
          <cell r="GR611">
            <v>0</v>
          </cell>
          <cell r="GS611">
            <v>0</v>
          </cell>
          <cell r="GT611">
            <v>0</v>
          </cell>
          <cell r="GU611">
            <v>0</v>
          </cell>
          <cell r="GV611">
            <v>0</v>
          </cell>
          <cell r="GW611">
            <v>0</v>
          </cell>
          <cell r="GX611">
            <v>0</v>
          </cell>
          <cell r="GY611">
            <v>0</v>
          </cell>
          <cell r="GZ611">
            <v>0</v>
          </cell>
        </row>
        <row r="612">
          <cell r="GL612">
            <v>0</v>
          </cell>
          <cell r="GM612">
            <v>0</v>
          </cell>
          <cell r="GN612">
            <v>0</v>
          </cell>
          <cell r="GO612">
            <v>0</v>
          </cell>
          <cell r="GP612">
            <v>0</v>
          </cell>
          <cell r="GQ612">
            <v>0</v>
          </cell>
          <cell r="GR612">
            <v>0</v>
          </cell>
          <cell r="GS612">
            <v>0</v>
          </cell>
          <cell r="GT612">
            <v>0</v>
          </cell>
          <cell r="GU612">
            <v>0</v>
          </cell>
          <cell r="GV612">
            <v>0</v>
          </cell>
          <cell r="GW612">
            <v>0</v>
          </cell>
          <cell r="GX612">
            <v>0</v>
          </cell>
          <cell r="GY612">
            <v>0</v>
          </cell>
          <cell r="GZ612">
            <v>0</v>
          </cell>
        </row>
        <row r="613">
          <cell r="GL613">
            <v>0</v>
          </cell>
          <cell r="GM613">
            <v>0</v>
          </cell>
          <cell r="GN613">
            <v>0</v>
          </cell>
          <cell r="GO613">
            <v>0</v>
          </cell>
          <cell r="GP613">
            <v>0</v>
          </cell>
          <cell r="GQ613">
            <v>0</v>
          </cell>
          <cell r="GR613">
            <v>0</v>
          </cell>
          <cell r="GS613">
            <v>0</v>
          </cell>
          <cell r="GT613">
            <v>0</v>
          </cell>
          <cell r="GU613">
            <v>0</v>
          </cell>
          <cell r="GV613">
            <v>0</v>
          </cell>
          <cell r="GW613">
            <v>0</v>
          </cell>
          <cell r="GX613">
            <v>0</v>
          </cell>
          <cell r="GY613">
            <v>0</v>
          </cell>
          <cell r="GZ613">
            <v>0</v>
          </cell>
        </row>
        <row r="614">
          <cell r="GL614">
            <v>0</v>
          </cell>
          <cell r="GM614">
            <v>0</v>
          </cell>
          <cell r="GN614">
            <v>0</v>
          </cell>
          <cell r="GO614">
            <v>0</v>
          </cell>
          <cell r="GP614">
            <v>0</v>
          </cell>
          <cell r="GQ614">
            <v>0</v>
          </cell>
          <cell r="GR614">
            <v>0</v>
          </cell>
          <cell r="GS614">
            <v>0</v>
          </cell>
          <cell r="GT614">
            <v>0</v>
          </cell>
          <cell r="GU614">
            <v>0</v>
          </cell>
          <cell r="GV614">
            <v>0</v>
          </cell>
          <cell r="GW614">
            <v>0</v>
          </cell>
          <cell r="GX614">
            <v>0</v>
          </cell>
          <cell r="GY614">
            <v>0</v>
          </cell>
          <cell r="GZ614">
            <v>0</v>
          </cell>
        </row>
        <row r="615">
          <cell r="GL615">
            <v>0</v>
          </cell>
          <cell r="GM615">
            <v>0</v>
          </cell>
          <cell r="GN615">
            <v>0</v>
          </cell>
          <cell r="GO615">
            <v>0</v>
          </cell>
          <cell r="GP615">
            <v>0</v>
          </cell>
          <cell r="GQ615">
            <v>0</v>
          </cell>
          <cell r="GR615">
            <v>0</v>
          </cell>
          <cell r="GS615">
            <v>0</v>
          </cell>
          <cell r="GT615">
            <v>0</v>
          </cell>
          <cell r="GU615">
            <v>0</v>
          </cell>
          <cell r="GV615">
            <v>0</v>
          </cell>
          <cell r="GW615">
            <v>0</v>
          </cell>
          <cell r="GX615">
            <v>0</v>
          </cell>
          <cell r="GY615">
            <v>0</v>
          </cell>
          <cell r="GZ615">
            <v>0</v>
          </cell>
        </row>
        <row r="616">
          <cell r="GL616">
            <v>0</v>
          </cell>
          <cell r="GM616">
            <v>0</v>
          </cell>
          <cell r="GN616">
            <v>0</v>
          </cell>
          <cell r="GO616">
            <v>0</v>
          </cell>
          <cell r="GP616">
            <v>0</v>
          </cell>
          <cell r="GQ616">
            <v>0</v>
          </cell>
          <cell r="GR616">
            <v>0</v>
          </cell>
          <cell r="GS616">
            <v>0</v>
          </cell>
          <cell r="GT616">
            <v>0</v>
          </cell>
          <cell r="GU616">
            <v>0</v>
          </cell>
          <cell r="GV616">
            <v>0</v>
          </cell>
          <cell r="GW616">
            <v>0</v>
          </cell>
          <cell r="GX616">
            <v>0</v>
          </cell>
          <cell r="GY616">
            <v>0</v>
          </cell>
          <cell r="GZ616">
            <v>0</v>
          </cell>
        </row>
        <row r="623">
          <cell r="CT623" t="str">
            <v>F1998 Restated for JIT</v>
          </cell>
          <cell r="CY623" t="str">
            <v>F1999 Restated for JIT</v>
          </cell>
          <cell r="DD623" t="str">
            <v>F2000 Restated for JIT</v>
          </cell>
          <cell r="DI623" t="str">
            <v>F2001 Restated for JIT</v>
          </cell>
          <cell r="DN623" t="str">
            <v>F2002</v>
          </cell>
          <cell r="DS623" t="str">
            <v>F2003</v>
          </cell>
          <cell r="DX623" t="str">
            <v>F2004E</v>
          </cell>
        </row>
        <row r="624">
          <cell r="CT624" t="str">
            <v>6/97</v>
          </cell>
          <cell r="CU624" t="str">
            <v>9/97</v>
          </cell>
          <cell r="CV624" t="str">
            <v xml:space="preserve"> 12/97</v>
          </cell>
          <cell r="CW624" t="str">
            <v xml:space="preserve"> 3/98</v>
          </cell>
          <cell r="CY624" t="str">
            <v>6/98</v>
          </cell>
          <cell r="CZ624" t="str">
            <v>9/98</v>
          </cell>
          <cell r="DA624" t="str">
            <v xml:space="preserve"> 12/98</v>
          </cell>
          <cell r="DB624" t="str">
            <v xml:space="preserve"> 3/99</v>
          </cell>
          <cell r="DD624" t="str">
            <v>6/99</v>
          </cell>
          <cell r="DE624" t="str">
            <v>9/99</v>
          </cell>
          <cell r="DF624" t="str">
            <v xml:space="preserve"> 12/99</v>
          </cell>
          <cell r="DG624" t="str">
            <v xml:space="preserve"> 3/00</v>
          </cell>
          <cell r="DI624" t="str">
            <v>6/00</v>
          </cell>
          <cell r="DJ624" t="str">
            <v>9/00</v>
          </cell>
          <cell r="DK624" t="str">
            <v xml:space="preserve"> 12/00</v>
          </cell>
          <cell r="DL624" t="str">
            <v xml:space="preserve"> 3/01</v>
          </cell>
          <cell r="DN624" t="str">
            <v>6/01</v>
          </cell>
          <cell r="DO624" t="str">
            <v>9/01</v>
          </cell>
          <cell r="DP624" t="str">
            <v xml:space="preserve"> 12/01</v>
          </cell>
          <cell r="DQ624" t="str">
            <v xml:space="preserve"> 3/02</v>
          </cell>
          <cell r="DS624" t="str">
            <v>6/02</v>
          </cell>
          <cell r="DT624" t="str">
            <v>9/02</v>
          </cell>
          <cell r="DU624" t="str">
            <v xml:space="preserve"> 12/02</v>
          </cell>
          <cell r="DV624" t="str">
            <v xml:space="preserve"> 3/03</v>
          </cell>
          <cell r="DX624" t="str">
            <v>6/03</v>
          </cell>
          <cell r="DY624" t="str">
            <v>9/03</v>
          </cell>
          <cell r="DZ624" t="str">
            <v xml:space="preserve"> 12/03</v>
          </cell>
          <cell r="EA624" t="str">
            <v xml:space="preserve"> 3/04E</v>
          </cell>
          <cell r="FV624" t="str">
            <v>F1999</v>
          </cell>
          <cell r="FW624" t="str">
            <v>F2000</v>
          </cell>
          <cell r="FX624" t="str">
            <v>F2001</v>
          </cell>
          <cell r="FY624" t="str">
            <v>F2002</v>
          </cell>
          <cell r="FZ624" t="str">
            <v>F2003</v>
          </cell>
          <cell r="GA624" t="str">
            <v>F2004E</v>
          </cell>
          <cell r="GE624" t="str">
            <v>C1998</v>
          </cell>
          <cell r="GF624" t="str">
            <v>C1999</v>
          </cell>
          <cell r="GG624" t="str">
            <v>C2000</v>
          </cell>
          <cell r="GH624" t="str">
            <v>C2001</v>
          </cell>
          <cell r="GI624" t="str">
            <v>C2002</v>
          </cell>
          <cell r="GJ624" t="str">
            <v>C2003</v>
          </cell>
          <cell r="GL624">
            <v>2003</v>
          </cell>
          <cell r="GM624">
            <v>2004</v>
          </cell>
          <cell r="GN624">
            <v>2005</v>
          </cell>
          <cell r="GO624">
            <v>2006</v>
          </cell>
          <cell r="GP624">
            <v>2007</v>
          </cell>
          <cell r="GQ624">
            <v>2008</v>
          </cell>
          <cell r="GR624">
            <v>2009</v>
          </cell>
          <cell r="GS624">
            <v>2010</v>
          </cell>
          <cell r="GT624">
            <v>2011</v>
          </cell>
          <cell r="GU624">
            <v>2012</v>
          </cell>
          <cell r="GV624">
            <v>2013</v>
          </cell>
          <cell r="GW624">
            <v>2014</v>
          </cell>
          <cell r="GX624">
            <v>2015</v>
          </cell>
          <cell r="GY624">
            <v>2016</v>
          </cell>
          <cell r="GZ624">
            <v>2017</v>
          </cell>
        </row>
        <row r="626">
          <cell r="CT626">
            <v>29.462999999999973</v>
          </cell>
          <cell r="CU626">
            <v>37.234999999999964</v>
          </cell>
          <cell r="CV626">
            <v>41.02899999999994</v>
          </cell>
          <cell r="CW626">
            <v>43.991000000000007</v>
          </cell>
          <cell r="CY626">
            <v>40.592999999999947</v>
          </cell>
          <cell r="CZ626">
            <v>40.114999999999938</v>
          </cell>
          <cell r="DA626">
            <v>46.197999999999951</v>
          </cell>
          <cell r="DB626">
            <v>43.982999999999947</v>
          </cell>
          <cell r="DD626">
            <v>47.076999999999998</v>
          </cell>
          <cell r="DE626">
            <v>59.063000000000073</v>
          </cell>
          <cell r="DF626">
            <v>72.827999999999975</v>
          </cell>
          <cell r="DG626">
            <v>83.63399999999983</v>
          </cell>
          <cell r="DI626">
            <v>102.27800000000025</v>
          </cell>
          <cell r="DJ626">
            <v>129.15600000000012</v>
          </cell>
          <cell r="DK626">
            <v>146.38200000000001</v>
          </cell>
          <cell r="DL626">
            <v>110.33700000000042</v>
          </cell>
          <cell r="DN626">
            <v>120.72300000000007</v>
          </cell>
          <cell r="DO626">
            <v>99.459000000000245</v>
          </cell>
          <cell r="DP626">
            <v>114.18400000000044</v>
          </cell>
          <cell r="DQ626">
            <v>89.319000000000116</v>
          </cell>
          <cell r="DS626">
            <v>47.897001000000216</v>
          </cell>
          <cell r="DT626">
            <v>66.382999999999868</v>
          </cell>
          <cell r="DU626">
            <v>91.285999999999945</v>
          </cell>
          <cell r="DV626">
            <v>43.119000000000014</v>
          </cell>
          <cell r="DX626">
            <v>39.809000000000168</v>
          </cell>
          <cell r="DY626">
            <v>64.957000000000249</v>
          </cell>
          <cell r="DZ626">
            <v>117.83500000000025</v>
          </cell>
          <cell r="EA626">
            <v>70.997788536320002</v>
          </cell>
          <cell r="FV626">
            <v>170.88899999999978</v>
          </cell>
          <cell r="FW626">
            <v>262.60199999999986</v>
          </cell>
          <cell r="FX626">
            <v>488.15300000000082</v>
          </cell>
          <cell r="FY626">
            <v>423.68500000000085</v>
          </cell>
          <cell r="FZ626">
            <v>248.68500100000006</v>
          </cell>
          <cell r="GA626">
            <v>293.59878853632068</v>
          </cell>
          <cell r="GL626">
            <v>248.68500100000006</v>
          </cell>
          <cell r="GM626">
            <v>293.59878853632068</v>
          </cell>
          <cell r="GN626">
            <v>493.19856537251758</v>
          </cell>
          <cell r="GO626">
            <v>699.88518750136461</v>
          </cell>
          <cell r="GP626">
            <v>1096.9653589814729</v>
          </cell>
          <cell r="GQ626">
            <v>1120.1977291561973</v>
          </cell>
          <cell r="GR626">
            <v>545.78913617375463</v>
          </cell>
          <cell r="GS626">
            <v>1211.5335474886931</v>
          </cell>
          <cell r="GT626">
            <v>1660.4668299259754</v>
          </cell>
          <cell r="GU626">
            <v>2180.1752142778428</v>
          </cell>
          <cell r="GV626">
            <v>2237.7273698490662</v>
          </cell>
          <cell r="GW626">
            <v>465.32402017975096</v>
          </cell>
          <cell r="GX626">
            <v>1332.5187850601949</v>
          </cell>
          <cell r="GY626">
            <v>1989.8947190232248</v>
          </cell>
          <cell r="GZ626">
            <v>2208.7831381157794</v>
          </cell>
        </row>
        <row r="627">
          <cell r="CT627">
            <v>1.7549999999999999</v>
          </cell>
          <cell r="CU627">
            <v>2.149</v>
          </cell>
          <cell r="CV627">
            <v>2.1949999999999998</v>
          </cell>
          <cell r="CW627">
            <v>4.3879999999999999</v>
          </cell>
          <cell r="CY627">
            <v>6.4560000000000004</v>
          </cell>
          <cell r="CZ627">
            <v>6.3689999999999998</v>
          </cell>
          <cell r="DA627">
            <v>6.7919999999999998</v>
          </cell>
          <cell r="DB627">
            <v>9.5389999999999997</v>
          </cell>
          <cell r="DD627">
            <v>9.7539999999999996</v>
          </cell>
          <cell r="DE627">
            <v>8.7870000000000008</v>
          </cell>
          <cell r="DF627">
            <v>10.734999999999999</v>
          </cell>
          <cell r="DG627">
            <v>12.05</v>
          </cell>
          <cell r="DI627">
            <v>9.3699999999999992</v>
          </cell>
          <cell r="DJ627">
            <v>12.505000000000001</v>
          </cell>
          <cell r="DK627">
            <v>15.141</v>
          </cell>
          <cell r="DL627">
            <v>26.524999999999999</v>
          </cell>
          <cell r="DN627">
            <v>2.2559999999999998</v>
          </cell>
          <cell r="DO627">
            <v>3.802</v>
          </cell>
          <cell r="DP627">
            <v>3.0529999999999999</v>
          </cell>
          <cell r="DQ627">
            <v>3.504</v>
          </cell>
          <cell r="DS627">
            <v>3.5</v>
          </cell>
          <cell r="DT627">
            <v>5.9329999999999998</v>
          </cell>
          <cell r="DU627">
            <v>6.1470000000000002</v>
          </cell>
          <cell r="DV627">
            <v>6.8319999999999999</v>
          </cell>
          <cell r="DX627">
            <v>8.8170000000000002</v>
          </cell>
          <cell r="DY627">
            <v>8.5730000000000004</v>
          </cell>
          <cell r="DZ627">
            <v>0</v>
          </cell>
          <cell r="EA627">
            <v>8.5</v>
          </cell>
          <cell r="FV627">
            <v>29.155999999999999</v>
          </cell>
          <cell r="FW627">
            <v>41.326000000000001</v>
          </cell>
          <cell r="FX627">
            <v>63.540999999999997</v>
          </cell>
          <cell r="FY627">
            <v>12.615</v>
          </cell>
          <cell r="FZ627">
            <v>22.411999999999999</v>
          </cell>
          <cell r="GA627">
            <v>25.89</v>
          </cell>
          <cell r="GL627">
            <v>22.411999999999999</v>
          </cell>
          <cell r="GM627">
            <v>25.89</v>
          </cell>
          <cell r="GN627">
            <v>17</v>
          </cell>
          <cell r="GO627">
            <v>7.5</v>
          </cell>
          <cell r="GP627">
            <v>4.5</v>
          </cell>
          <cell r="GQ627">
            <v>4</v>
          </cell>
          <cell r="GR627">
            <v>2.6</v>
          </cell>
          <cell r="GS627">
            <v>2.6</v>
          </cell>
          <cell r="GT627">
            <v>2.6</v>
          </cell>
          <cell r="GU627">
            <v>2.6</v>
          </cell>
          <cell r="GV627">
            <v>1.8</v>
          </cell>
          <cell r="GW627">
            <v>0</v>
          </cell>
          <cell r="GX627">
            <v>0</v>
          </cell>
          <cell r="GY627">
            <v>0</v>
          </cell>
          <cell r="GZ627">
            <v>0</v>
          </cell>
        </row>
        <row r="628">
          <cell r="CT628">
            <v>6.6349594201744262</v>
          </cell>
          <cell r="CU628">
            <v>9.0590631656378964</v>
          </cell>
          <cell r="CV628">
            <v>7.9131070263388281</v>
          </cell>
          <cell r="CW628">
            <v>6.8235543018335676</v>
          </cell>
          <cell r="CY628">
            <v>9.1431003075702026</v>
          </cell>
          <cell r="CZ628">
            <v>7.9758024886715173</v>
          </cell>
          <cell r="DA628">
            <v>8.1173924302788905</v>
          </cell>
          <cell r="DB628">
            <v>2.58728282828283</v>
          </cell>
          <cell r="DD628">
            <v>10.215205622071837</v>
          </cell>
          <cell r="DE628">
            <v>9.1126534762849278</v>
          </cell>
          <cell r="DF628">
            <v>2.8079033177655126</v>
          </cell>
          <cell r="DG628">
            <v>13.794347529860776</v>
          </cell>
          <cell r="DI628">
            <v>18.511468481545805</v>
          </cell>
          <cell r="DJ628">
            <v>19.200379926402423</v>
          </cell>
          <cell r="DK628">
            <v>21.744330485155679</v>
          </cell>
          <cell r="DL628">
            <v>1.7592654718834573</v>
          </cell>
          <cell r="DN628">
            <v>12.539589363237997</v>
          </cell>
          <cell r="DO628">
            <v>10.823864121643473</v>
          </cell>
          <cell r="DP628">
            <v>12.115011406636178</v>
          </cell>
          <cell r="DQ628">
            <v>9.8409980852969277</v>
          </cell>
          <cell r="DS628">
            <v>5.9404103190390023</v>
          </cell>
          <cell r="DT628">
            <v>7.2396711916318539</v>
          </cell>
          <cell r="DU628">
            <v>9.7367933813163194</v>
          </cell>
          <cell r="DV628">
            <v>3.7152462194832885</v>
          </cell>
          <cell r="DX628">
            <v>7.9492208950927505</v>
          </cell>
          <cell r="DY628">
            <v>8.7762792063994048</v>
          </cell>
          <cell r="DZ628">
            <v>11.783274223525126</v>
          </cell>
          <cell r="EA628">
            <v>7.9497788536320009</v>
          </cell>
          <cell r="FV628">
            <v>28.214176183051723</v>
          </cell>
          <cell r="FW628">
            <v>36.403851990243403</v>
          </cell>
          <cell r="FX628">
            <v>63.964100505008666</v>
          </cell>
          <cell r="FY628">
            <v>45.28772752477154</v>
          </cell>
          <cell r="FZ628">
            <v>26.952333078141603</v>
          </cell>
          <cell r="GA628">
            <v>34.467409128926732</v>
          </cell>
          <cell r="GL628">
            <v>26.952333078141603</v>
          </cell>
          <cell r="GM628">
            <v>34.467409128926732</v>
          </cell>
          <cell r="GN628">
            <v>51.019856537251776</v>
          </cell>
          <cell r="GO628">
            <v>70.738518750136464</v>
          </cell>
          <cell r="GP628">
            <v>110.14653589814733</v>
          </cell>
          <cell r="GQ628">
            <v>112.41977291561976</v>
          </cell>
          <cell r="GR628">
            <v>54.838913617375482</v>
          </cell>
          <cell r="GS628">
            <v>121.41335474886934</v>
          </cell>
          <cell r="GT628">
            <v>166.30668299259759</v>
          </cell>
          <cell r="GU628">
            <v>218.27752142778434</v>
          </cell>
          <cell r="GV628">
            <v>223.95273698490672</v>
          </cell>
          <cell r="GW628">
            <v>46.532402017975109</v>
          </cell>
          <cell r="GX628">
            <v>133.25187850601952</v>
          </cell>
          <cell r="GY628">
            <v>198.98947190232255</v>
          </cell>
          <cell r="GZ628">
            <v>220.87831381157801</v>
          </cell>
        </row>
        <row r="629">
          <cell r="CT629">
            <v>24.583040579825546</v>
          </cell>
          <cell r="CU629">
            <v>30.32493683436207</v>
          </cell>
          <cell r="CV629">
            <v>35.310892973661112</v>
          </cell>
          <cell r="CW629">
            <v>41.555445698166437</v>
          </cell>
          <cell r="CY629">
            <v>37.905899692429749</v>
          </cell>
          <cell r="CZ629">
            <v>38.508197511328419</v>
          </cell>
          <cell r="DA629">
            <v>44.872607569721062</v>
          </cell>
          <cell r="DB629">
            <v>50.934717171717118</v>
          </cell>
          <cell r="DD629">
            <v>46.615794377928161</v>
          </cell>
          <cell r="DE629">
            <v>58.737346523715154</v>
          </cell>
          <cell r="DF629">
            <v>80.755096682234466</v>
          </cell>
          <cell r="DG629">
            <v>81.889652470139055</v>
          </cell>
          <cell r="DI629">
            <v>93.136531518454447</v>
          </cell>
          <cell r="DJ629">
            <v>122.4606200735977</v>
          </cell>
          <cell r="DK629">
            <v>139.77866951484432</v>
          </cell>
          <cell r="DL629">
            <v>135.10273452811697</v>
          </cell>
          <cell r="DN629">
            <v>110.43941063676208</v>
          </cell>
          <cell r="DO629">
            <v>92.437135878356784</v>
          </cell>
          <cell r="DP629">
            <v>105.12198859336425</v>
          </cell>
          <cell r="DQ629">
            <v>82.98200191470319</v>
          </cell>
          <cell r="DS629">
            <v>45.456590680961213</v>
          </cell>
          <cell r="DT629">
            <v>65.076328808368004</v>
          </cell>
          <cell r="DU629">
            <v>87.696206618683632</v>
          </cell>
          <cell r="DV629">
            <v>46.235753780516724</v>
          </cell>
          <cell r="DX629">
            <v>40.676779104907418</v>
          </cell>
          <cell r="DY629">
            <v>64.753720793600849</v>
          </cell>
          <cell r="DZ629">
            <v>106.05172577647512</v>
          </cell>
          <cell r="EA629">
            <v>71.548009682688004</v>
          </cell>
          <cell r="FV629">
            <v>171.83082381694805</v>
          </cell>
          <cell r="FW629">
            <v>267.52414800975646</v>
          </cell>
          <cell r="FX629">
            <v>487.7298994949922</v>
          </cell>
          <cell r="FY629">
            <v>391.01227247522934</v>
          </cell>
          <cell r="FZ629">
            <v>244.14466792185843</v>
          </cell>
          <cell r="GA629">
            <v>285.02137940739397</v>
          </cell>
          <cell r="GL629">
            <v>244.14466792185843</v>
          </cell>
          <cell r="GM629">
            <v>285.02137940739397</v>
          </cell>
          <cell r="GN629">
            <v>459.17870883526581</v>
          </cell>
          <cell r="GO629">
            <v>636.64666875122816</v>
          </cell>
          <cell r="GP629">
            <v>991.31882308332558</v>
          </cell>
          <cell r="GQ629">
            <v>1011.7779562405775</v>
          </cell>
          <cell r="GR629">
            <v>493.55022255637914</v>
          </cell>
          <cell r="GS629">
            <v>1092.7201927398237</v>
          </cell>
          <cell r="GT629">
            <v>1496.7601469333777</v>
          </cell>
          <cell r="GU629">
            <v>1964.4976928500582</v>
          </cell>
          <cell r="GV629">
            <v>2015.5746328641596</v>
          </cell>
          <cell r="GW629">
            <v>418.79161816177583</v>
          </cell>
          <cell r="GX629">
            <v>1199.2669065541754</v>
          </cell>
          <cell r="GY629">
            <v>1790.9052471209022</v>
          </cell>
          <cell r="GZ629">
            <v>1987.9048243042014</v>
          </cell>
        </row>
        <row r="630">
          <cell r="CT630">
            <v>4.5198967759407863E-2</v>
          </cell>
          <cell r="CU630">
            <v>4.9444954703536839E-2</v>
          </cell>
          <cell r="CV630">
            <v>5.3064455638968125E-2</v>
          </cell>
          <cell r="CW630">
            <v>5.5018463786795237E-2</v>
          </cell>
          <cell r="CY630">
            <v>4.5122149732737211E-2</v>
          </cell>
          <cell r="CZ630">
            <v>4.213874539863896E-2</v>
          </cell>
          <cell r="DA630">
            <v>4.2880261958350235E-2</v>
          </cell>
          <cell r="DB630">
            <v>4.4198548925611453E-2</v>
          </cell>
          <cell r="DD630">
            <v>3.7674808762428603E-2</v>
          </cell>
          <cell r="DE630">
            <v>3.8507051110169728E-2</v>
          </cell>
          <cell r="DF630">
            <v>4.1039515729839542E-2</v>
          </cell>
          <cell r="DG630">
            <v>3.6743303021201212E-2</v>
          </cell>
          <cell r="DI630">
            <v>3.4791720621288977E-2</v>
          </cell>
          <cell r="DJ630">
            <v>3.9772880681831456E-2</v>
          </cell>
          <cell r="DK630">
            <v>4.3150980635232539E-2</v>
          </cell>
          <cell r="DL630">
            <v>4.3379546501263778E-2</v>
          </cell>
          <cell r="DN630">
            <v>3.5504237653583674E-2</v>
          </cell>
          <cell r="DO630">
            <v>2.8486740151324866E-2</v>
          </cell>
          <cell r="DP630">
            <v>3.0443325022788403E-2</v>
          </cell>
          <cell r="DQ630">
            <v>2.5174286901890965E-2</v>
          </cell>
          <cell r="DS630">
            <v>1.4536679945827526E-2</v>
          </cell>
          <cell r="DT630">
            <v>1.9480355494146735E-2</v>
          </cell>
          <cell r="DU630">
            <v>2.2769399775433539E-2</v>
          </cell>
          <cell r="DV630">
            <v>1.5111871713958266E-2</v>
          </cell>
          <cell r="DX630">
            <v>1.3093340281241796E-2</v>
          </cell>
          <cell r="DY630">
            <v>1.8483941672770777E-2</v>
          </cell>
          <cell r="DZ630">
            <v>2.5540207115902519E-2</v>
          </cell>
          <cell r="EA630">
            <v>2.0160000000000001E-2</v>
          </cell>
          <cell r="FV630">
            <v>4.3470813703789697E-2</v>
          </cell>
          <cell r="FW630">
            <v>3.8442227052458124E-2</v>
          </cell>
          <cell r="FX630">
            <v>4.0275972135640381E-2</v>
          </cell>
          <cell r="FY630">
            <v>2.9837207086627768E-2</v>
          </cell>
          <cell r="FZ630">
            <v>1.8248760056703454E-2</v>
          </cell>
          <cell r="GA630">
            <v>1.991586708870656E-2</v>
          </cell>
          <cell r="GL630">
            <v>1.8248760056703454E-2</v>
          </cell>
          <cell r="GM630">
            <v>1.991586708870656E-2</v>
          </cell>
          <cell r="GN630">
            <v>2.7734008118855583E-2</v>
          </cell>
          <cell r="GO630">
            <v>3.2870844059373946E-2</v>
          </cell>
          <cell r="GP630">
            <v>4.229999999999999E-2</v>
          </cell>
          <cell r="GQ630">
            <v>3.6900000000000002E-2</v>
          </cell>
          <cell r="GR630">
            <v>1.7999999999999999E-2</v>
          </cell>
          <cell r="GS630">
            <v>3.6900000000000002E-2</v>
          </cell>
          <cell r="GT630">
            <v>4.3199999999999988E-2</v>
          </cell>
          <cell r="GU630">
            <v>4.4999999999999991E-2</v>
          </cell>
          <cell r="GV630">
            <v>4.0499999999999987E-2</v>
          </cell>
          <cell r="GW630">
            <v>9.900000000000006E-3</v>
          </cell>
          <cell r="GX630">
            <v>2.6999999999999996E-2</v>
          </cell>
          <cell r="GY630">
            <v>3.5999999999999997E-2</v>
          </cell>
          <cell r="GZ630">
            <v>3.599999999999999E-2</v>
          </cell>
        </row>
        <row r="632">
          <cell r="DL632">
            <v>957.29100000000005</v>
          </cell>
          <cell r="DN632">
            <v>1007.4429999999999</v>
          </cell>
          <cell r="DO632">
            <v>1108.452</v>
          </cell>
          <cell r="DP632">
            <v>1343.171</v>
          </cell>
          <cell r="DQ632">
            <v>1489.4490000000001</v>
          </cell>
          <cell r="DS632">
            <v>1576.039</v>
          </cell>
          <cell r="DT632">
            <v>1957.432</v>
          </cell>
          <cell r="DU632">
            <v>2062.9299999999998</v>
          </cell>
          <cell r="DV632">
            <v>2121.9969999999998</v>
          </cell>
          <cell r="DX632">
            <v>2200.3380000000002</v>
          </cell>
          <cell r="DY632">
            <v>2235.6509999999998</v>
          </cell>
          <cell r="DZ632">
            <v>2235.6509999999998</v>
          </cell>
          <cell r="EA632">
            <v>2235.6509999999998</v>
          </cell>
          <cell r="FX632">
            <v>957.29100000000005</v>
          </cell>
          <cell r="FY632">
            <v>1489.4490000000001</v>
          </cell>
          <cell r="FZ632">
            <v>2121.9969999999998</v>
          </cell>
          <cell r="GA632">
            <v>2235.6509999999998</v>
          </cell>
        </row>
        <row r="633">
          <cell r="CT633">
            <v>5531</v>
          </cell>
          <cell r="CU633">
            <v>5531</v>
          </cell>
          <cell r="CV633">
            <v>5531</v>
          </cell>
          <cell r="CW633">
            <v>5531</v>
          </cell>
          <cell r="CY633">
            <v>5531</v>
          </cell>
          <cell r="CZ633">
            <v>5531</v>
          </cell>
          <cell r="DA633">
            <v>5531</v>
          </cell>
          <cell r="DB633">
            <v>5531</v>
          </cell>
          <cell r="DD633">
            <v>5531</v>
          </cell>
          <cell r="DE633">
            <v>5531</v>
          </cell>
          <cell r="DF633">
            <v>5531</v>
          </cell>
          <cell r="DG633">
            <v>5531</v>
          </cell>
          <cell r="DI633">
            <v>5531</v>
          </cell>
          <cell r="DJ633">
            <v>5531</v>
          </cell>
          <cell r="DK633">
            <v>5531</v>
          </cell>
          <cell r="DL633">
            <v>5531</v>
          </cell>
          <cell r="DN633">
            <v>5531</v>
          </cell>
          <cell r="DO633">
            <v>5531</v>
          </cell>
          <cell r="DP633">
            <v>5531</v>
          </cell>
          <cell r="DQ633">
            <v>5531</v>
          </cell>
          <cell r="DS633">
            <v>5531</v>
          </cell>
          <cell r="DT633">
            <v>5531</v>
          </cell>
          <cell r="DU633">
            <v>5531</v>
          </cell>
          <cell r="DV633">
            <v>5531</v>
          </cell>
          <cell r="DX633">
            <v>5531</v>
          </cell>
          <cell r="DY633">
            <v>5531</v>
          </cell>
          <cell r="DZ633">
            <v>5531</v>
          </cell>
          <cell r="EA633">
            <v>5531</v>
          </cell>
          <cell r="FV633">
            <v>5531</v>
          </cell>
          <cell r="FW633">
            <v>5531</v>
          </cell>
          <cell r="FX633">
            <v>5181</v>
          </cell>
          <cell r="FY633">
            <v>5181</v>
          </cell>
          <cell r="FZ633">
            <v>5531</v>
          </cell>
          <cell r="GA633">
            <v>5531</v>
          </cell>
          <cell r="GL633">
            <v>5531</v>
          </cell>
          <cell r="GM633">
            <v>5531</v>
          </cell>
          <cell r="GN633">
            <v>5531</v>
          </cell>
          <cell r="GO633">
            <v>5531</v>
          </cell>
          <cell r="GP633">
            <v>5531</v>
          </cell>
          <cell r="GQ633">
            <v>5531</v>
          </cell>
          <cell r="GR633">
            <v>5531</v>
          </cell>
          <cell r="GS633">
            <v>5531</v>
          </cell>
          <cell r="GT633">
            <v>5531</v>
          </cell>
          <cell r="GU633">
            <v>5531</v>
          </cell>
          <cell r="GV633">
            <v>5531</v>
          </cell>
          <cell r="GW633">
            <v>5531</v>
          </cell>
          <cell r="GX633">
            <v>5531</v>
          </cell>
          <cell r="GY633">
            <v>5531</v>
          </cell>
          <cell r="GZ633">
            <v>5531</v>
          </cell>
        </row>
        <row r="634">
          <cell r="DG634">
            <v>85.54</v>
          </cell>
          <cell r="DI634">
            <v>157.05799999999999</v>
          </cell>
          <cell r="DJ634">
            <v>157.05799999999999</v>
          </cell>
          <cell r="DK634">
            <v>157.05799999999999</v>
          </cell>
          <cell r="DL634">
            <v>157.05799999999999</v>
          </cell>
          <cell r="DN634">
            <v>157.05799999999999</v>
          </cell>
          <cell r="DO634">
            <v>157.05799999999999</v>
          </cell>
          <cell r="DP634">
            <v>157.05799999999999</v>
          </cell>
          <cell r="DQ634">
            <v>157.05799999999999</v>
          </cell>
          <cell r="DS634">
            <v>157.05799999999999</v>
          </cell>
          <cell r="DT634">
            <v>157.05799999999999</v>
          </cell>
          <cell r="DU634">
            <v>157.05799999999999</v>
          </cell>
          <cell r="DV634">
            <v>157.05799999999999</v>
          </cell>
          <cell r="DX634">
            <v>157.05799999999999</v>
          </cell>
          <cell r="DY634">
            <v>157.05799999999999</v>
          </cell>
          <cell r="DZ634">
            <v>157.05799999999999</v>
          </cell>
          <cell r="EA634">
            <v>157.05799999999999</v>
          </cell>
          <cell r="FX634">
            <v>157.05799999999999</v>
          </cell>
          <cell r="FY634">
            <v>157.05799999999999</v>
          </cell>
          <cell r="FZ634">
            <v>157.05799999999999</v>
          </cell>
          <cell r="GA634">
            <v>157.05799999999999</v>
          </cell>
        </row>
        <row r="635">
          <cell r="DD635">
            <v>0.6</v>
          </cell>
          <cell r="DE635">
            <v>0.6</v>
          </cell>
          <cell r="DF635">
            <v>0.6</v>
          </cell>
          <cell r="DG635">
            <v>0.6</v>
          </cell>
          <cell r="DI635">
            <v>4</v>
          </cell>
          <cell r="DJ635">
            <v>4</v>
          </cell>
          <cell r="DK635">
            <v>4</v>
          </cell>
          <cell r="DL635">
            <v>4</v>
          </cell>
          <cell r="DN635">
            <v>4</v>
          </cell>
          <cell r="DO635">
            <v>4</v>
          </cell>
          <cell r="DP635">
            <v>4</v>
          </cell>
          <cell r="DQ635">
            <v>4</v>
          </cell>
          <cell r="DS635">
            <v>4</v>
          </cell>
          <cell r="DT635">
            <v>4</v>
          </cell>
          <cell r="DU635">
            <v>4</v>
          </cell>
          <cell r="DV635">
            <v>4</v>
          </cell>
          <cell r="DX635">
            <v>4</v>
          </cell>
          <cell r="DY635">
            <v>4</v>
          </cell>
          <cell r="DZ635">
            <v>4</v>
          </cell>
          <cell r="EA635">
            <v>4</v>
          </cell>
          <cell r="FX635">
            <v>4</v>
          </cell>
          <cell r="FY635">
            <v>4</v>
          </cell>
          <cell r="FZ635">
            <v>4</v>
          </cell>
          <cell r="GA635">
            <v>4</v>
          </cell>
        </row>
        <row r="636">
          <cell r="CY636">
            <v>0</v>
          </cell>
          <cell r="CZ636">
            <v>0</v>
          </cell>
          <cell r="DA636">
            <v>0</v>
          </cell>
          <cell r="DB636">
            <v>0</v>
          </cell>
          <cell r="DG636">
            <v>0</v>
          </cell>
          <cell r="DI636">
            <v>0</v>
          </cell>
          <cell r="DJ636">
            <v>0</v>
          </cell>
          <cell r="DK636">
            <v>0</v>
          </cell>
          <cell r="DL636">
            <v>350</v>
          </cell>
          <cell r="DN636">
            <v>350</v>
          </cell>
          <cell r="DO636">
            <v>350</v>
          </cell>
          <cell r="DP636">
            <v>350</v>
          </cell>
          <cell r="DQ636">
            <v>350</v>
          </cell>
          <cell r="DS636">
            <v>350</v>
          </cell>
          <cell r="DT636">
            <v>350</v>
          </cell>
          <cell r="DU636">
            <v>350</v>
          </cell>
          <cell r="DV636">
            <v>350</v>
          </cell>
          <cell r="DX636">
            <v>6547</v>
          </cell>
          <cell r="DY636">
            <v>6547</v>
          </cell>
          <cell r="DZ636">
            <v>6547</v>
          </cell>
          <cell r="EA636">
            <v>6547</v>
          </cell>
          <cell r="FX636">
            <v>0</v>
          </cell>
          <cell r="FY636">
            <v>0</v>
          </cell>
          <cell r="FZ636">
            <v>0</v>
          </cell>
          <cell r="GA636">
            <v>6547</v>
          </cell>
        </row>
        <row r="637">
          <cell r="DG637">
            <v>5617.14</v>
          </cell>
          <cell r="DI637">
            <v>5692.058</v>
          </cell>
          <cell r="DJ637">
            <v>5692.058</v>
          </cell>
          <cell r="DK637">
            <v>5692.058</v>
          </cell>
          <cell r="DL637">
            <v>5342.058</v>
          </cell>
          <cell r="DN637">
            <v>5342.058</v>
          </cell>
          <cell r="DO637">
            <v>5342.058</v>
          </cell>
          <cell r="DP637">
            <v>5342.058</v>
          </cell>
          <cell r="DQ637">
            <v>5342.058</v>
          </cell>
          <cell r="DS637">
            <v>5342.058</v>
          </cell>
          <cell r="DT637">
            <v>5342.058</v>
          </cell>
          <cell r="DU637">
            <v>5342.058</v>
          </cell>
          <cell r="DV637">
            <v>5342.058</v>
          </cell>
          <cell r="DX637">
            <v>-854.94200000000001</v>
          </cell>
          <cell r="DY637">
            <v>-854.94200000000001</v>
          </cell>
          <cell r="DZ637">
            <v>-854.94200000000001</v>
          </cell>
          <cell r="EA637">
            <v>-854.94200000000001</v>
          </cell>
          <cell r="FX637">
            <v>5342.058</v>
          </cell>
          <cell r="FY637">
            <v>5342.058</v>
          </cell>
          <cell r="FZ637">
            <v>5692.058</v>
          </cell>
          <cell r="GA637">
            <v>-854.94200000000001</v>
          </cell>
        </row>
        <row r="639">
          <cell r="CT639">
            <v>6174.4430000000002</v>
          </cell>
          <cell r="CU639">
            <v>6214.7960000000003</v>
          </cell>
          <cell r="CV639">
            <v>6343.8689999999997</v>
          </cell>
          <cell r="CW639">
            <v>6583.5230000000001</v>
          </cell>
          <cell r="CY639">
            <v>6614.6949999999997</v>
          </cell>
          <cell r="CZ639">
            <v>6708.7139999999999</v>
          </cell>
          <cell r="DA639">
            <v>6902.0550000000003</v>
          </cell>
          <cell r="DB639">
            <v>7133.4610000000002</v>
          </cell>
          <cell r="DD639">
            <v>7334.1139999999996</v>
          </cell>
          <cell r="DE639">
            <v>7488.6980000000003</v>
          </cell>
          <cell r="DF639">
            <v>7777.9120000000003</v>
          </cell>
          <cell r="DG639">
            <v>8317.655999999999</v>
          </cell>
          <cell r="DI639">
            <v>8825.6669999999995</v>
          </cell>
          <cell r="DJ639">
            <v>9298.253999999999</v>
          </cell>
          <cell r="DK639">
            <v>9683.1660000000011</v>
          </cell>
          <cell r="DL639">
            <v>10172.740000000002</v>
          </cell>
          <cell r="DN639">
            <v>10305.932999999999</v>
          </cell>
          <cell r="DO639">
            <v>10264.852999999999</v>
          </cell>
          <cell r="DP639">
            <v>10654.19</v>
          </cell>
          <cell r="DQ639">
            <v>10399.199999999999</v>
          </cell>
          <cell r="DS639">
            <v>10191.864000000001</v>
          </cell>
          <cell r="DT639">
            <v>10671.598</v>
          </cell>
          <cell r="DU639">
            <v>10540.416000000001</v>
          </cell>
          <cell r="DV639">
            <v>10758.958999999999</v>
          </cell>
          <cell r="DX639">
            <v>10476.571</v>
          </cell>
          <cell r="DY639">
            <v>10566.219000000001</v>
          </cell>
          <cell r="DZ639">
            <v>10573.11</v>
          </cell>
          <cell r="EA639">
            <v>10575.407033760794</v>
          </cell>
          <cell r="FV639">
            <v>7133.4610000000002</v>
          </cell>
          <cell r="FW639">
            <v>8321.1090000000004</v>
          </cell>
          <cell r="FX639">
            <v>9822.7400000000016</v>
          </cell>
          <cell r="FY639">
            <v>10049.199999999999</v>
          </cell>
          <cell r="FZ639">
            <v>10758.958999999999</v>
          </cell>
          <cell r="GA639">
            <v>10575.407033760794</v>
          </cell>
          <cell r="GL639">
            <v>10758.958999999999</v>
          </cell>
          <cell r="GM639">
            <v>10575.407033760794</v>
          </cell>
          <cell r="GN639">
            <v>10982.326027921625</v>
          </cell>
          <cell r="GO639">
            <v>11621.417240234548</v>
          </cell>
          <cell r="GP639">
            <v>12335.604633371906</v>
          </cell>
          <cell r="GQ639">
            <v>13711.648856938738</v>
          </cell>
          <cell r="GR639">
            <v>15142.593119973142</v>
          </cell>
          <cell r="GS639">
            <v>15230.750142470857</v>
          </cell>
          <cell r="GT639">
            <v>16146.428539514087</v>
          </cell>
          <cell r="GU639">
            <v>18124.618985731107</v>
          </cell>
          <cell r="GV639">
            <v>20562.82351933352</v>
          </cell>
          <cell r="GW639">
            <v>21201.652050697874</v>
          </cell>
          <cell r="GX639">
            <v>19555.004016657185</v>
          </cell>
          <cell r="GY639">
            <v>20125.618320512738</v>
          </cell>
          <cell r="GZ639">
            <v>20754.7966598985</v>
          </cell>
        </row>
        <row r="640">
          <cell r="FV640">
            <v>1186.0050000000001</v>
          </cell>
          <cell r="FW640">
            <v>2201.6420000000003</v>
          </cell>
          <cell r="FX640">
            <v>3684.4490000000014</v>
          </cell>
          <cell r="FY640">
            <v>3378.7509999999988</v>
          </cell>
          <cell r="FZ640">
            <v>3105.9619999999991</v>
          </cell>
          <cell r="GA640">
            <v>2808.7560337607938</v>
          </cell>
          <cell r="GL640">
            <v>3105.9619999999991</v>
          </cell>
          <cell r="GM640">
            <v>2808.7560337607938</v>
          </cell>
          <cell r="GN640">
            <v>3215.6750279216249</v>
          </cell>
          <cell r="GO640">
            <v>3854.7662402345486</v>
          </cell>
          <cell r="GP640">
            <v>4568.9536333719061</v>
          </cell>
          <cell r="GQ640">
            <v>5944.9978569387386</v>
          </cell>
          <cell r="GR640">
            <v>7375.9421199731423</v>
          </cell>
          <cell r="GS640">
            <v>7464.0991424708573</v>
          </cell>
          <cell r="GT640">
            <v>8379.777539514087</v>
          </cell>
          <cell r="GU640">
            <v>10357.967985731108</v>
          </cell>
          <cell r="GV640">
            <v>12796.172519333521</v>
          </cell>
          <cell r="GW640">
            <v>13435.001050697874</v>
          </cell>
          <cell r="GX640">
            <v>11788.353016657185</v>
          </cell>
          <cell r="GY640">
            <v>12358.967320512738</v>
          </cell>
          <cell r="GZ640">
            <v>12988.145659898501</v>
          </cell>
        </row>
        <row r="641">
          <cell r="FV641">
            <v>1602.4610000000002</v>
          </cell>
          <cell r="FW641">
            <v>2790.1090000000004</v>
          </cell>
          <cell r="FX641">
            <v>4641.7400000000016</v>
          </cell>
          <cell r="FY641">
            <v>4868.1999999999989</v>
          </cell>
          <cell r="FZ641">
            <v>5227.9589999999989</v>
          </cell>
          <cell r="GA641">
            <v>5044.4070337607936</v>
          </cell>
          <cell r="GL641">
            <v>5227.9589999999989</v>
          </cell>
          <cell r="GM641">
            <v>5044.4070337607936</v>
          </cell>
          <cell r="GN641">
            <v>5451.3260279216247</v>
          </cell>
          <cell r="GO641">
            <v>6090.4172402345484</v>
          </cell>
          <cell r="GP641">
            <v>6804.6046333719059</v>
          </cell>
          <cell r="GQ641">
            <v>8180.6488569387384</v>
          </cell>
          <cell r="GR641">
            <v>9611.5931199731422</v>
          </cell>
          <cell r="GS641">
            <v>9699.7501424708571</v>
          </cell>
          <cell r="GT641">
            <v>10615.428539514087</v>
          </cell>
          <cell r="GU641">
            <v>12593.618985731107</v>
          </cell>
          <cell r="GV641">
            <v>15031.82351933352</v>
          </cell>
          <cell r="GW641">
            <v>15670.652050697874</v>
          </cell>
          <cell r="GX641">
            <v>14024.004016657185</v>
          </cell>
          <cell r="GY641">
            <v>14594.618320512738</v>
          </cell>
          <cell r="GZ641">
            <v>15223.7966598985</v>
          </cell>
        </row>
        <row r="643">
          <cell r="CT643" t="str">
            <v>--</v>
          </cell>
          <cell r="CU643">
            <v>0.3960256154554771</v>
          </cell>
          <cell r="CV643">
            <v>0.42388836711545369</v>
          </cell>
          <cell r="CW643">
            <v>0.46741059604288321</v>
          </cell>
          <cell r="CY643">
            <v>0.50920389404084698</v>
          </cell>
          <cell r="CZ643">
            <v>0.5487142217130766</v>
          </cell>
          <cell r="DA643">
            <v>0.61507942718005126</v>
          </cell>
          <cell r="DB643">
            <v>0.6568519461628628</v>
          </cell>
          <cell r="DD643">
            <v>0.68418929917418769</v>
          </cell>
          <cell r="DE643">
            <v>0.82325323966869446</v>
          </cell>
          <cell r="DF643">
            <v>1.0311339583574872</v>
          </cell>
          <cell r="DG643">
            <v>1.1077315196332307</v>
          </cell>
          <cell r="DI643">
            <v>1.2492205857639156</v>
          </cell>
          <cell r="DJ643">
            <v>1.3590869216435011</v>
          </cell>
          <cell r="DK643">
            <v>1.3652479108517699</v>
          </cell>
          <cell r="DL643">
            <v>1.2548141595754934</v>
          </cell>
          <cell r="DN643">
            <v>1.2151560796932495</v>
          </cell>
          <cell r="DO643">
            <v>1.2619519740276333</v>
          </cell>
          <cell r="DP643">
            <v>1.3205342137305232</v>
          </cell>
          <cell r="DQ643">
            <v>1.2525488769267088</v>
          </cell>
          <cell r="DS643">
            <v>1.2149064273706305</v>
          </cell>
          <cell r="DT643">
            <v>1.2809429230872613</v>
          </cell>
          <cell r="DU643">
            <v>1.45257079313638</v>
          </cell>
          <cell r="DV643">
            <v>1.1491661140291676</v>
          </cell>
          <cell r="DX643">
            <v>1.170369470411146</v>
          </cell>
          <cell r="DY643">
            <v>1.3318545687145098</v>
          </cell>
          <cell r="DZ643">
            <v>1.5714194144951337</v>
          </cell>
          <cell r="EA643">
            <v>1.3425086633297194</v>
          </cell>
          <cell r="FV643">
            <v>0.57633456450776643</v>
          </cell>
          <cell r="FW643">
            <v>0.90059082847339</v>
          </cell>
          <cell r="FX643">
            <v>1.3348544732708036</v>
          </cell>
          <cell r="FY643">
            <v>1.3189306127132023</v>
          </cell>
          <cell r="FZ643">
            <v>1.2859089552324163</v>
          </cell>
          <cell r="GA643">
            <v>1.3416167505660093</v>
          </cell>
          <cell r="GL643">
            <v>1.3000577843452088</v>
          </cell>
          <cell r="GM643">
            <v>1.3877860938997402</v>
          </cell>
          <cell r="GN643">
            <v>1.5230490503183827</v>
          </cell>
          <cell r="GO643">
            <v>1.7451259105851125</v>
          </cell>
          <cell r="GP643">
            <v>1.9564562985716922</v>
          </cell>
          <cell r="GQ643">
            <v>2.1053626109860328</v>
          </cell>
          <cell r="GR643">
            <v>1.9005494464645989</v>
          </cell>
          <cell r="GS643">
            <v>1.9499343946109893</v>
          </cell>
          <cell r="GT643">
            <v>2.2084347337034709</v>
          </cell>
          <cell r="GU643">
            <v>2.5476609230224878</v>
          </cell>
          <cell r="GV643">
            <v>2.5727870163048241</v>
          </cell>
          <cell r="GW643">
            <v>2.0257495431384775</v>
          </cell>
          <cell r="GX643">
            <v>2.1796338130358466</v>
          </cell>
          <cell r="GY643">
            <v>2.5073884957182693</v>
          </cell>
          <cell r="GZ643">
            <v>2.7015175104926983</v>
          </cell>
        </row>
        <row r="644">
          <cell r="FV644">
            <v>4.0850454748153586</v>
          </cell>
          <cell r="FW644">
            <v>4.1085284269582978</v>
          </cell>
          <cell r="FX644">
            <v>4.114682902455975</v>
          </cell>
          <cell r="FY644">
            <v>3.7107415902140666</v>
          </cell>
          <cell r="FZ644">
            <v>4.1262270203785443</v>
          </cell>
          <cell r="GA644">
            <v>4.8392066486051473</v>
          </cell>
          <cell r="GL644">
            <v>4.1262270203785443</v>
          </cell>
          <cell r="GM644">
            <v>4.8392066486051473</v>
          </cell>
          <cell r="GN644">
            <v>5.4964598607640065</v>
          </cell>
          <cell r="GO644">
            <v>5.4786189014417017</v>
          </cell>
          <cell r="GP644">
            <v>5.564153015877805</v>
          </cell>
          <cell r="GQ644">
            <v>5.2158233436699257</v>
          </cell>
          <cell r="GR644">
            <v>4.1167450429491739</v>
          </cell>
          <cell r="GS644">
            <v>3.9909610532317079</v>
          </cell>
          <cell r="GT644">
            <v>4.3735793100249207</v>
          </cell>
          <cell r="GU644">
            <v>4.6596325290830958</v>
          </cell>
          <cell r="GV644">
            <v>4.2987797257815696</v>
          </cell>
          <cell r="GW644">
            <v>3.2253367192868585</v>
          </cell>
          <cell r="GX644">
            <v>3.52191803807934</v>
          </cell>
          <cell r="GY644">
            <v>4.1203220300187589</v>
          </cell>
          <cell r="GZ644">
            <v>4.357070447870675</v>
          </cell>
        </row>
        <row r="645">
          <cell r="FV645">
            <v>2.9776345168181799</v>
          </cell>
          <cell r="FW645">
            <v>3.168587865418194</v>
          </cell>
          <cell r="FX645">
            <v>3.258865727761691</v>
          </cell>
          <cell r="FY645">
            <v>2.7560331610924989</v>
          </cell>
          <cell r="FZ645">
            <v>2.6502552109173405</v>
          </cell>
          <cell r="GA645">
            <v>2.7863632136481669</v>
          </cell>
          <cell r="GL645">
            <v>2.6502552109173405</v>
          </cell>
          <cell r="GM645">
            <v>2.7863632136481669</v>
          </cell>
          <cell r="GN645">
            <v>3.1549052667284041</v>
          </cell>
          <cell r="GO645">
            <v>3.3561873863654288</v>
          </cell>
          <cell r="GP645">
            <v>3.6348031666059053</v>
          </cell>
          <cell r="GQ645">
            <v>3.6595252561349003</v>
          </cell>
          <cell r="GR645">
            <v>3.0821811938336516</v>
          </cell>
          <cell r="GS645">
            <v>3.0669035241036879</v>
          </cell>
          <cell r="GT645">
            <v>3.4109693215922561</v>
          </cell>
          <cell r="GU645">
            <v>3.7619384628405306</v>
          </cell>
          <cell r="GV645">
            <v>3.6030029112772324</v>
          </cell>
          <cell r="GW645">
            <v>2.7556203770093153</v>
          </cell>
          <cell r="GX645">
            <v>2.9916017706748366</v>
          </cell>
          <cell r="GY645">
            <v>3.4765732179196229</v>
          </cell>
          <cell r="GZ645">
            <v>3.7037232521695178</v>
          </cell>
        </row>
        <row r="647">
          <cell r="D647" t="str">
            <v>--</v>
          </cell>
          <cell r="E647" t="str">
            <v>--</v>
          </cell>
          <cell r="F647" t="str">
            <v>--</v>
          </cell>
          <cell r="G647" t="str">
            <v>--</v>
          </cell>
          <cell r="I647" t="str">
            <v>--</v>
          </cell>
          <cell r="J647">
            <v>0.20442056555546007</v>
          </cell>
          <cell r="K647">
            <v>5.5106290047919143E-2</v>
          </cell>
          <cell r="L647">
            <v>0.19859919574489049</v>
          </cell>
          <cell r="N647">
            <v>0.17002989644492217</v>
          </cell>
          <cell r="O647">
            <v>0.17101616546548684</v>
          </cell>
          <cell r="P647">
            <v>0.18350926267654696</v>
          </cell>
          <cell r="Q647">
            <v>0.16183524124909482</v>
          </cell>
          <cell r="S647">
            <v>0.14568989608819066</v>
          </cell>
          <cell r="T647">
            <v>0.19286112183634321</v>
          </cell>
          <cell r="U647">
            <v>6.9425458552566627E-2</v>
          </cell>
          <cell r="V647">
            <v>0.10960181541816882</v>
          </cell>
          <cell r="X647">
            <v>0.13927254581982174</v>
          </cell>
          <cell r="Y647">
            <v>0.15330948223304081</v>
          </cell>
          <cell r="Z647">
            <v>0.13367159273705115</v>
          </cell>
          <cell r="AA647">
            <v>0.11170031501444497</v>
          </cell>
          <cell r="AC647">
            <v>0.11190705969879022</v>
          </cell>
          <cell r="AD647">
            <v>0.11006760981336765</v>
          </cell>
          <cell r="AE647">
            <v>0.12963616751396204</v>
          </cell>
          <cell r="AF647">
            <v>0.10783243274505666</v>
          </cell>
          <cell r="AH647" t="str">
            <v>--</v>
          </cell>
          <cell r="AJ647" t="str">
            <v>--</v>
          </cell>
          <cell r="AK647">
            <v>9.6611139041339833E-2</v>
          </cell>
          <cell r="AL647">
            <v>0.11460757560497707</v>
          </cell>
          <cell r="AM647">
            <v>9.529561747360607E-2</v>
          </cell>
          <cell r="AO647" t="str">
            <v>--</v>
          </cell>
          <cell r="AP647" t="str">
            <v>--</v>
          </cell>
          <cell r="AQ647" t="str">
            <v>--</v>
          </cell>
          <cell r="AR647" t="str">
            <v>--</v>
          </cell>
          <cell r="AT647" t="str">
            <v>--</v>
          </cell>
          <cell r="AU647" t="str">
            <v>--</v>
          </cell>
          <cell r="AV647" t="str">
            <v>--</v>
          </cell>
          <cell r="AW647" t="str">
            <v>--</v>
          </cell>
          <cell r="AY647" t="str">
            <v>--</v>
          </cell>
          <cell r="AZ647">
            <v>2.3053495456894144E-2</v>
          </cell>
          <cell r="BA647">
            <v>2.7139706151271516E-2</v>
          </cell>
          <cell r="BB647">
            <v>3.0594679000084325E-2</v>
          </cell>
          <cell r="BD647" t="str">
            <v>--</v>
          </cell>
          <cell r="BE647">
            <v>2.5218893487905129E-2</v>
          </cell>
          <cell r="BF647">
            <v>2.8179367565105241E-2</v>
          </cell>
          <cell r="BG647">
            <v>3.2483254352359353E-2</v>
          </cell>
          <cell r="BI647">
            <v>1.8110586610962404E-2</v>
          </cell>
          <cell r="BJ647">
            <v>2.4674615405304579E-2</v>
          </cell>
          <cell r="BK647">
            <v>3.2091027333649366E-2</v>
          </cell>
          <cell r="BL647" t="str">
            <v>--</v>
          </cell>
          <cell r="BN647" t="str">
            <v>--</v>
          </cell>
          <cell r="BO647">
            <v>3.5562351439670452E-2</v>
          </cell>
          <cell r="BP647">
            <v>4.7663513038113212E-2</v>
          </cell>
          <cell r="BQ647">
            <v>4.4468341334776222E-2</v>
          </cell>
          <cell r="BS647">
            <v>2.8612816982603536E-2</v>
          </cell>
          <cell r="BT647">
            <v>4.1398898829496211E-2</v>
          </cell>
          <cell r="BU647">
            <v>4.9470279041935822E-2</v>
          </cell>
          <cell r="BV647">
            <v>4.3819979600275505E-2</v>
          </cell>
          <cell r="BX647">
            <v>4.8769263128353953E-2</v>
          </cell>
          <cell r="BZ647" t="str">
            <v>--</v>
          </cell>
          <cell r="CA647" t="str">
            <v>--</v>
          </cell>
          <cell r="CB647" t="str">
            <v>--</v>
          </cell>
          <cell r="CC647">
            <v>2.6654260074858653E-2</v>
          </cell>
          <cell r="CE647">
            <v>2.3757009789989233E-2</v>
          </cell>
          <cell r="CF647">
            <v>2.3993993552644883E-2</v>
          </cell>
          <cell r="CG647">
            <v>2.6939496228249586E-2</v>
          </cell>
          <cell r="CH647">
            <v>3.0134708525122435E-2</v>
          </cell>
          <cell r="CJ647">
            <v>2.6575958898727332E-2</v>
          </cell>
          <cell r="CK647">
            <v>3.3155522447986543E-2</v>
          </cell>
          <cell r="CL647">
            <v>4.3548326582334609E-2</v>
          </cell>
          <cell r="CM647">
            <v>4.1771864154996431E-2</v>
          </cell>
          <cell r="CO647">
            <v>4.9429844497542098E-2</v>
          </cell>
          <cell r="CP647">
            <v>6.1109338000490579E-2</v>
          </cell>
          <cell r="CQ647" t="str">
            <v>--</v>
          </cell>
          <cell r="CR647" t="str">
            <v>--</v>
          </cell>
          <cell r="CT647" t="str">
            <v>--</v>
          </cell>
          <cell r="CU647">
            <v>1.9581468617636363E-2</v>
          </cell>
          <cell r="CV647">
            <v>2.2493405452672626E-2</v>
          </cell>
          <cell r="CW647">
            <v>2.5716212951949747E-2</v>
          </cell>
          <cell r="CY647">
            <v>2.2976374351403952E-2</v>
          </cell>
          <cell r="CZ647">
            <v>2.3122128885379664E-2</v>
          </cell>
          <cell r="DA647">
            <v>2.6374766962672606E-2</v>
          </cell>
          <cell r="DB647">
            <v>2.903190287936239E-2</v>
          </cell>
          <cell r="DD647">
            <v>2.577670100368757E-2</v>
          </cell>
          <cell r="DE647">
            <v>3.1701054576535229E-2</v>
          </cell>
          <cell r="DF647">
            <v>4.2317238303583811E-2</v>
          </cell>
          <cell r="DG647">
            <v>4.0701714892019493E-2</v>
          </cell>
          <cell r="DI647">
            <v>4.3462533614261119E-2</v>
          </cell>
          <cell r="DJ647">
            <v>5.4054801970764586E-2</v>
          </cell>
          <cell r="DK647">
            <v>5.8911786163456402E-2</v>
          </cell>
          <cell r="DL647">
            <v>5.4433269185749339E-2</v>
          </cell>
          <cell r="DN647">
            <v>4.3143190239626192E-2</v>
          </cell>
          <cell r="DO647">
            <v>3.5948897967576651E-2</v>
          </cell>
          <cell r="DP647">
            <v>4.0201452272310645E-2</v>
          </cell>
          <cell r="DQ647">
            <v>3.1532024786394282E-2</v>
          </cell>
          <cell r="DS647">
            <v>1.7660705898815611E-2</v>
          </cell>
          <cell r="DT647">
            <v>2.4953223509451311E-2</v>
          </cell>
          <cell r="DU647">
            <v>3.3074165091040809E-2</v>
          </cell>
          <cell r="DV647">
            <v>1.7366050893236718E-2</v>
          </cell>
          <cell r="DX647">
            <v>1.5324045730869887E-2</v>
          </cell>
          <cell r="DY647">
            <v>2.4617922164732277E-2</v>
          </cell>
          <cell r="DZ647">
            <v>4.013437731215598E-2</v>
          </cell>
          <cell r="EA647">
            <v>2.7064974652727145E-2</v>
          </cell>
          <cell r="EC647">
            <v>3.1808111379656924E-2</v>
          </cell>
          <cell r="ED647">
            <v>3.9406343697077163E-2</v>
          </cell>
          <cell r="EE647">
            <v>5.7023027054859426E-2</v>
          </cell>
          <cell r="EF647">
            <v>4.1741416431400093E-2</v>
          </cell>
          <cell r="EH647">
            <v>4.5768817418475362E-2</v>
          </cell>
          <cell r="EI647">
            <v>5.3282281856372203E-2</v>
          </cell>
          <cell r="EJ647">
            <v>7.186852081259916E-2</v>
          </cell>
          <cell r="EK647">
            <v>5.3377669912781679E-2</v>
          </cell>
          <cell r="EM647" t="str">
            <v>--</v>
          </cell>
          <cell r="EN647" t="str">
            <v>--</v>
          </cell>
          <cell r="EO647" t="str">
            <v>--</v>
          </cell>
          <cell r="EP647" t="str">
            <v>--</v>
          </cell>
          <cell r="EQ647" t="str">
            <v>--</v>
          </cell>
          <cell r="ER647" t="str">
            <v>--</v>
          </cell>
          <cell r="ES647">
            <v>7.4292273346259E-2</v>
          </cell>
          <cell r="ET647">
            <v>0.1067183712542243</v>
          </cell>
          <cell r="EU647">
            <v>0.12378818968556916</v>
          </cell>
          <cell r="EW647" t="str">
            <v>--</v>
          </cell>
          <cell r="EX647" t="str">
            <v>--</v>
          </cell>
          <cell r="EZ647" t="str">
            <v>--</v>
          </cell>
          <cell r="FA647" t="str">
            <v>--</v>
          </cell>
          <cell r="FB647" t="str">
            <v>--</v>
          </cell>
          <cell r="FC647" t="str">
            <v>--</v>
          </cell>
          <cell r="FD647">
            <v>0.10163150807257036</v>
          </cell>
          <cell r="FF647" t="str">
            <v>--</v>
          </cell>
          <cell r="FH647" t="str">
            <v>--</v>
          </cell>
          <cell r="FI647" t="str">
            <v>--</v>
          </cell>
          <cell r="FJ647" t="str">
            <v>--</v>
          </cell>
          <cell r="FK647" t="str">
            <v>--</v>
          </cell>
          <cell r="FL647">
            <v>3.7151424207506577E-2</v>
          </cell>
          <cell r="FN647" t="str">
            <v>--</v>
          </cell>
          <cell r="FO647" t="str">
            <v>--</v>
          </cell>
          <cell r="FP647">
            <v>1.9563168656976992E-2</v>
          </cell>
          <cell r="FQ647">
            <v>2.4092364769117889E-2</v>
          </cell>
          <cell r="FR647">
            <v>3.3513758905179408E-2</v>
          </cell>
          <cell r="FT647" t="str">
            <v>--</v>
          </cell>
          <cell r="FU647">
            <v>2.076819199574402E-2</v>
          </cell>
          <cell r="FV647">
            <v>2.5053732484771881E-2</v>
          </cell>
          <cell r="FW647">
            <v>3.4620717109535425E-2</v>
          </cell>
          <cell r="FX647">
            <v>5.3762561570589805E-2</v>
          </cell>
          <cell r="FY647">
            <v>3.9353205824416662E-2</v>
          </cell>
          <cell r="FZ647">
            <v>2.3466243978802589E-2</v>
          </cell>
          <cell r="GA647">
            <v>2.6719460888255022E-2</v>
          </cell>
          <cell r="GB647">
            <v>4.2599906726874588E-2</v>
          </cell>
          <cell r="GC647">
            <v>5.6331082971387919E-2</v>
          </cell>
          <cell r="GL647">
            <v>2.3724442566365238E-2</v>
          </cell>
          <cell r="GM647">
            <v>2.7638963393662466E-2</v>
          </cell>
          <cell r="GN647">
            <v>4.2240254726945307E-2</v>
          </cell>
          <cell r="GO647">
            <v>5.7363761670816193E-2</v>
          </cell>
          <cell r="GP647">
            <v>8.2758101429582565E-2</v>
          </cell>
          <cell r="GQ647">
            <v>7.7687880345384611E-2</v>
          </cell>
          <cell r="GR647">
            <v>3.4209890036362781E-2</v>
          </cell>
          <cell r="GS647">
            <v>7.1952579161145502E-2</v>
          </cell>
          <cell r="GT647">
            <v>9.5404380495989913E-2</v>
          </cell>
          <cell r="GU647">
            <v>0.11464474153601192</v>
          </cell>
          <cell r="GV647">
            <v>0.10419787416034534</v>
          </cell>
          <cell r="GW647">
            <v>2.0054920477070939E-2</v>
          </cell>
          <cell r="GX647">
            <v>5.8850112951967848E-2</v>
          </cell>
          <cell r="GY647">
            <v>9.0265985845857682E-2</v>
          </cell>
          <cell r="GZ647">
            <v>9.7254630377737114E-2</v>
          </cell>
          <cell r="HA647">
            <v>0.10358252585345296</v>
          </cell>
          <cell r="HB647">
            <v>0.10945930819871703</v>
          </cell>
          <cell r="HC647">
            <v>0.11506192544326647</v>
          </cell>
          <cell r="HD647">
            <v>0.1176779066596244</v>
          </cell>
          <cell r="HE647">
            <v>0.1164546177813468</v>
          </cell>
          <cell r="HF647">
            <v>0.11358931392185427</v>
          </cell>
          <cell r="HG647">
            <v>0.11039341614124891</v>
          </cell>
          <cell r="HH647">
            <v>0.10691712410412821</v>
          </cell>
          <cell r="HI647">
            <v>0.10666487522348655</v>
          </cell>
        </row>
        <row r="648">
          <cell r="FV648">
            <v>0.17758025080720757</v>
          </cell>
          <cell r="FW648">
            <v>0.15794098264060949</v>
          </cell>
          <cell r="FX648">
            <v>0.16572285392631272</v>
          </cell>
          <cell r="FY648">
            <v>0.11071816527217954</v>
          </cell>
          <cell r="FZ648">
            <v>7.5298526834374491E-2</v>
          </cell>
          <cell r="GA648">
            <v>9.6376996428405221E-2</v>
          </cell>
          <cell r="GL648">
            <v>7.5298526834374491E-2</v>
          </cell>
          <cell r="GM648">
            <v>9.6376996428405221E-2</v>
          </cell>
          <cell r="GN648">
            <v>0.15243886240339277</v>
          </cell>
          <cell r="GO648">
            <v>0.18008682757002878</v>
          </cell>
          <cell r="GP648">
            <v>0.2353636725716311</v>
          </cell>
          <cell r="GQ648">
            <v>0.19246388138142026</v>
          </cell>
          <cell r="GR648">
            <v>7.410141077308513E-2</v>
          </cell>
          <cell r="GS648">
            <v>0.14726646286425002</v>
          </cell>
          <cell r="GT648">
            <v>0.18893862619307653</v>
          </cell>
          <cell r="GU648">
            <v>0.20968346380873926</v>
          </cell>
          <cell r="GV648">
            <v>0.17410057889415351</v>
          </cell>
          <cell r="GW648">
            <v>3.1930833520939922E-2</v>
          </cell>
          <cell r="GX648">
            <v>9.5091787028142166E-2</v>
          </cell>
          <cell r="GY648">
            <v>0.14833159308067531</v>
          </cell>
          <cell r="GZ648">
            <v>0.15685453612334427</v>
          </cell>
        </row>
        <row r="649">
          <cell r="FV649">
            <v>0.12944019535857695</v>
          </cell>
          <cell r="FW649">
            <v>0.12180757415806984</v>
          </cell>
          <cell r="FX649">
            <v>0.13125398524512327</v>
          </cell>
          <cell r="FY649">
            <v>8.2232332165130234E-2</v>
          </cell>
          <cell r="FZ649">
            <v>4.836387143305855E-2</v>
          </cell>
          <cell r="GA649">
            <v>5.5492839423878171E-2</v>
          </cell>
          <cell r="GL649">
            <v>4.836387143305855E-2</v>
          </cell>
          <cell r="GM649">
            <v>5.5492839423878171E-2</v>
          </cell>
          <cell r="GN649">
            <v>8.7498168281665803E-2</v>
          </cell>
          <cell r="GO649">
            <v>0.11032071221125583</v>
          </cell>
          <cell r="GP649">
            <v>0.15375217394742977</v>
          </cell>
          <cell r="GQ649">
            <v>0.13503648195137782</v>
          </cell>
          <cell r="GR649">
            <v>5.5479261489005727E-2</v>
          </cell>
          <cell r="GS649">
            <v>0.11316874003942609</v>
          </cell>
          <cell r="GT649">
            <v>0.14735387469278544</v>
          </cell>
          <cell r="GU649">
            <v>0.16928723082782385</v>
          </cell>
          <cell r="GV649">
            <v>0.14592161790672786</v>
          </cell>
          <cell r="GW649">
            <v>2.7280641732392238E-2</v>
          </cell>
          <cell r="GX649">
            <v>8.077324780822058E-2</v>
          </cell>
          <cell r="GY649">
            <v>0.12515663584510642</v>
          </cell>
          <cell r="GZ649">
            <v>0.1333340370781026</v>
          </cell>
        </row>
        <row r="651">
          <cell r="CT651" t="str">
            <v>--</v>
          </cell>
          <cell r="CU651" t="str">
            <v>--</v>
          </cell>
          <cell r="CV651">
            <v>3.0127860907332381E-3</v>
          </cell>
          <cell r="CW651">
            <v>3.3078502892129134E-3</v>
          </cell>
          <cell r="CY651">
            <v>-3.15343820288848E-3</v>
          </cell>
          <cell r="CZ651">
            <v>2.787925115674189E-5</v>
          </cell>
          <cell r="DA651">
            <v>3.3018489761353436E-3</v>
          </cell>
          <cell r="DB651">
            <v>2.7122040840544979E-3</v>
          </cell>
          <cell r="DD651">
            <v>-3.4335436634699069E-3</v>
          </cell>
          <cell r="DE651">
            <v>6.0400884731709346E-3</v>
          </cell>
          <cell r="DF651">
            <v>1.1142634292239481E-2</v>
          </cell>
          <cell r="DG651">
            <v>-1.9446028277678657E-3</v>
          </cell>
          <cell r="DI651">
            <v>2.4846911510009585E-3</v>
          </cell>
          <cell r="DJ651">
            <v>1.1139530160785005E-2</v>
          </cell>
          <cell r="DK651">
            <v>4.8777966300491728E-3</v>
          </cell>
          <cell r="DL651">
            <v>-4.5037583637066005E-3</v>
          </cell>
          <cell r="DN651">
            <v>-1.0977759318744508E-2</v>
          </cell>
          <cell r="DO651">
            <v>-7.5226823436570422E-3</v>
          </cell>
          <cell r="DP651">
            <v>4.3671754286731153E-3</v>
          </cell>
          <cell r="DQ651">
            <v>-8.3112101546350108E-3</v>
          </cell>
          <cell r="DS651">
            <v>-1.3470893304337667E-2</v>
          </cell>
          <cell r="DT651">
            <v>7.6189806198066947E-3</v>
          </cell>
          <cell r="DU651">
            <v>8.6854332460839893E-3</v>
          </cell>
          <cell r="DV651">
            <v>-1.3384784353557713E-2</v>
          </cell>
          <cell r="DX651">
            <v>-2.0848048037029436E-3</v>
          </cell>
          <cell r="DY651">
            <v>1.0164378229487698E-2</v>
          </cell>
          <cell r="DZ651">
            <v>1.7206888290094705E-2</v>
          </cell>
          <cell r="EA651">
            <v>-1.1837815407102086E-2</v>
          </cell>
          <cell r="FV651">
            <v>2.9963250864722614E-3</v>
          </cell>
          <cell r="FW651">
            <v>7.9364339041753645E-3</v>
          </cell>
          <cell r="FX651">
            <v>1.9938173284506439E-2</v>
          </cell>
          <cell r="FY651">
            <v>-1.42431303071391E-2</v>
          </cell>
          <cell r="FZ651">
            <v>-1.5504292117057682E-2</v>
          </cell>
          <cell r="GA651">
            <v>3.3460877667904555E-3</v>
          </cell>
          <cell r="GL651">
            <v>-1.5410056486204081E-2</v>
          </cell>
          <cell r="GM651">
            <v>4.0607733090613322E-3</v>
          </cell>
          <cell r="GN651">
            <v>1.5658796202718692E-2</v>
          </cell>
          <cell r="GO651">
            <v>1.6264279341246496E-2</v>
          </cell>
          <cell r="GP651">
            <v>2.7387006942084832E-2</v>
          </cell>
          <cell r="GQ651">
            <v>-5.874315171235385E-3</v>
          </cell>
          <cell r="GR651">
            <v>-3.9607021499566734E-2</v>
          </cell>
          <cell r="GS651">
            <v>3.8676064644749507E-2</v>
          </cell>
          <cell r="GT651">
            <v>2.5080353471127036E-2</v>
          </cell>
          <cell r="GU651">
            <v>1.9850968180796246E-2</v>
          </cell>
          <cell r="GV651">
            <v>-1.05599347954371E-2</v>
          </cell>
          <cell r="GW651">
            <v>-6.7403607004384206E-2</v>
          </cell>
          <cell r="GX651">
            <v>4.1426613490141921E-2</v>
          </cell>
          <cell r="GY651">
            <v>3.4365665038031644E-2</v>
          </cell>
          <cell r="GZ651">
            <v>6.9886445318794246E-3</v>
          </cell>
        </row>
        <row r="652">
          <cell r="CT652" t="str">
            <v>--</v>
          </cell>
          <cell r="CU652" t="str">
            <v>--</v>
          </cell>
          <cell r="CV652">
            <v>0.1534264341292825</v>
          </cell>
          <cell r="CW652">
            <v>9.1332411304852062E-2</v>
          </cell>
          <cell r="CY652">
            <v>-0.50392416529775075</v>
          </cell>
          <cell r="CZ652">
            <v>-0.16370363872401414</v>
          </cell>
          <cell r="DA652">
            <v>4.5609158079173324E-2</v>
          </cell>
          <cell r="DB652">
            <v>8.6591936004666886E-2</v>
          </cell>
          <cell r="DD652">
            <v>-0.44634732102425739</v>
          </cell>
          <cell r="DE652">
            <v>6.85146208967361E-2</v>
          </cell>
          <cell r="DF652">
            <v>0.26113102676804234</v>
          </cell>
          <cell r="DG652">
            <v>-0.47590502324075351</v>
          </cell>
          <cell r="DI652">
            <v>-0.24379569087849112</v>
          </cell>
          <cell r="DJ652">
            <v>0.67698294928962333</v>
          </cell>
          <cell r="DK652">
            <v>0.46119439040292892</v>
          </cell>
          <cell r="DL652">
            <v>2.8680768509163498E-2</v>
          </cell>
          <cell r="DN652">
            <v>-0.95697294257205168</v>
          </cell>
          <cell r="DO652">
            <v>-0.88557448257094895</v>
          </cell>
          <cell r="DP652">
            <v>0.25837372648351392</v>
          </cell>
          <cell r="DQ652">
            <v>-0.65997277808141019</v>
          </cell>
          <cell r="DS652">
            <v>-1.2923697062763999</v>
          </cell>
          <cell r="DT652">
            <v>0.63325662076590272</v>
          </cell>
          <cell r="DU652">
            <v>0.47775696603294482</v>
          </cell>
          <cell r="DV652">
            <v>-0.87997717654748442</v>
          </cell>
          <cell r="DX652">
            <v>-0.23624275639166276</v>
          </cell>
          <cell r="DY652">
            <v>0.71794970914266676</v>
          </cell>
          <cell r="DZ652">
            <v>1.1088352511168327</v>
          </cell>
          <cell r="EA652">
            <v>-0.72229746636073344</v>
          </cell>
          <cell r="FV652">
            <v>-0.43792645143147479</v>
          </cell>
          <cell r="FW652">
            <v>-0.45286990183729314</v>
          </cell>
          <cell r="FX652">
            <v>0.24477828271241781</v>
          </cell>
          <cell r="FY652">
            <v>-1.3768006782063367</v>
          </cell>
          <cell r="FZ652">
            <v>-1.4901687813016173</v>
          </cell>
          <cell r="GA652">
            <v>0.2236618719121751</v>
          </cell>
          <cell r="GL652">
            <v>-1.5065650769725221</v>
          </cell>
          <cell r="GM652">
            <v>0.23135879560563796</v>
          </cell>
          <cell r="GN652">
            <v>1.190741227122365</v>
          </cell>
          <cell r="GO652">
            <v>0.89644254982234428</v>
          </cell>
          <cell r="GP652">
            <v>1.8447731530252514</v>
          </cell>
          <cell r="GQ652">
            <v>-1.1368958099324553</v>
          </cell>
          <cell r="GR652">
            <v>-3.5920384538180925</v>
          </cell>
          <cell r="GS652">
            <v>3.6853760058147702</v>
          </cell>
          <cell r="GT652">
            <v>1.3913138822331836</v>
          </cell>
          <cell r="GU652">
            <v>0.45857896614404858</v>
          </cell>
          <cell r="GV652">
            <v>-1.1577541573371719</v>
          </cell>
          <cell r="GW652">
            <v>-6.1987936020037377</v>
          </cell>
          <cell r="GX652">
            <v>3.7271738202912954</v>
          </cell>
          <cell r="GY652">
            <v>2.2566496461464429</v>
          </cell>
          <cell r="GZ652">
            <v>-1.8745543384856415E-15</v>
          </cell>
        </row>
        <row r="653">
          <cell r="CT653" t="str">
            <v>--</v>
          </cell>
          <cell r="CU653" t="str">
            <v>--</v>
          </cell>
          <cell r="CV653">
            <v>0.14785217494404135</v>
          </cell>
          <cell r="CW653">
            <v>0.23945261761643932</v>
          </cell>
          <cell r="CY653">
            <v>0.18858034500890278</v>
          </cell>
          <cell r="CZ653">
            <v>0.16649156383968833</v>
          </cell>
          <cell r="DA653">
            <v>0.28457573953436105</v>
          </cell>
          <cell r="DB653">
            <v>0.18462847240078289</v>
          </cell>
          <cell r="DD653">
            <v>0.1029929546772667</v>
          </cell>
          <cell r="DE653">
            <v>0.53549422642035738</v>
          </cell>
          <cell r="DF653">
            <v>0.85313240245590594</v>
          </cell>
          <cell r="DG653">
            <v>0.28144474046396695</v>
          </cell>
          <cell r="DI653">
            <v>0.49226480597858696</v>
          </cell>
          <cell r="DJ653">
            <v>0.43697006678887718</v>
          </cell>
          <cell r="DK653">
            <v>2.6585272601988348E-2</v>
          </cell>
          <cell r="DL653">
            <v>-0.4790566048798236</v>
          </cell>
          <cell r="DN653">
            <v>-0.14080298930239932</v>
          </cell>
          <cell r="DO653">
            <v>0.1333062482052447</v>
          </cell>
          <cell r="DP653">
            <v>0.17834381638379762</v>
          </cell>
          <cell r="DQ653">
            <v>-0.17114823738209095</v>
          </cell>
          <cell r="DS653">
            <v>-5.4719624157366788E-2</v>
          </cell>
          <cell r="DT653">
            <v>0.1286414412147667</v>
          </cell>
          <cell r="DU653">
            <v>0.39078635857545407</v>
          </cell>
          <cell r="DV653">
            <v>-0.4585012588082869</v>
          </cell>
          <cell r="DX653">
            <v>2.7762276021368382E-2</v>
          </cell>
          <cell r="DY653">
            <v>0.29848811380610307</v>
          </cell>
          <cell r="DZ653">
            <v>0.61185357789263795</v>
          </cell>
          <cell r="EA653">
            <v>-0.46148407434947514</v>
          </cell>
          <cell r="FV653">
            <v>0.73755896007870092</v>
          </cell>
          <cell r="FW653">
            <v>1.2465132922548297</v>
          </cell>
          <cell r="FX653">
            <v>1.7490390457382261</v>
          </cell>
          <cell r="FY653">
            <v>-4.7512352507573422E-2</v>
          </cell>
          <cell r="FZ653">
            <v>-6.026043040415105E-2</v>
          </cell>
          <cell r="GA653">
            <v>0.11094690476687044</v>
          </cell>
          <cell r="GL653">
            <v>-3.4440571647886026E-2</v>
          </cell>
          <cell r="GM653">
            <v>0.17471853530049525</v>
          </cell>
          <cell r="GN653">
            <v>0.37513839314950398</v>
          </cell>
          <cell r="GO653">
            <v>0.72998538430230531</v>
          </cell>
          <cell r="GP653">
            <v>0.89392754118323214</v>
          </cell>
          <cell r="GQ653">
            <v>0.54946429280891684</v>
          </cell>
          <cell r="GR653">
            <v>-0.36866369613858108</v>
          </cell>
          <cell r="GS653">
            <v>0.18223045866018051</v>
          </cell>
          <cell r="GT653">
            <v>1.1167214648795201</v>
          </cell>
          <cell r="GU653">
            <v>1.526517851935576</v>
          </cell>
          <cell r="GV653">
            <v>0.10176067779346191</v>
          </cell>
          <cell r="GW653">
            <v>-0.54156709843468342</v>
          </cell>
          <cell r="GX653">
            <v>0.41548752872289635</v>
          </cell>
          <cell r="GY653">
            <v>1.1799168576567216</v>
          </cell>
          <cell r="GZ653">
            <v>0.69886445318794432</v>
          </cell>
        </row>
        <row r="654">
          <cell r="GW654" t="str">
            <v xml:space="preserve"> </v>
          </cell>
        </row>
        <row r="655">
          <cell r="CT655" t="str">
            <v>--</v>
          </cell>
          <cell r="CU655">
            <v>203.97599999999997</v>
          </cell>
          <cell r="CV655">
            <v>212.69400000000002</v>
          </cell>
          <cell r="CW655">
            <v>348.66199999999998</v>
          </cell>
          <cell r="CY655">
            <v>405.459</v>
          </cell>
          <cell r="CZ655">
            <v>476.709</v>
          </cell>
          <cell r="DA655">
            <v>351.70700000000005</v>
          </cell>
          <cell r="DB655">
            <v>627.23800000000006</v>
          </cell>
          <cell r="DD655">
            <v>664.26</v>
          </cell>
          <cell r="DE655">
            <v>747.16499999999996</v>
          </cell>
          <cell r="DF655">
            <v>490.83199999999999</v>
          </cell>
          <cell r="DG655">
            <v>334.55400000000009</v>
          </cell>
          <cell r="DI655">
            <v>603.7879999999999</v>
          </cell>
          <cell r="DJ655">
            <v>859.9559999999999</v>
          </cell>
          <cell r="DK655">
            <v>1177.8790000000001</v>
          </cell>
          <cell r="DL655">
            <v>545.98900000000003</v>
          </cell>
          <cell r="DN655">
            <v>667.09499999999991</v>
          </cell>
          <cell r="DO655">
            <v>893.81799999999998</v>
          </cell>
          <cell r="DP655">
            <v>983.29099999999994</v>
          </cell>
          <cell r="DQ655">
            <v>380.43599999999992</v>
          </cell>
          <cell r="DS655">
            <v>190.51999999999998</v>
          </cell>
          <cell r="DT655">
            <v>642.22199999999998</v>
          </cell>
          <cell r="DU655">
            <v>483.17500000000007</v>
          </cell>
          <cell r="DV655">
            <v>670.4079999999999</v>
          </cell>
          <cell r="DX655">
            <v>587.86999999999989</v>
          </cell>
          <cell r="DY655">
            <v>751.24899999999991</v>
          </cell>
          <cell r="DZ655">
            <v>643.24799999999982</v>
          </cell>
          <cell r="EA655">
            <v>692.90914935935723</v>
          </cell>
          <cell r="FV655">
            <v>627.23800000000006</v>
          </cell>
          <cell r="FW655">
            <v>334.55400000000009</v>
          </cell>
          <cell r="FX655">
            <v>583.77700000000004</v>
          </cell>
          <cell r="FY655">
            <v>380.43599999999992</v>
          </cell>
          <cell r="FZ655">
            <v>670.4079999999999</v>
          </cell>
          <cell r="GA655">
            <v>692.90914935935723</v>
          </cell>
          <cell r="GL655">
            <v>670.4079999999999</v>
          </cell>
          <cell r="GM655">
            <v>692.90914935935723</v>
          </cell>
          <cell r="GN655">
            <v>702.56134331812336</v>
          </cell>
          <cell r="GO655">
            <v>759.06937534303358</v>
          </cell>
          <cell r="GP655">
            <v>536.18703121011094</v>
          </cell>
          <cell r="GQ655">
            <v>963.25265591388438</v>
          </cell>
          <cell r="GR655">
            <v>1974.0862537273911</v>
          </cell>
          <cell r="GS655">
            <v>1075.3656090953109</v>
          </cell>
          <cell r="GT655">
            <v>582.54986944508391</v>
          </cell>
          <cell r="GU655">
            <v>671.61586778723085</v>
          </cell>
          <cell r="GV655">
            <v>1174.1630404976322</v>
          </cell>
          <cell r="GW655">
            <v>1498.4729218973557</v>
          </cell>
          <cell r="GX655">
            <v>-1251.1107160277779</v>
          </cell>
          <cell r="GY655">
            <v>-2421.4692356013143</v>
          </cell>
          <cell r="GZ655">
            <v>-3748.3612247788265</v>
          </cell>
        </row>
        <row r="656">
          <cell r="CT656" t="str">
            <v>--</v>
          </cell>
          <cell r="CU656">
            <v>0.48634961206670435</v>
          </cell>
          <cell r="CV656">
            <v>0.39574216307939619</v>
          </cell>
          <cell r="CW656">
            <v>0.54016177183695169</v>
          </cell>
          <cell r="CY656">
            <v>0.66799950574570632</v>
          </cell>
          <cell r="CZ656">
            <v>0.75319830687630052</v>
          </cell>
          <cell r="DA656">
            <v>0.39685702711821202</v>
          </cell>
          <cell r="DB656">
            <v>0.69002245297361609</v>
          </cell>
          <cell r="DD656">
            <v>0.63479776608066429</v>
          </cell>
          <cell r="DE656">
            <v>0.6688123012803987</v>
          </cell>
          <cell r="DF656">
            <v>0.29643856034951865</v>
          </cell>
          <cell r="DG656">
            <v>0.14076834910638097</v>
          </cell>
          <cell r="DI656">
            <v>0.23308633206004456</v>
          </cell>
          <cell r="DJ656">
            <v>0.30412230586013556</v>
          </cell>
          <cell r="DK656">
            <v>0.40585168697282098</v>
          </cell>
          <cell r="DL656">
            <v>0.13546900637436693</v>
          </cell>
          <cell r="DN656">
            <v>0.16469216455909641</v>
          </cell>
          <cell r="DO656">
            <v>0.23588131750970506</v>
          </cell>
          <cell r="DP656">
            <v>0.24725783447127125</v>
          </cell>
          <cell r="DQ656">
            <v>8.5385779720147881E-2</v>
          </cell>
          <cell r="DS656">
            <v>4.2902749788830283E-2</v>
          </cell>
          <cell r="DT656">
            <v>0.14319861114146032</v>
          </cell>
          <cell r="DU656">
            <v>0.10720909762412613</v>
          </cell>
          <cell r="DV656">
            <v>0.14760128753285978</v>
          </cell>
          <cell r="DX656">
            <v>0.13525692188865018</v>
          </cell>
          <cell r="DY656">
            <v>0.17572710182173984</v>
          </cell>
          <cell r="DZ656">
            <v>0.14710292663125815</v>
          </cell>
          <cell r="EA656">
            <v>0.1601949890721755</v>
          </cell>
          <cell r="FV656">
            <v>0.69002245297361609</v>
          </cell>
          <cell r="FW656">
            <v>0.14114213439962472</v>
          </cell>
          <cell r="FX656">
            <v>0.14484484144224299</v>
          </cell>
          <cell r="FY656">
            <v>8.5385779720147881E-2</v>
          </cell>
          <cell r="FZ656">
            <v>0.14760128753285978</v>
          </cell>
          <cell r="GA656">
            <v>0.1601949890721755</v>
          </cell>
          <cell r="GL656">
            <v>0.14760128753285978</v>
          </cell>
          <cell r="GM656">
            <v>0.1601949890721755</v>
          </cell>
          <cell r="GN656">
            <v>0.14876334787964848</v>
          </cell>
          <cell r="GO656">
            <v>0.14307861473246436</v>
          </cell>
          <cell r="GP656">
            <v>8.5970775425471685E-2</v>
          </cell>
          <cell r="GQ656">
            <v>0.13414906667349977</v>
          </cell>
          <cell r="GR656">
            <v>0.25972852366739718</v>
          </cell>
          <cell r="GS656">
            <v>0.12526830650356807</v>
          </cell>
          <cell r="GT656">
            <v>5.8335418675717288E-2</v>
          </cell>
          <cell r="GU656">
            <v>5.6613365493542692E-2</v>
          </cell>
          <cell r="GV656">
            <v>8.5142096223595407E-2</v>
          </cell>
          <cell r="GW656">
            <v>0.10616021679867202</v>
          </cell>
          <cell r="GX656">
            <v>-8.2227207293074395E-2</v>
          </cell>
          <cell r="GY656">
            <v>-0.14286727407203401</v>
          </cell>
          <cell r="GZ656">
            <v>-0.19834926335215211</v>
          </cell>
        </row>
        <row r="664">
          <cell r="GM664">
            <v>0</v>
          </cell>
          <cell r="GN664">
            <v>0.5</v>
          </cell>
          <cell r="GO664">
            <v>1.5</v>
          </cell>
          <cell r="GP664">
            <v>2.5</v>
          </cell>
          <cell r="GQ664">
            <v>3.5</v>
          </cell>
          <cell r="GR664">
            <v>4.5</v>
          </cell>
          <cell r="GS664">
            <v>5.5</v>
          </cell>
          <cell r="GT664">
            <v>6.5</v>
          </cell>
          <cell r="GU664">
            <v>7.5</v>
          </cell>
          <cell r="GV664">
            <v>8.5</v>
          </cell>
          <cell r="GW664">
            <v>9.5</v>
          </cell>
          <cell r="GX664">
            <v>10.5</v>
          </cell>
          <cell r="GY664">
            <v>11.5</v>
          </cell>
          <cell r="GZ664">
            <v>12.5</v>
          </cell>
        </row>
        <row r="665">
          <cell r="CT665" t="str">
            <v>F1998 Restated for JIT</v>
          </cell>
          <cell r="CY665" t="str">
            <v>F1999 Restated for JIT</v>
          </cell>
          <cell r="DD665" t="str">
            <v>F2000 Restated for JIT</v>
          </cell>
          <cell r="DI665" t="str">
            <v>F2001 Restated for JIT</v>
          </cell>
          <cell r="DN665" t="str">
            <v>F2002</v>
          </cell>
          <cell r="DS665" t="str">
            <v>F2003</v>
          </cell>
          <cell r="DX665" t="str">
            <v>F2004E</v>
          </cell>
        </row>
        <row r="666">
          <cell r="CT666" t="str">
            <v>6/97</v>
          </cell>
          <cell r="CU666" t="str">
            <v>9/97</v>
          </cell>
          <cell r="CV666" t="str">
            <v xml:space="preserve"> 12/97</v>
          </cell>
          <cell r="CW666" t="str">
            <v xml:space="preserve"> 3/98</v>
          </cell>
          <cell r="CY666" t="str">
            <v>6/98</v>
          </cell>
          <cell r="CZ666" t="str">
            <v>9/98</v>
          </cell>
          <cell r="DA666" t="str">
            <v xml:space="preserve"> 12/98</v>
          </cell>
          <cell r="DB666" t="str">
            <v xml:space="preserve"> 3/99</v>
          </cell>
          <cell r="DD666" t="str">
            <v>6/99</v>
          </cell>
          <cell r="DE666" t="str">
            <v>9/99</v>
          </cell>
          <cell r="DF666" t="str">
            <v xml:space="preserve"> 12/99</v>
          </cell>
          <cell r="DG666" t="str">
            <v xml:space="preserve"> 3/00</v>
          </cell>
          <cell r="DI666" t="str">
            <v>6/00</v>
          </cell>
          <cell r="DJ666" t="str">
            <v>9/00</v>
          </cell>
          <cell r="DK666" t="str">
            <v xml:space="preserve"> 12/00</v>
          </cell>
          <cell r="DL666" t="str">
            <v xml:space="preserve"> 3/01</v>
          </cell>
          <cell r="DN666" t="str">
            <v>6/01</v>
          </cell>
          <cell r="DO666" t="str">
            <v>9/01</v>
          </cell>
          <cell r="DP666" t="str">
            <v xml:space="preserve"> 12/01</v>
          </cell>
          <cell r="DQ666" t="str">
            <v xml:space="preserve"> 3/02</v>
          </cell>
          <cell r="DS666" t="str">
            <v>6/02</v>
          </cell>
          <cell r="DT666" t="str">
            <v>9/02</v>
          </cell>
          <cell r="DU666" t="str">
            <v xml:space="preserve"> 12/02</v>
          </cell>
          <cell r="DV666" t="str">
            <v xml:space="preserve"> 3/03</v>
          </cell>
          <cell r="DX666" t="str">
            <v>6/03</v>
          </cell>
          <cell r="DY666" t="str">
            <v>9/03</v>
          </cell>
          <cell r="DZ666" t="str">
            <v xml:space="preserve"> 12/03</v>
          </cell>
          <cell r="EA666" t="str">
            <v xml:space="preserve"> 3/04E</v>
          </cell>
          <cell r="FV666" t="str">
            <v>F1999</v>
          </cell>
          <cell r="FW666" t="str">
            <v>F2000</v>
          </cell>
          <cell r="FX666" t="str">
            <v>F2001</v>
          </cell>
          <cell r="FY666" t="str">
            <v>F2002</v>
          </cell>
          <cell r="FZ666" t="str">
            <v>F2003</v>
          </cell>
          <cell r="GA666" t="str">
            <v>F2004E</v>
          </cell>
          <cell r="GE666" t="str">
            <v>C1998</v>
          </cell>
          <cell r="GF666" t="str">
            <v>C1999</v>
          </cell>
          <cell r="GG666" t="str">
            <v>C2000</v>
          </cell>
          <cell r="GH666" t="str">
            <v>C2001</v>
          </cell>
          <cell r="GI666" t="str">
            <v>C2002</v>
          </cell>
          <cell r="GJ666" t="str">
            <v>C2003</v>
          </cell>
          <cell r="GL666">
            <v>2003</v>
          </cell>
          <cell r="GM666" t="str">
            <v>F2004E</v>
          </cell>
          <cell r="GN666" t="str">
            <v>F2005E</v>
          </cell>
          <cell r="GO666" t="str">
            <v>F2006E</v>
          </cell>
          <cell r="GP666" t="str">
            <v>F2007E</v>
          </cell>
          <cell r="GQ666" t="str">
            <v>F2008E</v>
          </cell>
          <cell r="GR666" t="str">
            <v>F2009E</v>
          </cell>
          <cell r="GS666" t="str">
            <v>F2010E</v>
          </cell>
          <cell r="GT666" t="str">
            <v>F2011E</v>
          </cell>
          <cell r="GU666" t="str">
            <v>F2012E</v>
          </cell>
          <cell r="GV666" t="str">
            <v>F2013E</v>
          </cell>
          <cell r="GW666" t="str">
            <v>F2014E</v>
          </cell>
          <cell r="GX666" t="str">
            <v>F2015E</v>
          </cell>
          <cell r="GY666" t="str">
            <v>F2016E</v>
          </cell>
          <cell r="GZ666" t="str">
            <v>F2017E</v>
          </cell>
        </row>
        <row r="668">
          <cell r="FY668">
            <v>13104.855</v>
          </cell>
          <cell r="GL668">
            <v>13378.699000000001</v>
          </cell>
          <cell r="GM668">
            <v>14311.271416799998</v>
          </cell>
          <cell r="GN668">
            <v>16556.52175723865</v>
          </cell>
          <cell r="GO668">
            <v>19368.126586626924</v>
          </cell>
          <cell r="GP668">
            <v>23435.433169818578</v>
          </cell>
          <cell r="GQ668">
            <v>27419.456808687733</v>
          </cell>
          <cell r="GR668">
            <v>27419.456808687733</v>
          </cell>
          <cell r="GS668">
            <v>29613.013353382754</v>
          </cell>
          <cell r="GT668">
            <v>34647.225623457824</v>
          </cell>
          <cell r="GU668">
            <v>43655.504285556861</v>
          </cell>
          <cell r="GV668">
            <v>49767.274885534825</v>
          </cell>
          <cell r="GW668">
            <v>42302.183652704603</v>
          </cell>
          <cell r="GX668">
            <v>44417.292835339838</v>
          </cell>
          <cell r="GY668">
            <v>49747.367975580622</v>
          </cell>
          <cell r="GZ668">
            <v>55219.578452894493</v>
          </cell>
        </row>
        <row r="669">
          <cell r="GL669">
            <v>2.0896377716502768E-2</v>
          </cell>
          <cell r="GM669">
            <v>6.970576263058148E-2</v>
          </cell>
          <cell r="GN669">
            <v>0.15688685337928487</v>
          </cell>
          <cell r="GO669">
            <v>0.16981856881618373</v>
          </cell>
          <cell r="GP669">
            <v>0.20999999999999996</v>
          </cell>
          <cell r="GQ669">
            <v>0.16999999999999993</v>
          </cell>
          <cell r="GR669">
            <v>0</v>
          </cell>
          <cell r="GS669">
            <v>8.0000000000000071E-2</v>
          </cell>
          <cell r="GT669">
            <v>0.17000000000000015</v>
          </cell>
          <cell r="GU669">
            <v>0.26</v>
          </cell>
          <cell r="GV669">
            <v>0.14000000000000012</v>
          </cell>
          <cell r="GW669">
            <v>-0.14999999999999991</v>
          </cell>
          <cell r="GX669">
            <v>5.0000000000000044E-2</v>
          </cell>
          <cell r="GY669">
            <v>0.12000000000000011</v>
          </cell>
          <cell r="GZ669">
            <v>0.1100000000000001</v>
          </cell>
        </row>
        <row r="670">
          <cell r="FY670">
            <v>4641.7400000000007</v>
          </cell>
          <cell r="GL670">
            <v>3836.4889999999996</v>
          </cell>
          <cell r="GM670">
            <v>4204.0500000000011</v>
          </cell>
          <cell r="GN670">
            <v>4011.2230337607953</v>
          </cell>
          <cell r="GO670">
            <v>4418.1420279216254</v>
          </cell>
          <cell r="GP670">
            <v>5057.2332402345482</v>
          </cell>
          <cell r="GQ670">
            <v>5767.8119933719063</v>
          </cell>
          <cell r="GR670">
            <v>7140.3214681387381</v>
          </cell>
          <cell r="GS670">
            <v>8571.2657311731455</v>
          </cell>
          <cell r="GT670">
            <v>8657.476562566857</v>
          </cell>
          <cell r="GU670">
            <v>9568.6884510264063</v>
          </cell>
          <cell r="GV670">
            <v>11538.886474236631</v>
          </cell>
          <cell r="GW670">
            <v>13971.668456229818</v>
          </cell>
          <cell r="GX670">
            <v>14617.120247059727</v>
          </cell>
          <cell r="GY670">
            <v>12968.595622837129</v>
          </cell>
          <cell r="GZ670">
            <v>13534.480919434274</v>
          </cell>
        </row>
        <row r="671">
          <cell r="GL671">
            <v>-1016</v>
          </cell>
          <cell r="GM671">
            <v>-1016</v>
          </cell>
          <cell r="GN671">
            <v>-1016</v>
          </cell>
          <cell r="GO671">
            <v>-1016</v>
          </cell>
          <cell r="GP671">
            <v>-1016</v>
          </cell>
          <cell r="GQ671">
            <v>-1016</v>
          </cell>
          <cell r="GR671">
            <v>-1016</v>
          </cell>
          <cell r="GS671">
            <v>-1016</v>
          </cell>
          <cell r="GT671">
            <v>-1016</v>
          </cell>
          <cell r="GU671">
            <v>-1016</v>
          </cell>
          <cell r="GV671">
            <v>-1016</v>
          </cell>
          <cell r="GW671">
            <v>-1016</v>
          </cell>
          <cell r="GX671">
            <v>-1016</v>
          </cell>
          <cell r="GY671">
            <v>-1016</v>
          </cell>
          <cell r="GZ671">
            <v>-1016</v>
          </cell>
        </row>
        <row r="672">
          <cell r="FW672">
            <v>6959.1219999999994</v>
          </cell>
          <cell r="GL672">
            <v>-0.17348041898081346</v>
          </cell>
          <cell r="GM672">
            <v>9.5806608594473097E-2</v>
          </cell>
          <cell r="GN672">
            <v>-4.586695358980164E-2</v>
          </cell>
          <cell r="GO672">
            <v>0.10144511804403855</v>
          </cell>
          <cell r="GP672">
            <v>0.14465157712767396</v>
          </cell>
          <cell r="GQ672">
            <v>0.14050741173733217</v>
          </cell>
          <cell r="GR672">
            <v>0.23796016172927525</v>
          </cell>
          <cell r="GS672">
            <v>0.2004033389000075</v>
          </cell>
          <cell r="GT672">
            <v>1.0058121413756727E-2</v>
          </cell>
          <cell r="GU672">
            <v>0.10525144155739818</v>
          </cell>
          <cell r="GV672">
            <v>0.20590052997272457</v>
          </cell>
          <cell r="GW672">
            <v>0.21083334058489633</v>
          </cell>
          <cell r="GX672">
            <v>4.6197187748332924E-2</v>
          </cell>
          <cell r="GY672">
            <v>-0.11278039698374953</v>
          </cell>
          <cell r="GZ672">
            <v>4.3635048316307046E-2</v>
          </cell>
        </row>
        <row r="673">
          <cell r="GL673">
            <v>4.1262270203785443</v>
          </cell>
          <cell r="GM673">
            <v>4.8392066486051473</v>
          </cell>
          <cell r="GN673">
            <v>5.4964598607640065</v>
          </cell>
          <cell r="GO673">
            <v>5.4786189014417017</v>
          </cell>
          <cell r="GP673">
            <v>5.564153015877805</v>
          </cell>
          <cell r="GQ673">
            <v>5.2158233436699257</v>
          </cell>
          <cell r="GR673">
            <v>4.1167450429491739</v>
          </cell>
          <cell r="GS673">
            <v>3.9909610532317079</v>
          </cell>
          <cell r="GT673">
            <v>4.3735793100249207</v>
          </cell>
          <cell r="GU673">
            <v>4.6596325290830958</v>
          </cell>
          <cell r="GV673">
            <v>4.2987797257815696</v>
          </cell>
          <cell r="GW673">
            <v>3.2253367192868585</v>
          </cell>
          <cell r="GX673">
            <v>3.52191803807934</v>
          </cell>
          <cell r="GY673">
            <v>4.1203220300187589</v>
          </cell>
          <cell r="GZ673">
            <v>4.357070447870675</v>
          </cell>
        </row>
        <row r="674">
          <cell r="FY674">
            <v>389.24100000000084</v>
          </cell>
          <cell r="GL674">
            <v>233.18500100000006</v>
          </cell>
          <cell r="GM674">
            <v>269.80513471393868</v>
          </cell>
          <cell r="GN674">
            <v>449.0578097945106</v>
          </cell>
          <cell r="GO674">
            <v>635.15372302491869</v>
          </cell>
          <cell r="GP674">
            <v>993.45519595144185</v>
          </cell>
          <cell r="GQ674">
            <v>1015.3518954936347</v>
          </cell>
          <cell r="GR674">
            <v>499.11017337143278</v>
          </cell>
          <cell r="GS674">
            <v>1102.2087521711603</v>
          </cell>
          <cell r="GT674">
            <v>1504.7208812688398</v>
          </cell>
          <cell r="GU674">
            <v>1971.6206404281152</v>
          </cell>
          <cell r="GV674">
            <v>2023.5689926393979</v>
          </cell>
          <cell r="GW674">
            <v>429.26030813062181</v>
          </cell>
          <cell r="GX674">
            <v>1210.2869233214008</v>
          </cell>
          <cell r="GY674">
            <v>1797.2509717036551</v>
          </cell>
          <cell r="GZ674">
            <v>1992.260939403679</v>
          </cell>
        </row>
        <row r="675">
          <cell r="GL675">
            <v>1.7429572262594447E-2</v>
          </cell>
          <cell r="GM675">
            <v>1.885263208670716E-2</v>
          </cell>
          <cell r="GN675">
            <v>2.7122714322419729E-2</v>
          </cell>
          <cell r="GO675">
            <v>3.2793761450499406E-2</v>
          </cell>
          <cell r="GP675">
            <v>4.2391159947957238E-2</v>
          </cell>
          <cell r="GQ675">
            <v>3.7030343182142288E-2</v>
          </cell>
          <cell r="GR675">
            <v>1.8202773922687335E-2</v>
          </cell>
          <cell r="GS675">
            <v>3.7220418571325596E-2</v>
          </cell>
          <cell r="GT675">
            <v>4.3429765419660961E-2</v>
          </cell>
          <cell r="GU675">
            <v>4.5163162645687566E-2</v>
          </cell>
          <cell r="GV675">
            <v>4.0660634870879002E-2</v>
          </cell>
          <cell r="GW675">
            <v>1.0147473985144427E-2</v>
          </cell>
          <cell r="GX675">
            <v>2.724810194552103E-2</v>
          </cell>
          <cell r="GY675">
            <v>3.6127559001430339E-2</v>
          </cell>
          <cell r="GZ675">
            <v>3.6078887148752743E-2</v>
          </cell>
        </row>
        <row r="676">
          <cell r="GL676">
            <v>-0.40092384666569159</v>
          </cell>
          <cell r="GM676">
            <v>0.15704326417606351</v>
          </cell>
          <cell r="GN676">
            <v>0.66437829387726377</v>
          </cell>
          <cell r="GO676">
            <v>0.4144141559759662</v>
          </cell>
          <cell r="GP676">
            <v>0.56411772447796249</v>
          </cell>
          <cell r="GQ676">
            <v>2.2040953262338236E-2</v>
          </cell>
          <cell r="GR676">
            <v>-0.50843626176639001</v>
          </cell>
          <cell r="GS676">
            <v>1.2083475973368061</v>
          </cell>
          <cell r="GT676">
            <v>0.3651868380692862</v>
          </cell>
          <cell r="GU676">
            <v>0.3102899447807006</v>
          </cell>
          <cell r="GV676">
            <v>2.6348046447719708E-2</v>
          </cell>
          <cell r="GW676">
            <v>-0.78786969473636503</v>
          </cell>
          <cell r="GX676">
            <v>1.8194708441413043</v>
          </cell>
          <cell r="GY676">
            <v>0.48497925332568559</v>
          </cell>
          <cell r="GZ676">
            <v>0.1085045832609397</v>
          </cell>
        </row>
        <row r="677">
          <cell r="GL677">
            <v>6.0780833986491319E-2</v>
          </cell>
          <cell r="GM677">
            <v>6.4177432407782647E-2</v>
          </cell>
          <cell r="GN677">
            <v>0.11195034681815942</v>
          </cell>
          <cell r="GO677">
            <v>0.14376036782224191</v>
          </cell>
          <cell r="GP677">
            <v>0.19644243181185897</v>
          </cell>
          <cell r="GQ677">
            <v>0.17603761992596648</v>
          </cell>
          <cell r="GR677">
            <v>6.9900238469450232E-2</v>
          </cell>
          <cell r="GS677">
            <v>0.12859346410909855</v>
          </cell>
          <cell r="GT677">
            <v>0.17380594338250277</v>
          </cell>
          <cell r="GU677">
            <v>0.20604920418499204</v>
          </cell>
          <cell r="GV677">
            <v>0.17536952089419613</v>
          </cell>
          <cell r="GW677">
            <v>3.0723625419211777E-2</v>
          </cell>
          <cell r="GX677">
            <v>8.2799272556087322E-2</v>
          </cell>
          <cell r="GY677">
            <v>0.13858485714048904</v>
          </cell>
          <cell r="GZ677">
            <v>0.14719891743635138</v>
          </cell>
        </row>
        <row r="678">
          <cell r="GL678" t="e">
            <v>#NAME?</v>
          </cell>
          <cell r="GM678" t="e">
            <v>#NAME?</v>
          </cell>
          <cell r="GN678" t="e">
            <v>#NAME?</v>
          </cell>
          <cell r="GO678" t="e">
            <v>#NAME?</v>
          </cell>
          <cell r="GP678" t="e">
            <v>#NAME?</v>
          </cell>
          <cell r="GQ678" t="e">
            <v>#NAME?</v>
          </cell>
          <cell r="GR678" t="e">
            <v>#NAME?</v>
          </cell>
          <cell r="GS678" t="e">
            <v>#NAME?</v>
          </cell>
          <cell r="GT678" t="e">
            <v>#NAME?</v>
          </cell>
          <cell r="GU678" t="e">
            <v>#NAME?</v>
          </cell>
          <cell r="GV678" t="e">
            <v>#NAME?</v>
          </cell>
          <cell r="GW678" t="e">
            <v>#NAME?</v>
          </cell>
          <cell r="GX678" t="e">
            <v>#NAME?</v>
          </cell>
          <cell r="GY678" t="e">
            <v>#NAME?</v>
          </cell>
          <cell r="GZ678" t="e">
            <v>#NAME?</v>
          </cell>
        </row>
        <row r="679">
          <cell r="GL679" t="e">
            <v>#NAME?</v>
          </cell>
          <cell r="GM679" t="e">
            <v>#NAME?</v>
          </cell>
          <cell r="GN679" t="e">
            <v>#NAME?</v>
          </cell>
          <cell r="GO679" t="e">
            <v>#NAME?</v>
          </cell>
          <cell r="GP679" t="e">
            <v>#NAME?</v>
          </cell>
          <cell r="GQ679" t="e">
            <v>#NAME?</v>
          </cell>
          <cell r="GR679" t="e">
            <v>#NAME?</v>
          </cell>
          <cell r="GS679" t="e">
            <v>#NAME?</v>
          </cell>
          <cell r="GT679" t="e">
            <v>#NAME?</v>
          </cell>
          <cell r="GU679" t="e">
            <v>#NAME?</v>
          </cell>
          <cell r="GV679" t="e">
            <v>#NAME?</v>
          </cell>
          <cell r="GW679" t="e">
            <v>#NAME?</v>
          </cell>
          <cell r="GX679" t="e">
            <v>#NAME?</v>
          </cell>
          <cell r="GY679" t="e">
            <v>#NAME?</v>
          </cell>
          <cell r="GZ679" t="e">
            <v>#NAME?</v>
          </cell>
        </row>
        <row r="682">
          <cell r="GL682" t="e">
            <v>#NAME?</v>
          </cell>
          <cell r="GM682" t="e">
            <v>#NAME?</v>
          </cell>
          <cell r="GN682" t="e">
            <v>#NAME?</v>
          </cell>
          <cell r="GO682" t="e">
            <v>#NAME?</v>
          </cell>
          <cell r="GP682" t="e">
            <v>#NAME?</v>
          </cell>
          <cell r="GQ682" t="e">
            <v>#NAME?</v>
          </cell>
          <cell r="GR682" t="e">
            <v>#NAME?</v>
          </cell>
          <cell r="GS682" t="e">
            <v>#NAME?</v>
          </cell>
          <cell r="GT682" t="e">
            <v>#NAME?</v>
          </cell>
          <cell r="GU682" t="e">
            <v>#NAME?</v>
          </cell>
          <cell r="GV682" t="e">
            <v>#NAME?</v>
          </cell>
          <cell r="GW682" t="e">
            <v>#NAME?</v>
          </cell>
          <cell r="GX682" t="e">
            <v>#NAME?</v>
          </cell>
          <cell r="GY682" t="e">
            <v>#NAME?</v>
          </cell>
          <cell r="GZ682" t="e">
            <v>#NAME?</v>
          </cell>
        </row>
        <row r="683">
          <cell r="GL683" t="e">
            <v>#NAME?</v>
          </cell>
        </row>
        <row r="684">
          <cell r="GL684" t="e">
            <v>#NAME?</v>
          </cell>
          <cell r="GM684" t="e">
            <v>#NAME?</v>
          </cell>
          <cell r="GN684" t="e">
            <v>#NAME?</v>
          </cell>
          <cell r="GO684" t="e">
            <v>#NAME?</v>
          </cell>
          <cell r="GP684" t="e">
            <v>#NAME?</v>
          </cell>
          <cell r="GQ684" t="e">
            <v>#NAME?</v>
          </cell>
          <cell r="GR684" t="e">
            <v>#NAME?</v>
          </cell>
          <cell r="GS684" t="e">
            <v>#NAME?</v>
          </cell>
          <cell r="GT684" t="e">
            <v>#NAME?</v>
          </cell>
          <cell r="GU684" t="e">
            <v>#NAME?</v>
          </cell>
          <cell r="GV684" t="e">
            <v>#NAME?</v>
          </cell>
          <cell r="GW684" t="e">
            <v>#NAME?</v>
          </cell>
          <cell r="GX684" t="e">
            <v>#NAME?</v>
          </cell>
          <cell r="GY684" t="e">
            <v>#NAME?</v>
          </cell>
          <cell r="GZ684" t="e">
            <v>#NAME?</v>
          </cell>
        </row>
        <row r="685">
          <cell r="GL685">
            <v>0</v>
          </cell>
          <cell r="GM685">
            <v>0</v>
          </cell>
          <cell r="GN685" t="e">
            <v>#NAME?</v>
          </cell>
          <cell r="GO685" t="e">
            <v>#NAME?</v>
          </cell>
          <cell r="GP685" t="e">
            <v>#NAME?</v>
          </cell>
          <cell r="GQ685" t="e">
            <v>#NAME?</v>
          </cell>
          <cell r="GR685" t="e">
            <v>#NAME?</v>
          </cell>
          <cell r="GS685" t="e">
            <v>#NAME?</v>
          </cell>
          <cell r="GT685" t="e">
            <v>#NAME?</v>
          </cell>
          <cell r="GU685" t="e">
            <v>#NAME?</v>
          </cell>
          <cell r="GV685" t="e">
            <v>#NAME?</v>
          </cell>
          <cell r="GW685" t="e">
            <v>#NAME?</v>
          </cell>
          <cell r="GX685" t="e">
            <v>#NAME?</v>
          </cell>
          <cell r="GY685" t="e">
            <v>#NAME?</v>
          </cell>
          <cell r="GZ685" t="e">
            <v>#NAME?</v>
          </cell>
        </row>
        <row r="686">
          <cell r="GL686" t="e">
            <v>#NAME?</v>
          </cell>
          <cell r="GM686" t="e">
            <v>#NAME?</v>
          </cell>
          <cell r="GN686" t="e">
            <v>#NAME?</v>
          </cell>
          <cell r="GO686" t="e">
            <v>#NAME?</v>
          </cell>
          <cell r="GP686" t="e">
            <v>#NAME?</v>
          </cell>
          <cell r="GQ686" t="e">
            <v>#NAME?</v>
          </cell>
          <cell r="GR686" t="e">
            <v>#NAME?</v>
          </cell>
          <cell r="GS686" t="e">
            <v>#NAME?</v>
          </cell>
          <cell r="GT686" t="e">
            <v>#NAME?</v>
          </cell>
          <cell r="GU686" t="e">
            <v>#NAME?</v>
          </cell>
          <cell r="GV686" t="e">
            <v>#NAME?</v>
          </cell>
          <cell r="GW686" t="e">
            <v>#NAME?</v>
          </cell>
          <cell r="GX686" t="e">
            <v>#NAME?</v>
          </cell>
          <cell r="GY686" t="e">
            <v>#NAME?</v>
          </cell>
          <cell r="GZ686" t="e">
            <v>#NAME?</v>
          </cell>
        </row>
        <row r="688">
          <cell r="GM688" t="str">
            <v>Valuation</v>
          </cell>
          <cell r="GN688" t="str">
            <v>% of Total</v>
          </cell>
        </row>
        <row r="689">
          <cell r="GM689">
            <v>4204.0500000000011</v>
          </cell>
          <cell r="GN689" t="e">
            <v>#NAME?</v>
          </cell>
        </row>
        <row r="690">
          <cell r="GM690" t="e">
            <v>#NAME?</v>
          </cell>
          <cell r="GN690" t="e">
            <v>#NAME?</v>
          </cell>
        </row>
        <row r="691">
          <cell r="GM691" t="e">
            <v>#NAME?</v>
          </cell>
          <cell r="GN691" t="e">
            <v>#NAME?</v>
          </cell>
        </row>
        <row r="692">
          <cell r="GM692" t="e">
            <v>#NAME?</v>
          </cell>
          <cell r="GN692" t="e">
            <v>#NAME?</v>
          </cell>
        </row>
        <row r="693">
          <cell r="GM693" t="e">
            <v>#NAME?</v>
          </cell>
        </row>
        <row r="694">
          <cell r="GM694" t="e">
            <v>#NAME?</v>
          </cell>
        </row>
        <row r="695">
          <cell r="GM695">
            <v>556.72799999999995</v>
          </cell>
        </row>
        <row r="696">
          <cell r="GM696" t="e">
            <v>#NAME?</v>
          </cell>
        </row>
        <row r="698">
          <cell r="GM698" t="e">
            <v>#NAME?</v>
          </cell>
        </row>
        <row r="700">
          <cell r="GM700">
            <v>0.05</v>
          </cell>
        </row>
        <row r="705">
          <cell r="GL705" t="str">
            <v>WACC</v>
          </cell>
        </row>
        <row r="706">
          <cell r="GL706" t="str">
            <v>Shares Outstanding (mm)</v>
          </cell>
          <cell r="GN706">
            <v>556.72799999999995</v>
          </cell>
        </row>
        <row r="707">
          <cell r="GL707" t="str">
            <v>Price per share</v>
          </cell>
          <cell r="GN707" t="e">
            <v>#NAME?</v>
          </cell>
          <cell r="GO707" t="str">
            <v>Update calc</v>
          </cell>
        </row>
        <row r="708">
          <cell r="GL708" t="str">
            <v>Market Value of Equity</v>
          </cell>
          <cell r="GN708" t="e">
            <v>#NAME?</v>
          </cell>
        </row>
        <row r="709">
          <cell r="GL709" t="str">
            <v>Beta</v>
          </cell>
          <cell r="GN709">
            <v>1.7070000000000001</v>
          </cell>
        </row>
        <row r="710">
          <cell r="GL710" t="str">
            <v>10-Year Risk Free Rate</v>
          </cell>
          <cell r="GN710">
            <v>4.0500000000000001E-2</v>
          </cell>
        </row>
        <row r="711">
          <cell r="GL711" t="str">
            <v>Market Premium</v>
          </cell>
          <cell r="GN711">
            <v>0.04</v>
          </cell>
        </row>
        <row r="712">
          <cell r="GL712" t="str">
            <v>Cost of Equity</v>
          </cell>
          <cell r="GN712">
            <v>0.10878000000000002</v>
          </cell>
        </row>
        <row r="713">
          <cell r="GL713" t="str">
            <v>Market Value of Debt</v>
          </cell>
          <cell r="GN713" t="e">
            <v>#NAME?</v>
          </cell>
        </row>
        <row r="714">
          <cell r="GL714" t="str">
            <v>Cost of L-T Debt</v>
          </cell>
          <cell r="GN714">
            <v>6.7000000000000004E-2</v>
          </cell>
        </row>
        <row r="715">
          <cell r="GL715" t="str">
            <v>Tax Rate</v>
          </cell>
          <cell r="GN715">
            <v>9.9419517658705492E-2</v>
          </cell>
        </row>
        <row r="716">
          <cell r="GL716" t="str">
            <v>After-Tax Cost of Debt</v>
          </cell>
          <cell r="GN716">
            <v>6.0338892316866732E-2</v>
          </cell>
        </row>
        <row r="717">
          <cell r="GL717" t="str">
            <v>Debt/Capital</v>
          </cell>
          <cell r="GN717" t="e">
            <v>#NAME?</v>
          </cell>
        </row>
        <row r="718">
          <cell r="GL718" t="str">
            <v>WACC</v>
          </cell>
          <cell r="GN718" t="e">
            <v>#NAME?</v>
          </cell>
        </row>
        <row r="724">
          <cell r="GL724" t="str">
            <v>F2003</v>
          </cell>
          <cell r="GM724" t="str">
            <v>F2004E</v>
          </cell>
          <cell r="GN724" t="str">
            <v>F2005E</v>
          </cell>
          <cell r="GO724" t="str">
            <v>F2006E</v>
          </cell>
          <cell r="GP724" t="str">
            <v>F2007E</v>
          </cell>
          <cell r="GQ724" t="str">
            <v>F2008E</v>
          </cell>
          <cell r="GR724" t="str">
            <v>F2009E</v>
          </cell>
          <cell r="GS724" t="str">
            <v>F2010E</v>
          </cell>
          <cell r="GT724" t="str">
            <v>F2011E</v>
          </cell>
          <cell r="GU724" t="str">
            <v>F2012E</v>
          </cell>
          <cell r="GV724" t="str">
            <v>F2013E</v>
          </cell>
          <cell r="GW724" t="str">
            <v>F2014E</v>
          </cell>
          <cell r="GX724" t="str">
            <v>F2015E</v>
          </cell>
          <cell r="GY724" t="str">
            <v>F2016E</v>
          </cell>
          <cell r="GZ724" t="str">
            <v>F2017E</v>
          </cell>
        </row>
        <row r="726">
          <cell r="GL726">
            <v>233.18500100000006</v>
          </cell>
          <cell r="GM726">
            <v>269.80513471393868</v>
          </cell>
          <cell r="GN726">
            <v>449.0578097945106</v>
          </cell>
          <cell r="GO726">
            <v>635.15372302491869</v>
          </cell>
          <cell r="GP726">
            <v>993.45519595144185</v>
          </cell>
          <cell r="GQ726">
            <v>1015.3518954936347</v>
          </cell>
          <cell r="GR726">
            <v>499.11017337143278</v>
          </cell>
          <cell r="GS726">
            <v>1102.2087521711603</v>
          </cell>
          <cell r="GT726">
            <v>1504.7208812688398</v>
          </cell>
          <cell r="GU726">
            <v>1971.6206404281152</v>
          </cell>
          <cell r="GV726">
            <v>2023.5689926393979</v>
          </cell>
          <cell r="GW726">
            <v>429.26030813062181</v>
          </cell>
          <cell r="GX726">
            <v>1210.2869233214008</v>
          </cell>
          <cell r="GY726">
            <v>1797.2509717036551</v>
          </cell>
          <cell r="GZ726">
            <v>1992.260939403679</v>
          </cell>
        </row>
        <row r="728">
          <cell r="GL728">
            <v>349.51699999999994</v>
          </cell>
          <cell r="GM728">
            <v>344.60039578043609</v>
          </cell>
          <cell r="GN728">
            <v>303.47634416587994</v>
          </cell>
          <cell r="GO728">
            <v>284.99435535065123</v>
          </cell>
          <cell r="GP728">
            <v>324.69731327519764</v>
          </cell>
          <cell r="GQ728">
            <v>373.08169449908894</v>
          </cell>
          <cell r="GR728">
            <v>366.05558652080828</v>
          </cell>
          <cell r="GS728">
            <v>360.17849323509233</v>
          </cell>
          <cell r="GT728">
            <v>421.05014190253354</v>
          </cell>
          <cell r="GU728">
            <v>656.11001822468256</v>
          </cell>
          <cell r="GV728">
            <v>857.71678101386976</v>
          </cell>
          <cell r="GW728">
            <v>885.48692906294809</v>
          </cell>
          <cell r="GX728">
            <v>878.93077020466376</v>
          </cell>
          <cell r="GY728">
            <v>868.58384192582889</v>
          </cell>
          <cell r="GZ728">
            <v>886.12680411651036</v>
          </cell>
        </row>
        <row r="729">
          <cell r="GL729">
            <v>237.69200000000006</v>
          </cell>
          <cell r="GM729">
            <v>658.70743417716869</v>
          </cell>
          <cell r="GN729">
            <v>-532.12742836598272</v>
          </cell>
          <cell r="GO729">
            <v>-618.61619865778607</v>
          </cell>
          <cell r="GP729">
            <v>-449.49428638662164</v>
          </cell>
          <cell r="GQ729">
            <v>-821.54435713812416</v>
          </cell>
          <cell r="GR729">
            <v>-898.61071338145712</v>
          </cell>
          <cell r="GS729">
            <v>267.60284764259688</v>
          </cell>
          <cell r="GT729">
            <v>-361.78925293393877</v>
          </cell>
          <cell r="GU729">
            <v>-1009.100744400739</v>
          </cell>
          <cell r="GV729">
            <v>-1671.8916030212981</v>
          </cell>
          <cell r="GW729">
            <v>-529.87264403899212</v>
          </cell>
          <cell r="GX729">
            <v>1390.726330773696</v>
          </cell>
          <cell r="GY729">
            <v>-653.73634271383776</v>
          </cell>
          <cell r="GZ729">
            <v>-717.82955217578547</v>
          </cell>
        </row>
        <row r="730">
          <cell r="GL730">
            <v>-208.31100000000001</v>
          </cell>
          <cell r="GM730">
            <v>-141.8751094184</v>
          </cell>
          <cell r="GN730">
            <v>-274.22959448147645</v>
          </cell>
          <cell r="GO730">
            <v>-353.76283578712491</v>
          </cell>
          <cell r="GP730">
            <v>-468.70866339637155</v>
          </cell>
          <cell r="GQ730">
            <v>-603.22804979113005</v>
          </cell>
          <cell r="GR730">
            <v>-548.38913617375465</v>
          </cell>
          <cell r="GS730">
            <v>-562.64725371427232</v>
          </cell>
          <cell r="GT730">
            <v>-796.88618933952989</v>
          </cell>
          <cell r="GU730">
            <v>-1222.3541199955921</v>
          </cell>
          <cell r="GV730">
            <v>-1393.4836967949752</v>
          </cell>
          <cell r="GW730">
            <v>-465.32402017975062</v>
          </cell>
          <cell r="GX730">
            <v>-666.25939253009756</v>
          </cell>
          <cell r="GY730">
            <v>-895.45262356045112</v>
          </cell>
          <cell r="GZ730">
            <v>-938.73283369920648</v>
          </cell>
        </row>
        <row r="731">
          <cell r="GL731">
            <v>-8.1429999999999989</v>
          </cell>
          <cell r="GM731">
            <v>-29.324000000000002</v>
          </cell>
          <cell r="GN731">
            <v>0</v>
          </cell>
          <cell r="GO731">
            <v>0</v>
          </cell>
          <cell r="GP731">
            <v>0</v>
          </cell>
          <cell r="GQ731">
            <v>0</v>
          </cell>
          <cell r="GR731">
            <v>0</v>
          </cell>
          <cell r="GS731">
            <v>0</v>
          </cell>
          <cell r="GT731">
            <v>0</v>
          </cell>
          <cell r="GU731">
            <v>0</v>
          </cell>
          <cell r="GV731">
            <v>0</v>
          </cell>
          <cell r="GW731">
            <v>0</v>
          </cell>
          <cell r="GX731">
            <v>0</v>
          </cell>
          <cell r="GY731">
            <v>0</v>
          </cell>
          <cell r="GZ731">
            <v>0</v>
          </cell>
        </row>
        <row r="732">
          <cell r="GL732">
            <v>-596.59199999999998</v>
          </cell>
          <cell r="GM732">
            <v>-194.09199999999998</v>
          </cell>
          <cell r="GN732">
            <v>0</v>
          </cell>
          <cell r="GO732">
            <v>-75</v>
          </cell>
          <cell r="GP732">
            <v>-300</v>
          </cell>
          <cell r="GQ732">
            <v>-500</v>
          </cell>
          <cell r="GR732">
            <v>-350</v>
          </cell>
          <cell r="GS732">
            <v>-250</v>
          </cell>
          <cell r="GT732">
            <v>-400</v>
          </cell>
          <cell r="GU732">
            <v>-800</v>
          </cell>
          <cell r="GV732">
            <v>-500</v>
          </cell>
          <cell r="GW732">
            <v>-200</v>
          </cell>
          <cell r="GX732">
            <v>-50</v>
          </cell>
          <cell r="GY732">
            <v>-125</v>
          </cell>
          <cell r="GZ732">
            <v>-100</v>
          </cell>
        </row>
        <row r="733">
          <cell r="GL733">
            <v>-225.83699999999993</v>
          </cell>
          <cell r="GM733">
            <v>638.01672053920481</v>
          </cell>
          <cell r="GN733">
            <v>-502.88067868157924</v>
          </cell>
          <cell r="GO733">
            <v>-762.38467909425981</v>
          </cell>
          <cell r="GP733">
            <v>-893.50563650779554</v>
          </cell>
          <cell r="GQ733">
            <v>-1551.6907124301651</v>
          </cell>
          <cell r="GR733">
            <v>-1430.9442630344035</v>
          </cell>
          <cell r="GS733">
            <v>-184.86591283658311</v>
          </cell>
          <cell r="GT733">
            <v>-1137.6253003709351</v>
          </cell>
          <cell r="GU733">
            <v>-2375.3448461716484</v>
          </cell>
          <cell r="GV733">
            <v>-2707.6585188024037</v>
          </cell>
          <cell r="GW733">
            <v>-309.70973515579465</v>
          </cell>
          <cell r="GX733">
            <v>1553.3977084482622</v>
          </cell>
          <cell r="GY733">
            <v>-805.60512434845998</v>
          </cell>
          <cell r="GZ733">
            <v>-870.43558175848159</v>
          </cell>
        </row>
        <row r="735">
          <cell r="GL735">
            <v>7.3480010000001243</v>
          </cell>
          <cell r="GM735">
            <v>907.82185525314344</v>
          </cell>
          <cell r="GN735">
            <v>-53.822868887068637</v>
          </cell>
          <cell r="GO735">
            <v>-127.23095606934112</v>
          </cell>
          <cell r="GP735">
            <v>99.949559443646308</v>
          </cell>
          <cell r="GQ735">
            <v>-536.33881693653041</v>
          </cell>
          <cell r="GR735">
            <v>-931.83408966297077</v>
          </cell>
          <cell r="GS735">
            <v>917.34283933457721</v>
          </cell>
          <cell r="GT735">
            <v>367.09558089790471</v>
          </cell>
          <cell r="GU735">
            <v>-403.72420574353328</v>
          </cell>
          <cell r="GV735">
            <v>-684.08952616300576</v>
          </cell>
          <cell r="GW735">
            <v>119.55057297482716</v>
          </cell>
          <cell r="GX735">
            <v>2763.6846317696627</v>
          </cell>
          <cell r="GY735">
            <v>991.64584735519509</v>
          </cell>
          <cell r="GZ735">
            <v>1121.8253576451975</v>
          </cell>
        </row>
        <row r="737">
          <cell r="GL737">
            <v>0</v>
          </cell>
          <cell r="GM737">
            <v>0</v>
          </cell>
          <cell r="GN737" t="e">
            <v>#NAME?</v>
          </cell>
          <cell r="GO737" t="e">
            <v>#NAME?</v>
          </cell>
          <cell r="GP737" t="e">
            <v>#NAME?</v>
          </cell>
          <cell r="GQ737" t="e">
            <v>#NAME?</v>
          </cell>
          <cell r="GR737" t="e">
            <v>#NAME?</v>
          </cell>
          <cell r="GS737" t="e">
            <v>#NAME?</v>
          </cell>
          <cell r="GT737" t="e">
            <v>#NAME?</v>
          </cell>
          <cell r="GU737" t="e">
            <v>#NAME?</v>
          </cell>
          <cell r="GV737" t="e">
            <v>#NAME?</v>
          </cell>
          <cell r="GW737" t="e">
            <v>#NAME?</v>
          </cell>
          <cell r="GX737" t="e">
            <v>#NAME?</v>
          </cell>
          <cell r="GY737" t="e">
            <v>#NAME?</v>
          </cell>
          <cell r="GZ737" t="e">
            <v>#NAME?</v>
          </cell>
        </row>
        <row r="738">
          <cell r="GL738">
            <v>0</v>
          </cell>
          <cell r="GM738">
            <v>0</v>
          </cell>
          <cell r="GN738" t="e">
            <v>#NAME?</v>
          </cell>
          <cell r="GO738" t="e">
            <v>#NAME?</v>
          </cell>
          <cell r="GP738" t="e">
            <v>#NAME?</v>
          </cell>
          <cell r="GQ738" t="e">
            <v>#NAME?</v>
          </cell>
          <cell r="GR738" t="e">
            <v>#NAME?</v>
          </cell>
          <cell r="GS738" t="e">
            <v>#NAME?</v>
          </cell>
          <cell r="GT738" t="e">
            <v>#NAME?</v>
          </cell>
          <cell r="GU738" t="e">
            <v>#NAME?</v>
          </cell>
          <cell r="GV738" t="e">
            <v>#NAME?</v>
          </cell>
          <cell r="GW738" t="e">
            <v>#NAME?</v>
          </cell>
          <cell r="GX738" t="e">
            <v>#NAME?</v>
          </cell>
          <cell r="GY738" t="e">
            <v>#NAME?</v>
          </cell>
          <cell r="GZ738" t="e">
            <v>#NAME?</v>
          </cell>
        </row>
        <row r="742">
          <cell r="GM742" t="e">
            <v>#NAME?</v>
          </cell>
        </row>
        <row r="743">
          <cell r="GM743" t="e">
            <v>#NAME?</v>
          </cell>
        </row>
        <row r="744">
          <cell r="GM744" t="e">
            <v>#NAME?</v>
          </cell>
        </row>
        <row r="745">
          <cell r="GM745" t="e">
            <v>#NAME?</v>
          </cell>
        </row>
        <row r="746">
          <cell r="GM746" t="e">
            <v>#NAME?</v>
          </cell>
        </row>
        <row r="747">
          <cell r="GM747">
            <v>556.72799999999995</v>
          </cell>
        </row>
        <row r="748">
          <cell r="GM748" t="e">
            <v>#NAME?</v>
          </cell>
        </row>
        <row r="750">
          <cell r="GM750" t="e">
            <v>#NAME?</v>
          </cell>
        </row>
        <row r="752">
          <cell r="GM752">
            <v>0.05</v>
          </cell>
        </row>
        <row r="753">
          <cell r="GM753" t="e">
            <v>#NAME?</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Code"/>
      <sheetName val="mStartup"/>
      <sheetName val="__FDSCACHE__"/>
      <sheetName val="mwareValPrintout"/>
      <sheetName val="mwarePreview"/>
      <sheetName val="mwareTaxoPres"/>
      <sheetName val="CLS"/>
      <sheetName val="Exhibits"/>
      <sheetName val="Debt"/>
      <sheetName val="Acquisitions"/>
      <sheetName val="facilities"/>
      <sheetName val="Qtrly-Annual Metrics"/>
      <sheetName val="Annual 6 Blocker"/>
      <sheetName val="Qtrly 6 Blocker"/>
      <sheetName val="Quality of Earnings"/>
      <sheetName val="Customers"/>
      <sheetName val="Scenario"/>
      <sheetName val="Qtr Variance"/>
      <sheetName val="Equity"/>
      <sheetName val="profit maps"/>
      <sheetName val="NY UPLOAD"/>
      <sheetName val="mwareDates"/>
      <sheetName val="mwareSettings"/>
      <sheetName val="NY UPLOAD shadow"/>
      <sheetName val="xbrlPreview"/>
      <sheetName val="xbrldates"/>
      <sheetName val="xbrlSettings"/>
      <sheetName val="cls_new"/>
    </sheetNames>
    <sheetDataSet>
      <sheetData sheetId="0" refreshError="1"/>
      <sheetData sheetId="1" refreshError="1"/>
      <sheetData sheetId="2"/>
      <sheetData sheetId="3"/>
      <sheetData sheetId="4"/>
      <sheetData sheetId="5"/>
      <sheetData sheetId="6" refreshError="1">
        <row r="1">
          <cell r="A1" t="str">
            <v>Scott D. Craig @ Morgan Stanley (212) 761-4967</v>
          </cell>
        </row>
        <row r="3">
          <cell r="A3" t="str">
            <v>Celestica Inc.</v>
          </cell>
        </row>
        <row r="4">
          <cell r="A4" t="str">
            <v xml:space="preserve">Income Statement Comparisons </v>
          </cell>
        </row>
        <row r="5">
          <cell r="A5" t="str">
            <v>($ Millions Except per Share Data)</v>
          </cell>
        </row>
        <row r="6">
          <cell r="A6" t="str">
            <v xml:space="preserve">              </v>
          </cell>
        </row>
        <row r="7">
          <cell r="D7" t="str">
            <v>_f1q96</v>
          </cell>
          <cell r="E7" t="str">
            <v>_f2q96</v>
          </cell>
          <cell r="F7" t="str">
            <v>_f3q96</v>
          </cell>
          <cell r="G7" t="str">
            <v>_f4q96</v>
          </cell>
          <cell r="I7" t="str">
            <v>_f1q97</v>
          </cell>
          <cell r="J7" t="str">
            <v>_f2q97</v>
          </cell>
          <cell r="K7" t="str">
            <v>_f3q97</v>
          </cell>
          <cell r="L7" t="str">
            <v>_f4q97</v>
          </cell>
          <cell r="N7" t="str">
            <v>_f1q98</v>
          </cell>
          <cell r="O7" t="str">
            <v>_f2q98</v>
          </cell>
          <cell r="P7" t="str">
            <v>_f3q98</v>
          </cell>
          <cell r="Q7" t="str">
            <v>_f4q98</v>
          </cell>
          <cell r="S7" t="str">
            <v>_f1q99</v>
          </cell>
          <cell r="T7" t="str">
            <v>_f2q99</v>
          </cell>
          <cell r="U7" t="str">
            <v>_f3q99</v>
          </cell>
          <cell r="V7" t="str">
            <v>_f4q99</v>
          </cell>
          <cell r="X7" t="str">
            <v>_f1q00</v>
          </cell>
          <cell r="Y7" t="str">
            <v>_f2q00</v>
          </cell>
          <cell r="Z7" t="str">
            <v>_f3q00</v>
          </cell>
          <cell r="AA7" t="str">
            <v>_f4q00</v>
          </cell>
          <cell r="AC7" t="str">
            <v>_f1q01</v>
          </cell>
          <cell r="AD7" t="str">
            <v>_f2q01</v>
          </cell>
          <cell r="AE7" t="str">
            <v>_f3q01</v>
          </cell>
          <cell r="AF7" t="str">
            <v>_f4q01</v>
          </cell>
          <cell r="AH7" t="str">
            <v>_f1q02</v>
          </cell>
          <cell r="AI7" t="str">
            <v>_f2q02</v>
          </cell>
          <cell r="AJ7" t="str">
            <v>_f3q02</v>
          </cell>
          <cell r="AK7" t="str">
            <v>_f4q02</v>
          </cell>
          <cell r="AM7" t="str">
            <v>_f1q03</v>
          </cell>
          <cell r="AN7" t="str">
            <v>_f2q03</v>
          </cell>
          <cell r="AO7" t="str">
            <v>_f3q03</v>
          </cell>
          <cell r="AP7" t="str">
            <v>_f4q03</v>
          </cell>
          <cell r="AR7" t="str">
            <v>_f1q04</v>
          </cell>
          <cell r="AS7" t="str">
            <v>_f2q04</v>
          </cell>
          <cell r="AT7" t="str">
            <v>_f3q04</v>
          </cell>
          <cell r="AU7" t="str">
            <v>_f4q04</v>
          </cell>
          <cell r="AW7" t="str">
            <v>_fy96</v>
          </cell>
          <cell r="AX7" t="str">
            <v>_fy97</v>
          </cell>
          <cell r="AY7" t="str">
            <v>_fy98</v>
          </cell>
          <cell r="AZ7" t="str">
            <v>_fy99</v>
          </cell>
          <cell r="BA7" t="str">
            <v>_fy00</v>
          </cell>
          <cell r="BB7" t="str">
            <v>_fy01</v>
          </cell>
          <cell r="BC7" t="str">
            <v>_fy02</v>
          </cell>
          <cell r="BD7" t="str">
            <v>_fy03</v>
          </cell>
          <cell r="BE7" t="str">
            <v>_fy04</v>
          </cell>
          <cell r="BF7" t="str">
            <v>_fy00</v>
          </cell>
          <cell r="BG7" t="str">
            <v>_RI1</v>
          </cell>
          <cell r="BH7" t="str">
            <v>_RI2</v>
          </cell>
          <cell r="BI7" t="str">
            <v>_RI3</v>
          </cell>
          <cell r="BJ7" t="str">
            <v>_RI4</v>
          </cell>
          <cell r="BK7" t="str">
            <v>_RI5</v>
          </cell>
          <cell r="BL7" t="str">
            <v>_RI6</v>
          </cell>
          <cell r="BM7" t="str">
            <v>_RI7</v>
          </cell>
          <cell r="BN7" t="str">
            <v>_RI8</v>
          </cell>
          <cell r="BO7" t="str">
            <v>_RI9</v>
          </cell>
          <cell r="BP7" t="str">
            <v>_RI10</v>
          </cell>
          <cell r="BQ7" t="str">
            <v>_RI11</v>
          </cell>
          <cell r="BR7" t="str">
            <v>_RI12</v>
          </cell>
          <cell r="BS7" t="str">
            <v>_RI13</v>
          </cell>
          <cell r="BT7" t="str">
            <v>_RI14</v>
          </cell>
          <cell r="BU7" t="str">
            <v>_RI9</v>
          </cell>
          <cell r="BV7" t="str">
            <v>_RI10</v>
          </cell>
          <cell r="BW7" t="str">
            <v>_RI11</v>
          </cell>
          <cell r="BX7" t="str">
            <v>_RI12</v>
          </cell>
          <cell r="BY7" t="str">
            <v>_RI13</v>
          </cell>
          <cell r="BZ7" t="str">
            <v>_RI14</v>
          </cell>
          <cell r="CA7" t="str">
            <v>_RI15</v>
          </cell>
        </row>
        <row r="8">
          <cell r="D8">
            <v>1996</v>
          </cell>
          <cell r="I8">
            <v>1997</v>
          </cell>
          <cell r="N8">
            <v>1998</v>
          </cell>
          <cell r="S8">
            <v>1999</v>
          </cell>
          <cell r="X8">
            <v>2000</v>
          </cell>
          <cell r="AC8">
            <v>2001</v>
          </cell>
          <cell r="AH8" t="str">
            <v>2002E</v>
          </cell>
          <cell r="AM8" t="str">
            <v>2003E</v>
          </cell>
          <cell r="AR8" t="str">
            <v>2004E</v>
          </cell>
          <cell r="AV8" t="str">
            <v xml:space="preserve"> </v>
          </cell>
          <cell r="AW8" t="str">
            <v>2005E</v>
          </cell>
          <cell r="AZ8" t="str">
            <v xml:space="preserve"> </v>
          </cell>
          <cell r="BA8" t="str">
            <v xml:space="preserve"> </v>
          </cell>
          <cell r="BE8" t="str">
            <v xml:space="preserve"> </v>
          </cell>
        </row>
        <row r="9">
          <cell r="A9" t="str">
            <v xml:space="preserve"> </v>
          </cell>
          <cell r="D9">
            <v>35125</v>
          </cell>
          <cell r="E9">
            <v>35217</v>
          </cell>
          <cell r="F9">
            <v>35309</v>
          </cell>
          <cell r="G9">
            <v>35400</v>
          </cell>
          <cell r="I9">
            <v>35490</v>
          </cell>
          <cell r="J9">
            <v>35582</v>
          </cell>
          <cell r="K9">
            <v>35674</v>
          </cell>
          <cell r="L9">
            <v>35765</v>
          </cell>
          <cell r="N9">
            <v>35855</v>
          </cell>
          <cell r="O9">
            <v>35947</v>
          </cell>
          <cell r="P9">
            <v>36039</v>
          </cell>
          <cell r="Q9">
            <v>36130</v>
          </cell>
          <cell r="S9">
            <v>36220</v>
          </cell>
          <cell r="T9">
            <v>36312</v>
          </cell>
          <cell r="U9">
            <v>36404</v>
          </cell>
          <cell r="V9">
            <v>36495</v>
          </cell>
          <cell r="X9">
            <v>36586</v>
          </cell>
          <cell r="Y9">
            <v>36678</v>
          </cell>
          <cell r="Z9">
            <v>36770</v>
          </cell>
          <cell r="AA9">
            <v>36861</v>
          </cell>
          <cell r="AC9">
            <v>36951</v>
          </cell>
          <cell r="AD9">
            <v>37043</v>
          </cell>
          <cell r="AE9">
            <v>37135</v>
          </cell>
          <cell r="AF9">
            <v>37226</v>
          </cell>
          <cell r="AH9" t="str">
            <v xml:space="preserve"> 3/02</v>
          </cell>
          <cell r="AI9" t="str">
            <v xml:space="preserve"> 6/02E</v>
          </cell>
          <cell r="AJ9" t="str">
            <v xml:space="preserve"> 9/02E</v>
          </cell>
          <cell r="AK9" t="str">
            <v>12/02E</v>
          </cell>
          <cell r="AM9" t="str">
            <v xml:space="preserve"> 3/03E</v>
          </cell>
          <cell r="AN9" t="str">
            <v xml:space="preserve"> 6/03E</v>
          </cell>
          <cell r="AO9" t="str">
            <v xml:space="preserve"> 9/03E</v>
          </cell>
          <cell r="AP9" t="str">
            <v>12/03E</v>
          </cell>
          <cell r="AR9" t="str">
            <v xml:space="preserve"> 3/04E</v>
          </cell>
          <cell r="AS9" t="str">
            <v xml:space="preserve"> 6/04E</v>
          </cell>
          <cell r="AT9" t="str">
            <v xml:space="preserve"> 9/04E</v>
          </cell>
          <cell r="AU9" t="str">
            <v>12/04E</v>
          </cell>
          <cell r="AW9">
            <v>1996</v>
          </cell>
          <cell r="AX9">
            <v>1997</v>
          </cell>
          <cell r="AY9">
            <v>1998</v>
          </cell>
          <cell r="AZ9">
            <v>1999</v>
          </cell>
          <cell r="BA9">
            <v>2000</v>
          </cell>
          <cell r="BB9">
            <v>2001</v>
          </cell>
          <cell r="BC9" t="str">
            <v>2002E</v>
          </cell>
          <cell r="BD9" t="str">
            <v>2003E</v>
          </cell>
          <cell r="BE9" t="str">
            <v>2004E</v>
          </cell>
          <cell r="BF9">
            <v>2000</v>
          </cell>
          <cell r="BG9">
            <v>2002</v>
          </cell>
          <cell r="BH9">
            <v>2003</v>
          </cell>
          <cell r="BI9">
            <v>2004</v>
          </cell>
          <cell r="BJ9">
            <v>2005</v>
          </cell>
          <cell r="BK9">
            <v>2006</v>
          </cell>
          <cell r="BL9">
            <v>2007</v>
          </cell>
          <cell r="BM9">
            <v>2008</v>
          </cell>
          <cell r="BN9">
            <v>2009</v>
          </cell>
          <cell r="BO9">
            <v>2010</v>
          </cell>
          <cell r="BP9">
            <v>2011</v>
          </cell>
          <cell r="BQ9">
            <v>2012</v>
          </cell>
          <cell r="BR9">
            <v>2013</v>
          </cell>
          <cell r="BS9">
            <v>2014</v>
          </cell>
          <cell r="BT9">
            <v>2015</v>
          </cell>
          <cell r="BU9">
            <v>2010</v>
          </cell>
          <cell r="BV9">
            <v>2011</v>
          </cell>
          <cell r="BW9">
            <v>2012</v>
          </cell>
          <cell r="BX9">
            <v>2013</v>
          </cell>
          <cell r="BY9">
            <v>2014</v>
          </cell>
          <cell r="BZ9">
            <v>2015</v>
          </cell>
          <cell r="CA9">
            <v>2016</v>
          </cell>
        </row>
        <row r="11">
          <cell r="A11" t="str">
            <v>Revenue</v>
          </cell>
          <cell r="B11" t="str">
            <v>rev</v>
          </cell>
          <cell r="D11">
            <v>744.68399999999997</v>
          </cell>
          <cell r="E11">
            <v>546.78300000000002</v>
          </cell>
          <cell r="F11">
            <v>363.92599999999999</v>
          </cell>
          <cell r="G11">
            <v>361.435</v>
          </cell>
          <cell r="I11">
            <v>483.6</v>
          </cell>
          <cell r="J11">
            <v>430.65499999999997</v>
          </cell>
          <cell r="K11">
            <v>409.11700000000002</v>
          </cell>
          <cell r="L11">
            <v>683.18700000000001</v>
          </cell>
          <cell r="N11">
            <v>738.7</v>
          </cell>
          <cell r="O11">
            <v>773.62099999999998</v>
          </cell>
          <cell r="P11">
            <v>811.6</v>
          </cell>
          <cell r="Q11">
            <v>925.298</v>
          </cell>
          <cell r="S11">
            <v>1081.8240000000001</v>
          </cell>
          <cell r="T11">
            <v>1249.7</v>
          </cell>
          <cell r="U11">
            <v>1356.9469999999999</v>
          </cell>
          <cell r="V11">
            <v>1608.751</v>
          </cell>
          <cell r="X11">
            <v>1612.3230000000001</v>
          </cell>
          <cell r="Y11">
            <v>2091.8829999999998</v>
          </cell>
          <cell r="Z11">
            <v>2600.1489999999999</v>
          </cell>
          <cell r="AA11">
            <v>3447.72</v>
          </cell>
          <cell r="AC11">
            <v>2692.5749999999998</v>
          </cell>
          <cell r="AD11">
            <v>2660.7060000000001</v>
          </cell>
          <cell r="AE11">
            <v>2202.9499999999998</v>
          </cell>
          <cell r="AF11">
            <v>2448.1999999999998</v>
          </cell>
          <cell r="AH11">
            <v>2151.5</v>
          </cell>
          <cell r="AI11">
            <v>2222.4547500000003</v>
          </cell>
          <cell r="AJ11">
            <v>2256.4161775000002</v>
          </cell>
          <cell r="AK11">
            <v>2413.2769004750003</v>
          </cell>
          <cell r="AM11">
            <v>2364.3592608755002</v>
          </cell>
          <cell r="AN11">
            <v>2441.3815993963203</v>
          </cell>
          <cell r="AO11">
            <v>2559.3579410099655</v>
          </cell>
          <cell r="AP11">
            <v>2821.0346317032217</v>
          </cell>
          <cell r="AR11">
            <v>2678.1588244225709</v>
          </cell>
          <cell r="AS11">
            <v>2780.6536712795873</v>
          </cell>
          <cell r="AT11">
            <v>2934.0156920260183</v>
          </cell>
          <cell r="AU11">
            <v>3245.444759260004</v>
          </cell>
          <cell r="AW11">
            <v>2016.828</v>
          </cell>
          <cell r="AX11">
            <v>2006.5590000000002</v>
          </cell>
          <cell r="AY11">
            <v>3249.2190000000001</v>
          </cell>
          <cell r="AZ11">
            <v>5297.2220000000007</v>
          </cell>
          <cell r="BA11">
            <v>9752.0749999999989</v>
          </cell>
          <cell r="BB11">
            <v>10004.431</v>
          </cell>
          <cell r="BC11">
            <v>8126.5278000000008</v>
          </cell>
          <cell r="BD11">
            <v>7089.9351450058957</v>
          </cell>
          <cell r="BE11">
            <v>11638.272946988182</v>
          </cell>
          <cell r="BF11">
            <v>9752.0749999999989</v>
          </cell>
          <cell r="BG11">
            <v>9043.6478279750008</v>
          </cell>
          <cell r="BH11">
            <v>11786.233432985005</v>
          </cell>
          <cell r="BI11">
            <v>14666.351680672204</v>
          </cell>
          <cell r="BJ11">
            <v>18266.884062117875</v>
          </cell>
          <cell r="BK11">
            <v>22285.598555783807</v>
          </cell>
          <cell r="BL11">
            <v>27856.998194729757</v>
          </cell>
          <cell r="BM11">
            <v>34821.247743412197</v>
          </cell>
          <cell r="BN11">
            <v>42133.709769528759</v>
          </cell>
          <cell r="BO11">
            <v>49296.440430348644</v>
          </cell>
          <cell r="BP11">
            <v>55704.977686293962</v>
          </cell>
          <cell r="BQ11">
            <v>61275.475454923369</v>
          </cell>
          <cell r="BR11">
            <v>66177.513491317251</v>
          </cell>
          <cell r="BS11">
            <v>70148.164300796285</v>
          </cell>
          <cell r="BT11">
            <v>72954.090872828136</v>
          </cell>
          <cell r="BU11">
            <v>14098.440677303883</v>
          </cell>
          <cell r="BV11">
            <v>17341.082033083774</v>
          </cell>
          <cell r="BW11">
            <v>19768.833517715506</v>
          </cell>
          <cell r="BX11">
            <v>16803.508490058179</v>
          </cell>
          <cell r="BY11">
            <v>17475.648829660506</v>
          </cell>
          <cell r="BZ11">
            <v>19223.213712626559</v>
          </cell>
          <cell r="CA11">
            <v>20953.302946762949</v>
          </cell>
        </row>
        <row r="12">
          <cell r="A12" t="str">
            <v>Servers</v>
          </cell>
          <cell r="N12">
            <v>251.15800000000004</v>
          </cell>
          <cell r="O12">
            <v>201.14146</v>
          </cell>
          <cell r="P12">
            <v>259.71199999999999</v>
          </cell>
          <cell r="Q12">
            <v>360.86622</v>
          </cell>
          <cell r="S12">
            <v>292.09248000000002</v>
          </cell>
          <cell r="T12">
            <v>337.41900000000004</v>
          </cell>
          <cell r="U12">
            <v>366.37569000000002</v>
          </cell>
          <cell r="V12">
            <v>353.92522000000002</v>
          </cell>
          <cell r="X12">
            <v>370.83429000000001</v>
          </cell>
          <cell r="Y12">
            <v>648.48372999999992</v>
          </cell>
          <cell r="Z12">
            <v>858.04917</v>
          </cell>
          <cell r="AA12">
            <v>1310.1335999999999</v>
          </cell>
          <cell r="AC12">
            <v>861.62399999999991</v>
          </cell>
          <cell r="AD12">
            <v>878.03298000000007</v>
          </cell>
          <cell r="AE12">
            <v>660.88499999999988</v>
          </cell>
          <cell r="AF12">
            <v>661.01400000000001</v>
          </cell>
          <cell r="AH12">
            <v>602.42000000000007</v>
          </cell>
          <cell r="AI12">
            <v>602.42000000000007</v>
          </cell>
          <cell r="AJ12">
            <v>620.49260000000004</v>
          </cell>
          <cell r="AK12">
            <v>676.33693400000004</v>
          </cell>
          <cell r="AM12">
            <v>676.33693400000004</v>
          </cell>
          <cell r="AN12">
            <v>710.15378070000008</v>
          </cell>
          <cell r="AO12">
            <v>759.86454534900008</v>
          </cell>
          <cell r="AP12">
            <v>858.64693624437007</v>
          </cell>
          <cell r="AR12">
            <v>815.71458943215157</v>
          </cell>
          <cell r="AS12">
            <v>856.50031890375919</v>
          </cell>
          <cell r="AT12">
            <v>907.89033803798475</v>
          </cell>
          <cell r="AU12">
            <v>1016.837178602543</v>
          </cell>
          <cell r="AW12" t="str">
            <v>--</v>
          </cell>
          <cell r="AX12">
            <v>601.96770000000004</v>
          </cell>
          <cell r="AY12">
            <v>1072.8776800000001</v>
          </cell>
          <cell r="AZ12">
            <v>1349.8123900000003</v>
          </cell>
          <cell r="BA12">
            <v>3187.5007900000001</v>
          </cell>
          <cell r="BB12">
            <v>3061.5559800000001</v>
          </cell>
          <cell r="BC12">
            <v>2501.6695340000001</v>
          </cell>
          <cell r="BD12">
            <v>3005.0021962933702</v>
          </cell>
          <cell r="BE12">
            <v>3596.9424249764388</v>
          </cell>
          <cell r="BF12">
            <v>3187.5007900000001</v>
          </cell>
          <cell r="BG12">
            <v>3061.5559800000001</v>
          </cell>
          <cell r="BH12">
            <v>2099.518</v>
          </cell>
          <cell r="BI12">
            <v>1408.0904799999998</v>
          </cell>
          <cell r="BJ12">
            <v>1493.9423610921599</v>
          </cell>
          <cell r="BK12">
            <v>1724.332404309084</v>
          </cell>
        </row>
        <row r="13">
          <cell r="A13" t="str">
            <v>Communications</v>
          </cell>
          <cell r="N13">
            <v>103.41800000000002</v>
          </cell>
          <cell r="O13">
            <v>154.7242</v>
          </cell>
          <cell r="P13">
            <v>124.85599999999999</v>
          </cell>
          <cell r="Q13">
            <v>124.91523000000001</v>
          </cell>
          <cell r="S13">
            <v>230</v>
          </cell>
          <cell r="T13">
            <v>299.928</v>
          </cell>
          <cell r="U13">
            <v>325.66727999999995</v>
          </cell>
          <cell r="V13">
            <v>482.62529999999998</v>
          </cell>
          <cell r="X13">
            <v>499.82013000000001</v>
          </cell>
          <cell r="Y13">
            <v>585.72724000000005</v>
          </cell>
          <cell r="Z13">
            <v>832.04768000000001</v>
          </cell>
          <cell r="AA13">
            <v>1137.7475999999999</v>
          </cell>
          <cell r="AC13">
            <v>915.47550000000001</v>
          </cell>
          <cell r="AD13">
            <v>851.42592000000002</v>
          </cell>
          <cell r="AE13">
            <v>837.12099999999998</v>
          </cell>
          <cell r="AF13">
            <v>1101.69</v>
          </cell>
          <cell r="AH13">
            <v>989.69</v>
          </cell>
          <cell r="AI13">
            <v>1040.2055</v>
          </cell>
          <cell r="AJ13">
            <v>1040.2055</v>
          </cell>
          <cell r="AK13">
            <v>1092.2157750000001</v>
          </cell>
          <cell r="AM13">
            <v>1059.4493017500001</v>
          </cell>
          <cell r="AN13">
            <v>1080.6382877850001</v>
          </cell>
          <cell r="AO13">
            <v>1113.0574364185502</v>
          </cell>
          <cell r="AP13">
            <v>1202.1020313320344</v>
          </cell>
          <cell r="AR13">
            <v>1141.9969297654327</v>
          </cell>
          <cell r="AS13">
            <v>1176.2568376583956</v>
          </cell>
          <cell r="AT13">
            <v>1235.0696795413155</v>
          </cell>
          <cell r="AU13">
            <v>1346.225950700034</v>
          </cell>
          <cell r="AW13" t="str">
            <v>--</v>
          </cell>
          <cell r="AX13">
            <v>200.65590000000003</v>
          </cell>
          <cell r="AY13">
            <v>507.91343000000001</v>
          </cell>
          <cell r="AZ13">
            <v>1338.2205799999999</v>
          </cell>
          <cell r="BA13">
            <v>3055.3426499999996</v>
          </cell>
          <cell r="BB13">
            <v>3705.7124200000003</v>
          </cell>
          <cell r="BC13">
            <v>4162.3167750000002</v>
          </cell>
          <cell r="BD13">
            <v>4455.2470572855846</v>
          </cell>
          <cell r="BE13">
            <v>4899.5493976651778</v>
          </cell>
          <cell r="BF13">
            <v>3055.3426499999996</v>
          </cell>
          <cell r="BG13">
            <v>3705.7124200000003</v>
          </cell>
          <cell r="BH13">
            <v>3785.7710000000002</v>
          </cell>
          <cell r="BI13">
            <v>3167.2371600000001</v>
          </cell>
          <cell r="BJ13">
            <v>3466.8246047288158</v>
          </cell>
          <cell r="BK13">
            <v>3903.368624632466</v>
          </cell>
        </row>
        <row r="14">
          <cell r="A14" t="str">
            <v>Storage/Other</v>
          </cell>
          <cell r="N14">
            <v>73.87</v>
          </cell>
          <cell r="O14">
            <v>123.77936</v>
          </cell>
          <cell r="P14">
            <v>102.2616</v>
          </cell>
          <cell r="Q14">
            <v>41.63841</v>
          </cell>
          <cell r="S14">
            <v>183.91008000000002</v>
          </cell>
          <cell r="T14">
            <v>187.45500000000001</v>
          </cell>
          <cell r="U14">
            <v>203.54204999999985</v>
          </cell>
          <cell r="V14">
            <v>225.22514000000001</v>
          </cell>
          <cell r="X14">
            <v>257.97167999999999</v>
          </cell>
          <cell r="Y14">
            <v>313.78244999999998</v>
          </cell>
          <cell r="Z14">
            <v>312.01787999999999</v>
          </cell>
          <cell r="AA14">
            <v>448.20359999999999</v>
          </cell>
          <cell r="AC14">
            <v>457.73775000000001</v>
          </cell>
          <cell r="AD14">
            <v>478.92707999999999</v>
          </cell>
          <cell r="AE14">
            <v>396.53099999999995</v>
          </cell>
          <cell r="AF14">
            <v>440.67599999999993</v>
          </cell>
          <cell r="AH14">
            <v>408.78500000000003</v>
          </cell>
          <cell r="AI14">
            <v>429.22425000000004</v>
          </cell>
          <cell r="AJ14">
            <v>442.10097750000006</v>
          </cell>
          <cell r="AK14">
            <v>481.89006547500009</v>
          </cell>
          <cell r="AM14">
            <v>472.25226416550009</v>
          </cell>
          <cell r="AN14">
            <v>491.14235473212011</v>
          </cell>
          <cell r="AO14">
            <v>520.61089601604738</v>
          </cell>
          <cell r="AP14">
            <v>577.87809457781259</v>
          </cell>
          <cell r="AR14">
            <v>548.98418984892191</v>
          </cell>
          <cell r="AS14">
            <v>576.43339934136804</v>
          </cell>
          <cell r="AT14">
            <v>611.01940330185016</v>
          </cell>
          <cell r="AU14">
            <v>684.34173169807229</v>
          </cell>
          <cell r="AW14" t="str">
            <v>--</v>
          </cell>
          <cell r="AX14">
            <v>401.31180000000006</v>
          </cell>
          <cell r="AY14">
            <v>341.54937000000001</v>
          </cell>
          <cell r="AZ14">
            <v>800.13226999999983</v>
          </cell>
          <cell r="BA14">
            <v>1331.97561</v>
          </cell>
          <cell r="BB14">
            <v>1773.8718299999998</v>
          </cell>
          <cell r="BC14">
            <v>1762.0002929750001</v>
          </cell>
          <cell r="BD14">
            <v>2061.88360949148</v>
          </cell>
          <cell r="BE14">
            <v>2420.7787241902124</v>
          </cell>
          <cell r="BG14" t="str">
            <v>--</v>
          </cell>
          <cell r="BH14" t="str">
            <v>--</v>
          </cell>
          <cell r="BI14">
            <v>1495.0782799999999</v>
          </cell>
          <cell r="BJ14">
            <v>1635.3949304653279</v>
          </cell>
          <cell r="BK14">
            <v>1841.3245515086255</v>
          </cell>
        </row>
        <row r="15">
          <cell r="A15" t="str">
            <v>PCs/Workstations</v>
          </cell>
          <cell r="N15">
            <v>310.25400000000002</v>
          </cell>
          <cell r="O15">
            <v>293.97597999999999</v>
          </cell>
          <cell r="P15">
            <v>324.64</v>
          </cell>
          <cell r="Q15">
            <v>397.87814000000003</v>
          </cell>
          <cell r="S15">
            <v>375.82144000000005</v>
          </cell>
          <cell r="T15">
            <v>424.89800000000002</v>
          </cell>
          <cell r="U15">
            <v>461.36197999999996</v>
          </cell>
          <cell r="V15">
            <v>546.97533999999996</v>
          </cell>
          <cell r="X15">
            <v>483.69690000000003</v>
          </cell>
          <cell r="Y15">
            <v>543.88958000000002</v>
          </cell>
          <cell r="Z15">
            <v>598.03426999999999</v>
          </cell>
          <cell r="AA15">
            <v>551.63519999999994</v>
          </cell>
          <cell r="AC15">
            <v>457.73775000000001</v>
          </cell>
          <cell r="AD15">
            <v>452.32002</v>
          </cell>
          <cell r="AE15">
            <v>308.41300000000001</v>
          </cell>
          <cell r="AF15">
            <v>244.82</v>
          </cell>
          <cell r="AH15">
            <v>150.60500000000002</v>
          </cell>
          <cell r="AI15">
            <v>150.60500000000002</v>
          </cell>
          <cell r="AJ15">
            <v>153.61710000000002</v>
          </cell>
          <cell r="AK15">
            <v>162.83412600000003</v>
          </cell>
          <cell r="AM15">
            <v>156.32076096000003</v>
          </cell>
          <cell r="AN15">
            <v>159.44717617920003</v>
          </cell>
          <cell r="AO15">
            <v>165.82506322636803</v>
          </cell>
          <cell r="AP15">
            <v>182.40756954900485</v>
          </cell>
          <cell r="AR15">
            <v>171.46311537606454</v>
          </cell>
          <cell r="AS15">
            <v>171.46311537606454</v>
          </cell>
          <cell r="AT15">
            <v>180.03627114486778</v>
          </cell>
          <cell r="AU15">
            <v>198.03989825935457</v>
          </cell>
          <cell r="AW15" t="str">
            <v>--</v>
          </cell>
          <cell r="AX15">
            <v>802.62360000000012</v>
          </cell>
          <cell r="AY15">
            <v>1326.74812</v>
          </cell>
          <cell r="AZ15">
            <v>1809.0567600000002</v>
          </cell>
          <cell r="BA15">
            <v>2177.2559499999998</v>
          </cell>
          <cell r="BB15">
            <v>1463.2907700000001</v>
          </cell>
          <cell r="BC15">
            <v>617.66122600000017</v>
          </cell>
          <cell r="BD15">
            <v>664.00056991457291</v>
          </cell>
          <cell r="BE15">
            <v>721.00240015635143</v>
          </cell>
          <cell r="BG15" t="str">
            <v>--</v>
          </cell>
          <cell r="BH15" t="str">
            <v>--</v>
          </cell>
          <cell r="BI15">
            <v>1672.1588800000002</v>
          </cell>
          <cell r="BJ15">
            <v>1831.4296742634881</v>
          </cell>
          <cell r="BK15">
            <v>2062.0440731238405</v>
          </cell>
        </row>
        <row r="16">
          <cell r="A16" t="str">
            <v>PCs</v>
          </cell>
          <cell r="N16">
            <v>44.322000000000003</v>
          </cell>
          <cell r="O16">
            <v>61.889679999999998</v>
          </cell>
          <cell r="P16">
            <v>48.695999999999998</v>
          </cell>
          <cell r="Q16">
            <v>37.011920000000003</v>
          </cell>
          <cell r="S16">
            <v>83.728960000000001</v>
          </cell>
          <cell r="T16">
            <v>87.479000000000013</v>
          </cell>
          <cell r="U16">
            <v>122.12522999999999</v>
          </cell>
          <cell r="V16">
            <v>112.61257000000001</v>
          </cell>
          <cell r="X16">
            <v>145.10907</v>
          </cell>
          <cell r="Y16">
            <v>188.26946999999998</v>
          </cell>
          <cell r="Z16">
            <v>182.01043000000001</v>
          </cell>
          <cell r="AA16">
            <v>172.386</v>
          </cell>
          <cell r="AC16">
            <v>161.55449999999999</v>
          </cell>
          <cell r="AD16">
            <v>133.03530000000001</v>
          </cell>
          <cell r="AE16">
            <v>132.17699999999999</v>
          </cell>
          <cell r="AF16">
            <v>73.445999999999998</v>
          </cell>
          <cell r="AH16" t="str">
            <v>--</v>
          </cell>
          <cell r="AI16" t="str">
            <v>--</v>
          </cell>
          <cell r="AJ16" t="str">
            <v>--</v>
          </cell>
          <cell r="AK16" t="str">
            <v>--</v>
          </cell>
          <cell r="AM16" t="str">
            <v>--</v>
          </cell>
          <cell r="AN16" t="str">
            <v>--</v>
          </cell>
          <cell r="AO16" t="str">
            <v>--</v>
          </cell>
          <cell r="AP16" t="str">
            <v>--</v>
          </cell>
          <cell r="AR16" t="str">
            <v>--</v>
          </cell>
          <cell r="AS16" t="str">
            <v>--</v>
          </cell>
          <cell r="AT16" t="str">
            <v>--</v>
          </cell>
          <cell r="AU16" t="str">
            <v>--</v>
          </cell>
          <cell r="AW16" t="str">
            <v>--</v>
          </cell>
          <cell r="AX16">
            <v>200.65590000000003</v>
          </cell>
          <cell r="AY16">
            <v>191.9196</v>
          </cell>
          <cell r="AZ16">
            <v>405.94576000000001</v>
          </cell>
          <cell r="BA16">
            <v>687.77496999999994</v>
          </cell>
          <cell r="BB16">
            <v>500.21280000000002</v>
          </cell>
          <cell r="BC16" t="str">
            <v>--</v>
          </cell>
          <cell r="BD16" t="str">
            <v>--</v>
          </cell>
          <cell r="BE16" t="str">
            <v>--</v>
          </cell>
          <cell r="BF16">
            <v>1331.97561</v>
          </cell>
          <cell r="BG16">
            <v>1773.8718299999998</v>
          </cell>
          <cell r="BH16">
            <v>1845.9140000000002</v>
          </cell>
          <cell r="BI16">
            <v>1490.3744000000002</v>
          </cell>
          <cell r="BJ16">
            <v>1754.3775833232003</v>
          </cell>
          <cell r="BK16">
            <v>2149.9347699885611</v>
          </cell>
        </row>
        <row r="17">
          <cell r="A17" t="str">
            <v>Workstations</v>
          </cell>
          <cell r="N17">
            <v>265.93200000000002</v>
          </cell>
          <cell r="O17">
            <v>232.08629999999999</v>
          </cell>
          <cell r="P17">
            <v>275.94400000000002</v>
          </cell>
          <cell r="Q17">
            <v>360.86622</v>
          </cell>
          <cell r="S17">
            <v>292.09248000000002</v>
          </cell>
          <cell r="T17">
            <v>337.41900000000004</v>
          </cell>
          <cell r="U17">
            <v>339.23674999999997</v>
          </cell>
          <cell r="V17">
            <v>434.36277000000001</v>
          </cell>
          <cell r="X17">
            <v>338.58783</v>
          </cell>
          <cell r="Y17">
            <v>355.62011000000001</v>
          </cell>
          <cell r="Z17">
            <v>416.02384000000001</v>
          </cell>
          <cell r="AA17">
            <v>379.24919999999997</v>
          </cell>
          <cell r="AC17">
            <v>296.18324999999999</v>
          </cell>
          <cell r="AD17">
            <v>319.28471999999999</v>
          </cell>
          <cell r="AE17">
            <v>176.23599999999999</v>
          </cell>
          <cell r="AF17">
            <v>171.374</v>
          </cell>
          <cell r="AH17" t="str">
            <v>--</v>
          </cell>
          <cell r="AI17" t="str">
            <v>--</v>
          </cell>
          <cell r="AJ17" t="str">
            <v>--</v>
          </cell>
          <cell r="AK17" t="str">
            <v>--</v>
          </cell>
          <cell r="AM17" t="str">
            <v>--</v>
          </cell>
          <cell r="AN17" t="str">
            <v>--</v>
          </cell>
          <cell r="AO17" t="str">
            <v>--</v>
          </cell>
          <cell r="AP17" t="str">
            <v>--</v>
          </cell>
          <cell r="AR17" t="str">
            <v>--</v>
          </cell>
          <cell r="AS17" t="str">
            <v>--</v>
          </cell>
          <cell r="AT17" t="str">
            <v>--</v>
          </cell>
          <cell r="AU17" t="str">
            <v>--</v>
          </cell>
          <cell r="AW17" t="str">
            <v>--</v>
          </cell>
          <cell r="AX17">
            <v>601.96770000000004</v>
          </cell>
          <cell r="AY17">
            <v>1134.82852</v>
          </cell>
          <cell r="AZ17">
            <v>1403.1110000000001</v>
          </cell>
          <cell r="BA17">
            <v>1489.48098</v>
          </cell>
          <cell r="BB17">
            <v>963.07796999999994</v>
          </cell>
          <cell r="BC17" t="str">
            <v>--</v>
          </cell>
          <cell r="BD17" t="str">
            <v>--</v>
          </cell>
          <cell r="BE17" t="str">
            <v>--</v>
          </cell>
          <cell r="BG17" t="str">
            <v>--</v>
          </cell>
          <cell r="BH17" t="str">
            <v>--</v>
          </cell>
          <cell r="BI17">
            <v>844.36040000000003</v>
          </cell>
          <cell r="BJ17">
            <v>969.42117020320006</v>
          </cell>
          <cell r="BK17">
            <v>1193.5004785596498</v>
          </cell>
        </row>
        <row r="18">
          <cell r="A18" t="str">
            <v xml:space="preserve">Other </v>
          </cell>
          <cell r="AC18" t="str">
            <v>--</v>
          </cell>
          <cell r="AD18" t="str">
            <v>--</v>
          </cell>
          <cell r="AE18" t="str">
            <v>--</v>
          </cell>
          <cell r="AF18" t="str">
            <v>--</v>
          </cell>
          <cell r="AH18" t="str">
            <v>--</v>
          </cell>
          <cell r="AI18" t="str">
            <v>--</v>
          </cell>
          <cell r="AJ18" t="str">
            <v>--</v>
          </cell>
          <cell r="AK18" t="str">
            <v>--</v>
          </cell>
          <cell r="AM18">
            <v>142.86600000000001</v>
          </cell>
          <cell r="AN18">
            <v>159.84</v>
          </cell>
          <cell r="AO18">
            <v>163.48000000000002</v>
          </cell>
          <cell r="AP18">
            <v>179.82800000000003</v>
          </cell>
          <cell r="AR18">
            <v>179.82800000000003</v>
          </cell>
          <cell r="AS18">
            <v>188.81940000000003</v>
          </cell>
          <cell r="AT18">
            <v>196.37217600000002</v>
          </cell>
          <cell r="AU18">
            <v>219.93683712000004</v>
          </cell>
          <cell r="AW18">
            <v>211.13936363520003</v>
          </cell>
          <cell r="AX18">
            <v>228.03051272601604</v>
          </cell>
          <cell r="AY18">
            <v>243.99264861683719</v>
          </cell>
          <cell r="AZ18">
            <v>273.27176645085768</v>
          </cell>
          <cell r="BG18" t="str">
            <v>--</v>
          </cell>
          <cell r="BH18" t="str">
            <v>--</v>
          </cell>
          <cell r="BI18">
            <v>646.01400000000012</v>
          </cell>
          <cell r="BJ18">
            <v>784.95641312000021</v>
          </cell>
          <cell r="BK18">
            <v>956.43429142891091</v>
          </cell>
        </row>
        <row r="19">
          <cell r="A19" t="str">
            <v>ORGANIC Revenue Growth (Yr-Yr)</v>
          </cell>
          <cell r="N19">
            <v>310.25400000000002</v>
          </cell>
          <cell r="O19">
            <v>293.97597999999999</v>
          </cell>
          <cell r="P19">
            <v>324.64</v>
          </cell>
          <cell r="Q19">
            <v>397.87814000000003</v>
          </cell>
          <cell r="S19">
            <v>375.82144000000005</v>
          </cell>
          <cell r="T19">
            <v>424.89800000000002</v>
          </cell>
          <cell r="U19">
            <v>461.36197999999996</v>
          </cell>
          <cell r="V19">
            <v>546.97533999999996</v>
          </cell>
          <cell r="X19">
            <v>483.69690000000003</v>
          </cell>
          <cell r="Y19">
            <v>543.88958000000002</v>
          </cell>
          <cell r="Z19">
            <v>598.03426999999999</v>
          </cell>
          <cell r="AA19">
            <v>551.63519999999994</v>
          </cell>
          <cell r="AC19">
            <v>457.73775000000001</v>
          </cell>
          <cell r="AD19">
            <v>452.32002</v>
          </cell>
          <cell r="AE19">
            <v>308.41300000000001</v>
          </cell>
          <cell r="AF19">
            <v>244.82</v>
          </cell>
          <cell r="AH19">
            <v>-0.47763757741195689</v>
          </cell>
          <cell r="AI19">
            <v>-0.44847166503927893</v>
          </cell>
          <cell r="AJ19">
            <v>-0.19361938423477587</v>
          </cell>
          <cell r="AK19">
            <v>-5.5111142686463332E-2</v>
          </cell>
          <cell r="AM19">
            <v>5.2456082210318389E-2</v>
          </cell>
          <cell r="AN19">
            <v>9.8506774725703572E-2</v>
          </cell>
          <cell r="AO19">
            <v>0.13425792924672697</v>
          </cell>
          <cell r="AP19">
            <v>0.1689643368931113</v>
          </cell>
          <cell r="AR19">
            <v>0.13272076233916907</v>
          </cell>
          <cell r="AS19">
            <v>0.13896724377998049</v>
          </cell>
          <cell r="AT19">
            <v>0.14638739857864769</v>
          </cell>
          <cell r="AU19">
            <v>0.15044484842092887</v>
          </cell>
          <cell r="AW19">
            <v>119.07985590793601</v>
          </cell>
          <cell r="AX19">
            <v>128.6062443805709</v>
          </cell>
          <cell r="AY19">
            <v>133.75049415579375</v>
          </cell>
          <cell r="AZ19">
            <v>0.38705649983375512</v>
          </cell>
          <cell r="BA19">
            <v>0.47761254232249728</v>
          </cell>
          <cell r="BB19">
            <v>-0.20022856674092426</v>
          </cell>
          <cell r="BC19">
            <v>-0.30394363977571537</v>
          </cell>
          <cell r="BD19">
            <v>0.11528374665198071</v>
          </cell>
          <cell r="BE19">
            <v>0.14254920855251441</v>
          </cell>
          <cell r="BF19">
            <v>2177.2559499999998</v>
          </cell>
          <cell r="BG19">
            <v>1463.2907700000001</v>
          </cell>
          <cell r="BH19">
            <v>540.29700000000003</v>
          </cell>
          <cell r="BI19">
            <v>499.72</v>
          </cell>
          <cell r="BJ19">
            <v>463.43883887840002</v>
          </cell>
          <cell r="BK19">
            <v>528.56213801567378</v>
          </cell>
        </row>
        <row r="20">
          <cell r="A20" t="str">
            <v>ORGANIC Revenue Growth (Seq.)</v>
          </cell>
          <cell r="N20">
            <v>44.322000000000003</v>
          </cell>
          <cell r="O20">
            <v>61.889679999999998</v>
          </cell>
          <cell r="P20">
            <v>48.695999999999998</v>
          </cell>
          <cell r="Q20">
            <v>37.011920000000003</v>
          </cell>
          <cell r="S20">
            <v>83.728960000000001</v>
          </cell>
          <cell r="T20">
            <v>87.479000000000013</v>
          </cell>
          <cell r="U20">
            <v>122.12522999999999</v>
          </cell>
          <cell r="V20">
            <v>112.61257000000001</v>
          </cell>
          <cell r="X20">
            <v>145.10907</v>
          </cell>
          <cell r="Y20">
            <v>188.26946999999998</v>
          </cell>
          <cell r="Z20">
            <v>182.01043000000001</v>
          </cell>
          <cell r="AA20">
            <v>172.386</v>
          </cell>
          <cell r="AC20">
            <v>161.55449999999999</v>
          </cell>
          <cell r="AD20">
            <v>133.03530000000001</v>
          </cell>
          <cell r="AE20">
            <v>132.17699999999999</v>
          </cell>
          <cell r="AF20">
            <v>73.445999999999998</v>
          </cell>
          <cell r="AH20">
            <v>-0.12119107916019922</v>
          </cell>
          <cell r="AI20">
            <v>-1.3499999999999845E-2</v>
          </cell>
          <cell r="AJ20">
            <v>1.5281043404820727E-2</v>
          </cell>
          <cell r="AK20">
            <v>6.9517637986798109E-2</v>
          </cell>
          <cell r="AM20">
            <v>-2.0270214159789024E-2</v>
          </cell>
          <cell r="AN20">
            <v>3.2576410782978682E-2</v>
          </cell>
          <cell r="AO20">
            <v>4.8323597442864852E-2</v>
          </cell>
          <cell r="AP20">
            <v>0.10224310031053885</v>
          </cell>
          <cell r="AR20">
            <v>-5.0646598122189079E-2</v>
          </cell>
          <cell r="AS20">
            <v>3.8270637992918521E-2</v>
          </cell>
          <cell r="AT20">
            <v>5.5153226139038614E-2</v>
          </cell>
          <cell r="AU20">
            <v>0.10614430866214475</v>
          </cell>
          <cell r="AW20" t="str">
            <v>--</v>
          </cell>
          <cell r="AX20" t="str">
            <v>--</v>
          </cell>
          <cell r="AY20" t="str">
            <v>--</v>
          </cell>
          <cell r="AZ20" t="str">
            <v>--</v>
          </cell>
          <cell r="BA20" t="str">
            <v>--</v>
          </cell>
          <cell r="BB20" t="str">
            <v>--</v>
          </cell>
          <cell r="BC20" t="str">
            <v>--</v>
          </cell>
          <cell r="BD20" t="str">
            <v>--</v>
          </cell>
          <cell r="BE20" t="str">
            <v>--</v>
          </cell>
          <cell r="BF20">
            <v>687.77496999999994</v>
          </cell>
          <cell r="BG20">
            <v>500.21280000000002</v>
          </cell>
          <cell r="BH20" t="str">
            <v>--</v>
          </cell>
          <cell r="BI20" t="str">
            <v>--</v>
          </cell>
          <cell r="BJ20" t="str">
            <v>--</v>
          </cell>
          <cell r="BK20" t="str">
            <v>--</v>
          </cell>
        </row>
        <row r="21">
          <cell r="A21" t="str">
            <v>Servers</v>
          </cell>
          <cell r="N21">
            <v>265.93200000000002</v>
          </cell>
          <cell r="O21">
            <v>232.08629999999999</v>
          </cell>
          <cell r="P21">
            <v>275.94400000000002</v>
          </cell>
          <cell r="Q21">
            <v>360.86622</v>
          </cell>
          <cell r="S21">
            <v>292.09248000000002</v>
          </cell>
          <cell r="T21">
            <v>337.41900000000004</v>
          </cell>
          <cell r="U21">
            <v>339.23674999999997</v>
          </cell>
          <cell r="V21">
            <v>434.36277000000001</v>
          </cell>
          <cell r="X21">
            <v>338.58783</v>
          </cell>
          <cell r="Y21">
            <v>355.62011000000001</v>
          </cell>
          <cell r="Z21">
            <v>416.02384000000001</v>
          </cell>
          <cell r="AA21">
            <v>379.24919999999997</v>
          </cell>
          <cell r="AC21">
            <v>296.18324999999999</v>
          </cell>
          <cell r="AD21">
            <v>319.28471999999999</v>
          </cell>
          <cell r="AE21">
            <v>176.23599999999999</v>
          </cell>
          <cell r="AF21">
            <v>171.374</v>
          </cell>
          <cell r="AH21">
            <v>-8.8642600610576938E-2</v>
          </cell>
          <cell r="AI21">
            <v>0</v>
          </cell>
          <cell r="AJ21">
            <v>0.03</v>
          </cell>
          <cell r="AK21">
            <v>0.09</v>
          </cell>
          <cell r="AM21">
            <v>0</v>
          </cell>
          <cell r="AN21">
            <v>0.05</v>
          </cell>
          <cell r="AO21">
            <v>7.0000000000000007E-2</v>
          </cell>
          <cell r="AP21">
            <v>0.13</v>
          </cell>
          <cell r="AR21">
            <v>-0.05</v>
          </cell>
          <cell r="AS21">
            <v>0.05</v>
          </cell>
          <cell r="AT21">
            <v>0.06</v>
          </cell>
          <cell r="AU21">
            <v>0.12</v>
          </cell>
          <cell r="AW21" t="str">
            <v>--</v>
          </cell>
          <cell r="AX21" t="str">
            <v>--</v>
          </cell>
          <cell r="AY21" t="str">
            <v>--</v>
          </cell>
          <cell r="AZ21" t="str">
            <v>--</v>
          </cell>
          <cell r="BA21" t="str">
            <v>--</v>
          </cell>
          <cell r="BB21" t="str">
            <v>--</v>
          </cell>
          <cell r="BC21" t="str">
            <v>--</v>
          </cell>
          <cell r="BD21" t="str">
            <v>--</v>
          </cell>
          <cell r="BE21" t="str">
            <v>--</v>
          </cell>
          <cell r="BF21">
            <v>1489.48098</v>
          </cell>
          <cell r="BG21">
            <v>963.07796999999994</v>
          </cell>
          <cell r="BH21" t="str">
            <v>--</v>
          </cell>
          <cell r="BI21" t="str">
            <v>--</v>
          </cell>
          <cell r="BJ21" t="str">
            <v>--</v>
          </cell>
          <cell r="BK21" t="str">
            <v>--</v>
          </cell>
        </row>
        <row r="22">
          <cell r="A22" t="str">
            <v>Communications</v>
          </cell>
          <cell r="AH22">
            <v>-0.10166199203042603</v>
          </cell>
          <cell r="AI22">
            <v>-0.05</v>
          </cell>
          <cell r="AJ22">
            <v>0</v>
          </cell>
          <cell r="AK22">
            <v>0.05</v>
          </cell>
          <cell r="AM22">
            <v>-0.03</v>
          </cell>
          <cell r="AN22">
            <v>0.02</v>
          </cell>
          <cell r="AO22">
            <v>0.03</v>
          </cell>
          <cell r="AP22">
            <v>0.08</v>
          </cell>
          <cell r="AR22">
            <v>-0.05</v>
          </cell>
          <cell r="AS22">
            <v>0.03</v>
          </cell>
          <cell r="AT22">
            <v>0.05</v>
          </cell>
          <cell r="AU22">
            <v>0.09</v>
          </cell>
          <cell r="AW22" t="str">
            <v>--</v>
          </cell>
          <cell r="AX22" t="str">
            <v>--</v>
          </cell>
          <cell r="AY22" t="str">
            <v>--</v>
          </cell>
          <cell r="AZ22" t="str">
            <v>--</v>
          </cell>
          <cell r="BA22" t="str">
            <v>--</v>
          </cell>
          <cell r="BB22" t="str">
            <v>--</v>
          </cell>
          <cell r="BC22" t="str">
            <v>--</v>
          </cell>
          <cell r="BD22" t="str">
            <v>--</v>
          </cell>
          <cell r="BE22" t="str">
            <v>--</v>
          </cell>
        </row>
        <row r="23">
          <cell r="A23" t="str">
            <v>Storage/Other</v>
          </cell>
          <cell r="AH23">
            <v>-7.2368361335765741E-2</v>
          </cell>
          <cell r="AI23">
            <v>0.05</v>
          </cell>
          <cell r="AJ23">
            <v>0.03</v>
          </cell>
          <cell r="AK23">
            <v>0.09</v>
          </cell>
          <cell r="AM23">
            <v>-0.02</v>
          </cell>
          <cell r="AN23">
            <v>0.04</v>
          </cell>
          <cell r="AO23">
            <v>0.06</v>
          </cell>
          <cell r="AP23">
            <v>0.11</v>
          </cell>
          <cell r="AR23">
            <v>-0.05</v>
          </cell>
          <cell r="AS23">
            <v>0.05</v>
          </cell>
          <cell r="AT23">
            <v>0.06</v>
          </cell>
          <cell r="AU23">
            <v>0.12</v>
          </cell>
          <cell r="AW23" t="str">
            <v>--</v>
          </cell>
          <cell r="AX23" t="str">
            <v>--</v>
          </cell>
          <cell r="AY23" t="str">
            <v>--</v>
          </cell>
          <cell r="AZ23" t="str">
            <v>--</v>
          </cell>
          <cell r="BA23" t="str">
            <v>--</v>
          </cell>
          <cell r="BB23" t="str">
            <v>--</v>
          </cell>
          <cell r="BC23" t="str">
            <v>--</v>
          </cell>
          <cell r="BD23" t="str">
            <v>--</v>
          </cell>
          <cell r="BE23" t="str">
            <v>--</v>
          </cell>
          <cell r="BF23">
            <v>0.47761254232249728</v>
          </cell>
          <cell r="BG23">
            <v>-0.20022856674092426</v>
          </cell>
          <cell r="BH23">
            <v>-0.38112422385640921</v>
          </cell>
          <cell r="BI23">
            <v>-0.21833741884785096</v>
          </cell>
          <cell r="BJ23">
            <v>9.3375872365904833E-2</v>
          </cell>
          <cell r="BK23">
            <v>0.10135907178249526</v>
          </cell>
        </row>
        <row r="24">
          <cell r="A24" t="str">
            <v>PCs/Workstations</v>
          </cell>
          <cell r="AH24">
            <v>-0.38483375541213949</v>
          </cell>
          <cell r="AI24">
            <v>0</v>
          </cell>
          <cell r="AJ24">
            <v>0.02</v>
          </cell>
          <cell r="AK24">
            <v>0.06</v>
          </cell>
          <cell r="AM24">
            <v>-0.04</v>
          </cell>
          <cell r="AN24">
            <v>0.02</v>
          </cell>
          <cell r="AO24">
            <v>0.04</v>
          </cell>
          <cell r="AP24">
            <v>0.1</v>
          </cell>
          <cell r="AR24">
            <v>-0.06</v>
          </cell>
          <cell r="AS24">
            <v>0</v>
          </cell>
          <cell r="AT24">
            <v>0.05</v>
          </cell>
          <cell r="AU24">
            <v>0.1</v>
          </cell>
          <cell r="AW24" t="str">
            <v>--</v>
          </cell>
          <cell r="AX24" t="str">
            <v>--</v>
          </cell>
          <cell r="AY24" t="str">
            <v>--</v>
          </cell>
          <cell r="AZ24" t="str">
            <v>--</v>
          </cell>
          <cell r="BA24" t="str">
            <v>--</v>
          </cell>
          <cell r="BB24" t="str">
            <v>--</v>
          </cell>
          <cell r="BC24" t="str">
            <v>--</v>
          </cell>
          <cell r="BD24" t="str">
            <v>--</v>
          </cell>
          <cell r="BE24" t="str">
            <v>--</v>
          </cell>
          <cell r="BF24" t="str">
            <v>--</v>
          </cell>
          <cell r="BG24" t="str">
            <v>--</v>
          </cell>
          <cell r="BH24" t="str">
            <v>--</v>
          </cell>
          <cell r="BI24" t="str">
            <v>--</v>
          </cell>
          <cell r="BJ24" t="str">
            <v>--</v>
          </cell>
          <cell r="BK24" t="str">
            <v>--</v>
          </cell>
        </row>
        <row r="25">
          <cell r="A25" t="str">
            <v>PCs</v>
          </cell>
          <cell r="AH25" t="str">
            <v>--</v>
          </cell>
          <cell r="AI25" t="str">
            <v>--</v>
          </cell>
          <cell r="AJ25" t="str">
            <v>--</v>
          </cell>
          <cell r="AK25" t="str">
            <v>--</v>
          </cell>
          <cell r="AM25" t="str">
            <v>--</v>
          </cell>
          <cell r="AN25" t="str">
            <v>--</v>
          </cell>
          <cell r="AO25" t="str">
            <v>--</v>
          </cell>
          <cell r="AP25" t="str">
            <v>--</v>
          </cell>
          <cell r="AR25" t="str">
            <v>--</v>
          </cell>
          <cell r="AS25" t="str">
            <v>--</v>
          </cell>
          <cell r="AT25" t="str">
            <v>--</v>
          </cell>
          <cell r="AU25" t="str">
            <v>--</v>
          </cell>
          <cell r="AW25" t="str">
            <v>--</v>
          </cell>
          <cell r="AX25" t="str">
            <v>--</v>
          </cell>
          <cell r="AY25" t="str">
            <v>--</v>
          </cell>
          <cell r="AZ25" t="str">
            <v>--</v>
          </cell>
          <cell r="BA25" t="str">
            <v>--</v>
          </cell>
          <cell r="BB25" t="str">
            <v>--</v>
          </cell>
          <cell r="BC25" t="str">
            <v>--</v>
          </cell>
          <cell r="BD25" t="str">
            <v>--</v>
          </cell>
          <cell r="BE25" t="str">
            <v>--</v>
          </cell>
          <cell r="BF25" t="str">
            <v>--</v>
          </cell>
          <cell r="BG25" t="str">
            <v>--</v>
          </cell>
          <cell r="BH25" t="str">
            <v>--</v>
          </cell>
          <cell r="BI25" t="str">
            <v>--</v>
          </cell>
          <cell r="BJ25" t="str">
            <v>--</v>
          </cell>
          <cell r="BK25" t="str">
            <v>--</v>
          </cell>
        </row>
        <row r="26">
          <cell r="A26" t="str">
            <v>Workstations</v>
          </cell>
          <cell r="AH26" t="str">
            <v>--</v>
          </cell>
          <cell r="AI26" t="str">
            <v>--</v>
          </cell>
          <cell r="AJ26" t="str">
            <v>--</v>
          </cell>
          <cell r="AK26" t="str">
            <v>--</v>
          </cell>
          <cell r="AM26" t="str">
            <v>--</v>
          </cell>
          <cell r="AN26" t="str">
            <v>--</v>
          </cell>
          <cell r="AO26" t="str">
            <v>--</v>
          </cell>
          <cell r="AP26" t="str">
            <v>--</v>
          </cell>
          <cell r="AR26" t="str">
            <v>--</v>
          </cell>
          <cell r="AS26" t="str">
            <v>--</v>
          </cell>
          <cell r="AT26" t="str">
            <v>--</v>
          </cell>
          <cell r="AU26" t="str">
            <v>--</v>
          </cell>
          <cell r="AW26" t="str">
            <v>--</v>
          </cell>
          <cell r="AX26" t="str">
            <v>--</v>
          </cell>
          <cell r="AY26" t="str">
            <v>--</v>
          </cell>
          <cell r="AZ26" t="str">
            <v>--</v>
          </cell>
          <cell r="BA26" t="str">
            <v>--</v>
          </cell>
          <cell r="BB26" t="str">
            <v>--</v>
          </cell>
          <cell r="BC26" t="str">
            <v>--</v>
          </cell>
          <cell r="BD26" t="str">
            <v>--</v>
          </cell>
          <cell r="BE26" t="str">
            <v>--</v>
          </cell>
          <cell r="BF26" t="str">
            <v>--</v>
          </cell>
          <cell r="BG26" t="str">
            <v>--</v>
          </cell>
          <cell r="BH26" t="str">
            <v>--</v>
          </cell>
          <cell r="BI26" t="str">
            <v>--</v>
          </cell>
          <cell r="BJ26" t="str">
            <v>--</v>
          </cell>
          <cell r="BK26" t="str">
            <v>--</v>
          </cell>
        </row>
        <row r="27">
          <cell r="A27" t="str">
            <v>Telecommunications</v>
          </cell>
          <cell r="AH27" t="str">
            <v>--</v>
          </cell>
          <cell r="AI27" t="str">
            <v>--</v>
          </cell>
          <cell r="AJ27" t="str">
            <v>--</v>
          </cell>
          <cell r="AK27" t="str">
            <v>--</v>
          </cell>
          <cell r="AM27" t="str">
            <v>--</v>
          </cell>
          <cell r="AN27">
            <v>-3.6849976171042576E-2</v>
          </cell>
          <cell r="AO27">
            <v>6.9262444262444323E-2</v>
          </cell>
          <cell r="AP27">
            <v>7.0000000000000007E-2</v>
          </cell>
          <cell r="AR27">
            <v>-0.05</v>
          </cell>
          <cell r="AS27">
            <v>0.04</v>
          </cell>
          <cell r="AT27">
            <v>0.03</v>
          </cell>
          <cell r="AU27">
            <v>0.09</v>
          </cell>
          <cell r="AW27">
            <v>-0.05</v>
          </cell>
          <cell r="AX27">
            <v>0.05</v>
          </cell>
          <cell r="AY27">
            <v>0.04</v>
          </cell>
          <cell r="AZ27">
            <v>0.1</v>
          </cell>
        </row>
        <row r="28">
          <cell r="A28" t="str">
            <v>Revenue Growth (Yr-Yr)</v>
          </cell>
          <cell r="S28">
            <v>0.46449708948152169</v>
          </cell>
          <cell r="T28">
            <v>0.61539048190263723</v>
          </cell>
          <cell r="U28">
            <v>0.67194061113849179</v>
          </cell>
          <cell r="V28">
            <v>0.73863014942213212</v>
          </cell>
          <cell r="X28">
            <v>0.49037458958203928</v>
          </cell>
          <cell r="Y28">
            <v>0.67390813795310844</v>
          </cell>
          <cell r="Z28">
            <v>0.91617579758089307</v>
          </cell>
          <cell r="AA28">
            <v>1.1431035629503881</v>
          </cell>
          <cell r="AC28">
            <v>0.66999726481604482</v>
          </cell>
          <cell r="AD28">
            <v>0.27191912740817736</v>
          </cell>
          <cell r="AE28">
            <v>-0.15276009182550698</v>
          </cell>
          <cell r="AF28">
            <v>-0.28990753309433481</v>
          </cell>
          <cell r="AH28">
            <v>-0.20095076274569879</v>
          </cell>
          <cell r="AI28">
            <v>-0.16471239212449618</v>
          </cell>
          <cell r="AJ28">
            <v>2.4270263737261599E-2</v>
          </cell>
          <cell r="AK28">
            <v>-1.4264806602810043E-2</v>
          </cell>
          <cell r="AM28">
            <v>9.8935282768068955E-2</v>
          </cell>
          <cell r="AN28">
            <v>9.8506774725703572E-2</v>
          </cell>
          <cell r="AO28">
            <v>0.13425792924672697</v>
          </cell>
          <cell r="AP28">
            <v>0.1689643368931113</v>
          </cell>
          <cell r="AR28">
            <v>0.13272076233916907</v>
          </cell>
          <cell r="AS28">
            <v>0.13896724377998049</v>
          </cell>
          <cell r="AT28">
            <v>0.14638739857864769</v>
          </cell>
          <cell r="AU28">
            <v>0.15044484842092887</v>
          </cell>
          <cell r="AW28" t="str">
            <v>--</v>
          </cell>
          <cell r="AX28" t="str">
            <v>--</v>
          </cell>
          <cell r="AY28">
            <v>0.6192990089003112</v>
          </cell>
          <cell r="AZ28">
            <v>0.63030623666795016</v>
          </cell>
          <cell r="BA28">
            <v>0.840979101876417</v>
          </cell>
          <cell r="BB28">
            <v>2.5877159476316747E-2</v>
          </cell>
          <cell r="BC28">
            <v>-9.6035763755579873E-2</v>
          </cell>
          <cell r="BD28">
            <v>0.12634123162952116</v>
          </cell>
          <cell r="BE28">
            <v>0.14254920855251441</v>
          </cell>
        </row>
        <row r="29">
          <cell r="A29" t="str">
            <v>Servers</v>
          </cell>
          <cell r="S29">
            <v>0.16298298282356116</v>
          </cell>
          <cell r="T29">
            <v>0.67752088505273877</v>
          </cell>
          <cell r="U29">
            <v>0.41069989064810275</v>
          </cell>
          <cell r="V29">
            <v>-1.9234274684951091E-2</v>
          </cell>
          <cell r="X29">
            <v>0.2695783540884038</v>
          </cell>
          <cell r="Y29">
            <v>0.92189452876097633</v>
          </cell>
          <cell r="Z29">
            <v>1.3419926414877579</v>
          </cell>
          <cell r="AA29">
            <v>2.7017243360052157</v>
          </cell>
          <cell r="AC29">
            <v>1.3234744553962363</v>
          </cell>
          <cell r="AD29">
            <v>0.35397842595064044</v>
          </cell>
          <cell r="AE29">
            <v>-0.22978190165955192</v>
          </cell>
          <cell r="AF29">
            <v>-0.49546061561965893</v>
          </cell>
          <cell r="AH29">
            <v>-0.30083191740248627</v>
          </cell>
          <cell r="AI29">
            <v>-0.31389820915382927</v>
          </cell>
          <cell r="AJ29">
            <v>-6.1118651505178478E-2</v>
          </cell>
          <cell r="AK29">
            <v>2.318095229450523E-2</v>
          </cell>
          <cell r="AM29">
            <v>0.12270000000000003</v>
          </cell>
          <cell r="AN29">
            <v>0.17883500000000008</v>
          </cell>
          <cell r="AO29">
            <v>0.22461500000000001</v>
          </cell>
          <cell r="AP29">
            <v>0.26955499999999999</v>
          </cell>
          <cell r="AR29">
            <v>0.2060772500000001</v>
          </cell>
          <cell r="AS29">
            <v>0.2060772500000001</v>
          </cell>
          <cell r="AT29">
            <v>0.19480549999999996</v>
          </cell>
          <cell r="AU29">
            <v>0.18423200000000017</v>
          </cell>
          <cell r="AW29" t="str">
            <v>--</v>
          </cell>
          <cell r="AX29" t="str">
            <v>--</v>
          </cell>
          <cell r="AY29">
            <v>0.78228446476447155</v>
          </cell>
          <cell r="AZ29">
            <v>0.25812328391434169</v>
          </cell>
          <cell r="BA29">
            <v>1.3614398664691465</v>
          </cell>
          <cell r="BB29">
            <v>-3.9512087462102219E-2</v>
          </cell>
          <cell r="BC29">
            <v>-0.18287643592262515</v>
          </cell>
          <cell r="BD29">
            <v>0.20119870168805831</v>
          </cell>
          <cell r="BE29">
            <v>0.19698495708695951</v>
          </cell>
          <cell r="BF29" t="str">
            <v>--</v>
          </cell>
          <cell r="BG29" t="str">
            <v>--</v>
          </cell>
          <cell r="BH29" t="str">
            <v>--</v>
          </cell>
          <cell r="BI29" t="str">
            <v>--</v>
          </cell>
          <cell r="BJ29" t="str">
            <v>--</v>
          </cell>
          <cell r="BK29" t="str">
            <v>--</v>
          </cell>
        </row>
        <row r="30">
          <cell r="A30" t="str">
            <v>Communications</v>
          </cell>
          <cell r="S30">
            <v>1.2239842193815385</v>
          </cell>
          <cell r="T30">
            <v>0.93846857828316455</v>
          </cell>
          <cell r="U30">
            <v>1.6083430511949763</v>
          </cell>
          <cell r="V30">
            <v>2.8636225542714042</v>
          </cell>
          <cell r="X30">
            <v>1.1731310000000001</v>
          </cell>
          <cell r="Y30">
            <v>0.95289282761196037</v>
          </cell>
          <cell r="Z30">
            <v>1.5549010634411911</v>
          </cell>
          <cell r="AA30">
            <v>1.3574139192454271</v>
          </cell>
          <cell r="AC30">
            <v>0.83160990334662999</v>
          </cell>
          <cell r="AD30">
            <v>0.45362185989505965</v>
          </cell>
          <cell r="AE30">
            <v>6.0973909572104024E-3</v>
          </cell>
          <cell r="AF30">
            <v>-3.1692090583183674E-2</v>
          </cell>
          <cell r="AH30">
            <v>8.1066615108760454E-2</v>
          </cell>
          <cell r="AI30">
            <v>0.22172167368360118</v>
          </cell>
          <cell r="AJ30">
            <v>0.24259874020601568</v>
          </cell>
          <cell r="AK30">
            <v>-8.5997195218254774E-3</v>
          </cell>
          <cell r="AM30">
            <v>7.0486012539280107E-2</v>
          </cell>
          <cell r="AN30">
            <v>3.886999999999996E-2</v>
          </cell>
          <cell r="AO30">
            <v>7.0036100000000268E-2</v>
          </cell>
          <cell r="AP30">
            <v>0.10060856000000018</v>
          </cell>
          <cell r="AR30">
            <v>7.7915600000000307E-2</v>
          </cell>
          <cell r="AS30">
            <v>8.8483400000000323E-2</v>
          </cell>
          <cell r="AT30">
            <v>0.10961900000000013</v>
          </cell>
          <cell r="AU30">
            <v>0.11989325000000006</v>
          </cell>
          <cell r="AW30" t="str">
            <v>--</v>
          </cell>
          <cell r="AX30" t="str">
            <v>--</v>
          </cell>
          <cell r="AY30">
            <v>1.5312658636003222</v>
          </cell>
          <cell r="AZ30">
            <v>1.6347414755305838</v>
          </cell>
          <cell r="BA30">
            <v>1.2831382924928563</v>
          </cell>
          <cell r="BB30">
            <v>0.21286312027883381</v>
          </cell>
          <cell r="BC30">
            <v>0.12321634904416023</v>
          </cell>
          <cell r="BD30">
            <v>7.0376739234505825E-2</v>
          </cell>
          <cell r="BE30">
            <v>9.9725634665541962E-2</v>
          </cell>
        </row>
        <row r="31">
          <cell r="A31" t="str">
            <v>Storage/Other</v>
          </cell>
          <cell r="S31">
            <v>1.4896450521185867</v>
          </cell>
          <cell r="T31">
            <v>0.51442857678372245</v>
          </cell>
          <cell r="U31">
            <v>0.99040548945058404</v>
          </cell>
          <cell r="V31">
            <v>4.4090715759799668</v>
          </cell>
          <cell r="X31">
            <v>0.40270549607721318</v>
          </cell>
          <cell r="Y31">
            <v>0.67390813795310844</v>
          </cell>
          <cell r="Z31">
            <v>0.53294063806471548</v>
          </cell>
          <cell r="AA31">
            <v>0.99002473702536031</v>
          </cell>
          <cell r="AC31">
            <v>0.77437209386704775</v>
          </cell>
          <cell r="AD31">
            <v>0.52630295288981266</v>
          </cell>
          <cell r="AE31">
            <v>0.27085986226173953</v>
          </cell>
          <cell r="AF31">
            <v>-1.6795045822925236E-2</v>
          </cell>
          <cell r="AH31">
            <v>-0.10694497012754567</v>
          </cell>
          <cell r="AI31">
            <v>-0.10377953570718934</v>
          </cell>
          <cell r="AJ31">
            <v>0.11492160133760065</v>
          </cell>
          <cell r="AK31">
            <v>9.3524642764752697E-2</v>
          </cell>
          <cell r="AM31">
            <v>0.15525830000000007</v>
          </cell>
          <cell r="AN31">
            <v>0.14425584000000025</v>
          </cell>
          <cell r="AO31">
            <v>0.17758368000000035</v>
          </cell>
          <cell r="AP31">
            <v>0.19919072000000027</v>
          </cell>
          <cell r="AR31">
            <v>0.16248079999999998</v>
          </cell>
          <cell r="AS31">
            <v>0.17365850000000016</v>
          </cell>
          <cell r="AT31">
            <v>0.17365849999999994</v>
          </cell>
          <cell r="AU31">
            <v>0.18423200000000017</v>
          </cell>
          <cell r="AW31" t="str">
            <v>--</v>
          </cell>
          <cell r="AX31" t="str">
            <v>--</v>
          </cell>
          <cell r="AY31">
            <v>-0.14891769940480204</v>
          </cell>
          <cell r="AZ31">
            <v>1.3426547968746063</v>
          </cell>
          <cell r="BA31">
            <v>0.66469427611012399</v>
          </cell>
          <cell r="BB31">
            <v>0.33175999371339837</v>
          </cell>
          <cell r="BC31">
            <v>-6.6924435149295913E-3</v>
          </cell>
          <cell r="BD31">
            <v>0.17019481648902013</v>
          </cell>
          <cell r="BE31">
            <v>0.17406177198685158</v>
          </cell>
        </row>
        <row r="32">
          <cell r="A32" t="str">
            <v>PCs/Workstations</v>
          </cell>
          <cell r="S32">
            <v>0.21133471284818262</v>
          </cell>
          <cell r="T32">
            <v>0.44534937854446488</v>
          </cell>
          <cell r="U32">
            <v>0.42114951946771795</v>
          </cell>
          <cell r="V32">
            <v>0.37473081582215073</v>
          </cell>
          <cell r="X32">
            <v>0.28703913220065358</v>
          </cell>
          <cell r="Y32">
            <v>0.28004739961120073</v>
          </cell>
          <cell r="Z32">
            <v>0.29623656895178074</v>
          </cell>
          <cell r="AA32">
            <v>8.5193237413592193E-3</v>
          </cell>
          <cell r="AC32">
            <v>-5.3668216604241259E-2</v>
          </cell>
          <cell r="AD32">
            <v>-0.16836057054080722</v>
          </cell>
          <cell r="AE32">
            <v>-0.48428875154596074</v>
          </cell>
          <cell r="AF32">
            <v>-0.5561922081839592</v>
          </cell>
          <cell r="AH32">
            <v>-0.67097972583646426</v>
          </cell>
          <cell r="AI32">
            <v>-0.66703883679524067</v>
          </cell>
          <cell r="AJ32">
            <v>-0.50191107378742128</v>
          </cell>
          <cell r="AK32">
            <v>-0.33488225635160518</v>
          </cell>
          <cell r="AM32">
            <v>3.7951999999999986E-2</v>
          </cell>
          <cell r="AN32">
            <v>5.8711040000000159E-2</v>
          </cell>
          <cell r="AO32">
            <v>7.947008000000011E-2</v>
          </cell>
          <cell r="AP32">
            <v>0.12020480000000022</v>
          </cell>
          <cell r="AR32">
            <v>9.6867199999999931E-2</v>
          </cell>
          <cell r="AS32">
            <v>7.5359999999999872E-2</v>
          </cell>
          <cell r="AT32">
            <v>8.5700000000000109E-2</v>
          </cell>
          <cell r="AU32">
            <v>8.5700000000000109E-2</v>
          </cell>
          <cell r="AW32" t="str">
            <v>--</v>
          </cell>
          <cell r="AX32" t="str">
            <v>--</v>
          </cell>
          <cell r="AY32">
            <v>0.65301409029089075</v>
          </cell>
          <cell r="AZ32">
            <v>0.36352690667464471</v>
          </cell>
          <cell r="BA32">
            <v>0.20353103238175874</v>
          </cell>
          <cell r="BB32">
            <v>-0.32791972850045481</v>
          </cell>
          <cell r="BC32">
            <v>-0.57789576845345636</v>
          </cell>
          <cell r="BD32">
            <v>7.5023883585291884E-2</v>
          </cell>
          <cell r="BE32">
            <v>8.5846056200090448E-2</v>
          </cell>
          <cell r="BF32" t="str">
            <v>--</v>
          </cell>
          <cell r="BG32" t="str">
            <v>--</v>
          </cell>
          <cell r="BH32" t="str">
            <v>--</v>
          </cell>
          <cell r="BI32" t="str">
            <v>--</v>
          </cell>
          <cell r="BJ32" t="str">
            <v>--</v>
          </cell>
          <cell r="BK32" t="str">
            <v>--</v>
          </cell>
        </row>
        <row r="33">
          <cell r="A33" t="str">
            <v>PCs</v>
          </cell>
          <cell r="S33">
            <v>0.88910608727042995</v>
          </cell>
          <cell r="T33">
            <v>0.41346667166480766</v>
          </cell>
          <cell r="U33">
            <v>1.5079109167077376</v>
          </cell>
          <cell r="V33">
            <v>2.0426027614887312</v>
          </cell>
          <cell r="X33">
            <v>0.73308100327533032</v>
          </cell>
          <cell r="Y33">
            <v>1.1521676059397108</v>
          </cell>
          <cell r="Z33">
            <v>0.49035895367402804</v>
          </cell>
          <cell r="AA33">
            <v>0.53078825925027728</v>
          </cell>
          <cell r="AC33">
            <v>0.11333150987736329</v>
          </cell>
          <cell r="AD33">
            <v>-0.29337826255101251</v>
          </cell>
          <cell r="AE33">
            <v>-0.27379436442186322</v>
          </cell>
          <cell r="AF33">
            <v>-0.57394451985660089</v>
          </cell>
          <cell r="AH33" t="str">
            <v>--</v>
          </cell>
          <cell r="AI33" t="str">
            <v>--</v>
          </cell>
          <cell r="AJ33" t="str">
            <v>--</v>
          </cell>
          <cell r="AK33" t="str">
            <v>--</v>
          </cell>
          <cell r="AM33" t="str">
            <v>--</v>
          </cell>
          <cell r="AN33" t="str">
            <v>--</v>
          </cell>
          <cell r="AO33" t="str">
            <v>--</v>
          </cell>
          <cell r="AP33" t="str">
            <v>--</v>
          </cell>
          <cell r="AR33" t="str">
            <v>--</v>
          </cell>
          <cell r="AS33" t="str">
            <v>--</v>
          </cell>
          <cell r="AT33" t="str">
            <v>--</v>
          </cell>
          <cell r="AU33" t="str">
            <v>--</v>
          </cell>
          <cell r="AW33" t="str">
            <v>--</v>
          </cell>
          <cell r="AX33" t="str">
            <v>--</v>
          </cell>
          <cell r="AY33">
            <v>-4.3538714784863153E-2</v>
          </cell>
          <cell r="AZ33">
            <v>1.1151865677085615</v>
          </cell>
          <cell r="BA33">
            <v>0.69425336527717385</v>
          </cell>
          <cell r="BB33">
            <v>-0.27270863026608827</v>
          </cell>
          <cell r="BC33" t="str">
            <v>--</v>
          </cell>
          <cell r="BD33" t="str">
            <v>--</v>
          </cell>
          <cell r="BE33" t="str">
            <v>--</v>
          </cell>
          <cell r="BF33" t="str">
            <v>--</v>
          </cell>
          <cell r="BG33" t="str">
            <v>--</v>
          </cell>
          <cell r="BH33" t="str">
            <v>--</v>
          </cell>
          <cell r="BI33" t="str">
            <v>--</v>
          </cell>
          <cell r="BJ33" t="str">
            <v>--</v>
          </cell>
          <cell r="BK33" t="str">
            <v>--</v>
          </cell>
        </row>
        <row r="34">
          <cell r="A34" t="str">
            <v>Workstations</v>
          </cell>
          <cell r="S34">
            <v>9.837281711114132E-2</v>
          </cell>
          <cell r="T34">
            <v>0.45385143371237358</v>
          </cell>
          <cell r="U34">
            <v>0.22936809642536149</v>
          </cell>
          <cell r="V34">
            <v>0.20366702652301449</v>
          </cell>
          <cell r="X34">
            <v>0.15918023634158596</v>
          </cell>
          <cell r="Y34">
            <v>5.3942160933438732E-2</v>
          </cell>
          <cell r="Z34">
            <v>0.22635251045177163</v>
          </cell>
          <cell r="AA34">
            <v>-0.12688373361280492</v>
          </cell>
          <cell r="AC34">
            <v>-0.12523952795350035</v>
          </cell>
          <cell r="AD34">
            <v>-0.10217473359422791</v>
          </cell>
          <cell r="AE34">
            <v>-0.57638004591275349</v>
          </cell>
          <cell r="AF34">
            <v>-0.54812297560548573</v>
          </cell>
          <cell r="AH34" t="str">
            <v>--</v>
          </cell>
          <cell r="AI34" t="str">
            <v>--</v>
          </cell>
          <cell r="AJ34" t="str">
            <v>--</v>
          </cell>
          <cell r="AK34" t="str">
            <v>--</v>
          </cell>
          <cell r="AM34" t="str">
            <v>--</v>
          </cell>
          <cell r="AN34" t="str">
            <v>--</v>
          </cell>
          <cell r="AO34" t="str">
            <v>--</v>
          </cell>
          <cell r="AP34" t="str">
            <v>--</v>
          </cell>
          <cell r="AR34" t="str">
            <v>--</v>
          </cell>
          <cell r="AS34" t="str">
            <v>--</v>
          </cell>
          <cell r="AT34" t="str">
            <v>--</v>
          </cell>
          <cell r="AU34" t="str">
            <v>--</v>
          </cell>
          <cell r="AW34" t="str">
            <v>--</v>
          </cell>
          <cell r="AX34" t="str">
            <v>--</v>
          </cell>
          <cell r="AY34">
            <v>0.8851983586494756</v>
          </cell>
          <cell r="AZ34">
            <v>0.23640794646225505</v>
          </cell>
          <cell r="BA34">
            <v>6.1556056505864376E-2</v>
          </cell>
          <cell r="BB34">
            <v>-0.35341371730708515</v>
          </cell>
          <cell r="BC34" t="str">
            <v>--</v>
          </cell>
          <cell r="BD34" t="str">
            <v>--</v>
          </cell>
          <cell r="BE34" t="str">
            <v>--</v>
          </cell>
          <cell r="BF34" t="str">
            <v>--</v>
          </cell>
          <cell r="BG34" t="str">
            <v>--</v>
          </cell>
          <cell r="BH34" t="str">
            <v>--</v>
          </cell>
          <cell r="BI34" t="str">
            <v>--</v>
          </cell>
          <cell r="BJ34" t="str">
            <v>--</v>
          </cell>
          <cell r="BK34" t="str">
            <v>--</v>
          </cell>
        </row>
        <row r="36">
          <cell r="A36" t="str">
            <v>Revenue Growth (Seq.)</v>
          </cell>
          <cell r="S36">
            <v>0.16916279944407098</v>
          </cell>
          <cell r="T36">
            <v>0.15517866122400692</v>
          </cell>
          <cell r="U36">
            <v>8.5818196367128063E-2</v>
          </cell>
          <cell r="V36">
            <v>0.18556656965968465</v>
          </cell>
          <cell r="X36">
            <v>2.2203560401827804E-3</v>
          </cell>
          <cell r="Y36">
            <v>0.29743419897874035</v>
          </cell>
          <cell r="Z36">
            <v>0.24297056766559133</v>
          </cell>
          <cell r="AA36">
            <v>0.32597016555589686</v>
          </cell>
          <cell r="AC36">
            <v>-0.21902735720998223</v>
          </cell>
          <cell r="AD36">
            <v>-1.1835882008857546E-2</v>
          </cell>
          <cell r="AE36">
            <v>-0.17204305924818464</v>
          </cell>
          <cell r="AF36">
            <v>0.11132799201071286</v>
          </cell>
          <cell r="AH36">
            <v>-0.12119107916019922</v>
          </cell>
          <cell r="AI36">
            <v>3.2979200557750499E-2</v>
          </cell>
          <cell r="AJ36">
            <v>1.5281043404820727E-2</v>
          </cell>
          <cell r="AK36">
            <v>6.9517637986798109E-2</v>
          </cell>
          <cell r="AM36">
            <v>-2.0270214159789024E-2</v>
          </cell>
          <cell r="AN36">
            <v>3.2576410782978682E-2</v>
          </cell>
          <cell r="AO36">
            <v>4.8323597442864852E-2</v>
          </cell>
          <cell r="AP36">
            <v>0.10224310031053885</v>
          </cell>
          <cell r="AR36">
            <v>-5.0646598122189079E-2</v>
          </cell>
          <cell r="AS36">
            <v>3.8270637992918521E-2</v>
          </cell>
          <cell r="AT36">
            <v>5.5153226139038614E-2</v>
          </cell>
          <cell r="AU36">
            <v>0.10614430866214475</v>
          </cell>
          <cell r="AW36" t="str">
            <v>--</v>
          </cell>
          <cell r="AX36" t="str">
            <v>--</v>
          </cell>
          <cell r="AY36" t="str">
            <v>--</v>
          </cell>
          <cell r="AZ36" t="str">
            <v>--</v>
          </cell>
          <cell r="BA36" t="str">
            <v>--</v>
          </cell>
          <cell r="BB36" t="str">
            <v>--</v>
          </cell>
          <cell r="BC36" t="str">
            <v>--</v>
          </cell>
          <cell r="BD36" t="str">
            <v>--</v>
          </cell>
          <cell r="BE36" t="str">
            <v>--</v>
          </cell>
          <cell r="BF36" t="str">
            <v>--</v>
          </cell>
          <cell r="BG36" t="str">
            <v>--</v>
          </cell>
          <cell r="BH36" t="str">
            <v>--</v>
          </cell>
          <cell r="BI36" t="str">
            <v>--</v>
          </cell>
          <cell r="BJ36" t="str">
            <v>--</v>
          </cell>
          <cell r="BK36" t="str">
            <v>--</v>
          </cell>
        </row>
        <row r="37">
          <cell r="A37" t="str">
            <v>Servers</v>
          </cell>
          <cell r="S37">
            <v>-0.19057960038487387</v>
          </cell>
          <cell r="T37">
            <v>0.15517866122400692</v>
          </cell>
          <cell r="U37">
            <v>8.5818196367128063E-2</v>
          </cell>
          <cell r="V37">
            <v>-3.3982795092108886E-2</v>
          </cell>
          <cell r="X37">
            <v>4.7775826769281826E-2</v>
          </cell>
          <cell r="Y37">
            <v>0.74871565949308483</v>
          </cell>
          <cell r="Z37">
            <v>0.32316221719240379</v>
          </cell>
          <cell r="AA37">
            <v>0.52687473609466906</v>
          </cell>
          <cell r="AC37">
            <v>-0.34233882712419561</v>
          </cell>
          <cell r="AD37">
            <v>1.9044246678365795E-2</v>
          </cell>
          <cell r="AE37">
            <v>-0.24731187204380434</v>
          </cell>
          <cell r="AF37">
            <v>1.9519280964175323E-4</v>
          </cell>
          <cell r="AH37">
            <v>-8.8642600610576938E-2</v>
          </cell>
          <cell r="AI37">
            <v>0</v>
          </cell>
          <cell r="AJ37">
            <v>3.0000000000000027E-2</v>
          </cell>
          <cell r="AK37">
            <v>9.000000000000008E-2</v>
          </cell>
          <cell r="AM37">
            <v>0</v>
          </cell>
          <cell r="AN37">
            <v>5.0000000000000044E-2</v>
          </cell>
          <cell r="AO37">
            <v>7.0000000000000062E-2</v>
          </cell>
          <cell r="AP37">
            <v>0.12999999999999989</v>
          </cell>
          <cell r="AR37">
            <v>-5.0000000000000044E-2</v>
          </cell>
          <cell r="AS37">
            <v>5.0000000000000044E-2</v>
          </cell>
          <cell r="AT37">
            <v>6.0000000000000053E-2</v>
          </cell>
          <cell r="AU37">
            <v>0.12000000000000011</v>
          </cell>
          <cell r="AW37" t="str">
            <v>--</v>
          </cell>
          <cell r="AX37" t="str">
            <v>--</v>
          </cell>
          <cell r="AY37" t="str">
            <v>--</v>
          </cell>
          <cell r="AZ37" t="str">
            <v>--</v>
          </cell>
          <cell r="BA37" t="str">
            <v>--</v>
          </cell>
          <cell r="BB37" t="str">
            <v>--</v>
          </cell>
          <cell r="BC37" t="str">
            <v>--</v>
          </cell>
          <cell r="BD37" t="str">
            <v>--</v>
          </cell>
          <cell r="BE37" t="str">
            <v>--</v>
          </cell>
          <cell r="BF37" t="str">
            <v>--</v>
          </cell>
          <cell r="BG37" t="str">
            <v>--</v>
          </cell>
          <cell r="BH37" t="str">
            <v>--</v>
          </cell>
          <cell r="BI37" t="str">
            <v>--</v>
          </cell>
          <cell r="BJ37" t="str">
            <v>--</v>
          </cell>
          <cell r="BK37" t="str">
            <v>--</v>
          </cell>
        </row>
        <row r="38">
          <cell r="A38" t="str">
            <v>Communications</v>
          </cell>
          <cell r="S38">
            <v>0.84124866119207398</v>
          </cell>
          <cell r="T38">
            <v>0.30403478260869554</v>
          </cell>
          <cell r="U38">
            <v>8.5818196367127841E-2</v>
          </cell>
          <cell r="V38">
            <v>0.48195821207460599</v>
          </cell>
          <cell r="X38">
            <v>3.5627701241522258E-2</v>
          </cell>
          <cell r="Y38">
            <v>0.17187605069047551</v>
          </cell>
          <cell r="Z38">
            <v>0.42053779161781857</v>
          </cell>
          <cell r="AA38">
            <v>0.36740673322951856</v>
          </cell>
          <cell r="AC38">
            <v>-0.19536151954967862</v>
          </cell>
          <cell r="AD38">
            <v>-6.9963183067160206E-2</v>
          </cell>
          <cell r="AE38">
            <v>-1.6801132857219181E-2</v>
          </cell>
          <cell r="AF38">
            <v>0.31604630632847597</v>
          </cell>
          <cell r="AH38">
            <v>-0.10166199203042603</v>
          </cell>
          <cell r="AI38">
            <v>5.1041740342935737E-2</v>
          </cell>
          <cell r="AJ38">
            <v>0</v>
          </cell>
          <cell r="AK38">
            <v>5.0000000000000044E-2</v>
          </cell>
          <cell r="AM38">
            <v>-3.0000000000000027E-2</v>
          </cell>
          <cell r="AN38">
            <v>2.0000000000000018E-2</v>
          </cell>
          <cell r="AO38">
            <v>3.0000000000000027E-2</v>
          </cell>
          <cell r="AP38">
            <v>8.0000000000000071E-2</v>
          </cell>
          <cell r="AR38">
            <v>-4.9999999999999933E-2</v>
          </cell>
          <cell r="AS38">
            <v>3.0000000000000027E-2</v>
          </cell>
          <cell r="AT38">
            <v>5.0000000000000044E-2</v>
          </cell>
          <cell r="AU38">
            <v>9.000000000000008E-2</v>
          </cell>
          <cell r="AW38" t="str">
            <v>--</v>
          </cell>
          <cell r="AX38" t="str">
            <v>--</v>
          </cell>
          <cell r="AY38" t="str">
            <v>--</v>
          </cell>
          <cell r="AZ38" t="str">
            <v>--</v>
          </cell>
          <cell r="BA38" t="str">
            <v>--</v>
          </cell>
          <cell r="BB38" t="str">
            <v>--</v>
          </cell>
          <cell r="BC38" t="str">
            <v>--</v>
          </cell>
          <cell r="BD38" t="str">
            <v>--</v>
          </cell>
          <cell r="BE38" t="str">
            <v>--</v>
          </cell>
          <cell r="BF38" t="str">
            <v>--</v>
          </cell>
          <cell r="BG38" t="str">
            <v>--</v>
          </cell>
          <cell r="BH38" t="str">
            <v>--</v>
          </cell>
          <cell r="BI38" t="str">
            <v>--</v>
          </cell>
          <cell r="BJ38" t="str">
            <v>--</v>
          </cell>
          <cell r="BK38" t="str">
            <v>--</v>
          </cell>
        </row>
        <row r="39">
          <cell r="A39" t="str">
            <v>Storage/Other</v>
          </cell>
          <cell r="S39">
            <v>3.4168372423442683</v>
          </cell>
          <cell r="T39">
            <v>1.9275289315300093E-2</v>
          </cell>
          <cell r="U39">
            <v>8.5818196367127175E-2</v>
          </cell>
          <cell r="V39">
            <v>0.10652879834903972</v>
          </cell>
          <cell r="X39">
            <v>0.1453946926173515</v>
          </cell>
          <cell r="Y39">
            <v>0.2163445615425692</v>
          </cell>
          <cell r="Z39">
            <v>-5.6235458675270023E-3</v>
          </cell>
          <cell r="AA39">
            <v>0.43646767935222175</v>
          </cell>
          <cell r="AC39">
            <v>2.1271917494638526E-2</v>
          </cell>
          <cell r="AD39">
            <v>4.6291419049444782E-2</v>
          </cell>
          <cell r="AE39">
            <v>-0.17204305924818464</v>
          </cell>
          <cell r="AF39">
            <v>0.11132799201071286</v>
          </cell>
          <cell r="AH39">
            <v>-7.2368361335765741E-2</v>
          </cell>
          <cell r="AI39">
            <v>5.0000000000000044E-2</v>
          </cell>
          <cell r="AJ39">
            <v>3.0000000000000027E-2</v>
          </cell>
          <cell r="AK39">
            <v>9.000000000000008E-2</v>
          </cell>
          <cell r="AM39">
            <v>-2.0000000000000018E-2</v>
          </cell>
          <cell r="AN39">
            <v>4.0000000000000036E-2</v>
          </cell>
          <cell r="AO39">
            <v>6.0000000000000053E-2</v>
          </cell>
          <cell r="AP39">
            <v>0.1100000000000001</v>
          </cell>
          <cell r="AR39">
            <v>-5.0000000000000044E-2</v>
          </cell>
          <cell r="AS39">
            <v>5.0000000000000044E-2</v>
          </cell>
          <cell r="AT39">
            <v>6.0000000000000053E-2</v>
          </cell>
          <cell r="AU39">
            <v>0.12000000000000011</v>
          </cell>
          <cell r="AW39" t="str">
            <v>--</v>
          </cell>
          <cell r="AX39" t="str">
            <v>--</v>
          </cell>
          <cell r="AY39" t="str">
            <v>--</v>
          </cell>
          <cell r="AZ39" t="str">
            <v>--</v>
          </cell>
          <cell r="BA39" t="str">
            <v>--</v>
          </cell>
          <cell r="BB39" t="str">
            <v>--</v>
          </cell>
          <cell r="BC39" t="str">
            <v>--</v>
          </cell>
          <cell r="BD39" t="str">
            <v>--</v>
          </cell>
          <cell r="BE39" t="str">
            <v>--</v>
          </cell>
        </row>
        <row r="40">
          <cell r="A40" t="str">
            <v>PCs/Workstations</v>
          </cell>
          <cell r="S40">
            <v>-5.5435817609884253E-2</v>
          </cell>
          <cell r="T40">
            <v>0.1305847798358708</v>
          </cell>
          <cell r="U40">
            <v>8.5818196367128063E-2</v>
          </cell>
          <cell r="V40">
            <v>0.18556656965968465</v>
          </cell>
          <cell r="X40">
            <v>-0.11568792114101512</v>
          </cell>
          <cell r="Y40">
            <v>0.12444297244824187</v>
          </cell>
          <cell r="Z40">
            <v>9.9550886781099912E-2</v>
          </cell>
          <cell r="AA40">
            <v>-7.7585971787202168E-2</v>
          </cell>
          <cell r="AC40">
            <v>-0.17021656703560606</v>
          </cell>
          <cell r="AD40">
            <v>-1.1835882008857657E-2</v>
          </cell>
          <cell r="AE40">
            <v>-0.3181531076161519</v>
          </cell>
          <cell r="AF40">
            <v>-0.20619429142091938</v>
          </cell>
          <cell r="AH40">
            <v>-0.38483375541213949</v>
          </cell>
          <cell r="AI40">
            <v>0</v>
          </cell>
          <cell r="AJ40">
            <v>2.0000000000000018E-2</v>
          </cell>
          <cell r="AK40">
            <v>6.0000000000000053E-2</v>
          </cell>
          <cell r="AM40">
            <v>-3.9999999999999925E-2</v>
          </cell>
          <cell r="AN40">
            <v>2.0000000000000018E-2</v>
          </cell>
          <cell r="AO40">
            <v>4.0000000000000036E-2</v>
          </cell>
          <cell r="AP40">
            <v>0.10000000000000009</v>
          </cell>
          <cell r="AR40">
            <v>-6.0000000000000164E-2</v>
          </cell>
          <cell r="AS40">
            <v>0</v>
          </cell>
          <cell r="AT40">
            <v>5.0000000000000044E-2</v>
          </cell>
          <cell r="AU40">
            <v>0.10000000000000009</v>
          </cell>
          <cell r="AW40" t="str">
            <v>--</v>
          </cell>
          <cell r="AX40" t="str">
            <v>--</v>
          </cell>
          <cell r="AY40" t="str">
            <v>--</v>
          </cell>
          <cell r="AZ40" t="str">
            <v>--</v>
          </cell>
          <cell r="BA40" t="str">
            <v>--</v>
          </cell>
          <cell r="BB40" t="str">
            <v>--</v>
          </cell>
          <cell r="BC40" t="str">
            <v>--</v>
          </cell>
          <cell r="BD40" t="str">
            <v>--</v>
          </cell>
          <cell r="BE40" t="str">
            <v>--</v>
          </cell>
        </row>
        <row r="41">
          <cell r="A41" t="str">
            <v>PCs</v>
          </cell>
          <cell r="S41">
            <v>1.2622160644462648</v>
          </cell>
          <cell r="T41">
            <v>4.4787848792102736E-2</v>
          </cell>
          <cell r="U41">
            <v>0.3960519667577358</v>
          </cell>
          <cell r="V41">
            <v>-7.7892668042467417E-2</v>
          </cell>
          <cell r="X41">
            <v>0.28856902919452065</v>
          </cell>
          <cell r="Y41">
            <v>0.29743419897874057</v>
          </cell>
          <cell r="Z41">
            <v>-3.3245114037873336E-2</v>
          </cell>
          <cell r="AA41">
            <v>-5.2878453174359352E-2</v>
          </cell>
          <cell r="AC41">
            <v>-6.28328286519787E-2</v>
          </cell>
          <cell r="AD41">
            <v>-0.17652990167404803</v>
          </cell>
          <cell r="AE41">
            <v>-6.4516710978215208E-3</v>
          </cell>
          <cell r="AF41">
            <v>-0.44433600399464357</v>
          </cell>
          <cell r="AH41" t="str">
            <v>--</v>
          </cell>
          <cell r="AI41" t="str">
            <v>--</v>
          </cell>
          <cell r="AJ41" t="str">
            <v>--</v>
          </cell>
          <cell r="AK41" t="str">
            <v>--</v>
          </cell>
          <cell r="AM41" t="str">
            <v>--</v>
          </cell>
          <cell r="AN41" t="str">
            <v>--</v>
          </cell>
          <cell r="AO41" t="str">
            <v>--</v>
          </cell>
          <cell r="AP41" t="str">
            <v>--</v>
          </cell>
          <cell r="AR41" t="str">
            <v>--</v>
          </cell>
          <cell r="AS41" t="str">
            <v>--</v>
          </cell>
          <cell r="AT41" t="str">
            <v>--</v>
          </cell>
          <cell r="AU41" t="str">
            <v>--</v>
          </cell>
          <cell r="AW41" t="str">
            <v>--</v>
          </cell>
          <cell r="AX41" t="str">
            <v>--</v>
          </cell>
          <cell r="AY41" t="str">
            <v>--</v>
          </cell>
          <cell r="AZ41" t="str">
            <v>--</v>
          </cell>
          <cell r="BA41" t="str">
            <v>--</v>
          </cell>
          <cell r="BB41" t="str">
            <v>--</v>
          </cell>
          <cell r="BC41" t="str">
            <v>--</v>
          </cell>
          <cell r="BD41" t="str">
            <v>--</v>
          </cell>
          <cell r="BE41" t="str">
            <v>--</v>
          </cell>
          <cell r="BF41" t="str">
            <v>--</v>
          </cell>
          <cell r="BG41" t="str">
            <v>--</v>
          </cell>
          <cell r="BH41" t="str">
            <v>--</v>
          </cell>
          <cell r="BI41" t="str">
            <v>--</v>
          </cell>
          <cell r="BJ41" t="str">
            <v>--</v>
          </cell>
          <cell r="BK41" t="str">
            <v>--</v>
          </cell>
        </row>
        <row r="42">
          <cell r="A42" t="str">
            <v>Workstations</v>
          </cell>
          <cell r="S42">
            <v>-0.19057960038487387</v>
          </cell>
          <cell r="T42">
            <v>0.15517866122400692</v>
          </cell>
          <cell r="U42">
            <v>5.3872188584518366E-3</v>
          </cell>
          <cell r="V42">
            <v>0.28041189523245946</v>
          </cell>
          <cell r="X42">
            <v>-0.22049527863541352</v>
          </cell>
          <cell r="Y42">
            <v>5.0303875363742367E-2</v>
          </cell>
          <cell r="Z42">
            <v>0.16985465192055638</v>
          </cell>
          <cell r="AA42">
            <v>-8.8395511180320852E-2</v>
          </cell>
          <cell r="AC42">
            <v>-0.21902735720998223</v>
          </cell>
          <cell r="AD42">
            <v>7.7997219626700698E-2</v>
          </cell>
          <cell r="AE42">
            <v>-0.44802870616545631</v>
          </cell>
          <cell r="AF42">
            <v>-2.7588006990626135E-2</v>
          </cell>
          <cell r="AH42" t="str">
            <v>--</v>
          </cell>
          <cell r="AI42" t="str">
            <v>--</v>
          </cell>
          <cell r="AJ42" t="str">
            <v>--</v>
          </cell>
          <cell r="AK42" t="str">
            <v>--</v>
          </cell>
          <cell r="AM42" t="str">
            <v>--</v>
          </cell>
          <cell r="AN42" t="str">
            <v>--</v>
          </cell>
          <cell r="AO42" t="str">
            <v>--</v>
          </cell>
          <cell r="AP42" t="str">
            <v>--</v>
          </cell>
          <cell r="AR42" t="str">
            <v>--</v>
          </cell>
          <cell r="AS42" t="str">
            <v>--</v>
          </cell>
          <cell r="AT42" t="str">
            <v>--</v>
          </cell>
          <cell r="AU42" t="str">
            <v>--</v>
          </cell>
          <cell r="AW42" t="str">
            <v>--</v>
          </cell>
          <cell r="AX42" t="str">
            <v>--</v>
          </cell>
          <cell r="AY42" t="str">
            <v>--</v>
          </cell>
          <cell r="AZ42" t="str">
            <v>--</v>
          </cell>
          <cell r="BA42" t="str">
            <v>--</v>
          </cell>
          <cell r="BB42" t="str">
            <v>--</v>
          </cell>
          <cell r="BC42" t="str">
            <v>--</v>
          </cell>
          <cell r="BD42" t="str">
            <v>--</v>
          </cell>
          <cell r="BE42" t="str">
            <v>--</v>
          </cell>
        </row>
        <row r="43">
          <cell r="A43" t="str">
            <v xml:space="preserve">Other </v>
          </cell>
          <cell r="AN43" t="str">
            <v>--</v>
          </cell>
          <cell r="AO43">
            <v>2.2772772772772898E-2</v>
          </cell>
          <cell r="AP43">
            <v>0.10000000000000009</v>
          </cell>
          <cell r="AR43">
            <v>0</v>
          </cell>
          <cell r="AS43">
            <v>5.0000000000000044E-2</v>
          </cell>
          <cell r="AT43">
            <v>4.0000000000000036E-2</v>
          </cell>
          <cell r="AU43">
            <v>0.12000000000000011</v>
          </cell>
          <cell r="AW43">
            <v>-4.0000000000000036E-2</v>
          </cell>
          <cell r="AX43">
            <v>8.0000000000000071E-2</v>
          </cell>
          <cell r="AY43">
            <v>7.0000000000000062E-2</v>
          </cell>
          <cell r="AZ43">
            <v>0.12000000000000011</v>
          </cell>
        </row>
        <row r="44">
          <cell r="A44" t="str">
            <v xml:space="preserve">Cost of Goods </v>
          </cell>
          <cell r="B44" t="str">
            <v>cogs</v>
          </cell>
          <cell r="I44">
            <v>457.15200000000004</v>
          </cell>
          <cell r="J44">
            <v>399.83199999999999</v>
          </cell>
          <cell r="K44">
            <v>375.34100000000001</v>
          </cell>
          <cell r="L44">
            <v>634.56700000000001</v>
          </cell>
          <cell r="N44">
            <v>690.976</v>
          </cell>
          <cell r="O44">
            <v>719.94299999999998</v>
          </cell>
          <cell r="P44">
            <v>751.66000000000008</v>
          </cell>
          <cell r="Q44">
            <v>856.10500000000002</v>
          </cell>
          <cell r="S44">
            <v>1006.5880000000001</v>
          </cell>
          <cell r="T44">
            <v>1161.338</v>
          </cell>
          <cell r="U44">
            <v>1258.3589999999999</v>
          </cell>
          <cell r="V44">
            <v>1488.3779999999999</v>
          </cell>
          <cell r="X44">
            <v>1501.7370000000001</v>
          </cell>
          <cell r="Y44">
            <v>1946.0469999999998</v>
          </cell>
          <cell r="Z44">
            <v>2416.6459999999997</v>
          </cell>
          <cell r="AA44">
            <v>3199.6439999999998</v>
          </cell>
          <cell r="AC44">
            <v>2499.2669999999998</v>
          </cell>
          <cell r="AD44">
            <v>2468.5349999999999</v>
          </cell>
          <cell r="AE44">
            <v>2053.4059999999999</v>
          </cell>
          <cell r="AF44">
            <v>2270.6999999999998</v>
          </cell>
          <cell r="AH44">
            <v>1999.4</v>
          </cell>
          <cell r="AI44">
            <v>2087.1999999999998</v>
          </cell>
          <cell r="AJ44">
            <v>2094.7717273600001</v>
          </cell>
          <cell r="AK44">
            <v>2238.7777695</v>
          </cell>
          <cell r="AM44">
            <v>2197.0441508128083</v>
          </cell>
          <cell r="AN44">
            <v>2265.317501150229</v>
          </cell>
          <cell r="AO44">
            <v>2372.8618275524577</v>
          </cell>
          <cell r="AP44">
            <v>2610.5294883748102</v>
          </cell>
          <cell r="AR44">
            <v>2480.9231106501211</v>
          </cell>
          <cell r="AS44">
            <v>2573.300560815162</v>
          </cell>
          <cell r="AT44">
            <v>2712.5093635906528</v>
          </cell>
          <cell r="AU44">
            <v>2991.4458621400481</v>
          </cell>
          <cell r="AW44">
            <v>1903.866</v>
          </cell>
          <cell r="AX44">
            <v>1866.8920000000001</v>
          </cell>
          <cell r="AY44">
            <v>3018.6839999999997</v>
          </cell>
          <cell r="AZ44">
            <v>4914.6629999999996</v>
          </cell>
          <cell r="BA44">
            <v>9064.0739999999987</v>
          </cell>
          <cell r="BB44">
            <v>9291.9079999999994</v>
          </cell>
          <cell r="BC44">
            <v>8420.14949686</v>
          </cell>
          <cell r="BD44">
            <v>9445.7529678903047</v>
          </cell>
          <cell r="BE44">
            <v>10758.178897195983</v>
          </cell>
          <cell r="BF44" t="str">
            <v>--</v>
          </cell>
          <cell r="BG44">
            <v>8420.14949686</v>
          </cell>
          <cell r="BH44">
            <v>10927.879129276791</v>
          </cell>
          <cell r="BI44">
            <v>13553.53980471596</v>
          </cell>
          <cell r="BJ44">
            <v>17184.749549245698</v>
          </cell>
          <cell r="BK44">
            <v>20873.742452483773</v>
          </cell>
          <cell r="BL44">
            <v>26006.254317858489</v>
          </cell>
          <cell r="BM44">
            <v>32651.024143566821</v>
          </cell>
          <cell r="BN44">
            <v>39681.018771670744</v>
          </cell>
          <cell r="BO44">
            <v>46680.213316363806</v>
          </cell>
          <cell r="BP44">
            <v>52748.641047491095</v>
          </cell>
          <cell r="BQ44">
            <v>58023.505152240206</v>
          </cell>
          <cell r="BR44">
            <v>62665.385564419434</v>
          </cell>
          <cell r="BS44">
            <v>66425.3086982846</v>
          </cell>
          <cell r="BT44">
            <v>69082.321046215991</v>
          </cell>
          <cell r="BU44">
            <v>71154.790677602461</v>
          </cell>
        </row>
        <row r="45">
          <cell r="A45" t="str">
            <v xml:space="preserve">Cost of Goods </v>
          </cell>
          <cell r="B45" t="str">
            <v>cogs</v>
          </cell>
          <cell r="I45">
            <v>457.15200000000004</v>
          </cell>
          <cell r="J45">
            <v>399.83199999999999</v>
          </cell>
          <cell r="K45">
            <v>375.34100000000001</v>
          </cell>
          <cell r="L45">
            <v>634.56700000000001</v>
          </cell>
          <cell r="N45">
            <v>690.976</v>
          </cell>
          <cell r="O45">
            <v>719.94299999999998</v>
          </cell>
          <cell r="P45">
            <v>751.66000000000008</v>
          </cell>
          <cell r="Q45">
            <v>856.10500000000002</v>
          </cell>
          <cell r="S45">
            <v>1006.5880000000001</v>
          </cell>
          <cell r="T45">
            <v>1161.338</v>
          </cell>
          <cell r="U45">
            <v>1258.3589999999999</v>
          </cell>
          <cell r="V45">
            <v>1488.3779999999999</v>
          </cell>
          <cell r="X45">
            <v>1501.7370000000001</v>
          </cell>
          <cell r="Y45">
            <v>1946.0469999999998</v>
          </cell>
          <cell r="Z45">
            <v>2416.6459999999997</v>
          </cell>
          <cell r="AA45">
            <v>3199.6439999999998</v>
          </cell>
          <cell r="AC45">
            <v>2499.2669999999998</v>
          </cell>
          <cell r="AD45">
            <v>2468.5349999999999</v>
          </cell>
          <cell r="AE45">
            <v>2053.4059999999999</v>
          </cell>
          <cell r="AF45">
            <v>2270.6999999999998</v>
          </cell>
          <cell r="AH45">
            <v>1999.4</v>
          </cell>
          <cell r="AI45">
            <v>2062.4380080000001</v>
          </cell>
          <cell r="AJ45">
            <v>2093.9542127200002</v>
          </cell>
          <cell r="AK45">
            <v>2234.6944098398503</v>
          </cell>
          <cell r="AM45">
            <v>2191.7610348315889</v>
          </cell>
          <cell r="AN45">
            <v>2260.7193610409927</v>
          </cell>
          <cell r="AO45">
            <v>2367.4060954342181</v>
          </cell>
          <cell r="AP45">
            <v>2603.8149650620735</v>
          </cell>
          <cell r="AR45">
            <v>2474.6187537664555</v>
          </cell>
          <cell r="AS45">
            <v>2566.5433385910592</v>
          </cell>
          <cell r="AT45">
            <v>2705.162468047989</v>
          </cell>
          <cell r="AU45">
            <v>2982.5637337599437</v>
          </cell>
          <cell r="AW45">
            <v>1903.866</v>
          </cell>
          <cell r="AX45">
            <v>1866.8920000000001</v>
          </cell>
          <cell r="AY45">
            <v>3018.6839999999997</v>
          </cell>
          <cell r="AZ45">
            <v>4914.6629999999996</v>
          </cell>
          <cell r="BA45">
            <v>9064.0739999999987</v>
          </cell>
          <cell r="BB45">
            <v>9291.9079999999994</v>
          </cell>
          <cell r="BC45">
            <v>8390.4866305598516</v>
          </cell>
          <cell r="BD45">
            <v>9423.7014563688717</v>
          </cell>
          <cell r="BE45">
            <v>10728.888294165448</v>
          </cell>
          <cell r="BF45" t="str">
            <v>--</v>
          </cell>
          <cell r="BG45">
            <v>8390.4866305598516</v>
          </cell>
          <cell r="BH45">
            <v>10904.042649483927</v>
          </cell>
          <cell r="BI45">
            <v>13520.360759849564</v>
          </cell>
          <cell r="BJ45">
            <v>16714.198916837857</v>
          </cell>
          <cell r="BK45">
            <v>20302.180284319049</v>
          </cell>
          <cell r="BL45">
            <v>25294.15436081462</v>
          </cell>
          <cell r="BM45">
            <v>31756.977941991925</v>
          </cell>
          <cell r="BN45">
            <v>38594.478148888345</v>
          </cell>
          <cell r="BO45">
            <v>45402.021636351099</v>
          </cell>
          <cell r="BP45">
            <v>51304.284449076738</v>
          </cell>
          <cell r="BQ45">
            <v>56434.712893984426</v>
          </cell>
          <cell r="BR45">
            <v>60949.489925503192</v>
          </cell>
          <cell r="BS45">
            <v>64606.459321033377</v>
          </cell>
          <cell r="BT45">
            <v>67190.717693874714</v>
          </cell>
          <cell r="BU45">
            <v>69206.43922469097</v>
          </cell>
          <cell r="CN45" t="str">
            <v>--</v>
          </cell>
          <cell r="CO45" t="str">
            <v>--</v>
          </cell>
          <cell r="CP45" t="e">
            <v>#VALUE!</v>
          </cell>
        </row>
        <row r="46">
          <cell r="A46" t="str">
            <v>Gross Profit</v>
          </cell>
          <cell r="B46" t="str">
            <v>gp</v>
          </cell>
          <cell r="I46">
            <v>26.448</v>
          </cell>
          <cell r="J46">
            <v>30.823</v>
          </cell>
          <cell r="K46">
            <v>33.776000000000003</v>
          </cell>
          <cell r="L46">
            <v>48.62</v>
          </cell>
          <cell r="N46">
            <v>47.723999999999997</v>
          </cell>
          <cell r="O46">
            <v>53.677999999999997</v>
          </cell>
          <cell r="P46">
            <v>59.94</v>
          </cell>
          <cell r="Q46">
            <v>69.192999999999998</v>
          </cell>
          <cell r="S46">
            <v>75.236000000000004</v>
          </cell>
          <cell r="T46">
            <v>88.361999999999995</v>
          </cell>
          <cell r="U46">
            <v>98.587999999999994</v>
          </cell>
          <cell r="V46">
            <v>120.373</v>
          </cell>
          <cell r="X46">
            <v>110.586</v>
          </cell>
          <cell r="Y46">
            <v>145.83600000000001</v>
          </cell>
          <cell r="Z46">
            <v>183.50299999999999</v>
          </cell>
          <cell r="AA46">
            <v>248.07599999999999</v>
          </cell>
          <cell r="AC46">
            <v>193.30799999999999</v>
          </cell>
          <cell r="AD46">
            <v>192.17100000000028</v>
          </cell>
          <cell r="AE46">
            <v>149.54399999999987</v>
          </cell>
          <cell r="AF46">
            <v>177.5</v>
          </cell>
          <cell r="AH46">
            <v>152.09999999999991</v>
          </cell>
          <cell r="AI46">
            <v>162</v>
          </cell>
          <cell r="AJ46">
            <v>162.52539264000001</v>
          </cell>
          <cell r="AK46">
            <v>176.30073049999999</v>
          </cell>
          <cell r="AM46">
            <v>169.18541387519201</v>
          </cell>
          <cell r="AN46">
            <v>178.39069858033088</v>
          </cell>
          <cell r="AO46">
            <v>189.62394734220504</v>
          </cell>
          <cell r="AP46">
            <v>214.71887566719218</v>
          </cell>
          <cell r="AR46">
            <v>201.15592789055034</v>
          </cell>
          <cell r="AS46">
            <v>211.65675608436399</v>
          </cell>
          <cell r="AT46">
            <v>226.28734669174457</v>
          </cell>
          <cell r="AU46">
            <v>260.1257271426129</v>
          </cell>
          <cell r="AW46">
            <v>112.962</v>
          </cell>
          <cell r="AX46">
            <v>139.667</v>
          </cell>
          <cell r="AY46">
            <v>230.53499999999997</v>
          </cell>
          <cell r="AZ46">
            <v>382.55900000000003</v>
          </cell>
          <cell r="BA46">
            <v>688.00099999999998</v>
          </cell>
          <cell r="BB46">
            <v>712.52300000000014</v>
          </cell>
          <cell r="BC46">
            <v>652.92612313999962</v>
          </cell>
          <cell r="BD46">
            <v>751.91893546492008</v>
          </cell>
          <cell r="BE46">
            <v>899.22575780927173</v>
          </cell>
          <cell r="BF46" t="str">
            <v>--</v>
          </cell>
          <cell r="BG46">
            <v>652.92612313999962</v>
          </cell>
          <cell r="BH46">
            <v>869.89277407843554</v>
          </cell>
          <cell r="BI46">
            <v>1132.8768761291415</v>
          </cell>
          <cell r="BJ46">
            <v>1596.3974991102561</v>
          </cell>
          <cell r="BK46">
            <v>2039.2569465104896</v>
          </cell>
          <cell r="BL46">
            <v>2634.9949308843402</v>
          </cell>
          <cell r="BM46">
            <v>3150.5374173617111</v>
          </cell>
          <cell r="BN46">
            <v>3638.8707170527759</v>
          </cell>
          <cell r="BO46">
            <v>4004.0573854427153</v>
          </cell>
          <cell r="BP46">
            <v>4524.5848455502683</v>
          </cell>
          <cell r="BQ46">
            <v>4977.0433301052954</v>
          </cell>
          <cell r="BR46">
            <v>5375.2067965137194</v>
          </cell>
          <cell r="BS46">
            <v>5697.7192043045416</v>
          </cell>
          <cell r="BT46">
            <v>5925.6279724767246</v>
          </cell>
          <cell r="BU46">
            <v>6103.396811651025</v>
          </cell>
        </row>
        <row r="47">
          <cell r="A47" t="str">
            <v>Gross Profit</v>
          </cell>
          <cell r="B47" t="str">
            <v>gp</v>
          </cell>
          <cell r="I47">
            <v>26.448</v>
          </cell>
          <cell r="J47">
            <v>30.823</v>
          </cell>
          <cell r="K47">
            <v>33.776000000000003</v>
          </cell>
          <cell r="L47">
            <v>48.62</v>
          </cell>
          <cell r="N47">
            <v>47.723999999999997</v>
          </cell>
          <cell r="O47">
            <v>53.677999999999997</v>
          </cell>
          <cell r="P47">
            <v>59.94</v>
          </cell>
          <cell r="Q47">
            <v>69.192999999999998</v>
          </cell>
          <cell r="S47">
            <v>75.236000000000004</v>
          </cell>
          <cell r="T47">
            <v>88.361999999999995</v>
          </cell>
          <cell r="U47">
            <v>98.587999999999994</v>
          </cell>
          <cell r="V47">
            <v>120.373</v>
          </cell>
          <cell r="X47">
            <v>110.586</v>
          </cell>
          <cell r="Y47">
            <v>145.83600000000001</v>
          </cell>
          <cell r="Z47">
            <v>183.50299999999999</v>
          </cell>
          <cell r="AA47">
            <v>248.07599999999999</v>
          </cell>
          <cell r="AC47">
            <v>193.30799999999999</v>
          </cell>
          <cell r="AD47">
            <v>192.17100000000028</v>
          </cell>
          <cell r="AE47">
            <v>149.54399999999987</v>
          </cell>
          <cell r="AF47">
            <v>177.5</v>
          </cell>
          <cell r="AH47">
            <v>152.09999999999991</v>
          </cell>
          <cell r="AI47">
            <v>160.01674200000002</v>
          </cell>
          <cell r="AJ47">
            <v>162.46196478000002</v>
          </cell>
          <cell r="AK47">
            <v>178.58249063515001</v>
          </cell>
          <cell r="AM47">
            <v>172.5982260439115</v>
          </cell>
          <cell r="AN47">
            <v>180.6622383553277</v>
          </cell>
          <cell r="AO47">
            <v>191.9518455757474</v>
          </cell>
          <cell r="AP47">
            <v>217.21966664114808</v>
          </cell>
          <cell r="AR47">
            <v>203.54007065611538</v>
          </cell>
          <cell r="AS47">
            <v>214.11033268852822</v>
          </cell>
          <cell r="AT47">
            <v>228.85322397802943</v>
          </cell>
          <cell r="AU47">
            <v>262.88102550006033</v>
          </cell>
          <cell r="AW47">
            <v>112.962</v>
          </cell>
          <cell r="AX47">
            <v>139.667</v>
          </cell>
          <cell r="AY47">
            <v>230.53499999999997</v>
          </cell>
          <cell r="AZ47">
            <v>382.55900000000003</v>
          </cell>
          <cell r="BA47">
            <v>688.00099999999998</v>
          </cell>
          <cell r="BB47">
            <v>712.52300000000014</v>
          </cell>
          <cell r="BC47">
            <v>653.16119741514922</v>
          </cell>
          <cell r="BD47">
            <v>762.43197661613476</v>
          </cell>
          <cell r="BE47">
            <v>909.3846528227333</v>
          </cell>
          <cell r="BG47">
            <v>653.16119741514922</v>
          </cell>
          <cell r="BH47">
            <v>882.19078350107895</v>
          </cell>
          <cell r="BI47">
            <v>1145.9909208226397</v>
          </cell>
          <cell r="BJ47">
            <v>1552.6851452800195</v>
          </cell>
          <cell r="BK47">
            <v>1983.4182714647591</v>
          </cell>
          <cell r="BL47">
            <v>2562.8438339151376</v>
          </cell>
          <cell r="BM47">
            <v>3064.2698014202738</v>
          </cell>
          <cell r="BN47">
            <v>3539.2316206404162</v>
          </cell>
          <cell r="BO47">
            <v>3894.4187939975432</v>
          </cell>
          <cell r="BP47">
            <v>4400.6932372172232</v>
          </cell>
          <cell r="BQ47">
            <v>4840.7625609389461</v>
          </cell>
          <cell r="BR47">
            <v>5228.0235658140627</v>
          </cell>
          <cell r="BS47">
            <v>5541.704979762907</v>
          </cell>
          <cell r="BT47">
            <v>5763.3731789534231</v>
          </cell>
          <cell r="BU47">
            <v>5936.2743743220262</v>
          </cell>
        </row>
        <row r="48">
          <cell r="A48" t="str">
            <v>SG&amp;A</v>
          </cell>
          <cell r="B48" t="str">
            <v>sga</v>
          </cell>
          <cell r="I48">
            <v>14.8</v>
          </cell>
          <cell r="J48">
            <v>19.012</v>
          </cell>
          <cell r="K48">
            <v>16.149999999999999</v>
          </cell>
          <cell r="L48">
            <v>18.306999999999999</v>
          </cell>
          <cell r="N48">
            <v>26.4</v>
          </cell>
          <cell r="O48">
            <v>32.478999999999999</v>
          </cell>
          <cell r="P48">
            <v>34.985999999999997</v>
          </cell>
          <cell r="Q48">
            <v>36.683999999999997</v>
          </cell>
          <cell r="S48">
            <v>42.191000000000003</v>
          </cell>
          <cell r="T48">
            <v>47.106999999999999</v>
          </cell>
          <cell r="U48">
            <v>51.612000000000002</v>
          </cell>
          <cell r="V48">
            <v>61.305</v>
          </cell>
          <cell r="X48">
            <v>58.024999999999999</v>
          </cell>
          <cell r="Y48">
            <v>73.456999999999994</v>
          </cell>
          <cell r="Z48">
            <v>85.120999999999995</v>
          </cell>
          <cell r="AA48">
            <v>109.449</v>
          </cell>
          <cell r="AC48">
            <v>89.043999999999997</v>
          </cell>
          <cell r="AD48">
            <v>86.415000000000006</v>
          </cell>
          <cell r="AE48">
            <v>79.403999999999996</v>
          </cell>
          <cell r="AF48">
            <v>86.6</v>
          </cell>
          <cell r="AH48">
            <v>76.7</v>
          </cell>
          <cell r="AI48">
            <v>80</v>
          </cell>
          <cell r="AJ48">
            <v>79.005399200000014</v>
          </cell>
          <cell r="AK48">
            <v>79.697590500000004</v>
          </cell>
          <cell r="AM48">
            <v>80.451805199392012</v>
          </cell>
          <cell r="AN48">
            <v>80.642370591108488</v>
          </cell>
          <cell r="AO48">
            <v>87.124516346418545</v>
          </cell>
          <cell r="AP48">
            <v>93.233196013386078</v>
          </cell>
          <cell r="AR48">
            <v>88.508608271842149</v>
          </cell>
          <cell r="AS48">
            <v>91.903591457684371</v>
          </cell>
          <cell r="AT48">
            <v>96.980291439319117</v>
          </cell>
          <cell r="AU48">
            <v>107.30186244632782</v>
          </cell>
          <cell r="AW48">
            <v>42.347000000000001</v>
          </cell>
          <cell r="AX48">
            <v>68.268999999999991</v>
          </cell>
          <cell r="AY48">
            <v>130.54899999999998</v>
          </cell>
          <cell r="AZ48">
            <v>202.215</v>
          </cell>
          <cell r="BA48">
            <v>326.05200000000002</v>
          </cell>
          <cell r="BB48">
            <v>341.46299999999997</v>
          </cell>
          <cell r="BC48">
            <v>315.40298969999998</v>
          </cell>
          <cell r="BD48">
            <v>341.45188815030514</v>
          </cell>
          <cell r="BE48">
            <v>384.69435361517344</v>
          </cell>
          <cell r="BF48">
            <v>0.840979101876417</v>
          </cell>
          <cell r="BG48">
            <v>315.40298970000003</v>
          </cell>
          <cell r="BH48">
            <v>395.02467112858881</v>
          </cell>
          <cell r="BI48">
            <v>484.65175046788835</v>
          </cell>
          <cell r="BJ48">
            <v>600.99670554739055</v>
          </cell>
          <cell r="BK48">
            <v>733.2159807678164</v>
          </cell>
          <cell r="BL48">
            <v>859.2374774622848</v>
          </cell>
          <cell r="BM48">
            <v>1145.6499699497131</v>
          </cell>
          <cell r="BN48">
            <v>1516.1961321053234</v>
          </cell>
          <cell r="BO48">
            <v>1773.9494745632283</v>
          </cell>
          <cell r="BP48">
            <v>2004.5629062564481</v>
          </cell>
          <cell r="BQ48">
            <v>2205.0191968820927</v>
          </cell>
          <cell r="BR48">
            <v>2381.4207326326605</v>
          </cell>
          <cell r="BS48">
            <v>2524.30597659062</v>
          </cell>
          <cell r="BT48">
            <v>2625.2782156542453</v>
          </cell>
          <cell r="BU48">
            <v>2704.036562123872</v>
          </cell>
        </row>
        <row r="49">
          <cell r="A49" t="str">
            <v>SG&amp;A</v>
          </cell>
          <cell r="B49" t="str">
            <v>sga</v>
          </cell>
          <cell r="I49">
            <v>14.8</v>
          </cell>
          <cell r="J49">
            <v>19.012</v>
          </cell>
          <cell r="K49">
            <v>16.149999999999999</v>
          </cell>
          <cell r="L49">
            <v>18.306999999999999</v>
          </cell>
          <cell r="N49">
            <v>26.4</v>
          </cell>
          <cell r="O49">
            <v>32.478999999999999</v>
          </cell>
          <cell r="P49">
            <v>34.985999999999997</v>
          </cell>
          <cell r="Q49">
            <v>36.683999999999997</v>
          </cell>
          <cell r="S49">
            <v>42.191000000000003</v>
          </cell>
          <cell r="T49">
            <v>47.106999999999999</v>
          </cell>
          <cell r="U49">
            <v>51.612000000000002</v>
          </cell>
          <cell r="V49">
            <v>61.305</v>
          </cell>
          <cell r="X49">
            <v>58.024999999999999</v>
          </cell>
          <cell r="Y49">
            <v>73.456999999999994</v>
          </cell>
          <cell r="Z49">
            <v>85.120999999999995</v>
          </cell>
          <cell r="AA49">
            <v>109.449</v>
          </cell>
          <cell r="AC49">
            <v>89.043999999999997</v>
          </cell>
          <cell r="AD49">
            <v>86.415000000000006</v>
          </cell>
          <cell r="AE49">
            <v>79.403999999999996</v>
          </cell>
          <cell r="AF49">
            <v>86.6</v>
          </cell>
          <cell r="AH49">
            <v>76.7</v>
          </cell>
          <cell r="AI49">
            <v>77.785916250000014</v>
          </cell>
          <cell r="AJ49">
            <v>78.974566212500022</v>
          </cell>
          <cell r="AK49">
            <v>79.638137715675015</v>
          </cell>
          <cell r="AM49">
            <v>80.388214869767012</v>
          </cell>
          <cell r="AN49">
            <v>80.565592780078575</v>
          </cell>
          <cell r="AO49">
            <v>87.018169994338834</v>
          </cell>
          <cell r="AP49">
            <v>93.094142846206324</v>
          </cell>
          <cell r="AR49">
            <v>88.379241205944837</v>
          </cell>
          <cell r="AS49">
            <v>91.761571152226381</v>
          </cell>
          <cell r="AT49">
            <v>96.822517836858609</v>
          </cell>
          <cell r="AU49">
            <v>107.09967705558014</v>
          </cell>
          <cell r="AW49">
            <v>42.347000000000001</v>
          </cell>
          <cell r="AX49">
            <v>68.268999999999991</v>
          </cell>
          <cell r="AY49">
            <v>130.54899999999998</v>
          </cell>
          <cell r="AZ49">
            <v>202.215</v>
          </cell>
          <cell r="BA49">
            <v>326.05200000000002</v>
          </cell>
          <cell r="BB49">
            <v>341.46299999999997</v>
          </cell>
          <cell r="BC49">
            <v>313.098620178175</v>
          </cell>
          <cell r="BD49">
            <v>341.06612049039074</v>
          </cell>
          <cell r="BE49">
            <v>384.06300725060999</v>
          </cell>
          <cell r="BF49">
            <v>1.3614398664691465</v>
          </cell>
          <cell r="BG49">
            <v>313.098620178175</v>
          </cell>
          <cell r="BH49">
            <v>394.63899375849422</v>
          </cell>
          <cell r="BI49">
            <v>483.98960546218274</v>
          </cell>
          <cell r="BJ49">
            <v>584.54028998777198</v>
          </cell>
          <cell r="BK49">
            <v>713.13915378508182</v>
          </cell>
          <cell r="BL49">
            <v>835.7099458418927</v>
          </cell>
          <cell r="BM49">
            <v>1114.2799277891904</v>
          </cell>
          <cell r="BN49">
            <v>1474.6798419335066</v>
          </cell>
          <cell r="BO49">
            <v>1725.3754150622028</v>
          </cell>
          <cell r="BP49">
            <v>1949.6742190202888</v>
          </cell>
          <cell r="BQ49">
            <v>2144.6416409223179</v>
          </cell>
          <cell r="BR49">
            <v>2316.2129721961041</v>
          </cell>
          <cell r="BS49">
            <v>2455.1857505278704</v>
          </cell>
          <cell r="BT49">
            <v>2553.3931805489851</v>
          </cell>
          <cell r="BU49">
            <v>2629.9949759654551</v>
          </cell>
        </row>
        <row r="50">
          <cell r="A50" t="str">
            <v>Amort. of Intangibles</v>
          </cell>
          <cell r="B50" t="str">
            <v>amort</v>
          </cell>
          <cell r="I50">
            <v>3.2719999999999998</v>
          </cell>
          <cell r="J50">
            <v>3.3010000000000002</v>
          </cell>
          <cell r="K50">
            <v>3.8809999999999998</v>
          </cell>
          <cell r="L50">
            <v>4.806</v>
          </cell>
          <cell r="N50">
            <v>13.259</v>
          </cell>
          <cell r="O50">
            <v>10.537000000000001</v>
          </cell>
          <cell r="P50">
            <v>10.782</v>
          </cell>
          <cell r="Q50">
            <v>10.794</v>
          </cell>
          <cell r="S50">
            <v>13.814</v>
          </cell>
          <cell r="T50">
            <v>13.744999999999999</v>
          </cell>
          <cell r="U50">
            <v>14.07</v>
          </cell>
          <cell r="V50">
            <v>13.94</v>
          </cell>
          <cell r="X50">
            <v>15.323</v>
          </cell>
          <cell r="Y50">
            <v>19.248000000000001</v>
          </cell>
          <cell r="Z50">
            <v>25.606999999999999</v>
          </cell>
          <cell r="AA50">
            <v>28.760999999999999</v>
          </cell>
          <cell r="AC50">
            <v>29.577999999999999</v>
          </cell>
          <cell r="AD50">
            <v>28.13</v>
          </cell>
          <cell r="AE50">
            <v>32.158000000000001</v>
          </cell>
          <cell r="AF50">
            <v>35.1</v>
          </cell>
          <cell r="AH50">
            <v>22</v>
          </cell>
          <cell r="AI50">
            <v>22</v>
          </cell>
          <cell r="AJ50">
            <v>22</v>
          </cell>
          <cell r="AK50">
            <v>22</v>
          </cell>
          <cell r="AM50">
            <v>22</v>
          </cell>
          <cell r="AN50">
            <v>22</v>
          </cell>
          <cell r="AO50">
            <v>22</v>
          </cell>
          <cell r="AP50">
            <v>22</v>
          </cell>
          <cell r="AR50">
            <v>22</v>
          </cell>
          <cell r="AS50">
            <v>22</v>
          </cell>
          <cell r="AT50">
            <v>22</v>
          </cell>
          <cell r="AU50">
            <v>22</v>
          </cell>
          <cell r="AW50">
            <v>1.8360000000000001</v>
          </cell>
          <cell r="AX50">
            <v>15.3</v>
          </cell>
          <cell r="AY50">
            <v>45.372</v>
          </cell>
          <cell r="AZ50">
            <v>55.568999999999996</v>
          </cell>
          <cell r="BA50">
            <v>88.938999999999993</v>
          </cell>
          <cell r="BB50">
            <v>124.96600000000001</v>
          </cell>
          <cell r="BC50">
            <v>88</v>
          </cell>
          <cell r="BD50">
            <v>88</v>
          </cell>
          <cell r="BE50">
            <v>88</v>
          </cell>
          <cell r="BF50">
            <v>1.2831382924928563</v>
          </cell>
          <cell r="BG50">
            <v>88</v>
          </cell>
          <cell r="BH50">
            <v>88</v>
          </cell>
          <cell r="BI50">
            <v>88</v>
          </cell>
          <cell r="BJ50">
            <v>88</v>
          </cell>
          <cell r="BK50">
            <v>88</v>
          </cell>
          <cell r="BL50">
            <v>88</v>
          </cell>
          <cell r="BM50">
            <v>88</v>
          </cell>
          <cell r="BN50">
            <v>88</v>
          </cell>
          <cell r="BO50">
            <v>88</v>
          </cell>
          <cell r="BP50">
            <v>88</v>
          </cell>
          <cell r="BQ50">
            <v>88</v>
          </cell>
          <cell r="BR50">
            <v>88</v>
          </cell>
          <cell r="BS50">
            <v>88</v>
          </cell>
          <cell r="BT50">
            <v>88</v>
          </cell>
          <cell r="BU50">
            <v>88</v>
          </cell>
        </row>
        <row r="51">
          <cell r="A51" t="str">
            <v>Integration Costs</v>
          </cell>
          <cell r="B51" t="str">
            <v>integrate</v>
          </cell>
          <cell r="I51">
            <v>0.3</v>
          </cell>
          <cell r="J51">
            <v>0.5</v>
          </cell>
          <cell r="K51">
            <v>2.0920000000000001</v>
          </cell>
          <cell r="L51">
            <v>10.4</v>
          </cell>
          <cell r="N51">
            <v>2.7189999999999999</v>
          </cell>
          <cell r="O51">
            <v>1.593</v>
          </cell>
          <cell r="P51">
            <v>1.34</v>
          </cell>
          <cell r="Q51">
            <v>2.4710000000000001</v>
          </cell>
          <cell r="S51">
            <v>0.44500000000000001</v>
          </cell>
          <cell r="T51">
            <v>3.5230000000000001</v>
          </cell>
          <cell r="U51">
            <v>1.282</v>
          </cell>
          <cell r="V51">
            <v>4.3659999999999997</v>
          </cell>
          <cell r="X51">
            <v>0.66700000000000004</v>
          </cell>
          <cell r="Y51">
            <v>4.9039999999999999</v>
          </cell>
          <cell r="Z51">
            <v>4.8419999999999996</v>
          </cell>
          <cell r="AA51">
            <v>5.69</v>
          </cell>
          <cell r="AC51">
            <v>2.3260000000000001</v>
          </cell>
          <cell r="AD51">
            <v>7.7969999999999997</v>
          </cell>
          <cell r="AE51">
            <v>10.016999999999999</v>
          </cell>
          <cell r="AF51">
            <v>2.6</v>
          </cell>
          <cell r="AH51">
            <v>3.9</v>
          </cell>
          <cell r="AI51">
            <v>10</v>
          </cell>
          <cell r="AJ51">
            <v>10</v>
          </cell>
          <cell r="AK51">
            <v>8</v>
          </cell>
          <cell r="AM51">
            <v>6</v>
          </cell>
          <cell r="AN51">
            <v>4</v>
          </cell>
          <cell r="AO51">
            <v>3</v>
          </cell>
          <cell r="AP51">
            <v>3</v>
          </cell>
          <cell r="AR51">
            <v>0</v>
          </cell>
          <cell r="AS51">
            <v>0</v>
          </cell>
          <cell r="AT51">
            <v>0</v>
          </cell>
          <cell r="AU51">
            <v>0</v>
          </cell>
          <cell r="AW51" t="str">
            <v xml:space="preserve"> --</v>
          </cell>
          <cell r="AX51">
            <v>13.292000000000002</v>
          </cell>
          <cell r="AY51">
            <v>8.1229999999999993</v>
          </cell>
          <cell r="AZ51">
            <v>9.6159999999999997</v>
          </cell>
          <cell r="BA51">
            <v>16.103000000000002</v>
          </cell>
          <cell r="BB51">
            <v>22.740000000000002</v>
          </cell>
          <cell r="BC51">
            <v>31.9</v>
          </cell>
          <cell r="BD51">
            <v>16</v>
          </cell>
          <cell r="BE51">
            <v>0</v>
          </cell>
          <cell r="BF51">
            <v>0.66469427611012399</v>
          </cell>
          <cell r="BG51">
            <v>31.9</v>
          </cell>
          <cell r="BH51">
            <v>16</v>
          </cell>
          <cell r="BI51">
            <v>0</v>
          </cell>
          <cell r="BJ51" t="str">
            <v xml:space="preserve"> --</v>
          </cell>
          <cell r="BK51" t="str">
            <v xml:space="preserve"> --</v>
          </cell>
          <cell r="BL51" t="str">
            <v xml:space="preserve"> --</v>
          </cell>
          <cell r="BM51" t="str">
            <v xml:space="preserve"> --</v>
          </cell>
          <cell r="BN51" t="str">
            <v xml:space="preserve"> --</v>
          </cell>
          <cell r="BO51" t="str">
            <v xml:space="preserve"> --</v>
          </cell>
          <cell r="BP51" t="str">
            <v xml:space="preserve"> --</v>
          </cell>
          <cell r="BQ51" t="str">
            <v xml:space="preserve"> --</v>
          </cell>
          <cell r="BR51" t="str">
            <v xml:space="preserve"> --</v>
          </cell>
          <cell r="BS51" t="str">
            <v xml:space="preserve"> --</v>
          </cell>
          <cell r="BT51" t="str">
            <v xml:space="preserve"> --</v>
          </cell>
          <cell r="BU51" t="str">
            <v xml:space="preserve"> --</v>
          </cell>
        </row>
        <row r="52">
          <cell r="A52" t="str">
            <v>Operating Income</v>
          </cell>
          <cell r="B52" t="str">
            <v>oi</v>
          </cell>
          <cell r="I52">
            <v>8.0760000000000005</v>
          </cell>
          <cell r="J52">
            <v>8.009999999999998</v>
          </cell>
          <cell r="K52">
            <v>11.653000000000006</v>
          </cell>
          <cell r="L52">
            <v>15.106999999999999</v>
          </cell>
          <cell r="N52">
            <v>5.3459999999999965</v>
          </cell>
          <cell r="O52">
            <v>9.0690000000000026</v>
          </cell>
          <cell r="P52">
            <v>12.831999999999994</v>
          </cell>
          <cell r="Q52">
            <v>19.244</v>
          </cell>
          <cell r="S52">
            <v>18.786000000000001</v>
          </cell>
          <cell r="T52">
            <v>23.986999999999995</v>
          </cell>
          <cell r="U52">
            <v>31.623999999999995</v>
          </cell>
          <cell r="V52">
            <v>40.762</v>
          </cell>
          <cell r="X52">
            <v>36.570999999999998</v>
          </cell>
          <cell r="Y52">
            <v>48.227000000000018</v>
          </cell>
          <cell r="Z52">
            <v>67.932999999999993</v>
          </cell>
          <cell r="AA52">
            <v>104.17599999999999</v>
          </cell>
          <cell r="AC52">
            <v>72.36</v>
          </cell>
          <cell r="AD52">
            <v>69.829000000000278</v>
          </cell>
          <cell r="AE52">
            <v>27.964999999999876</v>
          </cell>
          <cell r="AF52">
            <v>53.200000000000017</v>
          </cell>
          <cell r="AH52">
            <v>49.499999999999901</v>
          </cell>
          <cell r="AI52">
            <v>50.099999999999994</v>
          </cell>
          <cell r="AJ52">
            <v>51.81999343999999</v>
          </cell>
          <cell r="AK52">
            <v>66.903139999999979</v>
          </cell>
          <cell r="AM52">
            <v>61.033608675799996</v>
          </cell>
          <cell r="AN52">
            <v>72.048327989222386</v>
          </cell>
          <cell r="AO52">
            <v>77.799430995786494</v>
          </cell>
          <cell r="AP52">
            <v>96.785679653806099</v>
          </cell>
          <cell r="AR52">
            <v>90.947319618708192</v>
          </cell>
          <cell r="AS52">
            <v>98.053164626679617</v>
          </cell>
          <cell r="AT52">
            <v>107.60705525242545</v>
          </cell>
          <cell r="AU52">
            <v>131.1238646962851</v>
          </cell>
          <cell r="AW52">
            <v>68.779000000000011</v>
          </cell>
          <cell r="AX52">
            <v>42.846000000000004</v>
          </cell>
          <cell r="AY52">
            <v>46.490999999999993</v>
          </cell>
          <cell r="AZ52">
            <v>115.15899999999999</v>
          </cell>
          <cell r="BA52">
            <v>256.90699999999998</v>
          </cell>
          <cell r="BB52">
            <v>223.35400000000018</v>
          </cell>
          <cell r="BC52">
            <v>218.32313343999985</v>
          </cell>
          <cell r="BD52">
            <v>307.66704731461499</v>
          </cell>
          <cell r="BE52">
            <v>427.73140419409833</v>
          </cell>
          <cell r="BF52">
            <v>0.20353103238175874</v>
          </cell>
          <cell r="BG52">
            <v>218.32313343999954</v>
          </cell>
          <cell r="BH52">
            <v>372.06810294984672</v>
          </cell>
          <cell r="BI52">
            <v>561.42512566125311</v>
          </cell>
          <cell r="BJ52">
            <v>908.60079356286565</v>
          </cell>
          <cell r="BK52">
            <v>1219.2409657426733</v>
          </cell>
          <cell r="BL52">
            <v>1688.9574534220556</v>
          </cell>
          <cell r="BM52">
            <v>1918.087447411998</v>
          </cell>
          <cell r="BN52">
            <v>2035.8745849474526</v>
          </cell>
          <cell r="BO52">
            <v>2143.3079108794873</v>
          </cell>
          <cell r="BP52">
            <v>2433.22193929382</v>
          </cell>
          <cell r="BQ52">
            <v>2685.2241332232024</v>
          </cell>
          <cell r="BR52">
            <v>2906.9860638810587</v>
          </cell>
          <cell r="BS52">
            <v>3086.6132277139213</v>
          </cell>
          <cell r="BT52">
            <v>3213.5497568224791</v>
          </cell>
          <cell r="BU52">
            <v>3312.5602495271528</v>
          </cell>
        </row>
        <row r="53">
          <cell r="A53" t="str">
            <v>Operating Income</v>
          </cell>
          <cell r="B53" t="str">
            <v>oi</v>
          </cell>
          <cell r="I53">
            <v>8.0760000000000005</v>
          </cell>
          <cell r="J53">
            <v>8.009999999999998</v>
          </cell>
          <cell r="K53">
            <v>11.653000000000006</v>
          </cell>
          <cell r="L53">
            <v>15.106999999999999</v>
          </cell>
          <cell r="N53">
            <v>5.3459999999999965</v>
          </cell>
          <cell r="O53">
            <v>9.0690000000000026</v>
          </cell>
          <cell r="P53">
            <v>12.831999999999994</v>
          </cell>
          <cell r="Q53">
            <v>19.244</v>
          </cell>
          <cell r="S53">
            <v>18.786000000000001</v>
          </cell>
          <cell r="T53">
            <v>23.986999999999995</v>
          </cell>
          <cell r="U53">
            <v>31.623999999999995</v>
          </cell>
          <cell r="V53">
            <v>40.762</v>
          </cell>
          <cell r="X53">
            <v>36.570999999999998</v>
          </cell>
          <cell r="Y53">
            <v>48.227000000000018</v>
          </cell>
          <cell r="Z53">
            <v>67.932999999999993</v>
          </cell>
          <cell r="AA53">
            <v>104.17599999999999</v>
          </cell>
          <cell r="AC53">
            <v>72.36</v>
          </cell>
          <cell r="AD53">
            <v>69.829000000000278</v>
          </cell>
          <cell r="AE53">
            <v>27.964999999999876</v>
          </cell>
          <cell r="AF53">
            <v>53.200000000000017</v>
          </cell>
          <cell r="AH53">
            <v>49.499999999999901</v>
          </cell>
          <cell r="AI53">
            <v>50.230825750000008</v>
          </cell>
          <cell r="AJ53">
            <v>51.487398567499994</v>
          </cell>
          <cell r="AK53">
            <v>68.944352919474994</v>
          </cell>
          <cell r="AM53">
            <v>64.210011174144483</v>
          </cell>
          <cell r="AN53">
            <v>74.096645575249127</v>
          </cell>
          <cell r="AO53">
            <v>79.933675581408565</v>
          </cell>
          <cell r="AP53">
            <v>99.125523794941756</v>
          </cell>
          <cell r="AR53">
            <v>93.160829450170539</v>
          </cell>
          <cell r="AS53">
            <v>100.34876153630184</v>
          </cell>
          <cell r="AT53">
            <v>110.03070614117082</v>
          </cell>
          <cell r="AU53">
            <v>133.78134844448019</v>
          </cell>
          <cell r="AW53">
            <v>68.779000000000011</v>
          </cell>
          <cell r="AX53">
            <v>42.846000000000004</v>
          </cell>
          <cell r="AY53">
            <v>46.490999999999993</v>
          </cell>
          <cell r="AZ53">
            <v>115.15899999999999</v>
          </cell>
          <cell r="BA53">
            <v>256.90699999999998</v>
          </cell>
          <cell r="BB53">
            <v>223.35400000000018</v>
          </cell>
          <cell r="BC53">
            <v>220.1625772369749</v>
          </cell>
          <cell r="BD53">
            <v>317.3658561257439</v>
          </cell>
          <cell r="BE53">
            <v>437.32164557212343</v>
          </cell>
          <cell r="BF53">
            <v>0.69425336527717385</v>
          </cell>
          <cell r="BG53">
            <v>220.16257723697424</v>
          </cell>
          <cell r="BH53">
            <v>383.55178974258473</v>
          </cell>
          <cell r="BI53">
            <v>574.00131536045706</v>
          </cell>
          <cell r="BJ53">
            <v>880.14485529224748</v>
          </cell>
          <cell r="BK53">
            <v>1182.2791176796773</v>
          </cell>
          <cell r="BL53">
            <v>1639.1338880732449</v>
          </cell>
          <cell r="BM53">
            <v>1861.9898736310834</v>
          </cell>
          <cell r="BN53">
            <v>1976.5517787069095</v>
          </cell>
          <cell r="BO53">
            <v>2081.0433789353401</v>
          </cell>
          <cell r="BP53">
            <v>2363.0190181969347</v>
          </cell>
          <cell r="BQ53">
            <v>2608.1209200166281</v>
          </cell>
          <cell r="BR53">
            <v>2823.8105936179586</v>
          </cell>
          <cell r="BS53">
            <v>2998.5192292350366</v>
          </cell>
          <cell r="BT53">
            <v>3121.979998404438</v>
          </cell>
          <cell r="BU53">
            <v>3218.2793983565712</v>
          </cell>
        </row>
        <row r="54">
          <cell r="A54" t="str">
            <v>Interest Expense/(Inc.)</v>
          </cell>
          <cell r="B54" t="str">
            <v>ie</v>
          </cell>
          <cell r="I54">
            <v>7.0060000000000011</v>
          </cell>
          <cell r="J54">
            <v>6.85</v>
          </cell>
          <cell r="K54">
            <v>7.9379999999999997</v>
          </cell>
          <cell r="L54">
            <v>11.839</v>
          </cell>
          <cell r="N54">
            <v>12.388999999999999</v>
          </cell>
          <cell r="O54">
            <v>13.048</v>
          </cell>
          <cell r="P54">
            <v>3.7360000000000002</v>
          </cell>
          <cell r="Q54">
            <v>3.0760000000000001</v>
          </cell>
          <cell r="S54">
            <v>3.2290000000000001</v>
          </cell>
          <cell r="T54">
            <v>2.238</v>
          </cell>
          <cell r="U54">
            <v>2.9950000000000001</v>
          </cell>
          <cell r="V54">
            <v>2.2069999999999999</v>
          </cell>
          <cell r="X54">
            <v>-1.8120000000000001</v>
          </cell>
          <cell r="Y54">
            <v>-6.282</v>
          </cell>
          <cell r="Z54">
            <v>-5.2290000000000001</v>
          </cell>
          <cell r="AA54">
            <v>-5.66</v>
          </cell>
          <cell r="AC54">
            <v>-3.5549999999999997</v>
          </cell>
          <cell r="AD54">
            <v>-2.444</v>
          </cell>
          <cell r="AE54">
            <v>-5.0750000000000002</v>
          </cell>
          <cell r="AF54">
            <v>3.2</v>
          </cell>
          <cell r="AH54">
            <v>1.7000000000000002</v>
          </cell>
          <cell r="AI54">
            <v>1.4000000000000004</v>
          </cell>
          <cell r="AJ54">
            <v>0.7</v>
          </cell>
          <cell r="AK54">
            <v>-1.0999999999999999</v>
          </cell>
          <cell r="AM54">
            <v>-1.1299999999999999</v>
          </cell>
          <cell r="AN54">
            <v>-1.1599999999999999</v>
          </cell>
          <cell r="AO54">
            <v>-1.19</v>
          </cell>
          <cell r="AP54">
            <v>-1.22</v>
          </cell>
          <cell r="AR54">
            <v>-1.22</v>
          </cell>
          <cell r="AS54">
            <v>-1.22</v>
          </cell>
          <cell r="AT54">
            <v>-1.22</v>
          </cell>
          <cell r="AU54">
            <v>-1.22</v>
          </cell>
          <cell r="AW54">
            <v>14.934999999999999</v>
          </cell>
          <cell r="AX54">
            <v>33.633000000000003</v>
          </cell>
          <cell r="AY54">
            <v>32.248999999999995</v>
          </cell>
          <cell r="AZ54">
            <v>10.669</v>
          </cell>
          <cell r="BA54">
            <v>-18.983000000000001</v>
          </cell>
          <cell r="BB54">
            <v>-7.8739999999999997</v>
          </cell>
          <cell r="BC54">
            <v>2.7000000000000011</v>
          </cell>
          <cell r="BD54">
            <v>-4.7</v>
          </cell>
          <cell r="BE54">
            <v>-4.88</v>
          </cell>
          <cell r="BF54">
            <v>6.1556056505864376E-2</v>
          </cell>
          <cell r="BG54">
            <v>2.7000000000000011</v>
          </cell>
          <cell r="BH54">
            <v>-4.7</v>
          </cell>
          <cell r="BI54">
            <v>46.306158753610518</v>
          </cell>
          <cell r="BJ54">
            <v>56.860184762809482</v>
          </cell>
          <cell r="BK54">
            <v>25.489162857133955</v>
          </cell>
          <cell r="BL54">
            <v>18.785605584367278</v>
          </cell>
          <cell r="BM54">
            <v>12.400161214364525</v>
          </cell>
          <cell r="BN54">
            <v>23.741652649830201</v>
          </cell>
          <cell r="BO54">
            <v>32.869353347631346</v>
          </cell>
          <cell r="BP54">
            <v>38.523072684034076</v>
          </cell>
          <cell r="BQ54">
            <v>25.492483652900294</v>
          </cell>
          <cell r="BR54">
            <v>-1.9399536255929162</v>
          </cell>
          <cell r="BS54">
            <v>-43.804592780236561</v>
          </cell>
          <cell r="BT54">
            <v>-71.243576848959151</v>
          </cell>
          <cell r="BU54">
            <v>-107.72667553536019</v>
          </cell>
        </row>
        <row r="55">
          <cell r="A55" t="str">
            <v>Interest Expense/(Inc.)</v>
          </cell>
          <cell r="B55" t="str">
            <v>ie</v>
          </cell>
          <cell r="I55">
            <v>7.0060000000000011</v>
          </cell>
          <cell r="J55">
            <v>6.85</v>
          </cell>
          <cell r="K55">
            <v>7.9379999999999997</v>
          </cell>
          <cell r="L55">
            <v>11.839</v>
          </cell>
          <cell r="N55">
            <v>12.388999999999999</v>
          </cell>
          <cell r="O55">
            <v>13.048</v>
          </cell>
          <cell r="P55">
            <v>3.7360000000000002</v>
          </cell>
          <cell r="Q55">
            <v>3.0760000000000001</v>
          </cell>
          <cell r="S55">
            <v>3.2290000000000001</v>
          </cell>
          <cell r="T55">
            <v>2.238</v>
          </cell>
          <cell r="U55">
            <v>2.9950000000000001</v>
          </cell>
          <cell r="V55">
            <v>2.2069999999999999</v>
          </cell>
          <cell r="X55">
            <v>-1.8120000000000001</v>
          </cell>
          <cell r="Y55">
            <v>-6.282</v>
          </cell>
          <cell r="Z55">
            <v>-5.2290000000000001</v>
          </cell>
          <cell r="AA55">
            <v>-5.66</v>
          </cell>
          <cell r="AC55">
            <v>-3.5549999999999997</v>
          </cell>
          <cell r="AD55">
            <v>-2.444</v>
          </cell>
          <cell r="AE55">
            <v>-5.0750000000000002</v>
          </cell>
          <cell r="AF55">
            <v>3.2</v>
          </cell>
          <cell r="AH55">
            <v>1.7</v>
          </cell>
          <cell r="AI55">
            <v>1.67</v>
          </cell>
          <cell r="AJ55">
            <v>1.64</v>
          </cell>
          <cell r="AK55">
            <v>1.6099999999999999</v>
          </cell>
          <cell r="AM55">
            <v>1.5799999999999998</v>
          </cell>
          <cell r="AN55">
            <v>1.5499999999999998</v>
          </cell>
          <cell r="AO55">
            <v>1.5199999999999998</v>
          </cell>
          <cell r="AP55">
            <v>1.4899999999999998</v>
          </cell>
          <cell r="AR55">
            <v>1.4899999999999998</v>
          </cell>
          <cell r="AS55">
            <v>1.4899999999999998</v>
          </cell>
          <cell r="AT55">
            <v>1.4899999999999998</v>
          </cell>
          <cell r="AU55">
            <v>1.4899999999999998</v>
          </cell>
          <cell r="AW55">
            <v>14.934999999999999</v>
          </cell>
          <cell r="AX55">
            <v>33.633000000000003</v>
          </cell>
          <cell r="AY55">
            <v>32.248999999999995</v>
          </cell>
          <cell r="AZ55">
            <v>10.669</v>
          </cell>
          <cell r="BA55">
            <v>-18.983000000000001</v>
          </cell>
          <cell r="BB55">
            <v>-7.8739999999999997</v>
          </cell>
          <cell r="BC55">
            <v>6.6199999999999992</v>
          </cell>
          <cell r="BD55">
            <v>6.1399999999999988</v>
          </cell>
          <cell r="BE55">
            <v>5.9599999999999991</v>
          </cell>
          <cell r="BG55">
            <v>6.6199999999999992</v>
          </cell>
          <cell r="BH55">
            <v>6.1399999999999988</v>
          </cell>
          <cell r="BI55">
            <v>52.128806669949959</v>
          </cell>
          <cell r="BJ55">
            <v>60.539581908064925</v>
          </cell>
          <cell r="BK55">
            <v>12.640467598476842</v>
          </cell>
          <cell r="BL55">
            <v>6.6550879493063135</v>
          </cell>
          <cell r="BM55">
            <v>0.87562900935265242</v>
          </cell>
          <cell r="BN55">
            <v>12.243717906560317</v>
          </cell>
          <cell r="BO55">
            <v>21.440912861778092</v>
          </cell>
          <cell r="BP55">
            <v>27.278528155823327</v>
          </cell>
          <cell r="BQ55">
            <v>15.008652785636912</v>
          </cell>
          <cell r="BR55">
            <v>-11.195603417325753</v>
          </cell>
          <cell r="BS55">
            <v>-51.374709227909634</v>
          </cell>
          <cell r="BT55">
            <v>-69.005696587732857</v>
          </cell>
          <cell r="BU55">
            <v>-103.59730615258037</v>
          </cell>
        </row>
        <row r="56">
          <cell r="A56" t="str">
            <v>Interest Expense</v>
          </cell>
          <cell r="B56" t="str">
            <v>cogs</v>
          </cell>
          <cell r="I56">
            <v>8.8030000000000008</v>
          </cell>
          <cell r="J56" t="str">
            <v>--</v>
          </cell>
          <cell r="K56" t="str">
            <v>--</v>
          </cell>
          <cell r="L56" t="str">
            <v>--</v>
          </cell>
          <cell r="N56" t="str">
            <v>--</v>
          </cell>
          <cell r="O56" t="str">
            <v>--</v>
          </cell>
          <cell r="P56" t="str">
            <v>--</v>
          </cell>
          <cell r="Q56" t="str">
            <v>--</v>
          </cell>
          <cell r="S56" t="str">
            <v>--</v>
          </cell>
          <cell r="T56" t="str">
            <v>--</v>
          </cell>
          <cell r="U56" t="str">
            <v>--</v>
          </cell>
          <cell r="V56" t="str">
            <v>--</v>
          </cell>
          <cell r="X56">
            <v>3.8380000000000001</v>
          </cell>
          <cell r="Y56">
            <v>3.919</v>
          </cell>
          <cell r="Z56">
            <v>3.706</v>
          </cell>
          <cell r="AA56">
            <v>6.3</v>
          </cell>
          <cell r="AC56">
            <v>4.3330000000000002</v>
          </cell>
          <cell r="AD56">
            <v>5.1150000000000002</v>
          </cell>
          <cell r="AE56">
            <v>4.4630000000000001</v>
          </cell>
          <cell r="AF56">
            <v>5.9</v>
          </cell>
          <cell r="AH56">
            <v>5.4</v>
          </cell>
          <cell r="AI56" t="str">
            <v>--</v>
          </cell>
          <cell r="AJ56" t="str">
            <v>--</v>
          </cell>
          <cell r="AK56" t="str">
            <v>--</v>
          </cell>
          <cell r="AM56" t="str">
            <v>--</v>
          </cell>
          <cell r="AN56" t="str">
            <v>--</v>
          </cell>
          <cell r="AO56" t="str">
            <v>--</v>
          </cell>
          <cell r="AP56" t="str">
            <v>--</v>
          </cell>
          <cell r="AR56" t="str">
            <v>--</v>
          </cell>
          <cell r="AS56" t="str">
            <v>--</v>
          </cell>
          <cell r="AT56" t="str">
            <v>--</v>
          </cell>
          <cell r="AU56" t="str">
            <v>--</v>
          </cell>
          <cell r="AW56" t="str">
            <v>--</v>
          </cell>
          <cell r="AX56" t="str">
            <v>--</v>
          </cell>
          <cell r="AY56" t="str">
            <v>--</v>
          </cell>
          <cell r="AZ56" t="str">
            <v>--</v>
          </cell>
          <cell r="BA56">
            <v>17.762999999999998</v>
          </cell>
          <cell r="BB56">
            <v>19.811</v>
          </cell>
          <cell r="BC56" t="str">
            <v>--</v>
          </cell>
          <cell r="BD56" t="str">
            <v>--</v>
          </cell>
          <cell r="BE56" t="str">
            <v>--</v>
          </cell>
          <cell r="BF56">
            <v>9064.0739999999987</v>
          </cell>
          <cell r="BG56" t="str">
            <v>--</v>
          </cell>
          <cell r="BH56" t="str">
            <v>--</v>
          </cell>
          <cell r="BI56" t="str">
            <v>--</v>
          </cell>
          <cell r="BJ56" t="str">
            <v>--</v>
          </cell>
          <cell r="BK56" t="str">
            <v>--</v>
          </cell>
          <cell r="BL56" t="str">
            <v>--</v>
          </cell>
          <cell r="BM56" t="str">
            <v>--</v>
          </cell>
          <cell r="BN56" t="str">
            <v>--</v>
          </cell>
          <cell r="BO56" t="str">
            <v>--</v>
          </cell>
          <cell r="BP56" t="str">
            <v>--</v>
          </cell>
          <cell r="BQ56" t="str">
            <v>--</v>
          </cell>
          <cell r="BR56" t="str">
            <v>--</v>
          </cell>
          <cell r="BS56" t="str">
            <v>--</v>
          </cell>
          <cell r="BT56" t="str">
            <v>--</v>
          </cell>
          <cell r="BU56">
            <v>13055.156067183396</v>
          </cell>
          <cell r="BV56">
            <v>15988.477634503241</v>
          </cell>
          <cell r="BW56">
            <v>18246.633336851413</v>
          </cell>
          <cell r="BX56">
            <v>15946.529557065212</v>
          </cell>
          <cell r="BY56">
            <v>16339.731655732572</v>
          </cell>
          <cell r="BZ56">
            <v>17877.5887527427</v>
          </cell>
          <cell r="CA56">
            <v>19507.525043436304</v>
          </cell>
        </row>
        <row r="57">
          <cell r="A57" t="str">
            <v>Interest (Income)</v>
          </cell>
          <cell r="I57">
            <v>-1.7969999999999999</v>
          </cell>
          <cell r="J57" t="str">
            <v>--</v>
          </cell>
          <cell r="K57" t="str">
            <v>--</v>
          </cell>
          <cell r="L57" t="str">
            <v>--</v>
          </cell>
          <cell r="N57" t="str">
            <v>--</v>
          </cell>
          <cell r="O57" t="str">
            <v>--</v>
          </cell>
          <cell r="P57" t="str">
            <v>--</v>
          </cell>
          <cell r="Q57" t="str">
            <v>--</v>
          </cell>
          <cell r="S57" t="str">
            <v>--</v>
          </cell>
          <cell r="T57" t="str">
            <v>--</v>
          </cell>
          <cell r="U57" t="str">
            <v>--</v>
          </cell>
          <cell r="V57" t="str">
            <v>--</v>
          </cell>
          <cell r="X57">
            <v>-5.65</v>
          </cell>
          <cell r="Y57">
            <v>-10.201000000000001</v>
          </cell>
          <cell r="Z57">
            <v>-8.9350000000000005</v>
          </cell>
          <cell r="AA57">
            <v>-12</v>
          </cell>
          <cell r="AC57">
            <v>-7.8879999999999999</v>
          </cell>
          <cell r="AD57">
            <v>-7.5590000000000002</v>
          </cell>
          <cell r="AE57">
            <v>-9.5380000000000003</v>
          </cell>
          <cell r="AF57">
            <v>-2.7</v>
          </cell>
          <cell r="AH57">
            <v>-3.7</v>
          </cell>
          <cell r="AI57" t="str">
            <v>--</v>
          </cell>
          <cell r="AJ57" t="str">
            <v>--</v>
          </cell>
          <cell r="AK57" t="str">
            <v>--</v>
          </cell>
          <cell r="AM57" t="str">
            <v>--</v>
          </cell>
          <cell r="AN57" t="str">
            <v>--</v>
          </cell>
          <cell r="AO57" t="str">
            <v>--</v>
          </cell>
          <cell r="AP57" t="str">
            <v>--</v>
          </cell>
          <cell r="AW57" t="str">
            <v>--</v>
          </cell>
          <cell r="AX57" t="str">
            <v>--</v>
          </cell>
          <cell r="AY57" t="str">
            <v>--</v>
          </cell>
          <cell r="AZ57" t="str">
            <v>--</v>
          </cell>
          <cell r="BA57">
            <v>-36.786000000000001</v>
          </cell>
          <cell r="BB57">
            <v>-27.684999999999999</v>
          </cell>
          <cell r="BC57" t="str">
            <v>--</v>
          </cell>
          <cell r="BD57" t="str">
            <v>--</v>
          </cell>
          <cell r="BE57" t="str">
            <v>--</v>
          </cell>
          <cell r="BG57" t="str">
            <v>--</v>
          </cell>
          <cell r="BH57" t="str">
            <v>--</v>
          </cell>
          <cell r="BI57" t="str">
            <v>--</v>
          </cell>
          <cell r="BJ57" t="str">
            <v>--</v>
          </cell>
          <cell r="BK57" t="str">
            <v>--</v>
          </cell>
          <cell r="BL57" t="str">
            <v>--</v>
          </cell>
          <cell r="BM57" t="str">
            <v>--</v>
          </cell>
          <cell r="BN57" t="str">
            <v>--</v>
          </cell>
          <cell r="BO57" t="str">
            <v>--</v>
          </cell>
          <cell r="BP57" t="str">
            <v>--</v>
          </cell>
          <cell r="BQ57" t="str">
            <v>--</v>
          </cell>
          <cell r="BR57" t="str">
            <v>--</v>
          </cell>
          <cell r="BS57" t="str">
            <v>--</v>
          </cell>
          <cell r="BT57" t="str">
            <v>--</v>
          </cell>
          <cell r="BU57" t="str">
            <v>--</v>
          </cell>
        </row>
        <row r="58">
          <cell r="A58" t="str">
            <v xml:space="preserve">Pretax Income </v>
          </cell>
          <cell r="B58" t="str">
            <v>ptinc</v>
          </cell>
          <cell r="I58">
            <v>1.0699999999999994</v>
          </cell>
          <cell r="J58">
            <v>1.1599999999999984</v>
          </cell>
          <cell r="K58">
            <v>3.7150000000000061</v>
          </cell>
          <cell r="L58">
            <v>3.2679999999999989</v>
          </cell>
          <cell r="N58">
            <v>-7.0430000000000028</v>
          </cell>
          <cell r="O58">
            <v>-3.9789999999999974</v>
          </cell>
          <cell r="P58">
            <v>9.095999999999993</v>
          </cell>
          <cell r="Q58">
            <v>16.167999999999999</v>
          </cell>
          <cell r="S58">
            <v>15.557000000000002</v>
          </cell>
          <cell r="T58">
            <v>21.748999999999995</v>
          </cell>
          <cell r="U58">
            <v>28.628999999999994</v>
          </cell>
          <cell r="V58">
            <v>38.555</v>
          </cell>
          <cell r="X58">
            <v>38.382999999999996</v>
          </cell>
          <cell r="Y58">
            <v>54.509000000000015</v>
          </cell>
          <cell r="Z58">
            <v>73.161999999999992</v>
          </cell>
          <cell r="AA58">
            <v>109.83599999999998</v>
          </cell>
          <cell r="AC58">
            <v>75.914999999999992</v>
          </cell>
          <cell r="AD58">
            <v>72.27300000000028</v>
          </cell>
          <cell r="AE58">
            <v>33.039999999999878</v>
          </cell>
          <cell r="AF58" t="str">
            <v xml:space="preserve"> </v>
          </cell>
          <cell r="AH58">
            <v>47.799999999999898</v>
          </cell>
          <cell r="AI58">
            <v>48.699999999999996</v>
          </cell>
          <cell r="AJ58">
            <v>51.119993439999988</v>
          </cell>
          <cell r="AK58">
            <v>68.003139999999973</v>
          </cell>
          <cell r="AM58">
            <v>62.163608675799999</v>
          </cell>
          <cell r="AN58">
            <v>73.208327989222383</v>
          </cell>
          <cell r="AO58">
            <v>78.989430995786492</v>
          </cell>
          <cell r="AP58">
            <v>98.005679653806098</v>
          </cell>
          <cell r="AR58">
            <v>92.167319618708191</v>
          </cell>
          <cell r="AS58">
            <v>99.273164626679616</v>
          </cell>
          <cell r="AT58">
            <v>108.82705525242545</v>
          </cell>
          <cell r="AU58">
            <v>132.3438646962851</v>
          </cell>
          <cell r="AW58">
            <v>53.844000000000008</v>
          </cell>
          <cell r="AX58">
            <v>9.213000000000001</v>
          </cell>
          <cell r="AY58">
            <v>14.241999999999992</v>
          </cell>
          <cell r="AZ58">
            <v>104.48999999999998</v>
          </cell>
          <cell r="BA58">
            <v>275.89</v>
          </cell>
          <cell r="BB58">
            <v>231.22800000000018</v>
          </cell>
          <cell r="BC58">
            <v>215.62313343999983</v>
          </cell>
          <cell r="BD58">
            <v>312.36704731461498</v>
          </cell>
          <cell r="BE58">
            <v>432.61140419409833</v>
          </cell>
          <cell r="BF58">
            <v>688.00099999999998</v>
          </cell>
          <cell r="BG58">
            <v>215.62313343999955</v>
          </cell>
          <cell r="BH58">
            <v>376.76810294984671</v>
          </cell>
          <cell r="BI58">
            <v>515.11896690764263</v>
          </cell>
          <cell r="BJ58">
            <v>851.74060880005618</v>
          </cell>
          <cell r="BK58">
            <v>1193.7518028855393</v>
          </cell>
          <cell r="BL58">
            <v>1670.1718478376883</v>
          </cell>
          <cell r="BM58">
            <v>1905.6872861976335</v>
          </cell>
          <cell r="BN58">
            <v>2012.1329322976223</v>
          </cell>
          <cell r="BO58">
            <v>2110.4385575318561</v>
          </cell>
          <cell r="BP58">
            <v>2394.6988666097859</v>
          </cell>
          <cell r="BQ58">
            <v>2659.7316495703021</v>
          </cell>
          <cell r="BR58">
            <v>2908.9260175066515</v>
          </cell>
          <cell r="BS58">
            <v>3130.4178204941577</v>
          </cell>
          <cell r="BT58">
            <v>3284.7933336714382</v>
          </cell>
          <cell r="BU58">
            <v>1043.2846101204875</v>
          </cell>
          <cell r="BV58">
            <v>1352.6043985805343</v>
          </cell>
          <cell r="BW58">
            <v>1522.2001808640939</v>
          </cell>
          <cell r="BX58">
            <v>856.97893299296709</v>
          </cell>
          <cell r="BY58">
            <v>1135.9171739279329</v>
          </cell>
          <cell r="BZ58">
            <v>1345.6249598838592</v>
          </cell>
          <cell r="CA58">
            <v>1445.7779033266436</v>
          </cell>
        </row>
        <row r="59">
          <cell r="A59" t="str">
            <v xml:space="preserve">Pretax Income </v>
          </cell>
          <cell r="B59" t="str">
            <v>ptinc</v>
          </cell>
          <cell r="I59">
            <v>1.0699999999999994</v>
          </cell>
          <cell r="J59">
            <v>1.1599999999999984</v>
          </cell>
          <cell r="K59">
            <v>3.7150000000000061</v>
          </cell>
          <cell r="L59">
            <v>3.2679999999999989</v>
          </cell>
          <cell r="N59">
            <v>-7.0430000000000028</v>
          </cell>
          <cell r="O59">
            <v>-3.9789999999999974</v>
          </cell>
          <cell r="P59">
            <v>9.095999999999993</v>
          </cell>
          <cell r="Q59">
            <v>16.167999999999999</v>
          </cell>
          <cell r="S59">
            <v>15.557000000000002</v>
          </cell>
          <cell r="T59">
            <v>21.748999999999995</v>
          </cell>
          <cell r="U59">
            <v>28.628999999999994</v>
          </cell>
          <cell r="V59">
            <v>38.555</v>
          </cell>
          <cell r="X59">
            <v>38.382999999999996</v>
          </cell>
          <cell r="Y59">
            <v>54.509000000000015</v>
          </cell>
          <cell r="Z59">
            <v>73.161999999999992</v>
          </cell>
          <cell r="AA59">
            <v>109.83599999999998</v>
          </cell>
          <cell r="AC59">
            <v>75.914999999999992</v>
          </cell>
          <cell r="AD59">
            <v>72.27300000000028</v>
          </cell>
          <cell r="AE59">
            <v>33.039999999999878</v>
          </cell>
          <cell r="AF59">
            <v>50.000000000000014</v>
          </cell>
          <cell r="AH59">
            <v>47.799999999999898</v>
          </cell>
          <cell r="AI59">
            <v>48.560825750000006</v>
          </cell>
          <cell r="AJ59">
            <v>49.847398567499994</v>
          </cell>
          <cell r="AK59">
            <v>67.334352919474995</v>
          </cell>
          <cell r="AM59">
            <v>62.630011174144485</v>
          </cell>
          <cell r="AN59">
            <v>72.54664557524913</v>
          </cell>
          <cell r="AO59">
            <v>78.413675581408569</v>
          </cell>
          <cell r="AP59">
            <v>97.635523794941761</v>
          </cell>
          <cell r="AR59">
            <v>91.670829450170544</v>
          </cell>
          <cell r="AS59">
            <v>98.858761536301841</v>
          </cell>
          <cell r="AT59">
            <v>108.54070614117083</v>
          </cell>
          <cell r="AU59">
            <v>132.29134844448018</v>
          </cell>
          <cell r="AW59">
            <v>53.844000000000008</v>
          </cell>
          <cell r="AX59">
            <v>9.213000000000001</v>
          </cell>
          <cell r="AY59">
            <v>14.241999999999992</v>
          </cell>
          <cell r="AZ59">
            <v>104.48999999999998</v>
          </cell>
          <cell r="BA59">
            <v>275.89</v>
          </cell>
          <cell r="BB59">
            <v>231.22800000000018</v>
          </cell>
          <cell r="BC59">
            <v>213.54257723697492</v>
          </cell>
          <cell r="BD59">
            <v>311.22585612574392</v>
          </cell>
          <cell r="BE59">
            <v>431.36164557212339</v>
          </cell>
          <cell r="BG59">
            <v>213.54257723697424</v>
          </cell>
          <cell r="BH59">
            <v>377.41178974258474</v>
          </cell>
          <cell r="BI59">
            <v>521.87250869050706</v>
          </cell>
          <cell r="BJ59">
            <v>819.60527338418251</v>
          </cell>
          <cell r="BK59">
            <v>1169.6386500812005</v>
          </cell>
          <cell r="BL59">
            <v>1632.4788001239385</v>
          </cell>
          <cell r="BM59">
            <v>1861.1142446217307</v>
          </cell>
          <cell r="BN59">
            <v>1964.3080608003493</v>
          </cell>
          <cell r="BO59">
            <v>2059.602466073562</v>
          </cell>
          <cell r="BP59">
            <v>2335.7404900411111</v>
          </cell>
          <cell r="BQ59">
            <v>2593.1122672309912</v>
          </cell>
          <cell r="BR59">
            <v>2835.0061970352845</v>
          </cell>
          <cell r="BS59">
            <v>3049.8939384629462</v>
          </cell>
          <cell r="BT59">
            <v>3190.9856949921709</v>
          </cell>
          <cell r="BU59">
            <v>3321.8767045091518</v>
          </cell>
        </row>
        <row r="60">
          <cell r="A60" t="str">
            <v xml:space="preserve">Taxes </v>
          </cell>
          <cell r="B60" t="str">
            <v>tax</v>
          </cell>
          <cell r="I60">
            <v>1.5349999999999999</v>
          </cell>
          <cell r="J60">
            <v>2.1999999999999997</v>
          </cell>
          <cell r="K60">
            <v>2.2749999999999999</v>
          </cell>
          <cell r="L60">
            <v>1.3</v>
          </cell>
          <cell r="N60">
            <v>0.45000000000000107</v>
          </cell>
          <cell r="O60">
            <v>0.72756000000000087</v>
          </cell>
          <cell r="P60">
            <v>2.7570000000000001</v>
          </cell>
          <cell r="Q60">
            <v>8.9670000000000005</v>
          </cell>
          <cell r="S60">
            <v>6.0670000000000002</v>
          </cell>
          <cell r="T60">
            <v>8.4979999999999993</v>
          </cell>
          <cell r="U60">
            <v>9.1609999999999996</v>
          </cell>
          <cell r="V60">
            <v>12.337999999999999</v>
          </cell>
          <cell r="X60">
            <v>12.282999999999999</v>
          </cell>
          <cell r="Y60">
            <v>13.082000000000001</v>
          </cell>
          <cell r="Z60">
            <v>17.484999999999999</v>
          </cell>
          <cell r="AA60">
            <v>26.361000000000001</v>
          </cell>
          <cell r="AC60">
            <v>18.177</v>
          </cell>
          <cell r="AD60">
            <v>12.3</v>
          </cell>
          <cell r="AE60">
            <v>5.61679999999998</v>
          </cell>
          <cell r="AF60">
            <v>8.5050000000000026</v>
          </cell>
          <cell r="AH60">
            <v>8.1</v>
          </cell>
          <cell r="AI60">
            <v>8.3000000000000007</v>
          </cell>
          <cell r="AJ60">
            <v>8.6903988847999987</v>
          </cell>
          <cell r="AK60">
            <v>11.560533799999996</v>
          </cell>
          <cell r="AM60">
            <v>10.567813474886</v>
          </cell>
          <cell r="AN60">
            <v>12.445415758167806</v>
          </cell>
          <cell r="AO60">
            <v>13.428203269283705</v>
          </cell>
          <cell r="AP60">
            <v>16.660965541147039</v>
          </cell>
          <cell r="AR60">
            <v>15.668444335180393</v>
          </cell>
          <cell r="AS60">
            <v>16.876437986535535</v>
          </cell>
          <cell r="AT60">
            <v>18.500599392912328</v>
          </cell>
          <cell r="AU60">
            <v>22.498456998368468</v>
          </cell>
          <cell r="AW60">
            <v>24.805999999999997</v>
          </cell>
          <cell r="AX60">
            <v>7.31</v>
          </cell>
          <cell r="AY60">
            <v>12.901560000000003</v>
          </cell>
          <cell r="AZ60">
            <v>36.064</v>
          </cell>
          <cell r="BA60">
            <v>69.210999999999999</v>
          </cell>
          <cell r="BB60">
            <v>44.598799999999983</v>
          </cell>
          <cell r="BC60">
            <v>36.65093268479999</v>
          </cell>
          <cell r="BD60">
            <v>53.102398043484556</v>
          </cell>
          <cell r="BE60">
            <v>73.54393871299672</v>
          </cell>
          <cell r="BF60">
            <v>326.05200000000002</v>
          </cell>
          <cell r="BG60">
            <v>36.650932684799947</v>
          </cell>
          <cell r="BH60">
            <v>64.050577501473953</v>
          </cell>
          <cell r="BI60">
            <v>87.570224374299258</v>
          </cell>
          <cell r="BJ60">
            <v>144.79590349600957</v>
          </cell>
          <cell r="BK60">
            <v>202.9378064905417</v>
          </cell>
          <cell r="BL60">
            <v>283.92921413240703</v>
          </cell>
          <cell r="BM60">
            <v>323.96683865359773</v>
          </cell>
          <cell r="BN60">
            <v>342.0625984905958</v>
          </cell>
          <cell r="BO60">
            <v>358.77455478041554</v>
          </cell>
          <cell r="BP60">
            <v>407.09880732366361</v>
          </cell>
          <cell r="BQ60">
            <v>452.15438042695138</v>
          </cell>
          <cell r="BR60">
            <v>494.51742297613077</v>
          </cell>
          <cell r="BS60">
            <v>532.17102948400679</v>
          </cell>
          <cell r="BT60">
            <v>558.41486672414453</v>
          </cell>
          <cell r="BU60">
            <v>437.05166099642037</v>
          </cell>
          <cell r="BV60">
            <v>520.23246099251321</v>
          </cell>
          <cell r="BW60">
            <v>632.60267256689622</v>
          </cell>
          <cell r="BX60">
            <v>655.33683111226901</v>
          </cell>
          <cell r="BY60">
            <v>611.6477090381178</v>
          </cell>
          <cell r="BZ60">
            <v>576.69641137879671</v>
          </cell>
          <cell r="CA60">
            <v>628.59908840288847</v>
          </cell>
        </row>
        <row r="61">
          <cell r="A61" t="str">
            <v xml:space="preserve">Taxes </v>
          </cell>
          <cell r="B61" t="str">
            <v>tax</v>
          </cell>
          <cell r="I61">
            <v>1.5349999999999999</v>
          </cell>
          <cell r="J61">
            <v>2.1999999999999997</v>
          </cell>
          <cell r="K61">
            <v>2.2749999999999999</v>
          </cell>
          <cell r="L61">
            <v>1.3</v>
          </cell>
          <cell r="N61">
            <v>0.45000000000000107</v>
          </cell>
          <cell r="O61">
            <v>0.72756000000000087</v>
          </cell>
          <cell r="P61">
            <v>2.7570000000000001</v>
          </cell>
          <cell r="Q61">
            <v>8.9670000000000005</v>
          </cell>
          <cell r="S61">
            <v>6.0670000000000002</v>
          </cell>
          <cell r="T61">
            <v>8.4979999999999993</v>
          </cell>
          <cell r="U61">
            <v>9.1609999999999996</v>
          </cell>
          <cell r="V61">
            <v>12.337999999999999</v>
          </cell>
          <cell r="X61">
            <v>12.282999999999999</v>
          </cell>
          <cell r="Y61">
            <v>13.082000000000001</v>
          </cell>
          <cell r="Z61">
            <v>17.484999999999999</v>
          </cell>
          <cell r="AA61">
            <v>26.361000000000001</v>
          </cell>
          <cell r="AC61">
            <v>18.177</v>
          </cell>
          <cell r="AD61">
            <v>12.3</v>
          </cell>
          <cell r="AE61">
            <v>5.61679999999998</v>
          </cell>
          <cell r="AF61">
            <v>8.5050000000000026</v>
          </cell>
          <cell r="AH61">
            <v>8.1</v>
          </cell>
          <cell r="AI61">
            <v>8.2553403775000014</v>
          </cell>
          <cell r="AJ61">
            <v>8.4740577564750001</v>
          </cell>
          <cell r="AK61">
            <v>11.44683999631075</v>
          </cell>
          <cell r="AM61">
            <v>10.647101899604563</v>
          </cell>
          <cell r="AN61">
            <v>12.332929747792353</v>
          </cell>
          <cell r="AO61">
            <v>13.330324848839458</v>
          </cell>
          <cell r="AP61">
            <v>16.598039045140101</v>
          </cell>
          <cell r="AR61">
            <v>15.584041006528993</v>
          </cell>
          <cell r="AS61">
            <v>16.805989461171315</v>
          </cell>
          <cell r="AT61">
            <v>18.451920043999042</v>
          </cell>
          <cell r="AU61">
            <v>22.489529235561633</v>
          </cell>
          <cell r="AW61">
            <v>24.805999999999997</v>
          </cell>
          <cell r="AX61">
            <v>7.31</v>
          </cell>
          <cell r="AY61">
            <v>12.901560000000003</v>
          </cell>
          <cell r="AZ61">
            <v>36.064</v>
          </cell>
          <cell r="BA61">
            <v>69.210999999999999</v>
          </cell>
          <cell r="BB61">
            <v>44.598799999999983</v>
          </cell>
          <cell r="BC61">
            <v>36.276238130285748</v>
          </cell>
          <cell r="BD61">
            <v>52.908395541376478</v>
          </cell>
          <cell r="BE61">
            <v>73.331479747260985</v>
          </cell>
          <cell r="BF61">
            <v>88.938999999999993</v>
          </cell>
          <cell r="BG61">
            <v>36.276238130285634</v>
          </cell>
          <cell r="BH61">
            <v>64.160004256239418</v>
          </cell>
          <cell r="BI61">
            <v>88.718326477386213</v>
          </cell>
          <cell r="BJ61">
            <v>139.33289647531103</v>
          </cell>
          <cell r="BK61">
            <v>198.83857051380409</v>
          </cell>
          <cell r="BL61">
            <v>277.52139602106956</v>
          </cell>
          <cell r="BM61">
            <v>316.38942158569427</v>
          </cell>
          <cell r="BN61">
            <v>333.93237033605942</v>
          </cell>
          <cell r="BO61">
            <v>350.13241923250558</v>
          </cell>
          <cell r="BP61">
            <v>397.07588330698894</v>
          </cell>
          <cell r="BQ61">
            <v>440.8290854292685</v>
          </cell>
          <cell r="BR61">
            <v>481.95105349599839</v>
          </cell>
          <cell r="BS61">
            <v>518.48196953870092</v>
          </cell>
          <cell r="BT61">
            <v>542.4675681486691</v>
          </cell>
          <cell r="BU61">
            <v>10.925000000000001</v>
          </cell>
          <cell r="BV61">
            <v>5</v>
          </cell>
          <cell r="BW61">
            <v>0</v>
          </cell>
          <cell r="BX61">
            <v>0</v>
          </cell>
          <cell r="BY61">
            <v>0</v>
          </cell>
          <cell r="BZ61">
            <v>0</v>
          </cell>
          <cell r="CA61">
            <v>0</v>
          </cell>
        </row>
        <row r="62">
          <cell r="A62" t="str">
            <v>Net Income, Ops.</v>
          </cell>
          <cell r="B62" t="str">
            <v>opni</v>
          </cell>
          <cell r="I62">
            <v>-0.46500000000000052</v>
          </cell>
          <cell r="J62">
            <v>-1.0400000000000014</v>
          </cell>
          <cell r="K62">
            <v>1.4400000000000062</v>
          </cell>
          <cell r="L62">
            <v>1.9679999999999989</v>
          </cell>
          <cell r="N62">
            <v>-7.4930000000000039</v>
          </cell>
          <cell r="O62">
            <v>-4.7065599999999979</v>
          </cell>
          <cell r="P62">
            <v>6.3389999999999933</v>
          </cell>
          <cell r="Q62">
            <v>7.2009999999999987</v>
          </cell>
          <cell r="S62">
            <v>9.490000000000002</v>
          </cell>
          <cell r="T62">
            <v>13.250999999999996</v>
          </cell>
          <cell r="U62">
            <v>19.467999999999996</v>
          </cell>
          <cell r="V62">
            <v>26.216999999999999</v>
          </cell>
          <cell r="X62">
            <v>26.099999999999994</v>
          </cell>
          <cell r="Y62">
            <v>41.427000000000014</v>
          </cell>
          <cell r="Z62">
            <v>55.676999999999992</v>
          </cell>
          <cell r="AA62">
            <v>83.47499999999998</v>
          </cell>
          <cell r="AC62">
            <v>57.737999999999992</v>
          </cell>
          <cell r="AD62">
            <v>59.973000000000283</v>
          </cell>
          <cell r="AE62">
            <v>27.423199999999898</v>
          </cell>
          <cell r="AF62">
            <v>41.495000000000012</v>
          </cell>
          <cell r="AH62">
            <v>39.699999999999896</v>
          </cell>
          <cell r="AI62">
            <v>40.399999999999991</v>
          </cell>
          <cell r="AJ62">
            <v>42.429594555199991</v>
          </cell>
          <cell r="AK62">
            <v>56.442606199999979</v>
          </cell>
          <cell r="AM62">
            <v>51.595795200913997</v>
          </cell>
          <cell r="AN62">
            <v>60.762912231054578</v>
          </cell>
          <cell r="AO62">
            <v>65.561227726502793</v>
          </cell>
          <cell r="AP62">
            <v>81.344714112659062</v>
          </cell>
          <cell r="AR62">
            <v>76.498875283527795</v>
          </cell>
          <cell r="AS62">
            <v>82.396726640144081</v>
          </cell>
          <cell r="AT62">
            <v>90.326455859513118</v>
          </cell>
          <cell r="AU62">
            <v>109.84540769791663</v>
          </cell>
          <cell r="AW62">
            <v>29.038000000000011</v>
          </cell>
          <cell r="AX62">
            <v>1.9030000000000014</v>
          </cell>
          <cell r="AY62">
            <v>1.3404399999999903</v>
          </cell>
          <cell r="AZ62">
            <v>68.425999999999988</v>
          </cell>
          <cell r="BA62">
            <v>206.67899999999997</v>
          </cell>
          <cell r="BB62">
            <v>186.62920000000017</v>
          </cell>
          <cell r="BC62">
            <v>178.97220075519985</v>
          </cell>
          <cell r="BD62">
            <v>259.26464927113045</v>
          </cell>
          <cell r="BE62">
            <v>359.06746548110164</v>
          </cell>
          <cell r="BF62">
            <v>16.103000000000002</v>
          </cell>
          <cell r="BG62">
            <v>178.97220075519959</v>
          </cell>
          <cell r="BH62">
            <v>312.71752544837273</v>
          </cell>
          <cell r="BI62">
            <v>427.54874253334339</v>
          </cell>
          <cell r="BJ62">
            <v>706.94470530404658</v>
          </cell>
          <cell r="BK62">
            <v>990.81399639499762</v>
          </cell>
          <cell r="BL62">
            <v>1386.2426337052814</v>
          </cell>
          <cell r="BM62">
            <v>1581.7204475440358</v>
          </cell>
          <cell r="BN62">
            <v>1670.0703338070266</v>
          </cell>
          <cell r="BO62">
            <v>1751.6640027514404</v>
          </cell>
          <cell r="BP62">
            <v>1987.6000592861224</v>
          </cell>
          <cell r="BQ62">
            <v>2207.5772691433508</v>
          </cell>
          <cell r="BR62">
            <v>2414.4085945305205</v>
          </cell>
          <cell r="BS62">
            <v>2598.2467910101509</v>
          </cell>
          <cell r="BT62">
            <v>2726.3784669472934</v>
          </cell>
          <cell r="BU62" t="str">
            <v xml:space="preserve"> --</v>
          </cell>
          <cell r="BV62" t="str">
            <v xml:space="preserve"> --</v>
          </cell>
          <cell r="BW62" t="str">
            <v xml:space="preserve"> --</v>
          </cell>
          <cell r="BX62" t="str">
            <v xml:space="preserve"> --</v>
          </cell>
          <cell r="BY62" t="str">
            <v xml:space="preserve"> --</v>
          </cell>
          <cell r="BZ62" t="str">
            <v xml:space="preserve"> --</v>
          </cell>
          <cell r="CA62" t="str">
            <v xml:space="preserve"> --</v>
          </cell>
        </row>
        <row r="63">
          <cell r="A63" t="str">
            <v>Net Income, Ops.</v>
          </cell>
          <cell r="B63" t="str">
            <v>opni</v>
          </cell>
          <cell r="I63">
            <v>-0.46500000000000052</v>
          </cell>
          <cell r="J63">
            <v>-1.0400000000000014</v>
          </cell>
          <cell r="K63">
            <v>1.4400000000000062</v>
          </cell>
          <cell r="L63">
            <v>1.9679999999999989</v>
          </cell>
          <cell r="N63">
            <v>-7.4930000000000039</v>
          </cell>
          <cell r="O63">
            <v>-4.7065599999999979</v>
          </cell>
          <cell r="P63">
            <v>6.3389999999999933</v>
          </cell>
          <cell r="Q63">
            <v>7.2009999999999987</v>
          </cell>
          <cell r="S63">
            <v>9.490000000000002</v>
          </cell>
          <cell r="T63">
            <v>13.250999999999996</v>
          </cell>
          <cell r="U63">
            <v>19.467999999999996</v>
          </cell>
          <cell r="V63">
            <v>26.216999999999999</v>
          </cell>
          <cell r="X63">
            <v>26.099999999999994</v>
          </cell>
          <cell r="Y63">
            <v>41.427000000000014</v>
          </cell>
          <cell r="Z63">
            <v>55.676999999999992</v>
          </cell>
          <cell r="AA63">
            <v>83.47499999999998</v>
          </cell>
          <cell r="AC63">
            <v>57.737999999999992</v>
          </cell>
          <cell r="AD63">
            <v>59.973000000000283</v>
          </cell>
          <cell r="AE63">
            <v>27.423199999999898</v>
          </cell>
          <cell r="AF63">
            <v>41.495000000000012</v>
          </cell>
          <cell r="AH63">
            <v>39.699999999999896</v>
          </cell>
          <cell r="AI63">
            <v>40.305485372500002</v>
          </cell>
          <cell r="AJ63">
            <v>41.373340811024995</v>
          </cell>
          <cell r="AK63">
            <v>55.887512923164245</v>
          </cell>
          <cell r="AM63">
            <v>51.982909274539921</v>
          </cell>
          <cell r="AN63">
            <v>60.213715827456781</v>
          </cell>
          <cell r="AO63">
            <v>65.083350732569116</v>
          </cell>
          <cell r="AP63">
            <v>81.037484749801663</v>
          </cell>
          <cell r="AR63">
            <v>76.086788443641552</v>
          </cell>
          <cell r="AS63">
            <v>82.05277207513052</v>
          </cell>
          <cell r="AT63">
            <v>90.088786097171791</v>
          </cell>
          <cell r="AU63">
            <v>109.80181920891854</v>
          </cell>
          <cell r="AW63">
            <v>29.038000000000011</v>
          </cell>
          <cell r="AX63">
            <v>1.9030000000000014</v>
          </cell>
          <cell r="AY63">
            <v>1.3404399999999903</v>
          </cell>
          <cell r="AZ63">
            <v>68.425999999999988</v>
          </cell>
          <cell r="BA63">
            <v>206.67899999999997</v>
          </cell>
          <cell r="BB63">
            <v>186.62920000000017</v>
          </cell>
          <cell r="BC63">
            <v>177.26633910668914</v>
          </cell>
          <cell r="BD63">
            <v>258.3174605843675</v>
          </cell>
          <cell r="BE63">
            <v>358.03016582486237</v>
          </cell>
          <cell r="BG63">
            <v>177.2663391066886</v>
          </cell>
          <cell r="BH63">
            <v>313.25178548634534</v>
          </cell>
          <cell r="BI63">
            <v>433.15418221312086</v>
          </cell>
          <cell r="BJ63">
            <v>680.27237690887148</v>
          </cell>
          <cell r="BK63">
            <v>970.80007956739632</v>
          </cell>
          <cell r="BL63">
            <v>1354.9574041028691</v>
          </cell>
          <cell r="BM63">
            <v>1544.7248230360365</v>
          </cell>
          <cell r="BN63">
            <v>1630.3756904642898</v>
          </cell>
          <cell r="BO63">
            <v>1709.4700468410565</v>
          </cell>
          <cell r="BP63">
            <v>1938.6646067341221</v>
          </cell>
          <cell r="BQ63">
            <v>2152.2831818017225</v>
          </cell>
          <cell r="BR63">
            <v>2353.0551435392863</v>
          </cell>
          <cell r="BS63">
            <v>2531.4119689242452</v>
          </cell>
          <cell r="BT63">
            <v>2648.5181268435017</v>
          </cell>
          <cell r="BU63">
            <v>2757.1576647425959</v>
          </cell>
        </row>
        <row r="64">
          <cell r="A64" t="str">
            <v>Extraordinary Items (a)</v>
          </cell>
          <cell r="B64" t="str">
            <v>xitem</v>
          </cell>
          <cell r="I64">
            <v>0</v>
          </cell>
          <cell r="J64">
            <v>-8.7629999999999999</v>
          </cell>
          <cell r="K64">
            <v>0</v>
          </cell>
          <cell r="L64">
            <v>0</v>
          </cell>
          <cell r="N64">
            <v>-24.325999999999993</v>
          </cell>
          <cell r="O64">
            <v>-14.510440000000001</v>
          </cell>
          <cell r="P64">
            <v>0</v>
          </cell>
          <cell r="Q64">
            <v>-10.974999999999998</v>
          </cell>
          <cell r="S64">
            <v>0</v>
          </cell>
          <cell r="T64">
            <v>0</v>
          </cell>
          <cell r="U64">
            <v>0</v>
          </cell>
          <cell r="V64">
            <v>0</v>
          </cell>
          <cell r="X64">
            <v>0</v>
          </cell>
          <cell r="Y64">
            <v>0</v>
          </cell>
          <cell r="Z64">
            <v>0</v>
          </cell>
          <cell r="AA64">
            <v>0</v>
          </cell>
          <cell r="AC64">
            <v>-2.9299999999999997</v>
          </cell>
          <cell r="AD64">
            <v>-44.140999999999998</v>
          </cell>
          <cell r="AE64">
            <v>-66.080199999999891</v>
          </cell>
          <cell r="AF64">
            <v>-113.3</v>
          </cell>
          <cell r="AH64">
            <v>0</v>
          </cell>
          <cell r="AI64">
            <v>0</v>
          </cell>
          <cell r="AJ64">
            <v>0</v>
          </cell>
          <cell r="AK64">
            <v>0</v>
          </cell>
          <cell r="AM64">
            <v>0</v>
          </cell>
          <cell r="AN64">
            <v>0</v>
          </cell>
          <cell r="AO64">
            <v>0</v>
          </cell>
          <cell r="AP64">
            <v>0</v>
          </cell>
          <cell r="AR64">
            <v>0</v>
          </cell>
          <cell r="AS64">
            <v>0</v>
          </cell>
          <cell r="AT64">
            <v>0</v>
          </cell>
          <cell r="AU64">
            <v>0</v>
          </cell>
          <cell r="AW64">
            <v>0</v>
          </cell>
          <cell r="AX64">
            <v>-8.7629999999999999</v>
          </cell>
          <cell r="AY64">
            <v>-49.81143999999999</v>
          </cell>
          <cell r="AZ64">
            <v>0</v>
          </cell>
          <cell r="BA64">
            <v>0</v>
          </cell>
          <cell r="BB64">
            <v>-226.45119999999989</v>
          </cell>
          <cell r="BC64">
            <v>0</v>
          </cell>
          <cell r="BD64">
            <v>0</v>
          </cell>
          <cell r="BE64">
            <v>0</v>
          </cell>
          <cell r="BF64">
            <v>256.90699999999998</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595.30794912406714</v>
          </cell>
          <cell r="BV64">
            <v>827.37193758802107</v>
          </cell>
          <cell r="BW64">
            <v>889.59750829719769</v>
          </cell>
          <cell r="BX64">
            <v>201.64210188069808</v>
          </cell>
          <cell r="BY64">
            <v>524.26946488981514</v>
          </cell>
          <cell r="BZ64">
            <v>768.92854850506251</v>
          </cell>
          <cell r="CA64">
            <v>817.17881492375511</v>
          </cell>
        </row>
        <row r="65">
          <cell r="A65" t="str">
            <v>Net Income</v>
          </cell>
          <cell r="B65" t="str">
            <v>ni</v>
          </cell>
          <cell r="I65">
            <v>-0.46500000000000052</v>
          </cell>
          <cell r="J65">
            <v>-9.8030000000000008</v>
          </cell>
          <cell r="K65">
            <v>1.4400000000000062</v>
          </cell>
          <cell r="L65">
            <v>1.9679999999999989</v>
          </cell>
          <cell r="N65">
            <v>-31.818999999999999</v>
          </cell>
          <cell r="O65">
            <v>-19.216999999999999</v>
          </cell>
          <cell r="P65">
            <v>6.3389999999999933</v>
          </cell>
          <cell r="Q65">
            <v>-3.774</v>
          </cell>
          <cell r="S65">
            <v>9.490000000000002</v>
          </cell>
          <cell r="T65">
            <v>13.250999999999996</v>
          </cell>
          <cell r="U65">
            <v>19.467999999999996</v>
          </cell>
          <cell r="V65">
            <v>26.216999999999999</v>
          </cell>
          <cell r="X65">
            <v>26.099999999999994</v>
          </cell>
          <cell r="Y65">
            <v>41.427000000000014</v>
          </cell>
          <cell r="Z65">
            <v>55.676999999999992</v>
          </cell>
          <cell r="AA65">
            <v>83.47499999999998</v>
          </cell>
          <cell r="AC65">
            <v>54.807999999999993</v>
          </cell>
          <cell r="AD65">
            <v>15.832000000000285</v>
          </cell>
          <cell r="AE65">
            <v>-38.656999999999996</v>
          </cell>
          <cell r="AF65">
            <v>-71.804999999999978</v>
          </cell>
          <cell r="AH65">
            <v>39.699999999999896</v>
          </cell>
          <cell r="AI65">
            <v>40.305485372500002</v>
          </cell>
          <cell r="AJ65">
            <v>41.373340811024995</v>
          </cell>
          <cell r="AK65">
            <v>55.887512923164245</v>
          </cell>
          <cell r="AM65">
            <v>51.982909274539921</v>
          </cell>
          <cell r="AN65">
            <v>60.213715827456781</v>
          </cell>
          <cell r="AO65">
            <v>65.083350732569116</v>
          </cell>
          <cell r="AP65">
            <v>81.037484749801663</v>
          </cell>
          <cell r="AR65">
            <v>76.086788443641552</v>
          </cell>
          <cell r="AS65">
            <v>82.05277207513052</v>
          </cell>
          <cell r="AT65">
            <v>90.088786097171791</v>
          </cell>
          <cell r="AU65">
            <v>109.80181920891854</v>
          </cell>
          <cell r="AW65">
            <v>29.038000000000011</v>
          </cell>
          <cell r="AX65">
            <v>-6.859999999999995</v>
          </cell>
          <cell r="AY65">
            <v>-48.471000000000011</v>
          </cell>
          <cell r="AZ65">
            <v>68.425999999999988</v>
          </cell>
          <cell r="BA65">
            <v>206.67899999999997</v>
          </cell>
          <cell r="BB65">
            <v>-39.821999999999704</v>
          </cell>
          <cell r="BC65">
            <v>177.26633910668917</v>
          </cell>
          <cell r="BD65">
            <v>258.31746058436744</v>
          </cell>
          <cell r="BE65">
            <v>358.03016582486237</v>
          </cell>
          <cell r="BG65">
            <v>177.2663391066886</v>
          </cell>
          <cell r="BH65">
            <v>313.25178548634534</v>
          </cell>
          <cell r="BI65">
            <v>433.15418221312086</v>
          </cell>
          <cell r="BJ65">
            <v>680.27237690887148</v>
          </cell>
          <cell r="BK65">
            <v>970.80007956739632</v>
          </cell>
          <cell r="BL65">
            <v>1354.9574041028691</v>
          </cell>
          <cell r="BM65">
            <v>1544.7248230360365</v>
          </cell>
          <cell r="BN65">
            <v>1630.3756904642898</v>
          </cell>
          <cell r="BO65">
            <v>1709.4700468410565</v>
          </cell>
          <cell r="BP65">
            <v>1938.6646067341221</v>
          </cell>
          <cell r="BQ65">
            <v>2152.2831818017225</v>
          </cell>
          <cell r="BR65">
            <v>2353.0551435392863</v>
          </cell>
          <cell r="BS65">
            <v>2531.4119689242452</v>
          </cell>
          <cell r="BT65">
            <v>2648.5181268435017</v>
          </cell>
          <cell r="BU65">
            <v>2757.1576647425959</v>
          </cell>
        </row>
        <row r="66">
          <cell r="A66" t="str">
            <v>Diluted Operating EPS</v>
          </cell>
          <cell r="B66" t="str">
            <v>opeps</v>
          </cell>
          <cell r="I66">
            <v>-7.4954060414584699E-3</v>
          </cell>
          <cell r="J66">
            <v>-1.3541666666666684E-2</v>
          </cell>
          <cell r="K66">
            <v>1.8701298701298781E-2</v>
          </cell>
          <cell r="L66" t="str">
            <v xml:space="preserve"> </v>
          </cell>
          <cell r="N66">
            <v>-0.10236338797814212</v>
          </cell>
          <cell r="O66">
            <v>-5.8034032059186169E-2</v>
          </cell>
          <cell r="P66">
            <v>5.0428779069767393E-2</v>
          </cell>
          <cell r="Q66">
            <v>5.4820801124385088E-2</v>
          </cell>
          <cell r="S66">
            <v>6.0510470890205593E-2</v>
          </cell>
          <cell r="T66">
            <v>7.6949999999999977E-2</v>
          </cell>
          <cell r="U66">
            <v>0.11136514983351831</v>
          </cell>
          <cell r="V66">
            <v>0.14166402535657685</v>
          </cell>
          <cell r="X66">
            <v>0.1308270676691729</v>
          </cell>
          <cell r="Y66">
            <v>0.19550259556394531</v>
          </cell>
          <cell r="Z66">
            <v>0.25307727272727271</v>
          </cell>
          <cell r="AA66">
            <v>0.37499999999999994</v>
          </cell>
          <cell r="AC66">
            <v>0.24570526844313736</v>
          </cell>
          <cell r="AD66">
            <v>0.2658990547466627</v>
          </cell>
          <cell r="AE66">
            <v>0.10787192868214164</v>
          </cell>
          <cell r="AF66">
            <v>0.16466314398943202</v>
          </cell>
          <cell r="AH66">
            <v>0.14991554054054013</v>
          </cell>
          <cell r="AI66">
            <v>0.15296610169491523</v>
          </cell>
          <cell r="AJ66">
            <v>0.15260671972391651</v>
          </cell>
          <cell r="AK66">
            <v>0.22469190366242031</v>
          </cell>
          <cell r="AM66">
            <v>0.20377486256285149</v>
          </cell>
          <cell r="AN66">
            <v>0.23809918585836434</v>
          </cell>
          <cell r="AO66">
            <v>0.25490368478422548</v>
          </cell>
          <cell r="AP66">
            <v>0.31382991555809825</v>
          </cell>
          <cell r="AR66">
            <v>0.29242689328565674</v>
          </cell>
          <cell r="AS66">
            <v>0.31258242276230686</v>
          </cell>
          <cell r="AT66">
            <v>0.34008454766382956</v>
          </cell>
          <cell r="AU66">
            <v>0.41048358631508464</v>
          </cell>
          <cell r="AW66" t="str">
            <v xml:space="preserve"> --</v>
          </cell>
          <cell r="AX66">
            <v>2.5855978260869585E-2</v>
          </cell>
          <cell r="AY66">
            <v>1.2141666666666578E-2</v>
          </cell>
          <cell r="AZ66">
            <v>0.39968457943925229</v>
          </cell>
          <cell r="BA66">
            <v>0.97582152974504233</v>
          </cell>
          <cell r="BB66">
            <v>0.80238055165965483</v>
          </cell>
          <cell r="BC66">
            <v>0.66408631629757431</v>
          </cell>
          <cell r="BD66">
            <v>1.0119619409489871</v>
          </cell>
          <cell r="BE66">
            <v>1.3570198997774061</v>
          </cell>
          <cell r="BF66">
            <v>-18.983000000000001</v>
          </cell>
          <cell r="BG66">
            <v>0.73560296241347956</v>
          </cell>
          <cell r="BH66">
            <v>1.2205992406259669</v>
          </cell>
          <cell r="BI66">
            <v>1.6158304706475564</v>
          </cell>
          <cell r="BJ66">
            <v>2.6221984618102621</v>
          </cell>
          <cell r="BK66">
            <v>4.072396203842982</v>
          </cell>
          <cell r="BL66">
            <v>5.4107831136037525</v>
          </cell>
          <cell r="BM66">
            <v>5.9777794691762507</v>
          </cell>
          <cell r="BN66">
            <v>6.1946228998776958</v>
          </cell>
          <cell r="BO66">
            <v>7.1996054367095779</v>
          </cell>
          <cell r="BP66">
            <v>7.7580017926858797</v>
          </cell>
          <cell r="BQ66">
            <v>8.3430735795289159</v>
          </cell>
          <cell r="BR66">
            <v>8.9555214930657296</v>
          </cell>
          <cell r="BS66">
            <v>10.679189441061039</v>
          </cell>
          <cell r="BT66">
            <v>10.641602134845018</v>
          </cell>
          <cell r="BU66">
            <v>-2.7048173311407084</v>
          </cell>
          <cell r="BV66">
            <v>-1.4281299944721799</v>
          </cell>
          <cell r="BW66">
            <v>-1.8037860337250426</v>
          </cell>
          <cell r="BX66">
            <v>-1.5075396532024705</v>
          </cell>
          <cell r="BY66">
            <v>-2.8431371810673092</v>
          </cell>
          <cell r="BZ66">
            <v>-6.8828889183402628</v>
          </cell>
          <cell r="CA66">
            <v>-8.3811601646730711</v>
          </cell>
        </row>
        <row r="67">
          <cell r="A67" t="str">
            <v>Diluted Operating EPS</v>
          </cell>
          <cell r="B67" t="str">
            <v>opeps</v>
          </cell>
          <cell r="I67">
            <v>-7.4954060414584699E-3</v>
          </cell>
          <cell r="J67">
            <v>-1.3541666666666684E-2</v>
          </cell>
          <cell r="K67">
            <v>1.8701298701298781E-2</v>
          </cell>
          <cell r="L67">
            <v>2.5230769230769216E-2</v>
          </cell>
          <cell r="N67">
            <v>-0.10236338797814212</v>
          </cell>
          <cell r="O67">
            <v>-5.8034032059186169E-2</v>
          </cell>
          <cell r="P67">
            <v>5.0428779069767393E-2</v>
          </cell>
          <cell r="Q67">
            <v>5.4820801124385088E-2</v>
          </cell>
          <cell r="S67">
            <v>6.0510470890205593E-2</v>
          </cell>
          <cell r="T67">
            <v>7.6949999999999977E-2</v>
          </cell>
          <cell r="U67">
            <v>0.11136514983351831</v>
          </cell>
          <cell r="V67">
            <v>0.14166402535657685</v>
          </cell>
          <cell r="X67">
            <v>0.1308270676691729</v>
          </cell>
          <cell r="Y67">
            <v>0.19550259556394531</v>
          </cell>
          <cell r="Z67">
            <v>0.25307727272727271</v>
          </cell>
          <cell r="AA67">
            <v>0.37499999999999994</v>
          </cell>
          <cell r="AC67">
            <v>0.24570526844313736</v>
          </cell>
          <cell r="AD67">
            <v>0.2658990547466627</v>
          </cell>
          <cell r="AE67">
            <v>0.10787192868214164</v>
          </cell>
          <cell r="AF67">
            <v>0.16466314398943202</v>
          </cell>
          <cell r="AH67">
            <v>0.14991554054054013</v>
          </cell>
          <cell r="AI67">
            <v>0.14465843861992769</v>
          </cell>
          <cell r="AJ67">
            <v>0.14736285695904741</v>
          </cell>
          <cell r="AK67">
            <v>0.22098660705086692</v>
          </cell>
          <cell r="AM67">
            <v>0.20393452049642966</v>
          </cell>
          <cell r="AN67">
            <v>0.23438581482077378</v>
          </cell>
          <cell r="AO67">
            <v>0.25138412797438825</v>
          </cell>
          <cell r="AP67">
            <v>0.31060745400460588</v>
          </cell>
          <cell r="AR67">
            <v>0.2889737502606971</v>
          </cell>
          <cell r="AS67">
            <v>0.30928297050558051</v>
          </cell>
          <cell r="AT67">
            <v>0.33703249568713728</v>
          </cell>
          <cell r="AU67">
            <v>0.40773048350879515</v>
          </cell>
          <cell r="AW67" t="str">
            <v xml:space="preserve"> --</v>
          </cell>
          <cell r="AX67">
            <v>2.5855978260869585E-2</v>
          </cell>
          <cell r="AY67">
            <v>1.2141666666666578E-2</v>
          </cell>
          <cell r="AZ67">
            <v>0.39968457943925229</v>
          </cell>
          <cell r="BA67">
            <v>0.97582152974504233</v>
          </cell>
          <cell r="BB67">
            <v>0.80238055165965483</v>
          </cell>
          <cell r="BC67">
            <v>0.64625099184108803</v>
          </cell>
          <cell r="BD67">
            <v>1.0016186916803704</v>
          </cell>
          <cell r="BE67">
            <v>1.3444617567587771</v>
          </cell>
          <cell r="BF67">
            <v>17.762999999999998</v>
          </cell>
          <cell r="BG67">
            <v>0.71658954666675534</v>
          </cell>
          <cell r="BH67">
            <v>1.2146249921921108</v>
          </cell>
          <cell r="BI67">
            <v>1.6265647097751439</v>
          </cell>
          <cell r="BJ67">
            <v>2.507454393324259</v>
          </cell>
          <cell r="BK67">
            <v>3.924406587437681</v>
          </cell>
          <cell r="BL67">
            <v>5.2538092442918538</v>
          </cell>
          <cell r="BM67">
            <v>5.800694040691087</v>
          </cell>
          <cell r="BN67">
            <v>6.009493883023552</v>
          </cell>
          <cell r="BO67">
            <v>6.9104398053200873</v>
          </cell>
          <cell r="BP67">
            <v>7.5171175135095858</v>
          </cell>
          <cell r="BQ67">
            <v>8.0821749222745876</v>
          </cell>
          <cell r="BR67">
            <v>8.6732589146306154</v>
          </cell>
          <cell r="BS67">
            <v>10.233095377157131</v>
          </cell>
          <cell r="BT67">
            <v>10.269554582564956</v>
          </cell>
          <cell r="BU67">
            <v>0.186</v>
          </cell>
          <cell r="BV67">
            <v>0.186</v>
          </cell>
          <cell r="BW67">
            <v>0.186</v>
          </cell>
          <cell r="BX67">
            <v>0.186</v>
          </cell>
          <cell r="BY67">
            <v>0.186</v>
          </cell>
          <cell r="BZ67">
            <v>0.186</v>
          </cell>
          <cell r="CA67">
            <v>0.186</v>
          </cell>
        </row>
        <row r="68">
          <cell r="A68" t="str">
            <v>Extraordinary Items (a)</v>
          </cell>
          <cell r="I68">
            <v>0</v>
          </cell>
          <cell r="J68">
            <v>-0.1141015625</v>
          </cell>
          <cell r="K68">
            <v>0</v>
          </cell>
          <cell r="L68">
            <v>0</v>
          </cell>
          <cell r="N68">
            <v>-0.30637279596977318</v>
          </cell>
          <cell r="O68">
            <v>-0.17892034525277437</v>
          </cell>
          <cell r="P68">
            <v>0</v>
          </cell>
          <cell r="Q68">
            <v>-7.7125790583274748E-2</v>
          </cell>
          <cell r="S68" t="str">
            <v xml:space="preserve"> --</v>
          </cell>
          <cell r="T68" t="str">
            <v xml:space="preserve"> --</v>
          </cell>
          <cell r="U68" t="str">
            <v xml:space="preserve"> --</v>
          </cell>
          <cell r="V68" t="str">
            <v xml:space="preserve"> --</v>
          </cell>
          <cell r="X68" t="str">
            <v xml:space="preserve"> --</v>
          </cell>
          <cell r="Y68" t="str">
            <v xml:space="preserve"> --</v>
          </cell>
          <cell r="Z68" t="str">
            <v xml:space="preserve"> --</v>
          </cell>
          <cell r="AA68" t="str">
            <v xml:space="preserve"> --</v>
          </cell>
          <cell r="AC68" t="str">
            <v xml:space="preserve"> --</v>
          </cell>
          <cell r="AD68">
            <v>-0.19570557043290118</v>
          </cell>
          <cell r="AE68">
            <v>-0.30302844093072689</v>
          </cell>
          <cell r="AF68">
            <v>-0.49889916336415674</v>
          </cell>
          <cell r="AH68">
            <v>0</v>
          </cell>
          <cell r="AI68">
            <v>0</v>
          </cell>
          <cell r="AJ68">
            <v>0</v>
          </cell>
          <cell r="AK68">
            <v>0</v>
          </cell>
          <cell r="AM68">
            <v>0</v>
          </cell>
          <cell r="AN68">
            <v>0</v>
          </cell>
          <cell r="AO68">
            <v>0</v>
          </cell>
          <cell r="AP68">
            <v>0</v>
          </cell>
          <cell r="AR68">
            <v>0</v>
          </cell>
          <cell r="AS68">
            <v>0</v>
          </cell>
          <cell r="AT68">
            <v>0</v>
          </cell>
          <cell r="AU68">
            <v>0</v>
          </cell>
          <cell r="AW68">
            <v>0</v>
          </cell>
          <cell r="AX68">
            <v>-0.1190625</v>
          </cell>
          <cell r="AY68">
            <v>-0.45119057971014481</v>
          </cell>
          <cell r="AZ68">
            <v>0</v>
          </cell>
          <cell r="BA68">
            <v>0</v>
          </cell>
          <cell r="BB68">
            <v>-1.0586778868630196</v>
          </cell>
          <cell r="BC68">
            <v>0</v>
          </cell>
          <cell r="BD68">
            <v>0</v>
          </cell>
          <cell r="BE68">
            <v>0</v>
          </cell>
          <cell r="BF68">
            <v>-36.786000000000001</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-2.8908173311407084</v>
          </cell>
          <cell r="BV68">
            <v>-1.6141299944721799</v>
          </cell>
          <cell r="BW68">
            <v>-1.9897860337250426</v>
          </cell>
          <cell r="BX68">
            <v>-1.6935396532024705</v>
          </cell>
          <cell r="BY68">
            <v>-3.0291371810673091</v>
          </cell>
          <cell r="BZ68">
            <v>-7.0688889183402628</v>
          </cell>
          <cell r="CA68">
            <v>-8.5671601646730711</v>
          </cell>
        </row>
        <row r="69">
          <cell r="A69" t="str">
            <v>Diluted EPS</v>
          </cell>
          <cell r="I69">
            <v>-7.4954060414584699E-3</v>
          </cell>
          <cell r="J69">
            <v>-0.12764322916666668</v>
          </cell>
          <cell r="K69">
            <v>1.8701298701298781E-2</v>
          </cell>
          <cell r="L69">
            <v>2.5230769230769216E-2</v>
          </cell>
          <cell r="N69">
            <v>-0.40873618394791533</v>
          </cell>
          <cell r="O69">
            <v>-0.23695437731196053</v>
          </cell>
          <cell r="P69">
            <v>5.0428779069767393E-2</v>
          </cell>
          <cell r="Q69">
            <v>-2.230498945888966E-2</v>
          </cell>
          <cell r="S69">
            <v>6.0510470890205593E-2</v>
          </cell>
          <cell r="T69">
            <v>7.6949999999999977E-2</v>
          </cell>
          <cell r="U69">
            <v>0.11136514983351831</v>
          </cell>
          <cell r="V69">
            <v>0.14166402535657685</v>
          </cell>
          <cell r="X69">
            <v>0.1308270676691729</v>
          </cell>
          <cell r="Y69">
            <v>0.19550259556394531</v>
          </cell>
          <cell r="Z69">
            <v>0.25307727272727271</v>
          </cell>
          <cell r="AA69">
            <v>0.37499999999999994</v>
          </cell>
          <cell r="AC69">
            <v>0.24570526844313736</v>
          </cell>
          <cell r="AD69">
            <v>7.0193484313761517E-2</v>
          </cell>
          <cell r="AE69">
            <v>-0.19515651224858527</v>
          </cell>
          <cell r="AF69">
            <v>-0.33423601937472469</v>
          </cell>
          <cell r="AH69">
            <v>0.14991554054054013</v>
          </cell>
          <cell r="AI69">
            <v>0.14465843861992769</v>
          </cell>
          <cell r="AJ69">
            <v>0.14736285695904741</v>
          </cell>
          <cell r="AK69">
            <v>0.22098660705086692</v>
          </cell>
          <cell r="AM69">
            <v>0.20393452049642966</v>
          </cell>
          <cell r="AN69">
            <v>0.23438581482077378</v>
          </cell>
          <cell r="AO69">
            <v>0.25138412797438825</v>
          </cell>
          <cell r="AP69">
            <v>0.31060745400460588</v>
          </cell>
          <cell r="AR69">
            <v>0.2889737502606971</v>
          </cell>
          <cell r="AS69">
            <v>0.30928297050558051</v>
          </cell>
          <cell r="AT69">
            <v>0.33703249568713728</v>
          </cell>
          <cell r="AU69">
            <v>0.40773048350879515</v>
          </cell>
          <cell r="AW69" t="str">
            <v xml:space="preserve"> --</v>
          </cell>
          <cell r="AX69">
            <v>-9.320652173913041E-2</v>
          </cell>
          <cell r="AY69">
            <v>-0.43904891304347826</v>
          </cell>
          <cell r="AZ69">
            <v>0.39968457943925229</v>
          </cell>
          <cell r="BA69">
            <v>0.97582152974504233</v>
          </cell>
          <cell r="BB69">
            <v>-0.25629733520336473</v>
          </cell>
          <cell r="BC69">
            <v>0.64625099184108803</v>
          </cell>
          <cell r="BD69">
            <v>1.0016186916803704</v>
          </cell>
          <cell r="BE69">
            <v>1.3444617567587771</v>
          </cell>
          <cell r="BG69">
            <v>0.71658954666675534</v>
          </cell>
          <cell r="BH69">
            <v>1.2146249921921108</v>
          </cell>
          <cell r="BI69">
            <v>1.6265647097751439</v>
          </cell>
          <cell r="BJ69">
            <v>2.507454393324259</v>
          </cell>
          <cell r="BK69">
            <v>3.924406587437681</v>
          </cell>
          <cell r="BL69">
            <v>5.2538092442918538</v>
          </cell>
          <cell r="BM69">
            <v>5.800694040691087</v>
          </cell>
          <cell r="BN69">
            <v>6.009493883023552</v>
          </cell>
          <cell r="BO69">
            <v>6.9104398053200873</v>
          </cell>
          <cell r="BP69">
            <v>7.5171175135095858</v>
          </cell>
          <cell r="BQ69">
            <v>8.0821749222745876</v>
          </cell>
          <cell r="BR69">
            <v>8.6732589146306154</v>
          </cell>
          <cell r="BS69">
            <v>10.233095377157131</v>
          </cell>
          <cell r="BT69">
            <v>10.269554582564956</v>
          </cell>
          <cell r="BU69">
            <v>10.353577411725857</v>
          </cell>
        </row>
        <row r="70">
          <cell r="A70" t="str">
            <v>Acutal Shares Outstanding (MM)</v>
          </cell>
          <cell r="B70" t="str">
            <v>ptinc</v>
          </cell>
          <cell r="I70" t="str">
            <v>--</v>
          </cell>
          <cell r="J70" t="str">
            <v>--</v>
          </cell>
          <cell r="K70" t="str">
            <v>--</v>
          </cell>
          <cell r="L70" t="str">
            <v>--</v>
          </cell>
          <cell r="N70" t="str">
            <v>--</v>
          </cell>
          <cell r="O70">
            <v>74.7</v>
          </cell>
          <cell r="P70">
            <v>133.9</v>
          </cell>
          <cell r="Q70">
            <v>149.1</v>
          </cell>
          <cell r="S70">
            <v>168</v>
          </cell>
          <cell r="T70">
            <v>168.5</v>
          </cell>
          <cell r="U70">
            <v>169</v>
          </cell>
          <cell r="V70">
            <v>185.4</v>
          </cell>
          <cell r="X70">
            <v>202.5</v>
          </cell>
          <cell r="Y70">
            <v>202.8</v>
          </cell>
          <cell r="Z70">
            <v>203.2</v>
          </cell>
          <cell r="AA70">
            <v>203.4</v>
          </cell>
          <cell r="AC70">
            <v>203.8</v>
          </cell>
          <cell r="AD70">
            <v>216.3</v>
          </cell>
          <cell r="AE70">
            <v>219.9</v>
          </cell>
          <cell r="AF70">
            <v>229.7</v>
          </cell>
          <cell r="AH70">
            <v>230.1</v>
          </cell>
          <cell r="AI70">
            <v>230.3</v>
          </cell>
          <cell r="AJ70" t="str">
            <v xml:space="preserve"> --</v>
          </cell>
          <cell r="AK70" t="str">
            <v xml:space="preserve"> --</v>
          </cell>
          <cell r="AM70" t="str">
            <v xml:space="preserve"> --</v>
          </cell>
          <cell r="AN70" t="str">
            <v xml:space="preserve"> --</v>
          </cell>
          <cell r="AO70" t="str">
            <v xml:space="preserve"> --</v>
          </cell>
          <cell r="AP70" t="str">
            <v xml:space="preserve"> --</v>
          </cell>
          <cell r="AR70" t="str">
            <v xml:space="preserve"> --</v>
          </cell>
          <cell r="AS70" t="str">
            <v xml:space="preserve"> --</v>
          </cell>
          <cell r="AT70" t="str">
            <v xml:space="preserve"> --</v>
          </cell>
          <cell r="AU70" t="str">
            <v xml:space="preserve"> --</v>
          </cell>
          <cell r="AW70" t="str">
            <v xml:space="preserve"> --</v>
          </cell>
          <cell r="AX70" t="str">
            <v xml:space="preserve"> --</v>
          </cell>
          <cell r="AY70">
            <v>149.1</v>
          </cell>
          <cell r="AZ70">
            <v>185.4</v>
          </cell>
          <cell r="BA70">
            <v>203.4</v>
          </cell>
          <cell r="BB70">
            <v>229.7</v>
          </cell>
          <cell r="BC70" t="str">
            <v>--</v>
          </cell>
          <cell r="BD70" t="str">
            <v>--</v>
          </cell>
          <cell r="BE70" t="str">
            <v>--</v>
          </cell>
          <cell r="BF70">
            <v>275.89</v>
          </cell>
          <cell r="BG70" t="str">
            <v xml:space="preserve"> --</v>
          </cell>
          <cell r="BH70" t="str">
            <v xml:space="preserve"> --</v>
          </cell>
          <cell r="BI70" t="str">
            <v xml:space="preserve"> --</v>
          </cell>
          <cell r="BJ70" t="str">
            <v xml:space="preserve"> --</v>
          </cell>
          <cell r="BK70" t="str">
            <v xml:space="preserve"> --</v>
          </cell>
          <cell r="BL70" t="str">
            <v xml:space="preserve"> --</v>
          </cell>
          <cell r="BM70" t="str">
            <v xml:space="preserve"> --</v>
          </cell>
          <cell r="BN70" t="str">
            <v xml:space="preserve"> --</v>
          </cell>
          <cell r="BO70" t="str">
            <v xml:space="preserve"> --</v>
          </cell>
          <cell r="BP70" t="str">
            <v xml:space="preserve"> --</v>
          </cell>
          <cell r="BQ70" t="str">
            <v xml:space="preserve"> --</v>
          </cell>
          <cell r="BR70" t="str">
            <v xml:space="preserve"> --</v>
          </cell>
          <cell r="BS70" t="str">
            <v xml:space="preserve"> --</v>
          </cell>
          <cell r="BT70" t="str">
            <v xml:space="preserve"> --</v>
          </cell>
          <cell r="BU70">
            <v>598.01276645520784</v>
          </cell>
          <cell r="BV70">
            <v>828.80006758249328</v>
          </cell>
          <cell r="BW70">
            <v>891.40129433092272</v>
          </cell>
          <cell r="BX70">
            <v>203.14964153390054</v>
          </cell>
          <cell r="BY70">
            <v>527.11260207088242</v>
          </cell>
          <cell r="BZ70">
            <v>775.81143742340282</v>
          </cell>
          <cell r="CA70">
            <v>825.55997508842813</v>
          </cell>
        </row>
        <row r="71">
          <cell r="A71" t="str">
            <v>Acutal Shares Outstanding (MM)</v>
          </cell>
          <cell r="I71" t="str">
            <v>--</v>
          </cell>
          <cell r="J71" t="str">
            <v>--</v>
          </cell>
          <cell r="K71" t="str">
            <v>--</v>
          </cell>
          <cell r="L71" t="str">
            <v>--</v>
          </cell>
          <cell r="N71" t="str">
            <v>--</v>
          </cell>
          <cell r="O71">
            <v>74.7</v>
          </cell>
          <cell r="P71">
            <v>133.9</v>
          </cell>
          <cell r="Q71">
            <v>149.1</v>
          </cell>
          <cell r="S71">
            <v>168</v>
          </cell>
          <cell r="T71">
            <v>168.5</v>
          </cell>
          <cell r="U71">
            <v>169</v>
          </cell>
          <cell r="V71">
            <v>185.4</v>
          </cell>
          <cell r="X71">
            <v>202.5</v>
          </cell>
          <cell r="Y71">
            <v>202.8</v>
          </cell>
          <cell r="Z71">
            <v>203.2</v>
          </cell>
          <cell r="AA71">
            <v>203.4</v>
          </cell>
          <cell r="AC71">
            <v>203.8</v>
          </cell>
          <cell r="AD71">
            <v>216.3</v>
          </cell>
          <cell r="AE71">
            <v>219.9</v>
          </cell>
          <cell r="AF71">
            <v>229.7</v>
          </cell>
          <cell r="AH71" t="str">
            <v xml:space="preserve"> --</v>
          </cell>
          <cell r="AI71" t="str">
            <v xml:space="preserve"> --</v>
          </cell>
          <cell r="AJ71" t="str">
            <v xml:space="preserve"> --</v>
          </cell>
          <cell r="AK71" t="str">
            <v xml:space="preserve"> --</v>
          </cell>
          <cell r="AM71" t="str">
            <v xml:space="preserve"> --</v>
          </cell>
          <cell r="AN71" t="str">
            <v xml:space="preserve"> --</v>
          </cell>
          <cell r="AO71" t="str">
            <v xml:space="preserve"> --</v>
          </cell>
          <cell r="AP71" t="str">
            <v xml:space="preserve"> --</v>
          </cell>
          <cell r="AR71" t="str">
            <v xml:space="preserve"> --</v>
          </cell>
          <cell r="AS71" t="str">
            <v xml:space="preserve"> --</v>
          </cell>
          <cell r="AT71" t="str">
            <v xml:space="preserve"> --</v>
          </cell>
          <cell r="AU71" t="str">
            <v xml:space="preserve"> --</v>
          </cell>
          <cell r="AW71" t="str">
            <v xml:space="preserve"> --</v>
          </cell>
          <cell r="AX71" t="str">
            <v xml:space="preserve"> --</v>
          </cell>
          <cell r="AY71">
            <v>149.1</v>
          </cell>
          <cell r="AZ71">
            <v>185.4</v>
          </cell>
          <cell r="BA71">
            <v>203.4</v>
          </cell>
          <cell r="BB71">
            <v>229.7</v>
          </cell>
          <cell r="BC71" t="str">
            <v>--</v>
          </cell>
          <cell r="BD71" t="str">
            <v>--</v>
          </cell>
          <cell r="BE71" t="str">
            <v>--</v>
          </cell>
          <cell r="BG71" t="str">
            <v xml:space="preserve"> --</v>
          </cell>
          <cell r="BH71" t="str">
            <v xml:space="preserve"> --</v>
          </cell>
          <cell r="BI71" t="str">
            <v xml:space="preserve"> --</v>
          </cell>
          <cell r="BJ71" t="str">
            <v xml:space="preserve"> --</v>
          </cell>
          <cell r="BK71" t="str">
            <v xml:space="preserve"> --</v>
          </cell>
          <cell r="BL71" t="str">
            <v xml:space="preserve"> --</v>
          </cell>
          <cell r="BM71" t="str">
            <v xml:space="preserve"> --</v>
          </cell>
          <cell r="BN71" t="str">
            <v xml:space="preserve"> --</v>
          </cell>
          <cell r="BO71" t="str">
            <v xml:space="preserve"> --</v>
          </cell>
          <cell r="BP71" t="str">
            <v xml:space="preserve"> --</v>
          </cell>
          <cell r="BQ71" t="str">
            <v xml:space="preserve"> --</v>
          </cell>
          <cell r="BR71" t="str">
            <v xml:space="preserve"> --</v>
          </cell>
          <cell r="BS71" t="str">
            <v xml:space="preserve"> --</v>
          </cell>
          <cell r="BT71" t="str">
            <v xml:space="preserve"> --</v>
          </cell>
          <cell r="BU71" t="str">
            <v xml:space="preserve"> --</v>
          </cell>
        </row>
        <row r="72">
          <cell r="A72" t="str">
            <v>Avg. Basic Shares (MM)</v>
          </cell>
          <cell r="B72" t="str">
            <v>tax</v>
          </cell>
          <cell r="I72">
            <v>61</v>
          </cell>
          <cell r="J72">
            <v>71.599999999999994</v>
          </cell>
          <cell r="K72">
            <v>71.8</v>
          </cell>
          <cell r="L72">
            <v>72.599999999999994</v>
          </cell>
          <cell r="N72">
            <v>73.2</v>
          </cell>
          <cell r="O72">
            <v>74.164000000000001</v>
          </cell>
          <cell r="P72">
            <v>129.572</v>
          </cell>
          <cell r="Q72">
            <v>134</v>
          </cell>
          <cell r="S72">
            <v>154.666</v>
          </cell>
          <cell r="T72">
            <v>168.2</v>
          </cell>
          <cell r="U72">
            <v>168.6</v>
          </cell>
          <cell r="V72">
            <v>176.99</v>
          </cell>
          <cell r="X72">
            <v>190.1</v>
          </cell>
          <cell r="Y72">
            <v>202.7</v>
          </cell>
          <cell r="Z72">
            <v>203</v>
          </cell>
          <cell r="AA72">
            <v>203.2</v>
          </cell>
          <cell r="AC72">
            <v>203.6</v>
          </cell>
          <cell r="AD72">
            <v>207.018</v>
          </cell>
          <cell r="AE72">
            <v>218.1</v>
          </cell>
          <cell r="AF72">
            <v>227.1</v>
          </cell>
          <cell r="AH72">
            <v>229.8</v>
          </cell>
          <cell r="AI72">
            <v>231.9</v>
          </cell>
          <cell r="AJ72">
            <v>233.9</v>
          </cell>
          <cell r="AK72">
            <v>235.9</v>
          </cell>
          <cell r="AM72">
            <v>237.9</v>
          </cell>
          <cell r="AN72">
            <v>239.9</v>
          </cell>
          <cell r="AO72">
            <v>241.9</v>
          </cell>
          <cell r="AP72">
            <v>243.9</v>
          </cell>
          <cell r="AR72">
            <v>245.9</v>
          </cell>
          <cell r="AS72">
            <v>247.9</v>
          </cell>
          <cell r="AT72">
            <v>249.9</v>
          </cell>
          <cell r="AU72">
            <v>251.9</v>
          </cell>
          <cell r="AW72" t="str">
            <v xml:space="preserve"> --</v>
          </cell>
          <cell r="AX72">
            <v>69.578000000000003</v>
          </cell>
          <cell r="AY72">
            <v>102.992</v>
          </cell>
          <cell r="AZ72">
            <v>167.19499999999999</v>
          </cell>
          <cell r="BA72">
            <v>199.786</v>
          </cell>
          <cell r="BB72">
            <v>213.9</v>
          </cell>
          <cell r="BC72" t="str">
            <v xml:space="preserve"> --</v>
          </cell>
          <cell r="BD72" t="str">
            <v xml:space="preserve"> --</v>
          </cell>
          <cell r="BE72" t="str">
            <v>--</v>
          </cell>
          <cell r="BF72">
            <v>69.210999999999999</v>
          </cell>
          <cell r="BG72" t="str">
            <v xml:space="preserve"> --</v>
          </cell>
          <cell r="BH72" t="str">
            <v xml:space="preserve"> --</v>
          </cell>
          <cell r="BI72" t="str">
            <v xml:space="preserve"> --</v>
          </cell>
          <cell r="BJ72" t="str">
            <v xml:space="preserve"> --</v>
          </cell>
          <cell r="BK72" t="str">
            <v xml:space="preserve"> --</v>
          </cell>
          <cell r="BL72" t="str">
            <v xml:space="preserve"> --</v>
          </cell>
          <cell r="BM72" t="str">
            <v xml:space="preserve"> --</v>
          </cell>
          <cell r="BN72" t="str">
            <v xml:space="preserve"> --</v>
          </cell>
          <cell r="BO72" t="str">
            <v xml:space="preserve"> --</v>
          </cell>
          <cell r="BP72" t="str">
            <v xml:space="preserve"> --</v>
          </cell>
          <cell r="BQ72" t="str">
            <v xml:space="preserve"> --</v>
          </cell>
          <cell r="BR72" t="str">
            <v xml:space="preserve"> --</v>
          </cell>
          <cell r="BS72" t="str">
            <v xml:space="preserve"> --</v>
          </cell>
          <cell r="BT72" t="str">
            <v xml:space="preserve"> --</v>
          </cell>
          <cell r="BU72">
            <v>101.66217029738534</v>
          </cell>
          <cell r="BV72">
            <v>140.89601148902386</v>
          </cell>
          <cell r="BW72">
            <v>151.53822003625689</v>
          </cell>
          <cell r="BX72">
            <v>34.535439060763096</v>
          </cell>
          <cell r="BY72">
            <v>89.609142352050014</v>
          </cell>
          <cell r="BZ72">
            <v>131.8879443619785</v>
          </cell>
          <cell r="CA72">
            <v>140.3451957650328</v>
          </cell>
        </row>
        <row r="73">
          <cell r="A73" t="str">
            <v>Avg. Diluted Shares (MM)</v>
          </cell>
          <cell r="I73">
            <v>62.037999999999997</v>
          </cell>
          <cell r="J73">
            <v>76.8</v>
          </cell>
          <cell r="K73">
            <v>77</v>
          </cell>
          <cell r="L73">
            <v>78</v>
          </cell>
          <cell r="N73">
            <v>79.400000000000006</v>
          </cell>
          <cell r="O73">
            <v>81.099999999999994</v>
          </cell>
          <cell r="P73">
            <v>137.6</v>
          </cell>
          <cell r="Q73">
            <v>142.30000000000001</v>
          </cell>
          <cell r="S73">
            <v>166.74799999999999</v>
          </cell>
          <cell r="T73">
            <v>180</v>
          </cell>
          <cell r="U73">
            <v>180.2</v>
          </cell>
          <cell r="V73">
            <v>189.3</v>
          </cell>
          <cell r="X73">
            <v>199.5</v>
          </cell>
          <cell r="Y73">
            <v>211.9</v>
          </cell>
          <cell r="Z73">
            <v>220</v>
          </cell>
          <cell r="AA73">
            <v>222.6</v>
          </cell>
          <cell r="AC73">
            <v>223.06399999999999</v>
          </cell>
          <cell r="AD73">
            <v>225.548</v>
          </cell>
          <cell r="AE73">
            <v>218.066</v>
          </cell>
          <cell r="AF73">
            <v>227.1</v>
          </cell>
          <cell r="AH73">
            <v>236.8</v>
          </cell>
          <cell r="AI73">
            <v>248.9</v>
          </cell>
          <cell r="AJ73">
            <v>250.9</v>
          </cell>
          <cell r="AK73">
            <v>252.9</v>
          </cell>
          <cell r="AM73">
            <v>254.9</v>
          </cell>
          <cell r="AN73">
            <v>256.89999999999998</v>
          </cell>
          <cell r="AO73">
            <v>258.89999999999998</v>
          </cell>
          <cell r="AP73">
            <v>260.89999999999998</v>
          </cell>
          <cell r="AR73">
            <v>263.3</v>
          </cell>
          <cell r="AS73">
            <v>265.3</v>
          </cell>
          <cell r="AT73">
            <v>267.3</v>
          </cell>
          <cell r="AU73">
            <v>269.3</v>
          </cell>
          <cell r="AW73">
            <v>40</v>
          </cell>
          <cell r="AX73">
            <v>73.599999999999994</v>
          </cell>
          <cell r="AY73">
            <v>110.4</v>
          </cell>
          <cell r="AZ73">
            <v>171.2</v>
          </cell>
          <cell r="BA73">
            <v>211.8</v>
          </cell>
          <cell r="BB73">
            <v>213.9</v>
          </cell>
          <cell r="BC73">
            <v>247.375</v>
          </cell>
          <cell r="BD73">
            <v>257.89999999999998</v>
          </cell>
          <cell r="BE73">
            <v>266.3</v>
          </cell>
          <cell r="BG73">
            <v>247.375</v>
          </cell>
          <cell r="BH73">
            <v>257.89999999999998</v>
          </cell>
          <cell r="BI73">
            <v>266.3</v>
          </cell>
          <cell r="BJ73">
            <v>271.3</v>
          </cell>
          <cell r="BK73">
            <v>247.375</v>
          </cell>
          <cell r="BL73">
            <v>257.89999999999998</v>
          </cell>
          <cell r="BM73">
            <v>266.3</v>
          </cell>
          <cell r="BN73">
            <v>271.3</v>
          </cell>
          <cell r="BO73">
            <v>247.375</v>
          </cell>
          <cell r="BP73">
            <v>257.89999999999998</v>
          </cell>
          <cell r="BQ73">
            <v>266.3</v>
          </cell>
          <cell r="BR73">
            <v>271.3</v>
          </cell>
          <cell r="BS73">
            <v>247.375</v>
          </cell>
          <cell r="BT73">
            <v>257.89999999999998</v>
          </cell>
          <cell r="BU73">
            <v>266.3</v>
          </cell>
        </row>
        <row r="74">
          <cell r="A74" t="str">
            <v>Avg. Di. Shares - Cash EPS (MM)</v>
          </cell>
          <cell r="B74" t="str">
            <v>opni</v>
          </cell>
          <cell r="I74">
            <v>62.037999999999997</v>
          </cell>
          <cell r="J74">
            <v>76.8</v>
          </cell>
          <cell r="K74">
            <v>77</v>
          </cell>
          <cell r="L74">
            <v>78</v>
          </cell>
          <cell r="N74">
            <v>79.400000000000006</v>
          </cell>
          <cell r="O74">
            <v>81.099999999999994</v>
          </cell>
          <cell r="P74">
            <v>137.6</v>
          </cell>
          <cell r="Q74">
            <v>142.30000000000001</v>
          </cell>
          <cell r="S74">
            <v>166.74799999999999</v>
          </cell>
          <cell r="T74">
            <v>180</v>
          </cell>
          <cell r="U74">
            <v>180.2</v>
          </cell>
          <cell r="V74">
            <v>189.3</v>
          </cell>
          <cell r="X74">
            <v>199.5</v>
          </cell>
          <cell r="Y74">
            <v>211.9</v>
          </cell>
          <cell r="Z74">
            <v>220</v>
          </cell>
          <cell r="AA74">
            <v>222.6</v>
          </cell>
          <cell r="AC74">
            <v>223.1</v>
          </cell>
          <cell r="AD74">
            <v>225.5</v>
          </cell>
          <cell r="AE74">
            <v>235.66499999999999</v>
          </cell>
          <cell r="AF74">
            <v>244.5</v>
          </cell>
          <cell r="AH74">
            <v>247.1</v>
          </cell>
          <cell r="AI74">
            <v>249.1</v>
          </cell>
          <cell r="AJ74">
            <v>251.1</v>
          </cell>
          <cell r="AK74">
            <v>253.1</v>
          </cell>
          <cell r="AM74">
            <v>255.1</v>
          </cell>
          <cell r="AN74">
            <v>257.10000000000002</v>
          </cell>
          <cell r="AO74">
            <v>259.10000000000002</v>
          </cell>
          <cell r="AP74">
            <v>261.10000000000002</v>
          </cell>
          <cell r="AR74">
            <v>263.10000000000002</v>
          </cell>
          <cell r="AS74">
            <v>265.10000000000002</v>
          </cell>
          <cell r="AT74">
            <v>267.10000000000002</v>
          </cell>
          <cell r="AU74">
            <v>269.10000000000002</v>
          </cell>
          <cell r="AW74">
            <v>40</v>
          </cell>
          <cell r="AX74">
            <v>73.599999999999994</v>
          </cell>
          <cell r="AY74">
            <v>110.4</v>
          </cell>
          <cell r="AZ74">
            <v>171.2</v>
          </cell>
          <cell r="BA74">
            <v>211.8</v>
          </cell>
          <cell r="BB74">
            <v>232.9</v>
          </cell>
          <cell r="BC74">
            <v>250.1</v>
          </cell>
          <cell r="BD74">
            <v>258.10000000000002</v>
          </cell>
          <cell r="BE74">
            <v>266.10000000000002</v>
          </cell>
          <cell r="BF74">
            <v>206.67899999999997</v>
          </cell>
          <cell r="BG74">
            <v>250.1</v>
          </cell>
          <cell r="BH74">
            <v>258.10000000000002</v>
          </cell>
          <cell r="BI74">
            <v>266.10000000000002</v>
          </cell>
          <cell r="BJ74">
            <v>271.10000000000002</v>
          </cell>
          <cell r="BK74">
            <v>250.1</v>
          </cell>
          <cell r="BL74">
            <v>258.10000000000002</v>
          </cell>
          <cell r="BM74">
            <v>266.10000000000002</v>
          </cell>
          <cell r="BN74">
            <v>271.10000000000002</v>
          </cell>
          <cell r="BO74">
            <v>250.1</v>
          </cell>
          <cell r="BP74">
            <v>258.10000000000002</v>
          </cell>
          <cell r="BQ74">
            <v>266.10000000000002</v>
          </cell>
          <cell r="BR74">
            <v>271.10000000000002</v>
          </cell>
          <cell r="BS74">
            <v>250.1</v>
          </cell>
          <cell r="BT74">
            <v>258.10000000000002</v>
          </cell>
          <cell r="BU74">
            <v>496.35059615782251</v>
          </cell>
          <cell r="BV74">
            <v>687.90405609346942</v>
          </cell>
          <cell r="BW74">
            <v>739.86307429466581</v>
          </cell>
          <cell r="BX74">
            <v>168.61420247313742</v>
          </cell>
          <cell r="BY74">
            <v>437.5034597188324</v>
          </cell>
          <cell r="BZ74">
            <v>643.92349306142432</v>
          </cell>
          <cell r="CA74">
            <v>685.21477932339531</v>
          </cell>
          <cell r="CB74">
            <v>742.14086439643336</v>
          </cell>
          <cell r="CC74">
            <v>796.45819856711341</v>
          </cell>
          <cell r="CD74">
            <v>804.28458597812914</v>
          </cell>
          <cell r="CE74">
            <v>801.86631417814374</v>
          </cell>
          <cell r="CF74">
            <v>797.21186449069569</v>
          </cell>
          <cell r="CG74">
            <v>814.48622154844111</v>
          </cell>
          <cell r="CH74">
            <v>831.21902115091382</v>
          </cell>
          <cell r="CI74">
            <v>847.1376152322257</v>
          </cell>
          <cell r="CJ74">
            <v>890.89615034197368</v>
          </cell>
          <cell r="CN74">
            <v>-14.790113088799998</v>
          </cell>
          <cell r="CO74">
            <v>-15.65</v>
          </cell>
          <cell r="CP74">
            <v>-0.85988691120000205</v>
          </cell>
        </row>
        <row r="75">
          <cell r="A75" t="str">
            <v>Cash Earnings</v>
          </cell>
          <cell r="B75" t="str">
            <v>xitem</v>
          </cell>
          <cell r="I75">
            <v>2.6069999999999993</v>
          </cell>
          <cell r="J75">
            <v>2.2000000000000002</v>
          </cell>
          <cell r="K75">
            <v>6.1630000000000056</v>
          </cell>
          <cell r="L75">
            <v>12.273999999999999</v>
          </cell>
          <cell r="N75" t="str">
            <v xml:space="preserve"> </v>
          </cell>
          <cell r="O75">
            <v>4.5999999999999996</v>
          </cell>
          <cell r="P75">
            <v>16.220999999999997</v>
          </cell>
          <cell r="Q75">
            <v>17.765999999999998</v>
          </cell>
          <cell r="S75">
            <v>21.872642500000001</v>
          </cell>
          <cell r="T75">
            <v>27.496931249999996</v>
          </cell>
          <cell r="U75">
            <v>32.598087499999991</v>
          </cell>
          <cell r="V75">
            <v>40.98</v>
          </cell>
          <cell r="X75" t="str">
            <v xml:space="preserve"> </v>
          </cell>
          <cell r="Y75" t="str">
            <v xml:space="preserve"> </v>
          </cell>
          <cell r="Z75" t="str">
            <v xml:space="preserve"> </v>
          </cell>
          <cell r="AA75">
            <v>116.92599999999997</v>
          </cell>
          <cell r="AC75">
            <v>87.285999999999987</v>
          </cell>
          <cell r="AD75">
            <v>93.100000000000279</v>
          </cell>
          <cell r="AE75" t="str">
            <v xml:space="preserve"> </v>
          </cell>
          <cell r="AF75" t="str">
            <v xml:space="preserve"> </v>
          </cell>
          <cell r="AH75">
            <v>63.399999999999892</v>
          </cell>
          <cell r="AI75">
            <v>69.34114373716632</v>
          </cell>
          <cell r="AJ75">
            <v>71.212224555199981</v>
          </cell>
          <cell r="AK75">
            <v>83.565236199999973</v>
          </cell>
          <cell r="AM75">
            <v>77.058425200914002</v>
          </cell>
          <cell r="AN75">
            <v>84.565542231054579</v>
          </cell>
          <cell r="AO75">
            <v>88.533857726502802</v>
          </cell>
          <cell r="AP75">
            <v>104.31734411265907</v>
          </cell>
          <cell r="AR75">
            <v>96.981505283527795</v>
          </cell>
          <cell r="AS75">
            <v>102.87935664014408</v>
          </cell>
          <cell r="AT75">
            <v>110.80908585951312</v>
          </cell>
          <cell r="AU75">
            <v>130.32803769791664</v>
          </cell>
          <cell r="AW75">
            <v>30.9</v>
          </cell>
          <cell r="AX75" t="str">
            <v xml:space="preserve"> </v>
          </cell>
          <cell r="AY75" t="str">
            <v xml:space="preserve"> </v>
          </cell>
          <cell r="AZ75">
            <v>122.94766124999998</v>
          </cell>
          <cell r="BA75">
            <v>304.02099999999996</v>
          </cell>
          <cell r="BB75" t="str">
            <v xml:space="preserve"> </v>
          </cell>
          <cell r="BC75" t="str">
            <v xml:space="preserve"> </v>
          </cell>
          <cell r="BD75" t="str">
            <v xml:space="preserve"> </v>
          </cell>
          <cell r="BE75">
            <v>440.99798548110164</v>
          </cell>
          <cell r="BF75">
            <v>0</v>
          </cell>
          <cell r="BG75">
            <v>287.83030161958669</v>
          </cell>
          <cell r="BH75">
            <v>407.92804544837276</v>
          </cell>
          <cell r="BI75">
            <v>509.47926253334339</v>
          </cell>
          <cell r="BJ75">
            <v>793.74470530404653</v>
          </cell>
          <cell r="BK75">
            <v>1077.6139963949977</v>
          </cell>
          <cell r="BL75">
            <v>1473.0426337052813</v>
          </cell>
          <cell r="BM75">
            <v>1668.5204475440357</v>
          </cell>
          <cell r="BN75">
            <v>1756.8703338070266</v>
          </cell>
          <cell r="BO75">
            <v>1838.4640027514404</v>
          </cell>
          <cell r="BP75">
            <v>2074.4000592861225</v>
          </cell>
          <cell r="BQ75">
            <v>2294.377269143351</v>
          </cell>
          <cell r="BR75">
            <v>2501.2085945305207</v>
          </cell>
          <cell r="BS75">
            <v>2685.0467910101511</v>
          </cell>
          <cell r="BT75">
            <v>2813.1784669472936</v>
          </cell>
          <cell r="BU75">
            <v>0</v>
          </cell>
          <cell r="BV75">
            <v>0</v>
          </cell>
          <cell r="BW75">
            <v>0</v>
          </cell>
          <cell r="BX75">
            <v>0</v>
          </cell>
          <cell r="BY75">
            <v>0</v>
          </cell>
          <cell r="BZ75">
            <v>0</v>
          </cell>
          <cell r="CA75">
            <v>0</v>
          </cell>
        </row>
        <row r="76">
          <cell r="A76" t="str">
            <v>Cash Earnings</v>
          </cell>
          <cell r="I76">
            <v>2.6069999999999993</v>
          </cell>
          <cell r="J76">
            <v>2.2000000000000002</v>
          </cell>
          <cell r="K76">
            <v>6.1630000000000056</v>
          </cell>
          <cell r="L76">
            <v>12.273999999999999</v>
          </cell>
          <cell r="N76">
            <v>5.7999999999999954</v>
          </cell>
          <cell r="O76">
            <v>4.5999999999999996</v>
          </cell>
          <cell r="P76">
            <v>16.220999999999997</v>
          </cell>
          <cell r="Q76">
            <v>17.765999999999998</v>
          </cell>
          <cell r="S76">
            <v>21.872642500000001</v>
          </cell>
          <cell r="T76">
            <v>27.496931249999996</v>
          </cell>
          <cell r="U76">
            <v>32.598087499999991</v>
          </cell>
          <cell r="V76">
            <v>40.98</v>
          </cell>
          <cell r="X76">
            <v>39.489999999999995</v>
          </cell>
          <cell r="Y76">
            <v>63.679000000000009</v>
          </cell>
          <cell r="Z76">
            <v>83.925999999999988</v>
          </cell>
          <cell r="AA76">
            <v>116.92599999999997</v>
          </cell>
          <cell r="AC76">
            <v>87.285999999999987</v>
          </cell>
          <cell r="AD76">
            <v>93.100000000000279</v>
          </cell>
          <cell r="AE76">
            <v>64.700199999999896</v>
          </cell>
          <cell r="AF76">
            <v>75.500000000000014</v>
          </cell>
          <cell r="AH76">
            <v>63.399999999999892</v>
          </cell>
          <cell r="AI76">
            <v>69.371285372499997</v>
          </cell>
          <cell r="AJ76">
            <v>70.439140811024998</v>
          </cell>
          <cell r="AK76">
            <v>83.293312923164251</v>
          </cell>
          <cell r="AM76">
            <v>77.728709274539924</v>
          </cell>
          <cell r="AN76">
            <v>84.299515827456787</v>
          </cell>
          <cell r="AO76">
            <v>88.339150732569109</v>
          </cell>
          <cell r="AP76">
            <v>104.29328474980166</v>
          </cell>
          <cell r="AR76">
            <v>96.852588443641551</v>
          </cell>
          <cell r="AS76">
            <v>102.81857207513052</v>
          </cell>
          <cell r="AT76">
            <v>110.85458609717179</v>
          </cell>
          <cell r="AU76">
            <v>130.56761920891856</v>
          </cell>
          <cell r="AW76">
            <v>30.9</v>
          </cell>
          <cell r="AX76">
            <v>23.244000000000007</v>
          </cell>
          <cell r="AY76">
            <v>44.386999999999986</v>
          </cell>
          <cell r="AZ76">
            <v>122.94766124999998</v>
          </cell>
          <cell r="BA76">
            <v>304.02099999999996</v>
          </cell>
          <cell r="BB76">
            <v>320.58620000000013</v>
          </cell>
          <cell r="BC76">
            <v>286.50373910668918</v>
          </cell>
          <cell r="BD76">
            <v>354.66066058436752</v>
          </cell>
          <cell r="BE76">
            <v>441.09336582486242</v>
          </cell>
          <cell r="BG76">
            <v>286.81395889163502</v>
          </cell>
          <cell r="BH76">
            <v>409.59498548634537</v>
          </cell>
          <cell r="BI76">
            <v>516.21738221312091</v>
          </cell>
          <cell r="BJ76">
            <v>768.27237690887148</v>
          </cell>
          <cell r="BK76">
            <v>1058.8000795673963</v>
          </cell>
          <cell r="BL76">
            <v>1442.9574041028691</v>
          </cell>
          <cell r="BM76">
            <v>1632.7248230360365</v>
          </cell>
          <cell r="BN76">
            <v>1718.3756904642898</v>
          </cell>
          <cell r="BO76">
            <v>1797.4700468410565</v>
          </cell>
          <cell r="BP76">
            <v>2026.6646067341221</v>
          </cell>
          <cell r="BQ76">
            <v>2240.2831818017225</v>
          </cell>
          <cell r="BR76">
            <v>2441.0551435392863</v>
          </cell>
          <cell r="BS76">
            <v>2619.4119689242452</v>
          </cell>
          <cell r="BT76">
            <v>2736.5181268435017</v>
          </cell>
          <cell r="BU76">
            <v>2845.1576647425959</v>
          </cell>
        </row>
        <row r="77">
          <cell r="A77" t="str">
            <v>Net Income</v>
          </cell>
          <cell r="I77">
            <v>-0.46500000000000052</v>
          </cell>
          <cell r="J77">
            <v>-1.0400000000000014</v>
          </cell>
          <cell r="K77">
            <v>1.4400000000000062</v>
          </cell>
          <cell r="L77">
            <v>1.9679999999999989</v>
          </cell>
          <cell r="N77">
            <v>-7.4930000000000039</v>
          </cell>
          <cell r="O77">
            <v>-4.7065599999999979</v>
          </cell>
          <cell r="P77">
            <v>6.3389999999999933</v>
          </cell>
          <cell r="Q77">
            <v>7.2009999999999987</v>
          </cell>
          <cell r="S77">
            <v>9.490000000000002</v>
          </cell>
          <cell r="T77">
            <v>13.250999999999996</v>
          </cell>
          <cell r="U77">
            <v>19.467999999999996</v>
          </cell>
          <cell r="V77">
            <v>26.216999999999999</v>
          </cell>
          <cell r="X77">
            <v>26.099999999999994</v>
          </cell>
          <cell r="Y77">
            <v>41.427000000000014</v>
          </cell>
          <cell r="Z77">
            <v>55.676999999999992</v>
          </cell>
          <cell r="AA77">
            <v>83.47499999999998</v>
          </cell>
          <cell r="AC77">
            <v>57.737999999999992</v>
          </cell>
          <cell r="AD77">
            <v>59.973000000000283</v>
          </cell>
          <cell r="AE77">
            <v>27.423199999999898</v>
          </cell>
          <cell r="AF77">
            <v>41.495000000000012</v>
          </cell>
          <cell r="AH77">
            <v>39.699999999999896</v>
          </cell>
          <cell r="AI77">
            <v>40.305485372500002</v>
          </cell>
          <cell r="AJ77">
            <v>41.373340811024995</v>
          </cell>
          <cell r="AK77">
            <v>55.887512923164245</v>
          </cell>
          <cell r="AM77">
            <v>51.982909274539921</v>
          </cell>
          <cell r="AN77">
            <v>60.213715827456781</v>
          </cell>
          <cell r="AO77">
            <v>65.083350732569116</v>
          </cell>
          <cell r="AP77">
            <v>81.037484749801663</v>
          </cell>
          <cell r="AR77">
            <v>76.086788443641552</v>
          </cell>
          <cell r="AS77">
            <v>82.05277207513052</v>
          </cell>
          <cell r="AT77">
            <v>90.088786097171791</v>
          </cell>
          <cell r="AU77">
            <v>109.80181920891854</v>
          </cell>
          <cell r="AW77" t="str">
            <v xml:space="preserve"> --</v>
          </cell>
          <cell r="AX77">
            <v>1.9030000000000031</v>
          </cell>
          <cell r="AY77">
            <v>1.3404399999999903</v>
          </cell>
          <cell r="AZ77">
            <v>68.425999999999988</v>
          </cell>
          <cell r="BA77">
            <v>206.67899999999997</v>
          </cell>
          <cell r="BB77">
            <v>186.62920000000017</v>
          </cell>
          <cell r="BC77">
            <v>177.26633910668914</v>
          </cell>
          <cell r="BD77">
            <v>258.3174605843675</v>
          </cell>
          <cell r="BE77">
            <v>358.03016582486237</v>
          </cell>
          <cell r="BG77">
            <v>177.2663391066886</v>
          </cell>
          <cell r="BH77">
            <v>313.25178548634534</v>
          </cell>
          <cell r="BI77">
            <v>433.15418221312086</v>
          </cell>
          <cell r="BJ77">
            <v>680.27237690887148</v>
          </cell>
          <cell r="BK77">
            <v>970.80007956739632</v>
          </cell>
          <cell r="BL77">
            <v>1354.9574041028691</v>
          </cell>
          <cell r="BM77">
            <v>1544.7248230360365</v>
          </cell>
          <cell r="BN77">
            <v>1630.3756904642898</v>
          </cell>
          <cell r="BO77">
            <v>1709.4700468410565</v>
          </cell>
          <cell r="BP77">
            <v>1938.6646067341221</v>
          </cell>
          <cell r="BQ77">
            <v>2152.2831818017225</v>
          </cell>
          <cell r="BR77">
            <v>2353.0551435392863</v>
          </cell>
          <cell r="BS77">
            <v>2531.4119689242452</v>
          </cell>
          <cell r="BT77">
            <v>2648.5181268435017</v>
          </cell>
          <cell r="BU77">
            <v>2757.1576647425959</v>
          </cell>
        </row>
        <row r="78">
          <cell r="A78" t="str">
            <v>Amort. of Intangibles</v>
          </cell>
          <cell r="I78">
            <v>3.2719999999999998</v>
          </cell>
          <cell r="J78">
            <v>3.3010000000000002</v>
          </cell>
          <cell r="K78">
            <v>3.8809999999999998</v>
          </cell>
          <cell r="L78">
            <v>4.806</v>
          </cell>
          <cell r="N78">
            <v>13.259</v>
          </cell>
          <cell r="O78">
            <v>10.537000000000001</v>
          </cell>
          <cell r="P78">
            <v>10.782</v>
          </cell>
          <cell r="Q78">
            <v>10.794</v>
          </cell>
          <cell r="S78">
            <v>13.814</v>
          </cell>
          <cell r="T78">
            <v>13.744999999999999</v>
          </cell>
          <cell r="U78">
            <v>14.07</v>
          </cell>
          <cell r="V78">
            <v>13.94</v>
          </cell>
          <cell r="X78">
            <v>15.323</v>
          </cell>
          <cell r="Y78">
            <v>19.248000000000001</v>
          </cell>
          <cell r="Z78">
            <v>25.606999999999999</v>
          </cell>
          <cell r="AA78">
            <v>28.760999999999999</v>
          </cell>
          <cell r="AC78">
            <v>29.577999999999999</v>
          </cell>
          <cell r="AD78">
            <v>28.13</v>
          </cell>
          <cell r="AE78">
            <v>32.158000000000001</v>
          </cell>
          <cell r="AF78">
            <v>35.1</v>
          </cell>
          <cell r="AH78">
            <v>22</v>
          </cell>
          <cell r="AI78">
            <v>22</v>
          </cell>
          <cell r="AJ78">
            <v>22</v>
          </cell>
          <cell r="AK78">
            <v>22</v>
          </cell>
          <cell r="AM78">
            <v>22</v>
          </cell>
          <cell r="AN78">
            <v>22</v>
          </cell>
          <cell r="AO78">
            <v>22</v>
          </cell>
          <cell r="AP78">
            <v>22</v>
          </cell>
          <cell r="AR78">
            <v>22</v>
          </cell>
          <cell r="AS78">
            <v>22</v>
          </cell>
          <cell r="AT78">
            <v>22</v>
          </cell>
          <cell r="AU78">
            <v>22</v>
          </cell>
          <cell r="AW78" t="str">
            <v xml:space="preserve"> --</v>
          </cell>
          <cell r="AX78">
            <v>15.260000000000002</v>
          </cell>
          <cell r="AY78">
            <v>45.372</v>
          </cell>
          <cell r="AZ78">
            <v>55.568999999999996</v>
          </cell>
          <cell r="BA78">
            <v>88.938999999999993</v>
          </cell>
          <cell r="BB78">
            <v>124.96600000000001</v>
          </cell>
          <cell r="BC78">
            <v>88</v>
          </cell>
          <cell r="BD78">
            <v>88</v>
          </cell>
          <cell r="BE78">
            <v>88</v>
          </cell>
          <cell r="BG78">
            <v>88</v>
          </cell>
          <cell r="BH78">
            <v>88</v>
          </cell>
          <cell r="BI78">
            <v>88</v>
          </cell>
          <cell r="BJ78">
            <v>88</v>
          </cell>
          <cell r="BK78">
            <v>88</v>
          </cell>
          <cell r="BL78">
            <v>88</v>
          </cell>
          <cell r="BM78">
            <v>88</v>
          </cell>
          <cell r="BN78">
            <v>88</v>
          </cell>
          <cell r="BO78">
            <v>88</v>
          </cell>
          <cell r="BP78">
            <v>88</v>
          </cell>
          <cell r="BQ78">
            <v>88</v>
          </cell>
          <cell r="BR78">
            <v>88</v>
          </cell>
          <cell r="BS78">
            <v>88</v>
          </cell>
          <cell r="BT78">
            <v>88</v>
          </cell>
          <cell r="BU78">
            <v>88</v>
          </cell>
        </row>
        <row r="79">
          <cell r="A79" t="str">
            <v>Integration Costs</v>
          </cell>
          <cell r="B79" t="str">
            <v>ni</v>
          </cell>
          <cell r="I79">
            <v>0.3</v>
          </cell>
          <cell r="J79">
            <v>0.5</v>
          </cell>
          <cell r="K79">
            <v>2.0920000000000001</v>
          </cell>
          <cell r="L79">
            <v>10.4</v>
          </cell>
          <cell r="N79">
            <v>2.7189999999999999</v>
          </cell>
          <cell r="O79">
            <v>1.593</v>
          </cell>
          <cell r="P79">
            <v>1.34</v>
          </cell>
          <cell r="Q79">
            <v>2.4710000000000001</v>
          </cell>
          <cell r="S79">
            <v>0.44500000000000001</v>
          </cell>
          <cell r="T79">
            <v>3.5230000000000001</v>
          </cell>
          <cell r="U79">
            <v>1.282</v>
          </cell>
          <cell r="V79">
            <v>4.3659999999999997</v>
          </cell>
          <cell r="X79">
            <v>0.66700000000000004</v>
          </cell>
          <cell r="Y79">
            <v>4.9039999999999999</v>
          </cell>
          <cell r="Z79">
            <v>4.8419999999999996</v>
          </cell>
          <cell r="AA79">
            <v>5.69</v>
          </cell>
          <cell r="AC79">
            <v>2.2999999999999998</v>
          </cell>
          <cell r="AD79">
            <v>7.7969999999999997</v>
          </cell>
          <cell r="AE79">
            <v>10.016999999999999</v>
          </cell>
          <cell r="AF79">
            <v>2.6</v>
          </cell>
          <cell r="AH79">
            <v>3.9</v>
          </cell>
          <cell r="AI79">
            <v>10</v>
          </cell>
          <cell r="AJ79">
            <v>10</v>
          </cell>
          <cell r="AK79">
            <v>8</v>
          </cell>
          <cell r="AM79">
            <v>6</v>
          </cell>
          <cell r="AN79">
            <v>4</v>
          </cell>
          <cell r="AO79">
            <v>3</v>
          </cell>
          <cell r="AP79">
            <v>3</v>
          </cell>
          <cell r="AR79">
            <v>0</v>
          </cell>
          <cell r="AS79">
            <v>0</v>
          </cell>
          <cell r="AT79">
            <v>0</v>
          </cell>
          <cell r="AU79">
            <v>0</v>
          </cell>
          <cell r="AW79" t="str">
            <v xml:space="preserve"> --</v>
          </cell>
          <cell r="AX79">
            <v>13.292000000000002</v>
          </cell>
          <cell r="AY79">
            <v>8.1229999999999993</v>
          </cell>
          <cell r="AZ79">
            <v>5.25</v>
          </cell>
          <cell r="BA79">
            <v>16.103000000000002</v>
          </cell>
          <cell r="BB79">
            <v>22.713999999999999</v>
          </cell>
          <cell r="BC79">
            <v>31.9</v>
          </cell>
          <cell r="BD79">
            <v>16</v>
          </cell>
          <cell r="BE79">
            <v>0</v>
          </cell>
          <cell r="BF79">
            <v>206.67899999999997</v>
          </cell>
          <cell r="BG79">
            <v>31.9</v>
          </cell>
          <cell r="BH79">
            <v>16</v>
          </cell>
          <cell r="BI79">
            <v>0</v>
          </cell>
          <cell r="BJ79">
            <v>0</v>
          </cell>
          <cell r="BK79">
            <v>0</v>
          </cell>
          <cell r="BL79">
            <v>0</v>
          </cell>
          <cell r="BM79">
            <v>0</v>
          </cell>
          <cell r="BN79">
            <v>0</v>
          </cell>
          <cell r="BO79">
            <v>0</v>
          </cell>
          <cell r="BP79">
            <v>0</v>
          </cell>
          <cell r="BQ79">
            <v>0</v>
          </cell>
          <cell r="BR79">
            <v>0</v>
          </cell>
          <cell r="BS79">
            <v>0</v>
          </cell>
          <cell r="BT79">
            <v>0</v>
          </cell>
          <cell r="BU79">
            <v>0</v>
          </cell>
          <cell r="BV79">
            <v>687.90405609346942</v>
          </cell>
          <cell r="BW79">
            <v>739.86307429466581</v>
          </cell>
          <cell r="BX79">
            <v>168.61420247313742</v>
          </cell>
          <cell r="BY79">
            <v>437.5034597188324</v>
          </cell>
          <cell r="BZ79">
            <v>643.92349306142432</v>
          </cell>
          <cell r="CA79">
            <v>685.21477932339531</v>
          </cell>
        </row>
        <row r="80">
          <cell r="A80" t="str">
            <v>Income Tax Effect</v>
          </cell>
          <cell r="B80" t="str">
            <v>ebg</v>
          </cell>
          <cell r="I80">
            <v>-0.5</v>
          </cell>
          <cell r="J80">
            <v>-0.56099999999999861</v>
          </cell>
          <cell r="K80">
            <v>-1.25</v>
          </cell>
          <cell r="L80">
            <v>-4.9000000000000004</v>
          </cell>
          <cell r="N80">
            <v>-2.6850000000000001</v>
          </cell>
          <cell r="O80">
            <v>-2.8234400000000033</v>
          </cell>
          <cell r="P80">
            <v>-2.2400000000000002</v>
          </cell>
          <cell r="Q80">
            <v>-2.7</v>
          </cell>
          <cell r="S80">
            <v>-1.8763575000000001</v>
          </cell>
          <cell r="T80">
            <v>-3.0220687499999999</v>
          </cell>
          <cell r="U80">
            <v>-2.2219125000000002</v>
          </cell>
          <cell r="V80">
            <v>-3.543000000000001</v>
          </cell>
          <cell r="X80">
            <v>-2.6</v>
          </cell>
          <cell r="Y80">
            <v>-1.9</v>
          </cell>
          <cell r="Z80">
            <v>-2.2000000000000002</v>
          </cell>
          <cell r="AA80">
            <v>-1</v>
          </cell>
          <cell r="AC80">
            <v>-2.33</v>
          </cell>
          <cell r="AD80">
            <v>-2.8</v>
          </cell>
          <cell r="AE80">
            <v>-4.8979999999999997</v>
          </cell>
          <cell r="AF80">
            <v>-3.6949999999999998</v>
          </cell>
          <cell r="AH80">
            <v>-2.2000000000000002</v>
          </cell>
          <cell r="AI80">
            <v>-2.9342000000000001</v>
          </cell>
          <cell r="AJ80">
            <v>-2.9342000000000001</v>
          </cell>
          <cell r="AK80">
            <v>-2.5942000000000003</v>
          </cell>
          <cell r="AM80">
            <v>-2.2542</v>
          </cell>
          <cell r="AN80">
            <v>-1.9142000000000001</v>
          </cell>
          <cell r="AO80">
            <v>-1.7442000000000002</v>
          </cell>
          <cell r="AP80">
            <v>-1.7442000000000002</v>
          </cell>
          <cell r="AR80">
            <v>-1.2342000000000002</v>
          </cell>
          <cell r="AS80">
            <v>-1.2342000000000002</v>
          </cell>
          <cell r="AT80">
            <v>-1.2342000000000002</v>
          </cell>
          <cell r="AU80">
            <v>-1.2342000000000002</v>
          </cell>
          <cell r="AW80" t="str">
            <v xml:space="preserve"> --</v>
          </cell>
          <cell r="AX80">
            <v>-7.2109999999999985</v>
          </cell>
          <cell r="AY80">
            <v>-10.448440000000005</v>
          </cell>
          <cell r="AZ80">
            <v>-10.663338750000001</v>
          </cell>
          <cell r="BA80">
            <v>-7.7</v>
          </cell>
          <cell r="BB80">
            <v>-13.722999999999999</v>
          </cell>
          <cell r="BC80">
            <v>-10.662600000000001</v>
          </cell>
          <cell r="BD80">
            <v>-7.6568000000000005</v>
          </cell>
          <cell r="BE80">
            <v>-4.9368000000000007</v>
          </cell>
          <cell r="BG80">
            <v>-10.352380215053595</v>
          </cell>
          <cell r="BH80">
            <v>-7.6568000000000023</v>
          </cell>
          <cell r="BI80">
            <v>-4.9368000000000007</v>
          </cell>
          <cell r="BJ80">
            <v>0</v>
          </cell>
          <cell r="BK80">
            <v>0</v>
          </cell>
          <cell r="BL80">
            <v>0</v>
          </cell>
          <cell r="BM80">
            <v>0</v>
          </cell>
          <cell r="BN80">
            <v>0</v>
          </cell>
          <cell r="BO80">
            <v>0</v>
          </cell>
          <cell r="BP80">
            <v>0</v>
          </cell>
          <cell r="BQ80">
            <v>0</v>
          </cell>
          <cell r="BR80">
            <v>0</v>
          </cell>
          <cell r="BS80">
            <v>0</v>
          </cell>
          <cell r="BT80">
            <v>0</v>
          </cell>
          <cell r="BU80">
            <v>0</v>
          </cell>
        </row>
        <row r="81">
          <cell r="A81" t="str">
            <v>Cash EPS</v>
          </cell>
          <cell r="B81" t="str">
            <v>ebg</v>
          </cell>
          <cell r="I81">
            <v>4.2022631290499365E-2</v>
          </cell>
          <cell r="J81">
            <v>2.8645833333333336E-2</v>
          </cell>
          <cell r="K81">
            <v>8.0038961038961118E-2</v>
          </cell>
          <cell r="L81">
            <v>0.15735897435897434</v>
          </cell>
          <cell r="N81">
            <v>7.3047858942065433E-2</v>
          </cell>
          <cell r="O81">
            <v>5.6720098643649818E-2</v>
          </cell>
          <cell r="P81">
            <v>0.11788517441860463</v>
          </cell>
          <cell r="Q81">
            <v>0.12484891075193251</v>
          </cell>
          <cell r="S81">
            <v>0.13117184314054742</v>
          </cell>
          <cell r="T81">
            <v>0.15276072916666664</v>
          </cell>
          <cell r="U81">
            <v>0.18089948668146499</v>
          </cell>
          <cell r="V81">
            <v>0.21648177496038032</v>
          </cell>
          <cell r="X81">
            <v>0.19794486215538845</v>
          </cell>
          <cell r="Y81">
            <v>0.30051439358187826</v>
          </cell>
          <cell r="Z81">
            <v>0.38148181818181814</v>
          </cell>
          <cell r="AA81">
            <v>0.52527403414195861</v>
          </cell>
          <cell r="AC81">
            <v>0.39124159569699679</v>
          </cell>
          <cell r="AD81">
            <v>0.41286031042128729</v>
          </cell>
          <cell r="AE81">
            <v>0.27454310143636051</v>
          </cell>
          <cell r="AF81">
            <v>0.3087934560327199</v>
          </cell>
          <cell r="AH81">
            <v>0.25657628490489637</v>
          </cell>
          <cell r="AI81">
            <v>0.27848769719991973</v>
          </cell>
          <cell r="AJ81">
            <v>0.28052226527688173</v>
          </cell>
          <cell r="AK81">
            <v>0.32909250463518075</v>
          </cell>
          <cell r="AM81">
            <v>0.30469897794802009</v>
          </cell>
          <cell r="AN81">
            <v>0.32788609812313024</v>
          </cell>
          <cell r="AO81">
            <v>0.34094616261122773</v>
          </cell>
          <cell r="AP81">
            <v>0.39943808789659768</v>
          </cell>
          <cell r="AR81">
            <v>0.36812082266682455</v>
          </cell>
          <cell r="AS81">
            <v>0.38784825377265375</v>
          </cell>
          <cell r="AT81">
            <v>0.41503027366968093</v>
          </cell>
          <cell r="AU81">
            <v>0.48520111188747139</v>
          </cell>
          <cell r="AW81" t="str">
            <v xml:space="preserve"> --</v>
          </cell>
          <cell r="AX81">
            <v>0.30806640002176816</v>
          </cell>
          <cell r="AY81">
            <v>0.37250204275625237</v>
          </cell>
          <cell r="AZ81">
            <v>0.71815222692757008</v>
          </cell>
          <cell r="BA81">
            <v>1.4354154863078372</v>
          </cell>
          <cell r="BB81">
            <v>1.3764972091026197</v>
          </cell>
          <cell r="BC81">
            <v>1.1455567337332635</v>
          </cell>
          <cell r="BD81">
            <v>1.3741211181106838</v>
          </cell>
          <cell r="BE81">
            <v>1.6576225698040676</v>
          </cell>
          <cell r="BF81">
            <v>0.97582152974504233</v>
          </cell>
          <cell r="BG81">
            <v>1.1467971167198523</v>
          </cell>
          <cell r="BH81">
            <v>1.5869623614348909</v>
          </cell>
          <cell r="BI81">
            <v>1.939937550594216</v>
          </cell>
          <cell r="BJ81">
            <v>2.8339076979301785</v>
          </cell>
          <cell r="BK81">
            <v>4.2335069155033844</v>
          </cell>
          <cell r="BL81">
            <v>5.5906912208557493</v>
          </cell>
          <cell r="BM81">
            <v>6.135756569094462</v>
          </cell>
          <cell r="BN81">
            <v>6.3385307652684979</v>
          </cell>
          <cell r="BO81">
            <v>7.1870053852101421</v>
          </cell>
          <cell r="BP81">
            <v>7.8522456673154668</v>
          </cell>
          <cell r="BQ81">
            <v>8.4189522051924932</v>
          </cell>
          <cell r="BR81">
            <v>9.0042609499789226</v>
          </cell>
          <cell r="BS81">
            <v>10.473458492300061</v>
          </cell>
          <cell r="BT81">
            <v>10.602549890908568</v>
          </cell>
          <cell r="BU81">
            <v>2.1304886625510142</v>
          </cell>
          <cell r="BV81">
            <v>3.1544379506750864</v>
          </cell>
          <cell r="BW81">
            <v>3.3323412872184024</v>
          </cell>
          <cell r="BX81">
            <v>0.72057351484246768</v>
          </cell>
          <cell r="BY81">
            <v>1.8778987432936256</v>
          </cell>
          <cell r="BZ81">
            <v>2.9527616327475608</v>
          </cell>
          <cell r="CA81">
            <v>3.0862055143492637</v>
          </cell>
        </row>
        <row r="82">
          <cell r="A82" t="str">
            <v>Cash EPS Incl. Integ. Costs</v>
          </cell>
          <cell r="B82" t="str">
            <v>ebgint</v>
          </cell>
          <cell r="I82">
            <v>3.907282633224797E-2</v>
          </cell>
          <cell r="J82">
            <v>2.4674479166666669E-2</v>
          </cell>
          <cell r="K82">
            <v>6.3465974025974106E-2</v>
          </cell>
          <cell r="L82">
            <v>7.6025641025641008E-2</v>
          </cell>
          <cell r="N82">
            <v>5.2158816120906733E-2</v>
          </cell>
          <cell r="O82">
            <v>4.4738224414303328E-2</v>
          </cell>
          <cell r="P82">
            <v>0.11109850547646805</v>
          </cell>
          <cell r="Q82">
            <v>0.11711490740409118</v>
          </cell>
          <cell r="S82">
            <v>0.12954389810353381</v>
          </cell>
          <cell r="T82">
            <v>0.14083597323919106</v>
          </cell>
          <cell r="U82">
            <v>0.17606168125230154</v>
          </cell>
          <cell r="V82">
            <v>0.20079854884484899</v>
          </cell>
          <cell r="X82">
            <v>0.19567141677239758</v>
          </cell>
          <cell r="Y82">
            <v>0.28292565174758327</v>
          </cell>
          <cell r="Z82">
            <v>0.364732684006352</v>
          </cell>
          <cell r="AA82">
            <v>0.5058473434394567</v>
          </cell>
          <cell r="AC82">
            <v>0.38340075905862414</v>
          </cell>
          <cell r="AD82">
            <v>0.38416831984343303</v>
          </cell>
          <cell r="AE82">
            <v>0.23926374302505632</v>
          </cell>
          <cell r="AF82">
            <v>0.29996834355828222</v>
          </cell>
          <cell r="AH82">
            <v>0.24346774043337821</v>
          </cell>
          <cell r="AI82">
            <v>0.24516774537334404</v>
          </cell>
          <cell r="AJ82">
            <v>0.24746770534060136</v>
          </cell>
          <cell r="AK82">
            <v>0.30285781478927004</v>
          </cell>
          <cell r="AM82">
            <v>0.2851772217739707</v>
          </cell>
          <cell r="AN82">
            <v>0.31497283480146554</v>
          </cell>
          <cell r="AO82">
            <v>0.33133597349505639</v>
          </cell>
          <cell r="AP82">
            <v>0.38990151187208599</v>
          </cell>
          <cell r="AR82">
            <v>0.36812082266682455</v>
          </cell>
          <cell r="AS82">
            <v>0.38784825377265375</v>
          </cell>
          <cell r="AT82">
            <v>0.41503027366968093</v>
          </cell>
          <cell r="AU82">
            <v>0.48520111188747139</v>
          </cell>
          <cell r="AW82" t="str">
            <v xml:space="preserve"> --</v>
          </cell>
          <cell r="AX82">
            <v>0.20323892055052978</v>
          </cell>
          <cell r="AY82">
            <v>0.32511045341576927</v>
          </cell>
          <cell r="AZ82">
            <v>0.69807045793478528</v>
          </cell>
          <cell r="BA82">
            <v>1.3784592570371699</v>
          </cell>
          <cell r="BB82">
            <v>1.2977811569914888</v>
          </cell>
          <cell r="BC82">
            <v>1.0396755501948776</v>
          </cell>
          <cell r="BD82">
            <v>1.3226681928879021</v>
          </cell>
          <cell r="BE82">
            <v>1.6576225698040676</v>
          </cell>
          <cell r="BF82">
            <v>0</v>
          </cell>
          <cell r="BG82">
            <v>1.0409159331814664</v>
          </cell>
          <cell r="BH82">
            <v>1.5355094362121091</v>
          </cell>
          <cell r="BI82">
            <v>1.939937550594216</v>
          </cell>
          <cell r="BJ82">
            <v>2.8339076979301785</v>
          </cell>
          <cell r="BK82">
            <v>4.2335069155033844</v>
          </cell>
          <cell r="BL82">
            <v>5.5906912208557493</v>
          </cell>
          <cell r="BM82">
            <v>6.135756569094462</v>
          </cell>
          <cell r="BN82">
            <v>6.3385307652684979</v>
          </cell>
          <cell r="BO82">
            <v>7.1870053852101421</v>
          </cell>
          <cell r="BP82">
            <v>7.8522456673154668</v>
          </cell>
          <cell r="BQ82">
            <v>8.4189522051924932</v>
          </cell>
          <cell r="BR82">
            <v>9.0042609499789226</v>
          </cell>
          <cell r="BS82">
            <v>10.473458492300061</v>
          </cell>
          <cell r="BT82">
            <v>10.602549890908568</v>
          </cell>
          <cell r="BU82">
            <v>0</v>
          </cell>
          <cell r="BV82">
            <v>0</v>
          </cell>
          <cell r="BW82">
            <v>0</v>
          </cell>
          <cell r="BX82">
            <v>0</v>
          </cell>
          <cell r="BY82">
            <v>0</v>
          </cell>
          <cell r="BZ82">
            <v>0</v>
          </cell>
          <cell r="CA82">
            <v>0</v>
          </cell>
        </row>
        <row r="83">
          <cell r="A83" t="str">
            <v>After Tax Conv. Debt Dilutive Interest Add Back</v>
          </cell>
          <cell r="I83">
            <v>-7.4954060414584699E-3</v>
          </cell>
          <cell r="J83">
            <v>-0.12764322916666668</v>
          </cell>
          <cell r="K83">
            <v>1.8701298701298781E-2</v>
          </cell>
          <cell r="L83">
            <v>2.5230769230769216E-2</v>
          </cell>
          <cell r="N83">
            <v>-0.40873618394791533</v>
          </cell>
          <cell r="O83">
            <v>-0.23695437731196053</v>
          </cell>
          <cell r="P83">
            <v>5.0428779069767393E-2</v>
          </cell>
          <cell r="Q83">
            <v>-2.230498945888966E-2</v>
          </cell>
          <cell r="S83">
            <v>6.0510470890205593E-2</v>
          </cell>
          <cell r="T83">
            <v>7.6949999999999977E-2</v>
          </cell>
          <cell r="U83">
            <v>0.11136514983351831</v>
          </cell>
          <cell r="V83">
            <v>0.14166402535657685</v>
          </cell>
          <cell r="X83">
            <v>0</v>
          </cell>
          <cell r="Y83">
            <v>0</v>
          </cell>
          <cell r="Z83">
            <v>2.1</v>
          </cell>
          <cell r="AA83">
            <v>3.3</v>
          </cell>
          <cell r="AC83">
            <v>3.4</v>
          </cell>
          <cell r="AD83">
            <v>3.6</v>
          </cell>
          <cell r="AE83">
            <v>3.9</v>
          </cell>
          <cell r="AF83">
            <v>4.0999999999999996</v>
          </cell>
          <cell r="AH83">
            <v>4.1999999999999993</v>
          </cell>
          <cell r="AI83">
            <v>4.2999999999999989</v>
          </cell>
          <cell r="AJ83">
            <v>4.3999999999999986</v>
          </cell>
          <cell r="AK83">
            <v>4.4999999999999982</v>
          </cell>
          <cell r="AM83">
            <v>4.5999999999999979</v>
          </cell>
          <cell r="AN83">
            <v>4.6999999999999975</v>
          </cell>
          <cell r="AO83">
            <v>4.7999999999999972</v>
          </cell>
          <cell r="AP83">
            <v>4.8999999999999968</v>
          </cell>
          <cell r="AR83">
            <v>4.9999999999999964</v>
          </cell>
          <cell r="AS83">
            <v>5.0999999999999961</v>
          </cell>
          <cell r="AT83">
            <v>5.1999999999999957</v>
          </cell>
          <cell r="AU83">
            <v>5.2999999999999954</v>
          </cell>
          <cell r="AW83">
            <v>7.3017003141012532E-2</v>
          </cell>
          <cell r="AX83">
            <v>0</v>
          </cell>
          <cell r="AY83">
            <v>0</v>
          </cell>
          <cell r="AZ83">
            <v>0</v>
          </cell>
          <cell r="BA83">
            <v>5.4</v>
          </cell>
          <cell r="BB83">
            <v>15</v>
          </cell>
          <cell r="BC83">
            <v>17.399999999999995</v>
          </cell>
          <cell r="BD83">
            <v>18.999999999999989</v>
          </cell>
          <cell r="BE83">
            <v>20.599999999999984</v>
          </cell>
          <cell r="BF83">
            <v>0.97582152974504233</v>
          </cell>
          <cell r="BG83">
            <v>17.399999999999995</v>
          </cell>
          <cell r="BH83">
            <v>18.999999999999989</v>
          </cell>
          <cell r="BI83">
            <v>20.599999999999984</v>
          </cell>
          <cell r="BJ83">
            <v>20.599999999999984</v>
          </cell>
          <cell r="BK83">
            <v>20.599999999999984</v>
          </cell>
          <cell r="BL83">
            <v>20.599999999999984</v>
          </cell>
          <cell r="BM83">
            <v>20.599999999999984</v>
          </cell>
          <cell r="BN83">
            <v>20.599999999999984</v>
          </cell>
          <cell r="BO83">
            <v>20.599999999999984</v>
          </cell>
          <cell r="BP83">
            <v>20.599999999999984</v>
          </cell>
          <cell r="BQ83">
            <v>20.599999999999984</v>
          </cell>
          <cell r="BR83">
            <v>20.599999999999984</v>
          </cell>
          <cell r="BS83">
            <v>20.599999999999984</v>
          </cell>
          <cell r="BT83">
            <v>20.599999999999984</v>
          </cell>
          <cell r="BU83">
            <v>2.1304886625510142</v>
          </cell>
          <cell r="BV83">
            <v>3.1544379506750864</v>
          </cell>
          <cell r="BW83">
            <v>3.3323412872184024</v>
          </cell>
          <cell r="BX83">
            <v>0.72057351484246768</v>
          </cell>
          <cell r="BY83">
            <v>1.8778987432936256</v>
          </cell>
          <cell r="BZ83">
            <v>2.9527616327475608</v>
          </cell>
          <cell r="CA83">
            <v>3.0862055143492637</v>
          </cell>
        </row>
        <row r="84">
          <cell r="A84" t="str">
            <v>After Tax Conv. Debt Dilutive Interest Add Back</v>
          </cell>
          <cell r="X84">
            <v>0</v>
          </cell>
          <cell r="Y84">
            <v>0</v>
          </cell>
          <cell r="Z84">
            <v>2.1</v>
          </cell>
          <cell r="AA84">
            <v>3.3</v>
          </cell>
          <cell r="AC84">
            <v>3.4</v>
          </cell>
          <cell r="AD84">
            <v>3.6</v>
          </cell>
          <cell r="AE84">
            <v>3.9</v>
          </cell>
          <cell r="AF84">
            <v>4.0999999999999996</v>
          </cell>
          <cell r="AH84">
            <v>4.1999999999999993</v>
          </cell>
          <cell r="AI84">
            <v>4.2999999999999989</v>
          </cell>
          <cell r="AJ84">
            <v>4.3999999999999986</v>
          </cell>
          <cell r="AK84">
            <v>4.4999999999999982</v>
          </cell>
          <cell r="AM84">
            <v>4.5999999999999979</v>
          </cell>
          <cell r="AN84">
            <v>4.6999999999999975</v>
          </cell>
          <cell r="AO84">
            <v>4.7999999999999972</v>
          </cell>
          <cell r="AP84">
            <v>4.8999999999999968</v>
          </cell>
          <cell r="AR84">
            <v>4.9999999999999964</v>
          </cell>
          <cell r="AS84">
            <v>5.0999999999999961</v>
          </cell>
          <cell r="AT84">
            <v>5.1999999999999957</v>
          </cell>
          <cell r="AU84">
            <v>5.2999999999999954</v>
          </cell>
          <cell r="AX84">
            <v>0</v>
          </cell>
          <cell r="AY84">
            <v>0</v>
          </cell>
          <cell r="AZ84">
            <v>0</v>
          </cell>
          <cell r="BA84">
            <v>5.4</v>
          </cell>
          <cell r="BB84">
            <v>15</v>
          </cell>
          <cell r="BC84">
            <v>17.399999999999995</v>
          </cell>
          <cell r="BD84">
            <v>18.999999999999989</v>
          </cell>
          <cell r="BE84">
            <v>20.599999999999984</v>
          </cell>
          <cell r="BG84">
            <v>17.399999999999995</v>
          </cell>
          <cell r="BH84">
            <v>18.999999999999989</v>
          </cell>
          <cell r="BI84">
            <v>20.599999999999984</v>
          </cell>
          <cell r="BJ84">
            <v>20.599999999999984</v>
          </cell>
          <cell r="BK84">
            <v>20.599999999999984</v>
          </cell>
          <cell r="BL84">
            <v>20.599999999999984</v>
          </cell>
          <cell r="BM84">
            <v>20.599999999999984</v>
          </cell>
          <cell r="BN84">
            <v>20.599999999999984</v>
          </cell>
          <cell r="BO84">
            <v>20.599999999999984</v>
          </cell>
          <cell r="BP84">
            <v>20.599999999999984</v>
          </cell>
          <cell r="BQ84">
            <v>20.599999999999984</v>
          </cell>
          <cell r="BR84">
            <v>20.599999999999984</v>
          </cell>
          <cell r="BS84">
            <v>20.599999999999984</v>
          </cell>
          <cell r="BT84">
            <v>20.599999999999984</v>
          </cell>
          <cell r="BU84">
            <v>20.599999999999984</v>
          </cell>
        </row>
        <row r="85">
          <cell r="A85" t="str">
            <v>Shares from Convertible Debt</v>
          </cell>
          <cell r="I85" t="str">
            <v>--</v>
          </cell>
          <cell r="J85" t="str">
            <v>--</v>
          </cell>
          <cell r="K85" t="str">
            <v>--</v>
          </cell>
          <cell r="L85" t="str">
            <v>--</v>
          </cell>
          <cell r="N85" t="str">
            <v>--</v>
          </cell>
          <cell r="O85">
            <v>74.7</v>
          </cell>
          <cell r="P85">
            <v>133.9</v>
          </cell>
          <cell r="Q85">
            <v>149.1</v>
          </cell>
          <cell r="S85">
            <v>168</v>
          </cell>
          <cell r="T85">
            <v>168.5</v>
          </cell>
          <cell r="U85">
            <v>169</v>
          </cell>
          <cell r="V85">
            <v>185.4</v>
          </cell>
          <cell r="X85">
            <v>202.5</v>
          </cell>
          <cell r="Y85">
            <v>202.8</v>
          </cell>
          <cell r="Z85">
            <v>203.2</v>
          </cell>
          <cell r="AA85">
            <v>203.4</v>
          </cell>
          <cell r="AC85">
            <v>203.8</v>
          </cell>
          <cell r="AD85">
            <v>216.3</v>
          </cell>
          <cell r="AE85">
            <v>10.3</v>
          </cell>
          <cell r="AF85">
            <v>10.3</v>
          </cell>
          <cell r="AH85">
            <v>10.3</v>
          </cell>
          <cell r="AI85">
            <v>10.3</v>
          </cell>
          <cell r="AJ85">
            <v>10.3</v>
          </cell>
          <cell r="AK85">
            <v>10.3</v>
          </cell>
          <cell r="AM85">
            <v>10.3</v>
          </cell>
          <cell r="AN85">
            <v>10.3</v>
          </cell>
          <cell r="AO85">
            <v>10.3</v>
          </cell>
          <cell r="AP85">
            <v>10.3</v>
          </cell>
          <cell r="AR85">
            <v>211.6</v>
          </cell>
          <cell r="AS85">
            <v>212.6</v>
          </cell>
          <cell r="AT85">
            <v>213.6</v>
          </cell>
          <cell r="AU85">
            <v>214.6</v>
          </cell>
          <cell r="AW85">
            <v>215.6</v>
          </cell>
          <cell r="AX85">
            <v>216.6</v>
          </cell>
          <cell r="AY85">
            <v>217.6</v>
          </cell>
          <cell r="AZ85">
            <v>218.6</v>
          </cell>
          <cell r="BB85" t="str">
            <v xml:space="preserve"> --</v>
          </cell>
          <cell r="BC85" t="str">
            <v xml:space="preserve"> --</v>
          </cell>
          <cell r="BD85">
            <v>149.1</v>
          </cell>
          <cell r="BE85">
            <v>185.4</v>
          </cell>
          <cell r="BF85">
            <v>203.4</v>
          </cell>
          <cell r="BG85">
            <v>229.7</v>
          </cell>
          <cell r="BH85">
            <v>228.6</v>
          </cell>
          <cell r="BI85">
            <v>210.6</v>
          </cell>
          <cell r="BJ85">
            <v>214.6</v>
          </cell>
          <cell r="BK85">
            <v>218.6</v>
          </cell>
          <cell r="BM85">
            <v>228.6</v>
          </cell>
          <cell r="BN85">
            <v>210.6</v>
          </cell>
          <cell r="BO85">
            <v>214.6</v>
          </cell>
          <cell r="BP85">
            <v>218.6</v>
          </cell>
          <cell r="BQ85">
            <v>223.6</v>
          </cell>
          <cell r="BR85">
            <v>228.6</v>
          </cell>
          <cell r="BS85">
            <v>233.6</v>
          </cell>
          <cell r="BT85">
            <v>238.6</v>
          </cell>
          <cell r="BU85">
            <v>243.6</v>
          </cell>
          <cell r="BV85">
            <v>248.6</v>
          </cell>
          <cell r="BW85">
            <v>253.6</v>
          </cell>
          <cell r="BX85">
            <v>258.60000000000002</v>
          </cell>
          <cell r="BY85">
            <v>263.60000000000002</v>
          </cell>
          <cell r="BZ85">
            <v>268.60000000000002</v>
          </cell>
          <cell r="CA85">
            <v>273.60000000000002</v>
          </cell>
        </row>
        <row r="86">
          <cell r="A86" t="str">
            <v>% Growth Rate</v>
          </cell>
          <cell r="I86">
            <v>61</v>
          </cell>
          <cell r="J86">
            <v>71.599999999999994</v>
          </cell>
          <cell r="K86">
            <v>71.8</v>
          </cell>
          <cell r="L86">
            <v>72.599999999999994</v>
          </cell>
          <cell r="N86">
            <v>73.2</v>
          </cell>
          <cell r="O86">
            <v>74.164000000000001</v>
          </cell>
          <cell r="P86">
            <v>129.572</v>
          </cell>
          <cell r="Q86">
            <v>134</v>
          </cell>
          <cell r="S86">
            <v>154.666</v>
          </cell>
          <cell r="T86">
            <v>168.2</v>
          </cell>
          <cell r="U86">
            <v>168.6</v>
          </cell>
          <cell r="V86">
            <v>176.99</v>
          </cell>
          <cell r="X86">
            <v>190.1</v>
          </cell>
          <cell r="Y86">
            <v>202.7</v>
          </cell>
          <cell r="Z86">
            <v>203</v>
          </cell>
          <cell r="AA86">
            <v>203.2</v>
          </cell>
          <cell r="AC86">
            <v>203.6</v>
          </cell>
          <cell r="AD86">
            <v>207.018</v>
          </cell>
          <cell r="AE86">
            <v>218.1</v>
          </cell>
          <cell r="AF86">
            <v>227.1</v>
          </cell>
          <cell r="AH86">
            <v>229.8</v>
          </cell>
          <cell r="AI86">
            <v>230.2</v>
          </cell>
          <cell r="AJ86">
            <v>230.1</v>
          </cell>
          <cell r="AK86">
            <v>232.1</v>
          </cell>
          <cell r="AM86">
            <v>227</v>
          </cell>
          <cell r="AN86">
            <v>218</v>
          </cell>
          <cell r="AO86">
            <v>211.8</v>
          </cell>
          <cell r="AP86">
            <v>210.1</v>
          </cell>
          <cell r="AR86">
            <v>211.1</v>
          </cell>
          <cell r="AS86">
            <v>212.1</v>
          </cell>
          <cell r="AT86">
            <v>213.1</v>
          </cell>
          <cell r="AU86">
            <v>214.1</v>
          </cell>
          <cell r="AW86">
            <v>215.1</v>
          </cell>
          <cell r="AX86">
            <v>216.1</v>
          </cell>
          <cell r="AY86">
            <v>217.1</v>
          </cell>
          <cell r="AZ86">
            <v>218.1</v>
          </cell>
          <cell r="BB86" t="str">
            <v xml:space="preserve"> --</v>
          </cell>
          <cell r="BC86">
            <v>69.578000000000003</v>
          </cell>
          <cell r="BD86">
            <v>102.992</v>
          </cell>
          <cell r="BE86">
            <v>167.19499999999999</v>
          </cell>
          <cell r="BF86">
            <v>199.786</v>
          </cell>
          <cell r="BG86">
            <v>213.9</v>
          </cell>
          <cell r="BH86">
            <v>229.6</v>
          </cell>
          <cell r="BI86">
            <v>213.95000000000002</v>
          </cell>
          <cell r="BJ86">
            <v>213.1</v>
          </cell>
          <cell r="BK86">
            <v>217.1</v>
          </cell>
          <cell r="BM86">
            <v>229.6</v>
          </cell>
          <cell r="BN86">
            <v>213.95000000000002</v>
          </cell>
          <cell r="BO86">
            <v>213.1</v>
          </cell>
          <cell r="BP86">
            <v>217.1</v>
          </cell>
          <cell r="BQ86">
            <v>221.1</v>
          </cell>
          <cell r="BR86">
            <v>226.1</v>
          </cell>
          <cell r="BS86">
            <v>231.1</v>
          </cell>
          <cell r="BT86">
            <v>236.1</v>
          </cell>
          <cell r="BU86">
            <v>241.1</v>
          </cell>
          <cell r="BV86">
            <v>246.1</v>
          </cell>
          <cell r="BW86">
            <v>251.1</v>
          </cell>
          <cell r="BX86">
            <v>256.10000000000002</v>
          </cell>
          <cell r="BY86">
            <v>261.10000000000002</v>
          </cell>
          <cell r="BZ86">
            <v>266.10000000000002</v>
          </cell>
          <cell r="CA86">
            <v>271.10000000000002</v>
          </cell>
        </row>
        <row r="87">
          <cell r="A87" t="str">
            <v>% Growth Rate</v>
          </cell>
          <cell r="B87" t="str">
            <v>yyrevg</v>
          </cell>
          <cell r="I87">
            <v>-0.35059703176112278</v>
          </cell>
          <cell r="J87">
            <v>-0.21238407192615727</v>
          </cell>
          <cell r="K87">
            <v>0.12417634354236862</v>
          </cell>
          <cell r="L87">
            <v>0.89020709117822028</v>
          </cell>
          <cell r="N87">
            <v>0.52750206782464848</v>
          </cell>
          <cell r="O87">
            <v>0.79638225493724679</v>
          </cell>
          <cell r="P87">
            <v>0.98378458973838767</v>
          </cell>
          <cell r="Q87">
            <v>0.35438467066849921</v>
          </cell>
          <cell r="S87">
            <v>0.46449708948152169</v>
          </cell>
          <cell r="T87">
            <v>0.61539048190263723</v>
          </cell>
          <cell r="U87">
            <v>0.67194061113849179</v>
          </cell>
          <cell r="V87">
            <v>0.73863014942213212</v>
          </cell>
          <cell r="X87">
            <v>0.49037458958203928</v>
          </cell>
          <cell r="Y87">
            <v>0.67390813795310844</v>
          </cell>
          <cell r="Z87">
            <v>0.91617579758089307</v>
          </cell>
          <cell r="AA87">
            <v>1.1431035629503881</v>
          </cell>
          <cell r="AC87">
            <v>0.66999726481604482</v>
          </cell>
          <cell r="AD87">
            <v>0.27191912740817736</v>
          </cell>
          <cell r="AE87">
            <v>-0.15276009182550698</v>
          </cell>
          <cell r="AF87">
            <v>-0.28990753309433481</v>
          </cell>
          <cell r="AH87">
            <v>-0.20095076274569879</v>
          </cell>
          <cell r="AI87">
            <v>-0.15466045478155055</v>
          </cell>
          <cell r="AJ87">
            <v>2.4670155927279502E-2</v>
          </cell>
          <cell r="AK87">
            <v>-1.3528919205947121E-2</v>
          </cell>
          <cell r="AM87">
            <v>9.9804585028119952E-2</v>
          </cell>
          <cell r="AN87">
            <v>8.6478836800000014E-2</v>
          </cell>
          <cell r="AO87">
            <v>0.13520092334794742</v>
          </cell>
          <cell r="AP87">
            <v>0.16983707322225849</v>
          </cell>
          <cell r="AR87">
            <v>0.13348217711679111</v>
          </cell>
          <cell r="AS87">
            <v>0.1396439710791133</v>
          </cell>
          <cell r="AT87">
            <v>0.14685386318025651</v>
          </cell>
          <cell r="AU87">
            <v>0.15089760980543687</v>
          </cell>
          <cell r="AW87" t="str">
            <v xml:space="preserve"> --</v>
          </cell>
          <cell r="AX87">
            <v>-5.091658782999775E-3</v>
          </cell>
          <cell r="AY87">
            <v>0.6192990089003112</v>
          </cell>
          <cell r="AZ87">
            <v>0.63030623666795016</v>
          </cell>
          <cell r="BA87">
            <v>0.840979101876417</v>
          </cell>
          <cell r="BB87">
            <v>2.5877159476316747E-2</v>
          </cell>
          <cell r="BC87">
            <v>-9.3094287921022256E-2</v>
          </cell>
          <cell r="BD87">
            <v>0.12395976077572102</v>
          </cell>
          <cell r="BE87">
            <v>0.14313251614990397</v>
          </cell>
          <cell r="BF87">
            <v>211.8</v>
          </cell>
          <cell r="BG87">
            <v>-9.3094287921022256E-2</v>
          </cell>
          <cell r="BH87">
            <v>0.12395976077572102</v>
          </cell>
          <cell r="BI87">
            <v>0.14313251614990397</v>
          </cell>
          <cell r="BJ87">
            <v>0.18</v>
          </cell>
          <cell r="BK87">
            <v>0.22</v>
          </cell>
          <cell r="BL87">
            <v>0.25</v>
          </cell>
          <cell r="BM87">
            <v>0.25</v>
          </cell>
          <cell r="BN87">
            <v>0.21</v>
          </cell>
          <cell r="BO87">
            <v>0.17</v>
          </cell>
          <cell r="BP87">
            <v>0.13</v>
          </cell>
          <cell r="BQ87">
            <v>0.1</v>
          </cell>
          <cell r="BR87">
            <v>0.08</v>
          </cell>
          <cell r="BS87">
            <v>0.06</v>
          </cell>
          <cell r="BT87">
            <v>0.04</v>
          </cell>
          <cell r="BU87">
            <v>232.97499999999999</v>
          </cell>
          <cell r="BV87">
            <v>218.07499999999999</v>
          </cell>
          <cell r="BW87">
            <v>222.02500000000001</v>
          </cell>
          <cell r="BX87">
            <v>234</v>
          </cell>
          <cell r="BY87">
            <v>232.97499999999999</v>
          </cell>
          <cell r="BZ87">
            <v>218.07499999999999</v>
          </cell>
          <cell r="CA87">
            <v>222.02500000000001</v>
          </cell>
        </row>
        <row r="88">
          <cell r="A88" t="str">
            <v>Revenues (Yr-Yr)</v>
          </cell>
          <cell r="B88" t="str">
            <v>yyrevg</v>
          </cell>
          <cell r="I88">
            <v>-0.35059703176112278</v>
          </cell>
          <cell r="J88">
            <v>-0.21238407192615727</v>
          </cell>
          <cell r="K88">
            <v>0.12417634354236862</v>
          </cell>
          <cell r="L88">
            <v>0.89020709117822028</v>
          </cell>
          <cell r="N88">
            <v>0.52750206782464848</v>
          </cell>
          <cell r="O88">
            <v>0.79638225493724679</v>
          </cell>
          <cell r="P88">
            <v>0.98378458973838767</v>
          </cell>
          <cell r="Q88">
            <v>0.35438467066849921</v>
          </cell>
          <cell r="S88">
            <v>0.46449708948152169</v>
          </cell>
          <cell r="T88">
            <v>0.61539048190263723</v>
          </cell>
          <cell r="U88">
            <v>0.67194061113849179</v>
          </cell>
          <cell r="V88">
            <v>0.73863014942213212</v>
          </cell>
          <cell r="X88">
            <v>0.49037458958203928</v>
          </cell>
          <cell r="Y88">
            <v>0.67390813795310844</v>
          </cell>
          <cell r="Z88">
            <v>0.91617579758089307</v>
          </cell>
          <cell r="AA88">
            <v>1.1431035629503881</v>
          </cell>
          <cell r="AC88">
            <v>0.66999726481604482</v>
          </cell>
          <cell r="AD88">
            <v>0.27191912740817736</v>
          </cell>
          <cell r="AE88">
            <v>-0.15276009182550698</v>
          </cell>
          <cell r="AF88">
            <v>-0.28990753309433481</v>
          </cell>
          <cell r="AH88">
            <v>-0.20095076274569879</v>
          </cell>
          <cell r="AI88">
            <v>-0.16471239212449618</v>
          </cell>
          <cell r="AJ88">
            <v>2.4270263737261599E-2</v>
          </cell>
          <cell r="AK88">
            <v>-1.4264806602810043E-2</v>
          </cell>
          <cell r="AM88">
            <v>9.8935282768068955E-2</v>
          </cell>
          <cell r="AN88">
            <v>9.8506774725703572E-2</v>
          </cell>
          <cell r="AO88">
            <v>0.13425792924672697</v>
          </cell>
          <cell r="AP88">
            <v>0.1689643368931113</v>
          </cell>
          <cell r="AR88">
            <v>0.13272076233916907</v>
          </cell>
          <cell r="AS88">
            <v>0.13896724377998049</v>
          </cell>
          <cell r="AT88">
            <v>0.14638739857864769</v>
          </cell>
          <cell r="AU88">
            <v>0.15044484842092887</v>
          </cell>
          <cell r="AW88" t="str">
            <v xml:space="preserve"> --</v>
          </cell>
          <cell r="AX88">
            <v>-5.091658782999775E-3</v>
          </cell>
          <cell r="AY88">
            <v>0.6192990089003112</v>
          </cell>
          <cell r="AZ88">
            <v>0.63030623666795016</v>
          </cell>
          <cell r="BA88">
            <v>0.840979101876417</v>
          </cell>
          <cell r="BB88">
            <v>2.5877159476316747E-2</v>
          </cell>
          <cell r="BC88">
            <v>-9.6035763755579873E-2</v>
          </cell>
          <cell r="BD88">
            <v>0.12634123162952116</v>
          </cell>
          <cell r="BE88">
            <v>0.14254920855251441</v>
          </cell>
          <cell r="BF88">
            <v>211.8</v>
          </cell>
          <cell r="BG88">
            <v>-9.6035763755579873E-2</v>
          </cell>
          <cell r="BH88">
            <v>0.12634123162952116</v>
          </cell>
          <cell r="BI88">
            <v>0.14254920855251441</v>
          </cell>
          <cell r="BJ88">
            <v>0.18</v>
          </cell>
          <cell r="BK88">
            <v>0.22</v>
          </cell>
          <cell r="BL88">
            <v>0.25</v>
          </cell>
          <cell r="BM88">
            <v>0.25</v>
          </cell>
          <cell r="BN88">
            <v>0.21</v>
          </cell>
          <cell r="BO88">
            <v>0.17</v>
          </cell>
          <cell r="BP88">
            <v>0.13</v>
          </cell>
          <cell r="BQ88">
            <v>0.1</v>
          </cell>
          <cell r="BR88">
            <v>0.08</v>
          </cell>
          <cell r="BS88">
            <v>0.06</v>
          </cell>
          <cell r="BT88">
            <v>0.04</v>
          </cell>
          <cell r="BU88">
            <v>236.2</v>
          </cell>
          <cell r="BV88">
            <v>218.07499999999999</v>
          </cell>
          <cell r="BW88">
            <v>213.55</v>
          </cell>
          <cell r="BX88">
            <v>215.55</v>
          </cell>
          <cell r="BY88">
            <v>236.2</v>
          </cell>
          <cell r="BZ88">
            <v>218.07499999999999</v>
          </cell>
          <cell r="CA88">
            <v>213.55</v>
          </cell>
        </row>
        <row r="89">
          <cell r="A89" t="str">
            <v>Organic Growth (Yr-Yr)</v>
          </cell>
          <cell r="B89" t="str">
            <v>yyorevg</v>
          </cell>
          <cell r="I89">
            <v>-44.459663427708932</v>
          </cell>
          <cell r="J89">
            <v>-46.842714568668022</v>
          </cell>
          <cell r="K89">
            <v>-48.927254441837064</v>
          </cell>
          <cell r="L89">
            <v>-18.882509994881513</v>
          </cell>
          <cell r="N89">
            <v>-16.004962779156319</v>
          </cell>
          <cell r="O89">
            <v>15.43369982932974</v>
          </cell>
          <cell r="P89">
            <v>47.65947149592904</v>
          </cell>
          <cell r="Q89">
            <v>23.216337547406486</v>
          </cell>
          <cell r="S89">
            <v>23.165561120888057</v>
          </cell>
          <cell r="T89">
            <v>38.138270117624359</v>
          </cell>
          <cell r="U89">
            <v>42.519960571710193</v>
          </cell>
          <cell r="V89">
            <v>48.240638871657218</v>
          </cell>
          <cell r="X89">
            <v>37.136262460437194</v>
          </cell>
          <cell r="Y89">
            <v>42.484836360726554</v>
          </cell>
          <cell r="Z89">
            <v>48.44468256067973</v>
          </cell>
          <cell r="AA89">
            <v>58.428495149342567</v>
          </cell>
          <cell r="AC89">
            <v>30.406562456778175</v>
          </cell>
          <cell r="AD89">
            <v>5.2021551874555261</v>
          </cell>
          <cell r="AE89">
            <v>-30.275149616425836</v>
          </cell>
          <cell r="AF89">
            <v>-51.17933010801341</v>
          </cell>
          <cell r="AH89">
            <v>-47.76375774119569</v>
          </cell>
          <cell r="AI89">
            <v>-44.847166503927895</v>
          </cell>
          <cell r="AJ89">
            <v>-19.361938423477586</v>
          </cell>
          <cell r="AK89">
            <v>-5.5111142686463328</v>
          </cell>
          <cell r="AM89">
            <v>5.2456082210318389</v>
          </cell>
          <cell r="AN89">
            <v>9.8506774725703572</v>
          </cell>
          <cell r="AO89">
            <v>13.425792924672697</v>
          </cell>
          <cell r="AP89">
            <v>16.896433689311131</v>
          </cell>
          <cell r="AR89">
            <v>13.272076233916907</v>
          </cell>
          <cell r="AS89">
            <v>13.896724377998048</v>
          </cell>
          <cell r="AT89">
            <v>14.638739857864769</v>
          </cell>
          <cell r="AU89">
            <v>15.044484842092887</v>
          </cell>
          <cell r="AW89" t="str">
            <v xml:space="preserve"> --</v>
          </cell>
          <cell r="AX89" t="str">
            <v xml:space="preserve"> --</v>
          </cell>
          <cell r="AY89" t="str">
            <v xml:space="preserve"> --</v>
          </cell>
          <cell r="AZ89">
            <v>38.705649983375508</v>
          </cell>
          <cell r="BA89">
            <v>47.761254232249726</v>
          </cell>
          <cell r="BB89">
            <v>-20.022856674092427</v>
          </cell>
          <cell r="BC89">
            <v>-30.394363977571537</v>
          </cell>
          <cell r="BD89">
            <v>11.528374665198072</v>
          </cell>
          <cell r="BE89">
            <v>14.254920855251441</v>
          </cell>
          <cell r="BG89">
            <v>-30.394363977571537</v>
          </cell>
          <cell r="BH89">
            <v>11.528374665198072</v>
          </cell>
          <cell r="BI89">
            <v>14.254920855251441</v>
          </cell>
          <cell r="BJ89">
            <v>18</v>
          </cell>
          <cell r="BK89">
            <v>22</v>
          </cell>
          <cell r="BL89">
            <v>25</v>
          </cell>
          <cell r="BM89">
            <v>25</v>
          </cell>
          <cell r="BN89">
            <v>21</v>
          </cell>
          <cell r="BO89">
            <v>17</v>
          </cell>
          <cell r="BP89">
            <v>13</v>
          </cell>
          <cell r="BQ89">
            <v>10</v>
          </cell>
          <cell r="BR89">
            <v>8</v>
          </cell>
          <cell r="BS89">
            <v>6</v>
          </cell>
          <cell r="BT89">
            <v>4</v>
          </cell>
          <cell r="BU89">
            <v>3</v>
          </cell>
        </row>
        <row r="90">
          <cell r="A90" t="str">
            <v>Revenues (Seq.)</v>
          </cell>
          <cell r="B90" t="str">
            <v>seqrevg</v>
          </cell>
          <cell r="I90">
            <v>33.799991699752383</v>
          </cell>
          <cell r="J90">
            <v>-10.948097601323415</v>
          </cell>
          <cell r="K90">
            <v>-5.0012190732721002</v>
          </cell>
          <cell r="L90">
            <v>66.990616376244432</v>
          </cell>
          <cell r="N90">
            <v>8.1255937247049594</v>
          </cell>
          <cell r="O90">
            <v>4.7273588736970185</v>
          </cell>
          <cell r="P90">
            <v>4.9092514293174627</v>
          </cell>
          <cell r="Q90">
            <v>14.009117792015768</v>
          </cell>
          <cell r="S90">
            <v>16.916279944407098</v>
          </cell>
          <cell r="T90">
            <v>15.517866122400692</v>
          </cell>
          <cell r="U90">
            <v>8.5818196367128063</v>
          </cell>
          <cell r="V90">
            <v>18.556656965968465</v>
          </cell>
          <cell r="X90">
            <v>0.22203560401827804</v>
          </cell>
          <cell r="Y90">
            <v>29.743419897874034</v>
          </cell>
          <cell r="Z90">
            <v>24.297056766559134</v>
          </cell>
          <cell r="AA90">
            <v>32.59701655558969</v>
          </cell>
          <cell r="AC90">
            <v>-21.902735720998223</v>
          </cell>
          <cell r="AD90">
            <v>-1.1835882008857546</v>
          </cell>
          <cell r="AE90">
            <v>-17.204305924818463</v>
          </cell>
          <cell r="AF90">
            <v>11.132799201071286</v>
          </cell>
          <cell r="AH90">
            <v>-12.119107916019923</v>
          </cell>
          <cell r="AI90">
            <v>3.2979200557750499</v>
          </cell>
          <cell r="AJ90">
            <v>1.5281043404820727</v>
          </cell>
          <cell r="AK90">
            <v>6.9517637986798109</v>
          </cell>
          <cell r="AM90">
            <v>-2.0270214159789024</v>
          </cell>
          <cell r="AN90">
            <v>3.2576410782978682</v>
          </cell>
          <cell r="AO90">
            <v>4.8323597442864852</v>
          </cell>
          <cell r="AP90">
            <v>10.224310031053886</v>
          </cell>
          <cell r="AR90">
            <v>-5.0646598122189079</v>
          </cell>
          <cell r="AS90">
            <v>3.8270637992918521</v>
          </cell>
          <cell r="AT90">
            <v>5.5153226139038614</v>
          </cell>
          <cell r="AU90">
            <v>10.614430866214475</v>
          </cell>
          <cell r="AW90" t="str">
            <v xml:space="preserve"> --</v>
          </cell>
          <cell r="AX90" t="str">
            <v xml:space="preserve"> --</v>
          </cell>
          <cell r="AY90" t="str">
            <v xml:space="preserve"> --</v>
          </cell>
          <cell r="AZ90" t="str">
            <v xml:space="preserve"> --</v>
          </cell>
          <cell r="BA90" t="str">
            <v xml:space="preserve"> --</v>
          </cell>
          <cell r="BB90" t="str">
            <v xml:space="preserve"> --</v>
          </cell>
          <cell r="BC90" t="str">
            <v xml:space="preserve"> --</v>
          </cell>
          <cell r="BD90" t="str">
            <v xml:space="preserve"> --</v>
          </cell>
          <cell r="BE90" t="str">
            <v xml:space="preserve"> --</v>
          </cell>
          <cell r="BF90">
            <v>304.02099999999996</v>
          </cell>
          <cell r="BG90" t="str">
            <v xml:space="preserve"> --</v>
          </cell>
          <cell r="BH90" t="str">
            <v xml:space="preserve"> --</v>
          </cell>
          <cell r="BI90" t="str">
            <v xml:space="preserve"> --</v>
          </cell>
          <cell r="BJ90" t="str">
            <v xml:space="preserve"> --</v>
          </cell>
          <cell r="BK90" t="str">
            <v xml:space="preserve"> --</v>
          </cell>
          <cell r="BL90" t="str">
            <v xml:space="preserve"> --</v>
          </cell>
          <cell r="BM90" t="str">
            <v xml:space="preserve"> --</v>
          </cell>
          <cell r="BN90" t="str">
            <v xml:space="preserve"> --</v>
          </cell>
          <cell r="BO90" t="str">
            <v xml:space="preserve"> --</v>
          </cell>
          <cell r="BP90" t="str">
            <v xml:space="preserve"> --</v>
          </cell>
          <cell r="BQ90" t="str">
            <v xml:space="preserve"> --</v>
          </cell>
          <cell r="BR90" t="str">
            <v xml:space="preserve"> --</v>
          </cell>
          <cell r="BS90" t="str">
            <v xml:space="preserve"> --</v>
          </cell>
          <cell r="BT90" t="str">
            <v xml:space="preserve"> --</v>
          </cell>
          <cell r="BU90">
            <v>507.27559615782252</v>
          </cell>
          <cell r="BV90">
            <v>692.90405609346942</v>
          </cell>
          <cell r="BW90">
            <v>739.86307429466581</v>
          </cell>
          <cell r="BX90">
            <v>168.61420247313742</v>
          </cell>
          <cell r="BY90">
            <v>437.5034597188324</v>
          </cell>
          <cell r="BZ90">
            <v>643.92349306142432</v>
          </cell>
          <cell r="CA90">
            <v>685.21477932339531</v>
          </cell>
        </row>
        <row r="91">
          <cell r="A91" t="str">
            <v>Organic Growth (Seq.)</v>
          </cell>
          <cell r="B91" t="str">
            <v>seqorevg</v>
          </cell>
          <cell r="I91">
            <v>14.43274724362611</v>
          </cell>
          <cell r="J91">
            <v>-25.422870140612087</v>
          </cell>
          <cell r="K91">
            <v>-24.274186994229709</v>
          </cell>
          <cell r="L91">
            <v>26.170997538601416</v>
          </cell>
          <cell r="N91">
            <v>7.2473568730084148</v>
          </cell>
          <cell r="O91">
            <v>3.7797482063083754</v>
          </cell>
          <cell r="P91">
            <v>3.0995797683878834</v>
          </cell>
          <cell r="Q91">
            <v>8.83415475603746</v>
          </cell>
          <cell r="S91">
            <v>3.9474850264455519</v>
          </cell>
          <cell r="T91">
            <v>14.316191912917443</v>
          </cell>
          <cell r="U91">
            <v>7.3815315675762161</v>
          </cell>
          <cell r="V91">
            <v>16.493201281995539</v>
          </cell>
          <cell r="X91">
            <v>-4.8750863247326581</v>
          </cell>
          <cell r="Y91">
            <v>17.649069076109413</v>
          </cell>
          <cell r="Z91">
            <v>22.050277190454736</v>
          </cell>
          <cell r="AA91">
            <v>32.481638552252193</v>
          </cell>
          <cell r="AC91">
            <v>-22.482829232072209</v>
          </cell>
          <cell r="AD91">
            <v>-4.5261134787331736</v>
          </cell>
          <cell r="AE91">
            <v>-26.976148435791114</v>
          </cell>
          <cell r="AF91">
            <v>-6.1167979300483459</v>
          </cell>
          <cell r="AH91">
            <v>-12.119107916019923</v>
          </cell>
          <cell r="AI91">
            <v>-1.3499999999999845</v>
          </cell>
          <cell r="AJ91">
            <v>1.5281043404820727</v>
          </cell>
          <cell r="AK91">
            <v>6.9517637986798109</v>
          </cell>
          <cell r="AM91">
            <v>-2.0270214159789024</v>
          </cell>
          <cell r="AN91">
            <v>3.2576410782978682</v>
          </cell>
          <cell r="AO91">
            <v>4.8323597442864852</v>
          </cell>
          <cell r="AP91">
            <v>10.224310031053886</v>
          </cell>
          <cell r="AR91">
            <v>-5.0646598122189079</v>
          </cell>
          <cell r="AS91">
            <v>3.8270637992918521</v>
          </cell>
          <cell r="AT91">
            <v>5.5153226139038614</v>
          </cell>
          <cell r="AU91">
            <v>10.614430866214475</v>
          </cell>
          <cell r="AW91" t="str">
            <v xml:space="preserve"> --</v>
          </cell>
          <cell r="AX91" t="str">
            <v xml:space="preserve"> --</v>
          </cell>
          <cell r="AY91" t="str">
            <v xml:space="preserve"> --</v>
          </cell>
          <cell r="AZ91" t="str">
            <v xml:space="preserve"> --</v>
          </cell>
          <cell r="BA91" t="str">
            <v xml:space="preserve"> --</v>
          </cell>
          <cell r="BB91" t="str">
            <v xml:space="preserve"> --</v>
          </cell>
          <cell r="BC91" t="str">
            <v xml:space="preserve"> --</v>
          </cell>
          <cell r="BD91" t="str">
            <v xml:space="preserve"> --</v>
          </cell>
          <cell r="BE91" t="str">
            <v xml:space="preserve"> --</v>
          </cell>
          <cell r="BF91">
            <v>206.67899999999997</v>
          </cell>
          <cell r="BG91" t="str">
            <v xml:space="preserve"> --</v>
          </cell>
          <cell r="BH91" t="str">
            <v xml:space="preserve"> --</v>
          </cell>
          <cell r="BI91" t="str">
            <v xml:space="preserve"> --</v>
          </cell>
          <cell r="BJ91" t="str">
            <v xml:space="preserve"> --</v>
          </cell>
          <cell r="BK91" t="str">
            <v xml:space="preserve"> --</v>
          </cell>
          <cell r="BL91" t="str">
            <v xml:space="preserve"> --</v>
          </cell>
          <cell r="BM91" t="str">
            <v xml:space="preserve"> --</v>
          </cell>
          <cell r="BN91" t="str">
            <v xml:space="preserve"> --</v>
          </cell>
          <cell r="BO91" t="str">
            <v xml:space="preserve"> --</v>
          </cell>
          <cell r="BP91" t="str">
            <v xml:space="preserve"> --</v>
          </cell>
          <cell r="BQ91" t="str">
            <v xml:space="preserve"> --</v>
          </cell>
          <cell r="BR91" t="str">
            <v xml:space="preserve"> --</v>
          </cell>
          <cell r="BS91" t="str">
            <v xml:space="preserve"> --</v>
          </cell>
          <cell r="BT91" t="str">
            <v xml:space="preserve"> --</v>
          </cell>
          <cell r="BU91">
            <v>496.35059615782251</v>
          </cell>
          <cell r="BV91">
            <v>687.90405609346942</v>
          </cell>
          <cell r="BW91">
            <v>739.86307429466581</v>
          </cell>
          <cell r="BX91">
            <v>168.61420247313742</v>
          </cell>
          <cell r="BY91">
            <v>437.5034597188324</v>
          </cell>
          <cell r="BZ91">
            <v>643.92349306142432</v>
          </cell>
          <cell r="CA91">
            <v>685.21477932339531</v>
          </cell>
        </row>
        <row r="92">
          <cell r="A92" t="str">
            <v>Expenses (Yr-Yr)</v>
          </cell>
          <cell r="I92" t="str">
            <v xml:space="preserve"> --</v>
          </cell>
          <cell r="J92" t="str">
            <v xml:space="preserve"> --</v>
          </cell>
          <cell r="K92" t="str">
            <v xml:space="preserve"> --</v>
          </cell>
          <cell r="L92" t="str">
            <v xml:space="preserve"> --</v>
          </cell>
          <cell r="N92">
            <v>78.378378378378358</v>
          </cell>
          <cell r="O92">
            <v>70.834209972648836</v>
          </cell>
          <cell r="P92">
            <v>116.63157894736842</v>
          </cell>
          <cell r="Q92">
            <v>100.3823674004479</v>
          </cell>
          <cell r="S92">
            <v>59.814393939393959</v>
          </cell>
          <cell r="T92">
            <v>45.038332460974793</v>
          </cell>
          <cell r="U92">
            <v>47.521865889212854</v>
          </cell>
          <cell r="V92">
            <v>67.116454039908419</v>
          </cell>
          <cell r="X92">
            <v>37.529330899954957</v>
          </cell>
          <cell r="Y92">
            <v>55.93648502345723</v>
          </cell>
          <cell r="Z92">
            <v>64.924823684414463</v>
          </cell>
          <cell r="AA92">
            <v>78.531930511377539</v>
          </cell>
          <cell r="AC92">
            <v>53.457992244722099</v>
          </cell>
          <cell r="AD92">
            <v>17.640252120288082</v>
          </cell>
          <cell r="AE92">
            <v>-6.7163214717872233</v>
          </cell>
          <cell r="AF92">
            <v>-20.876389916764893</v>
          </cell>
          <cell r="AH92">
            <v>-13.862809397601183</v>
          </cell>
          <cell r="AI92">
            <v>-9.9856318347508974</v>
          </cell>
          <cell r="AJ92">
            <v>-0.54082135345823179</v>
          </cell>
          <cell r="AK92">
            <v>-8.0391019449480119</v>
          </cell>
          <cell r="AM92">
            <v>4.8086243412868379</v>
          </cell>
          <cell r="AN92">
            <v>3.5734959027092117</v>
          </cell>
          <cell r="AO92">
            <v>10.18505598396775</v>
          </cell>
          <cell r="AP92">
            <v>16.896433689311131</v>
          </cell>
          <cell r="AR92">
            <v>9.9405445799781731</v>
          </cell>
          <cell r="AS92">
            <v>13.896724377998027</v>
          </cell>
          <cell r="AT92">
            <v>11.267012214986384</v>
          </cell>
          <cell r="AU92">
            <v>15.04448484209291</v>
          </cell>
          <cell r="AW92" t="str">
            <v xml:space="preserve"> --</v>
          </cell>
          <cell r="AX92">
            <v>61.213309089191647</v>
          </cell>
          <cell r="AY92">
            <v>91.227350627664094</v>
          </cell>
          <cell r="AZ92">
            <v>54.895862856092378</v>
          </cell>
          <cell r="BA92">
            <v>61.240264075365339</v>
          </cell>
          <cell r="BB92">
            <v>4.7265466858047001</v>
          </cell>
          <cell r="BC92">
            <v>-8.306721320267485</v>
          </cell>
          <cell r="BD92">
            <v>8.9324891614981574</v>
          </cell>
          <cell r="BE92">
            <v>12.606613256807098</v>
          </cell>
          <cell r="BF92">
            <v>88.938999999999993</v>
          </cell>
          <cell r="BG92">
            <v>-8.306721320267485</v>
          </cell>
          <cell r="BH92">
            <v>26.043031915604441</v>
          </cell>
          <cell r="BI92">
            <v>22.641100630407564</v>
          </cell>
          <cell r="BJ92">
            <v>20.775380998021433</v>
          </cell>
          <cell r="BK92">
            <v>21.999999999999996</v>
          </cell>
          <cell r="BL92">
            <v>17.1875</v>
          </cell>
          <cell r="BM92">
            <v>33.33333333333335</v>
          </cell>
          <cell r="BN92">
            <v>32.343749999999986</v>
          </cell>
          <cell r="BO92">
            <v>17.000000000000014</v>
          </cell>
          <cell r="BP92">
            <v>12.999999999999968</v>
          </cell>
          <cell r="BQ92">
            <v>10.000000000000009</v>
          </cell>
          <cell r="BR92">
            <v>8.0000000000000284</v>
          </cell>
          <cell r="BS92">
            <v>6.0000000000000053</v>
          </cell>
          <cell r="BT92">
            <v>4.0000000000000036</v>
          </cell>
          <cell r="BU92">
            <v>10.925000000000001</v>
          </cell>
          <cell r="BV92">
            <v>5</v>
          </cell>
          <cell r="BW92">
            <v>0</v>
          </cell>
          <cell r="BX92">
            <v>0</v>
          </cell>
          <cell r="BY92">
            <v>0</v>
          </cell>
          <cell r="BZ92">
            <v>0</v>
          </cell>
          <cell r="CA92">
            <v>0</v>
          </cell>
        </row>
        <row r="93">
          <cell r="A93" t="str">
            <v>Expenses (Seq.)</v>
          </cell>
          <cell r="I93" t="str">
            <v xml:space="preserve"> --</v>
          </cell>
          <cell r="J93" t="str">
            <v xml:space="preserve"> --</v>
          </cell>
          <cell r="K93" t="str">
            <v xml:space="preserve"> --</v>
          </cell>
          <cell r="L93" t="str">
            <v xml:space="preserve"> --</v>
          </cell>
          <cell r="N93">
            <v>44.20713388321407</v>
          </cell>
          <cell r="O93">
            <v>23.026515151515149</v>
          </cell>
          <cell r="P93">
            <v>7.7188337079343583</v>
          </cell>
          <cell r="Q93">
            <v>4.8533699193963331</v>
          </cell>
          <cell r="S93">
            <v>15.011994329953126</v>
          </cell>
          <cell r="T93">
            <v>11.6517740750397</v>
          </cell>
          <cell r="U93">
            <v>9.5633345362684974</v>
          </cell>
          <cell r="V93">
            <v>18.780516159032778</v>
          </cell>
          <cell r="X93">
            <v>-5.3502976918685334</v>
          </cell>
          <cell r="Y93">
            <v>26.595433003015923</v>
          </cell>
          <cell r="Z93">
            <v>15.878677321426139</v>
          </cell>
          <cell r="AA93">
            <v>28.580491300619126</v>
          </cell>
          <cell r="AC93">
            <v>-18.643386417418164</v>
          </cell>
          <cell r="AD93">
            <v>-2.9524729347288892</v>
          </cell>
          <cell r="AE93">
            <v>-8.1131747960423652</v>
          </cell>
          <cell r="AF93">
            <v>9.0625157422799862</v>
          </cell>
          <cell r="AH93">
            <v>-11.431870669745948</v>
          </cell>
          <cell r="AI93">
            <v>1.4157969361147549</v>
          </cell>
          <cell r="AJ93">
            <v>1.5281043404820727</v>
          </cell>
          <cell r="AK93">
            <v>0.84023443875524961</v>
          </cell>
          <cell r="AM93">
            <v>0.94185672293083389</v>
          </cell>
          <cell r="AN93">
            <v>0.22065163481852501</v>
          </cell>
          <cell r="AO93">
            <v>8.0090979183557778</v>
          </cell>
          <cell r="AP93">
            <v>6.9824185595523058</v>
          </cell>
          <cell r="AR93">
            <v>-5.0646598122189186</v>
          </cell>
          <cell r="AS93">
            <v>3.8270637992918521</v>
          </cell>
          <cell r="AT93">
            <v>5.5153226139038614</v>
          </cell>
          <cell r="AU93">
            <v>10.614430866214475</v>
          </cell>
          <cell r="AW93" t="str">
            <v xml:space="preserve"> --</v>
          </cell>
          <cell r="AX93" t="str">
            <v xml:space="preserve"> --</v>
          </cell>
          <cell r="AY93" t="str">
            <v xml:space="preserve"> --</v>
          </cell>
          <cell r="AZ93" t="str">
            <v xml:space="preserve"> --</v>
          </cell>
          <cell r="BA93" t="str">
            <v xml:space="preserve"> --</v>
          </cell>
          <cell r="BB93" t="str">
            <v xml:space="preserve"> --</v>
          </cell>
          <cell r="BC93" t="str">
            <v xml:space="preserve"> --</v>
          </cell>
          <cell r="BD93" t="str">
            <v xml:space="preserve"> --</v>
          </cell>
          <cell r="BE93" t="str">
            <v xml:space="preserve"> --</v>
          </cell>
          <cell r="BF93">
            <v>16.103000000000002</v>
          </cell>
          <cell r="BG93" t="str">
            <v xml:space="preserve"> --</v>
          </cell>
          <cell r="BH93" t="str">
            <v xml:space="preserve"> --</v>
          </cell>
          <cell r="BI93" t="str">
            <v xml:space="preserve"> --</v>
          </cell>
          <cell r="BJ93" t="str">
            <v xml:space="preserve"> --</v>
          </cell>
          <cell r="BK93" t="str">
            <v xml:space="preserve"> --</v>
          </cell>
          <cell r="BL93" t="str">
            <v xml:space="preserve"> --</v>
          </cell>
          <cell r="BM93" t="str">
            <v xml:space="preserve"> --</v>
          </cell>
          <cell r="BN93" t="str">
            <v xml:space="preserve"> --</v>
          </cell>
          <cell r="BO93" t="str">
            <v xml:space="preserve"> --</v>
          </cell>
          <cell r="BP93" t="str">
            <v xml:space="preserve"> --</v>
          </cell>
          <cell r="BQ93" t="str">
            <v xml:space="preserve"> --</v>
          </cell>
          <cell r="BR93" t="str">
            <v xml:space="preserve"> --</v>
          </cell>
          <cell r="BS93" t="str">
            <v xml:space="preserve"> --</v>
          </cell>
          <cell r="BT93" t="str">
            <v xml:space="preserve"> --</v>
          </cell>
          <cell r="BU93">
            <v>0</v>
          </cell>
          <cell r="BV93">
            <v>0</v>
          </cell>
          <cell r="BW93">
            <v>0</v>
          </cell>
          <cell r="BX93">
            <v>0</v>
          </cell>
          <cell r="BY93">
            <v>0</v>
          </cell>
          <cell r="BZ93">
            <v>0</v>
          </cell>
          <cell r="CA93">
            <v>0</v>
          </cell>
        </row>
        <row r="94">
          <cell r="A94" t="str">
            <v>Op. Income (Yr-Yr)</v>
          </cell>
          <cell r="I94" t="str">
            <v xml:space="preserve"> --</v>
          </cell>
          <cell r="J94" t="str">
            <v xml:space="preserve"> --</v>
          </cell>
          <cell r="K94" t="str">
            <v xml:space="preserve"> --</v>
          </cell>
          <cell r="L94" t="str">
            <v xml:space="preserve"> --</v>
          </cell>
          <cell r="N94">
            <v>-33.803863298662748</v>
          </cell>
          <cell r="O94">
            <v>13.220973782771605</v>
          </cell>
          <cell r="P94">
            <v>10.11756629194187</v>
          </cell>
          <cell r="Q94">
            <v>27.384656119679619</v>
          </cell>
          <cell r="S94" t="str">
            <v>NM</v>
          </cell>
          <cell r="T94">
            <v>164.49443158010791</v>
          </cell>
          <cell r="U94">
            <v>146.44638403990032</v>
          </cell>
          <cell r="V94">
            <v>111.81667013094989</v>
          </cell>
          <cell r="X94">
            <v>94.671563930586572</v>
          </cell>
          <cell r="Y94">
            <v>101.05473798307428</v>
          </cell>
          <cell r="Z94">
            <v>114.81469769795095</v>
          </cell>
          <cell r="AA94">
            <v>155.57136548746379</v>
          </cell>
          <cell r="AC94">
            <v>97.861693691722948</v>
          </cell>
          <cell r="AD94">
            <v>44.792336243183797</v>
          </cell>
          <cell r="AE94">
            <v>-58.834439815700946</v>
          </cell>
          <cell r="AF94">
            <v>-48.93257564122252</v>
          </cell>
          <cell r="AH94">
            <v>-31.592039800995163</v>
          </cell>
          <cell r="AI94">
            <v>-28.065952899225522</v>
          </cell>
          <cell r="AJ94">
            <v>84.113708448060876</v>
          </cell>
          <cell r="AK94">
            <v>29.594648344877772</v>
          </cell>
          <cell r="AM94">
            <v>29.717194291201231</v>
          </cell>
          <cell r="AN94">
            <v>47.512298412193864</v>
          </cell>
          <cell r="AO94">
            <v>55.249008117229877</v>
          </cell>
          <cell r="AP94">
            <v>43.776131905563751</v>
          </cell>
          <cell r="AR94">
            <v>45.087701663076054</v>
          </cell>
          <cell r="AS94">
            <v>35.429560619437581</v>
          </cell>
          <cell r="AT94">
            <v>37.652504205326956</v>
          </cell>
          <cell r="AU94">
            <v>34.9615551300692</v>
          </cell>
          <cell r="AW94" t="str">
            <v xml:space="preserve"> --</v>
          </cell>
          <cell r="AX94" t="str">
            <v xml:space="preserve"> --</v>
          </cell>
          <cell r="AY94">
            <v>8.5072118750874957</v>
          </cell>
          <cell r="AZ94">
            <v>147.70170570648085</v>
          </cell>
          <cell r="BA94">
            <v>123.08894658689292</v>
          </cell>
          <cell r="BB94">
            <v>-13.060368148785283</v>
          </cell>
          <cell r="BC94">
            <v>-1.4288630438789029</v>
          </cell>
          <cell r="BD94">
            <v>44.150681786461355</v>
          </cell>
          <cell r="BE94">
            <v>37.797320389390499</v>
          </cell>
          <cell r="BF94">
            <v>-7.7</v>
          </cell>
          <cell r="BG94">
            <v>-1.4288630438791916</v>
          </cell>
          <cell r="BH94">
            <v>74.212981404984575</v>
          </cell>
          <cell r="BI94">
            <v>49.654187703227713</v>
          </cell>
          <cell r="BJ94">
            <v>53.334989265580468</v>
          </cell>
          <cell r="BK94">
            <v>34.327788269251158</v>
          </cell>
          <cell r="BL94">
            <v>38.641870905254905</v>
          </cell>
          <cell r="BM94">
            <v>13.595959865108975</v>
          </cell>
          <cell r="BN94">
            <v>6.1526599418297634</v>
          </cell>
          <cell r="BO94">
            <v>5.2865602284798419</v>
          </cell>
          <cell r="BP94">
            <v>13.549724244857074</v>
          </cell>
          <cell r="BQ94">
            <v>10.372404958751225</v>
          </cell>
          <cell r="BR94">
            <v>8.2699261351715023</v>
          </cell>
          <cell r="BS94">
            <v>6.1869813794145356</v>
          </cell>
          <cell r="BT94">
            <v>4.1173912765234411</v>
          </cell>
          <cell r="BU94">
            <v>0</v>
          </cell>
          <cell r="BV94">
            <v>0</v>
          </cell>
          <cell r="BW94">
            <v>0</v>
          </cell>
          <cell r="BX94">
            <v>0</v>
          </cell>
          <cell r="BY94">
            <v>0</v>
          </cell>
          <cell r="BZ94">
            <v>0</v>
          </cell>
          <cell r="CA94">
            <v>0</v>
          </cell>
        </row>
        <row r="95">
          <cell r="A95" t="str">
            <v>Net Income (Yr-Yr)</v>
          </cell>
          <cell r="B95" t="str">
            <v>ebg</v>
          </cell>
          <cell r="I95" t="str">
            <v xml:space="preserve"> --</v>
          </cell>
          <cell r="J95" t="str">
            <v xml:space="preserve"> --</v>
          </cell>
          <cell r="K95" t="str">
            <v xml:space="preserve"> --</v>
          </cell>
          <cell r="L95" t="str">
            <v xml:space="preserve"> --</v>
          </cell>
          <cell r="N95" t="str">
            <v>NM</v>
          </cell>
          <cell r="O95" t="str">
            <v>NM</v>
          </cell>
          <cell r="P95" t="str">
            <v>NM</v>
          </cell>
          <cell r="Q95" t="str">
            <v>NM</v>
          </cell>
          <cell r="S95" t="str">
            <v>NM</v>
          </cell>
          <cell r="T95" t="str">
            <v>NM</v>
          </cell>
          <cell r="U95" t="str">
            <v>NM</v>
          </cell>
          <cell r="V95" t="str">
            <v>NM</v>
          </cell>
          <cell r="X95">
            <v>175.02634351949408</v>
          </cell>
          <cell r="Y95" t="str">
            <v>NM</v>
          </cell>
          <cell r="Z95">
            <v>185.99239778097393</v>
          </cell>
          <cell r="AA95" t="str">
            <v>NM</v>
          </cell>
          <cell r="AC95">
            <v>121.2183908045977</v>
          </cell>
          <cell r="AD95">
            <v>44.767904989500231</v>
          </cell>
          <cell r="AE95">
            <v>-50.745909441960045</v>
          </cell>
          <cell r="AF95">
            <v>-50.290506139562716</v>
          </cell>
          <cell r="AH95">
            <v>-31.241123696699049</v>
          </cell>
          <cell r="AI95">
            <v>-32.7939483225788</v>
          </cell>
          <cell r="AJ95">
            <v>50.86985038589642</v>
          </cell>
          <cell r="AK95">
            <v>34.684932939304083</v>
          </cell>
          <cell r="AM95">
            <v>30.939318071889321</v>
          </cell>
          <cell r="AN95">
            <v>49.393352470430621</v>
          </cell>
          <cell r="AO95">
            <v>57.307458031588254</v>
          </cell>
          <cell r="AP95">
            <v>45.001057501367647</v>
          </cell>
          <cell r="AR95">
            <v>46.368853735754989</v>
          </cell>
          <cell r="AS95">
            <v>36.269238573905405</v>
          </cell>
          <cell r="AT95">
            <v>38.4206330546061</v>
          </cell>
          <cell r="AU95">
            <v>35.495097790763161</v>
          </cell>
          <cell r="AW95" t="str">
            <v xml:space="preserve"> --</v>
          </cell>
          <cell r="AX95">
            <v>-93.446518355258618</v>
          </cell>
          <cell r="AY95">
            <v>-29.561744613768294</v>
          </cell>
          <cell r="AZ95" t="str">
            <v>NM</v>
          </cell>
          <cell r="BA95" t="str">
            <v>NM</v>
          </cell>
          <cell r="BB95">
            <v>-9.7009372021346181</v>
          </cell>
          <cell r="BC95">
            <v>-5.0168252842058063</v>
          </cell>
          <cell r="BD95">
            <v>45.722793106759596</v>
          </cell>
          <cell r="BE95">
            <v>38.60083829212477</v>
          </cell>
          <cell r="BF95">
            <v>1.4354154863078372</v>
          </cell>
          <cell r="BG95">
            <v>-5.0168252842060941</v>
          </cell>
          <cell r="BH95">
            <v>76.712503380471603</v>
          </cell>
          <cell r="BI95">
            <v>38.276684214463017</v>
          </cell>
          <cell r="BJ95">
            <v>57.050861989406656</v>
          </cell>
          <cell r="BK95">
            <v>42.707555461632921</v>
          </cell>
          <cell r="BL95">
            <v>39.571208595971605</v>
          </cell>
          <cell r="BM95">
            <v>14.005415842486535</v>
          </cell>
          <cell r="BN95">
            <v>5.5447330262948125</v>
          </cell>
          <cell r="BO95">
            <v>4.8512963508577922</v>
          </cell>
          <cell r="BP95">
            <v>13.407345762892774</v>
          </cell>
          <cell r="BQ95">
            <v>11.018851549957498</v>
          </cell>
          <cell r="BR95">
            <v>9.3283246105883233</v>
          </cell>
          <cell r="BS95">
            <v>7.5797979437357332</v>
          </cell>
          <cell r="BT95">
            <v>4.6261201004363706</v>
          </cell>
          <cell r="BU95">
            <v>2.1476528203125427</v>
          </cell>
          <cell r="BV95">
            <v>3.177365842455437</v>
          </cell>
          <cell r="BW95">
            <v>3.4645894371091819</v>
          </cell>
          <cell r="BX95">
            <v>0.78225099732376435</v>
          </cell>
          <cell r="BY95">
            <v>1.8522585085471313</v>
          </cell>
          <cell r="BZ95">
            <v>2.9527616327475608</v>
          </cell>
          <cell r="CA95">
            <v>3.20868545691124</v>
          </cell>
        </row>
        <row r="96">
          <cell r="A96" t="str">
            <v>EBG (Yr-Yr)</v>
          </cell>
          <cell r="B96" t="str">
            <v>yyebgpsg</v>
          </cell>
          <cell r="I96" t="str">
            <v xml:space="preserve"> --</v>
          </cell>
          <cell r="J96" t="str">
            <v xml:space="preserve"> --</v>
          </cell>
          <cell r="K96" t="str">
            <v xml:space="preserve"> --</v>
          </cell>
          <cell r="L96" t="str">
            <v xml:space="preserve"> --</v>
          </cell>
          <cell r="N96">
            <v>122.47794399693123</v>
          </cell>
          <cell r="O96">
            <v>109.09090909090904</v>
          </cell>
          <cell r="P96">
            <v>163.19974038617525</v>
          </cell>
          <cell r="Q96">
            <v>44.744989408505774</v>
          </cell>
          <cell r="S96" t="str">
            <v>NM</v>
          </cell>
          <cell r="T96" t="str">
            <v>NM</v>
          </cell>
          <cell r="U96">
            <v>100.96225571789654</v>
          </cell>
          <cell r="V96">
            <v>130.66531577169877</v>
          </cell>
          <cell r="X96">
            <v>80.545171896811254</v>
          </cell>
          <cell r="Y96">
            <v>131.58584287473906</v>
          </cell>
          <cell r="Z96">
            <v>157.45682166170027</v>
          </cell>
          <cell r="AA96">
            <v>185.32454856027326</v>
          </cell>
          <cell r="AC96">
            <v>121.03317295517853</v>
          </cell>
          <cell r="AD96">
            <v>46.20204463009825</v>
          </cell>
          <cell r="AE96">
            <v>-22.908038033505818</v>
          </cell>
          <cell r="AF96">
            <v>-35.429245847801148</v>
          </cell>
          <cell r="AH96">
            <v>-27.365213207158192</v>
          </cell>
          <cell r="AI96">
            <v>-25.487341168099043</v>
          </cell>
          <cell r="AJ96">
            <v>8.870051114254851</v>
          </cell>
          <cell r="AK96">
            <v>10.322268772402964</v>
          </cell>
          <cell r="AM96">
            <v>22.600487814731942</v>
          </cell>
          <cell r="AN96">
            <v>21.519322259631359</v>
          </cell>
          <cell r="AO96">
            <v>25.41202194610306</v>
          </cell>
          <cell r="AP96">
            <v>25.212074162555265</v>
          </cell>
          <cell r="AR96">
            <v>24.603366436403263</v>
          </cell>
          <cell r="AS96">
            <v>21.96816442644618</v>
          </cell>
          <cell r="AT96">
            <v>25.487493572090258</v>
          </cell>
          <cell r="AU96">
            <v>25.19273846072516</v>
          </cell>
          <cell r="AW96" t="str">
            <v xml:space="preserve"> --</v>
          </cell>
          <cell r="AX96" t="str">
            <v xml:space="preserve"> --</v>
          </cell>
          <cell r="AY96">
            <v>90.961108242987336</v>
          </cell>
          <cell r="AZ96">
            <v>176.99024770766218</v>
          </cell>
          <cell r="BA96">
            <v>147.27676550252394</v>
          </cell>
          <cell r="BB96">
            <v>5.448702556731333</v>
          </cell>
          <cell r="BC96">
            <v>-10.63129382777891</v>
          </cell>
          <cell r="BD96">
            <v>23.789190916038216</v>
          </cell>
          <cell r="BE96">
            <v>24.37053635948272</v>
          </cell>
          <cell r="BF96">
            <v>1.3784592570371699</v>
          </cell>
          <cell r="BG96" t="str">
            <v xml:space="preserve"> --</v>
          </cell>
          <cell r="BH96" t="str">
            <v xml:space="preserve"> --</v>
          </cell>
          <cell r="BI96" t="str">
            <v xml:space="preserve"> --</v>
          </cell>
          <cell r="BJ96" t="str">
            <v xml:space="preserve"> --</v>
          </cell>
          <cell r="BK96" t="str">
            <v xml:space="preserve"> --</v>
          </cell>
          <cell r="BL96" t="str">
            <v xml:space="preserve"> --</v>
          </cell>
          <cell r="BM96" t="str">
            <v xml:space="preserve"> --</v>
          </cell>
          <cell r="BN96" t="str">
            <v xml:space="preserve"> --</v>
          </cell>
          <cell r="BO96" t="str">
            <v xml:space="preserve"> --</v>
          </cell>
          <cell r="BP96" t="str">
            <v xml:space="preserve"> --</v>
          </cell>
          <cell r="BQ96" t="str">
            <v xml:space="preserve"> --</v>
          </cell>
          <cell r="BR96" t="str">
            <v xml:space="preserve"> --</v>
          </cell>
          <cell r="BS96" t="str">
            <v xml:space="preserve"> --</v>
          </cell>
          <cell r="BT96" t="str">
            <v xml:space="preserve"> --</v>
          </cell>
          <cell r="BU96">
            <v>2.1476528203125427</v>
          </cell>
          <cell r="BV96">
            <v>3.177365842455437</v>
          </cell>
          <cell r="BW96">
            <v>3.4645894371091819</v>
          </cell>
          <cell r="BX96">
            <v>0.78225099732376435</v>
          </cell>
          <cell r="BY96">
            <v>1.8522585085471313</v>
          </cell>
          <cell r="BZ96">
            <v>2.9527616327475608</v>
          </cell>
          <cell r="CA96">
            <v>3.20868545691124</v>
          </cell>
        </row>
        <row r="97">
          <cell r="A97" t="str">
            <v xml:space="preserve">EBG per share (Yr-Yr) </v>
          </cell>
          <cell r="B97" t="str">
            <v>yyebgpsg</v>
          </cell>
          <cell r="I97" t="str">
            <v xml:space="preserve"> --</v>
          </cell>
          <cell r="J97" t="str">
            <v xml:space="preserve"> --</v>
          </cell>
          <cell r="K97" t="str">
            <v xml:space="preserve"> --</v>
          </cell>
          <cell r="L97" t="str">
            <v xml:space="preserve"> --</v>
          </cell>
          <cell r="N97">
            <v>73.829807174831458</v>
          </cell>
          <cell r="O97">
            <v>98.004707992377533</v>
          </cell>
          <cell r="P97">
            <v>47.284738442845175</v>
          </cell>
          <cell r="Q97">
            <v>-20.659809038204845</v>
          </cell>
          <cell r="S97">
            <v>79.569730092404711</v>
          </cell>
          <cell r="T97">
            <v>169.32380729166661</v>
          </cell>
          <cell r="U97">
            <v>53.453975509337191</v>
          </cell>
          <cell r="V97">
            <v>73.395004935619298</v>
          </cell>
          <cell r="X97">
            <v>50.904994102503665</v>
          </cell>
          <cell r="Y97">
            <v>96.722282762874116</v>
          </cell>
          <cell r="Z97">
            <v>110.88054210653814</v>
          </cell>
          <cell r="AA97">
            <v>142.64122660583891</v>
          </cell>
          <cell r="AC97">
            <v>97.651806385289603</v>
          </cell>
          <cell r="AD97">
            <v>37.384537725577928</v>
          </cell>
          <cell r="AE97">
            <v>-28.032454405071949</v>
          </cell>
          <cell r="AF97">
            <v>-41.212883949777243</v>
          </cell>
          <cell r="AH97">
            <v>-34.419988128356906</v>
          </cell>
          <cell r="AI97">
            <v>-32.546750033746832</v>
          </cell>
          <cell r="AJ97">
            <v>2.1778598002424099</v>
          </cell>
          <cell r="AK97">
            <v>6.5736654083465851</v>
          </cell>
          <cell r="AM97">
            <v>18.755705758605501</v>
          </cell>
          <cell r="AN97">
            <v>17.73809091744134</v>
          </cell>
          <cell r="AO97">
            <v>21.539786610059728</v>
          </cell>
          <cell r="AP97">
            <v>21.375626084039602</v>
          </cell>
          <cell r="AR97">
            <v>20.814590566045112</v>
          </cell>
          <cell r="AS97">
            <v>18.28749556408642</v>
          </cell>
          <cell r="AT97">
            <v>21.728976355404651</v>
          </cell>
          <cell r="AU97">
            <v>21.470917919343524</v>
          </cell>
          <cell r="AW97" t="str">
            <v xml:space="preserve"> --</v>
          </cell>
          <cell r="AX97" t="str">
            <v xml:space="preserve"> --</v>
          </cell>
          <cell r="AY97">
            <v>20.916154027161404</v>
          </cell>
          <cell r="AZ97">
            <v>92.791486890581893</v>
          </cell>
          <cell r="BA97">
            <v>99.876214608272392</v>
          </cell>
          <cell r="BB97">
            <v>-4.1046148496534984</v>
          </cell>
          <cell r="BC97">
            <v>-16.77740236901122</v>
          </cell>
          <cell r="BD97">
            <v>19.952253576525191</v>
          </cell>
          <cell r="BE97">
            <v>20.631474762805311</v>
          </cell>
          <cell r="BF97">
            <v>0</v>
          </cell>
          <cell r="BG97">
            <v>-20.106956650604801</v>
          </cell>
          <cell r="BH97">
            <v>38.382137371781113</v>
          </cell>
          <cell r="BI97">
            <v>22.24219034660495</v>
          </cell>
          <cell r="BJ97">
            <v>46.082418841891752</v>
          </cell>
          <cell r="BK97">
            <v>49.387607740204146</v>
          </cell>
          <cell r="BL97">
            <v>32.058157278124796</v>
          </cell>
          <cell r="BM97">
            <v>9.7495162352264853</v>
          </cell>
          <cell r="BN97">
            <v>3.3047953237812733</v>
          </cell>
          <cell r="BO97">
            <v>13.385982514919647</v>
          </cell>
          <cell r="BP97">
            <v>9.2561539396407877</v>
          </cell>
          <cell r="BQ97">
            <v>7.2171269454279985</v>
          </cell>
          <cell r="BR97">
            <v>6.9522754200390002</v>
          </cell>
          <cell r="BS97">
            <v>16.316692180323567</v>
          </cell>
          <cell r="BT97">
            <v>1.232557504318299</v>
          </cell>
          <cell r="BU97">
            <v>0</v>
          </cell>
          <cell r="BV97">
            <v>0</v>
          </cell>
          <cell r="BW97">
            <v>0</v>
          </cell>
          <cell r="BX97">
            <v>0</v>
          </cell>
          <cell r="BY97">
            <v>0</v>
          </cell>
          <cell r="BZ97">
            <v>0</v>
          </cell>
          <cell r="CA97">
            <v>0</v>
          </cell>
        </row>
        <row r="98">
          <cell r="A98" t="str">
            <v>EBG per share w/integ. costs (Yr-Yr)</v>
          </cell>
          <cell r="I98" t="str">
            <v xml:space="preserve"> --</v>
          </cell>
          <cell r="J98" t="str">
            <v xml:space="preserve"> --</v>
          </cell>
          <cell r="K98" t="str">
            <v xml:space="preserve"> --</v>
          </cell>
          <cell r="L98" t="str">
            <v xml:space="preserve"> --</v>
          </cell>
          <cell r="N98">
            <v>33.491280301518664</v>
          </cell>
          <cell r="O98">
            <v>81.313753826833519</v>
          </cell>
          <cell r="P98">
            <v>75.052076615100603</v>
          </cell>
          <cell r="Q98">
            <v>54.046589840119964</v>
          </cell>
          <cell r="S98">
            <v>148.3643374942495</v>
          </cell>
          <cell r="T98" t="str">
            <v>NM</v>
          </cell>
          <cell r="U98">
            <v>58.473492057544775</v>
          </cell>
          <cell r="V98">
            <v>71.454303551653993</v>
          </cell>
          <cell r="X98">
            <v>51.046417189031537</v>
          </cell>
          <cell r="Y98">
            <v>100.89018823839271</v>
          </cell>
          <cell r="Z98">
            <v>107.16187725350608</v>
          </cell>
          <cell r="AA98">
            <v>151.91782826593521</v>
          </cell>
          <cell r="AC98">
            <v>95.941116685729753</v>
          </cell>
          <cell r="AD98">
            <v>35.784195413350162</v>
          </cell>
          <cell r="AE98">
            <v>-34.400246120830388</v>
          </cell>
          <cell r="AF98">
            <v>-40.699828229070356</v>
          </cell>
          <cell r="AH98">
            <v>-36.497846005528999</v>
          </cell>
          <cell r="AI98">
            <v>-36.182206415859163</v>
          </cell>
          <cell r="AJ98">
            <v>3.4288364011282324</v>
          </cell>
          <cell r="AK98">
            <v>0.96325872147451364</v>
          </cell>
          <cell r="AM98">
            <v>17.131420066719571</v>
          </cell>
          <cell r="AN98">
            <v>28.472378910130104</v>
          </cell>
          <cell r="AO98">
            <v>33.890591113302328</v>
          </cell>
          <cell r="AP98">
            <v>28.740779610848534</v>
          </cell>
          <cell r="AR98">
            <v>29.084931951049843</v>
          </cell>
          <cell r="AS98">
            <v>23.137048951260585</v>
          </cell>
          <cell r="AT98">
            <v>25.259647870946701</v>
          </cell>
          <cell r="AU98">
            <v>24.441967295230715</v>
          </cell>
          <cell r="AW98" t="str">
            <v xml:space="preserve"> --</v>
          </cell>
          <cell r="AX98" t="str">
            <v xml:space="preserve"> --</v>
          </cell>
          <cell r="AY98">
            <v>59.964662543530636</v>
          </cell>
          <cell r="AZ98">
            <v>114.71793681209448</v>
          </cell>
          <cell r="BA98">
            <v>97.467066736399175</v>
          </cell>
          <cell r="BB98">
            <v>-5.8527736408465758</v>
          </cell>
          <cell r="BC98">
            <v>-19.888222710441461</v>
          </cell>
          <cell r="BD98">
            <v>27.219322666574207</v>
          </cell>
          <cell r="BE98">
            <v>25.324142420392604</v>
          </cell>
          <cell r="BG98" t="str">
            <v xml:space="preserve"> --</v>
          </cell>
          <cell r="BH98" t="str">
            <v xml:space="preserve"> --</v>
          </cell>
          <cell r="BI98" t="str">
            <v xml:space="preserve"> --</v>
          </cell>
          <cell r="BJ98" t="str">
            <v xml:space="preserve"> --</v>
          </cell>
          <cell r="BK98" t="str">
            <v xml:space="preserve"> --</v>
          </cell>
          <cell r="BL98" t="str">
            <v xml:space="preserve"> --</v>
          </cell>
          <cell r="BM98" t="str">
            <v xml:space="preserve"> --</v>
          </cell>
          <cell r="BN98" t="str">
            <v xml:space="preserve"> --</v>
          </cell>
          <cell r="BO98" t="str">
            <v xml:space="preserve"> --</v>
          </cell>
          <cell r="BP98" t="str">
            <v xml:space="preserve"> --</v>
          </cell>
          <cell r="BQ98" t="str">
            <v xml:space="preserve"> --</v>
          </cell>
          <cell r="BR98" t="str">
            <v xml:space="preserve"> --</v>
          </cell>
          <cell r="BS98" t="str">
            <v xml:space="preserve"> --</v>
          </cell>
          <cell r="BT98" t="str">
            <v xml:space="preserve"> --</v>
          </cell>
          <cell r="BU98" t="str">
            <v xml:space="preserve"> --</v>
          </cell>
        </row>
        <row r="99">
          <cell r="A99" t="str">
            <v>% of Revenues</v>
          </cell>
          <cell r="X99">
            <v>0</v>
          </cell>
          <cell r="Y99">
            <v>0</v>
          </cell>
          <cell r="Z99">
            <v>2.1</v>
          </cell>
          <cell r="AA99">
            <v>3.3</v>
          </cell>
          <cell r="AC99">
            <v>3.4</v>
          </cell>
          <cell r="AD99">
            <v>3.6</v>
          </cell>
          <cell r="AE99">
            <v>3.9</v>
          </cell>
          <cell r="AF99">
            <v>4.0999999999999996</v>
          </cell>
          <cell r="AH99">
            <v>4.1999999999999993</v>
          </cell>
          <cell r="AI99">
            <v>4.4000000000000004</v>
          </cell>
          <cell r="AJ99">
            <v>4.5999999999999996</v>
          </cell>
          <cell r="AK99">
            <v>4.3</v>
          </cell>
          <cell r="AM99">
            <v>4</v>
          </cell>
          <cell r="AN99">
            <v>3.5</v>
          </cell>
          <cell r="AO99">
            <v>3.6</v>
          </cell>
          <cell r="AP99">
            <v>3.7</v>
          </cell>
          <cell r="AR99">
            <v>3.8000000000000003</v>
          </cell>
          <cell r="AS99">
            <v>3.9000000000000004</v>
          </cell>
          <cell r="AT99">
            <v>4</v>
          </cell>
          <cell r="AU99">
            <v>4.0999999999999996</v>
          </cell>
          <cell r="AW99">
            <v>4.1999999999999993</v>
          </cell>
          <cell r="AX99">
            <v>4.2999999999999989</v>
          </cell>
          <cell r="AY99">
            <v>4.3999999999999986</v>
          </cell>
          <cell r="AZ99">
            <v>4.4999999999999982</v>
          </cell>
          <cell r="BC99">
            <v>0</v>
          </cell>
          <cell r="BD99">
            <v>0</v>
          </cell>
          <cell r="BE99">
            <v>0</v>
          </cell>
          <cell r="BF99">
            <v>5.4</v>
          </cell>
          <cell r="BG99">
            <v>15</v>
          </cell>
          <cell r="BH99">
            <v>17.5</v>
          </cell>
          <cell r="BI99">
            <v>14.8</v>
          </cell>
          <cell r="BJ99">
            <v>15.8</v>
          </cell>
          <cell r="BK99">
            <v>17.399999999999995</v>
          </cell>
          <cell r="BM99">
            <v>17.5</v>
          </cell>
          <cell r="BN99">
            <v>14.8</v>
          </cell>
          <cell r="BO99">
            <v>15.8</v>
          </cell>
          <cell r="BP99">
            <v>17.399999999999995</v>
          </cell>
          <cell r="BQ99">
            <v>17.399999999999995</v>
          </cell>
          <cell r="BR99">
            <v>17.399999999999995</v>
          </cell>
          <cell r="BS99">
            <v>17.399999999999995</v>
          </cell>
          <cell r="BT99">
            <v>17.399999999999995</v>
          </cell>
          <cell r="BU99">
            <v>17.399999999999995</v>
          </cell>
          <cell r="BV99">
            <v>17.399999999999995</v>
          </cell>
          <cell r="BW99">
            <v>17.399999999999995</v>
          </cell>
          <cell r="BX99">
            <v>17.399999999999995</v>
          </cell>
          <cell r="BY99">
            <v>17.399999999999995</v>
          </cell>
          <cell r="BZ99">
            <v>17.399999999999995</v>
          </cell>
          <cell r="CA99">
            <v>17.399999999999995</v>
          </cell>
        </row>
        <row r="100">
          <cell r="A100" t="str">
            <v>% of Revenues</v>
          </cell>
          <cell r="B100" t="str">
            <v>gm</v>
          </cell>
          <cell r="I100">
            <v>5.4689826302729525</v>
          </cell>
          <cell r="J100">
            <v>7.1572372316587529</v>
          </cell>
          <cell r="K100">
            <v>8.2558290171271302</v>
          </cell>
          <cell r="L100">
            <v>7.1166459549142473</v>
          </cell>
          <cell r="N100">
            <v>6.4605387843508861</v>
          </cell>
          <cell r="O100">
            <v>6.9385396725269857</v>
          </cell>
          <cell r="P100">
            <v>7.385411532774766</v>
          </cell>
          <cell r="Q100">
            <v>7.4779152229876216</v>
          </cell>
          <cell r="S100">
            <v>6.9545508326677909</v>
          </cell>
          <cell r="T100">
            <v>7.070656957669839</v>
          </cell>
          <cell r="U100">
            <v>7.2654274632686464</v>
          </cell>
          <cell r="V100">
            <v>7.4823885113358131</v>
          </cell>
          <cell r="X100">
            <v>6.8587993844905757</v>
          </cell>
          <cell r="Y100">
            <v>6.9715180055481119</v>
          </cell>
          <cell r="Z100">
            <v>7.0574032488138174</v>
          </cell>
          <cell r="AA100">
            <v>7.1953638926594969</v>
          </cell>
          <cell r="AC100">
            <v>7.1792986267791985</v>
          </cell>
          <cell r="AD100">
            <v>7.2225567199081855</v>
          </cell>
          <cell r="AE100">
            <v>6.7883519825688232</v>
          </cell>
          <cell r="AF100">
            <v>7.250224654848461</v>
          </cell>
          <cell r="AH100">
            <v>7.0694864048338326</v>
          </cell>
          <cell r="AI100">
            <v>7.2025609105459729</v>
          </cell>
          <cell r="AJ100">
            <v>7.1999999999999993</v>
          </cell>
          <cell r="AK100">
            <v>7.3</v>
          </cell>
          <cell r="AM100">
            <v>7.1499999999999995</v>
          </cell>
          <cell r="AN100">
            <v>7.3</v>
          </cell>
          <cell r="AO100">
            <v>7.3999999999999995</v>
          </cell>
          <cell r="AP100">
            <v>7.6</v>
          </cell>
          <cell r="AR100">
            <v>7.5</v>
          </cell>
          <cell r="AS100">
            <v>7.6</v>
          </cell>
          <cell r="AT100">
            <v>7.7</v>
          </cell>
          <cell r="AU100">
            <v>8</v>
          </cell>
          <cell r="AW100">
            <v>5.6009734097305275</v>
          </cell>
          <cell r="AX100">
            <v>6.9605229649364899</v>
          </cell>
          <cell r="AY100">
            <v>7.0950896199979114</v>
          </cell>
          <cell r="AZ100">
            <v>7.2218796946777006</v>
          </cell>
          <cell r="BA100">
            <v>7.0549190813237184</v>
          </cell>
          <cell r="BB100">
            <v>7.1220742089180291</v>
          </cell>
          <cell r="BC100">
            <v>7.1963042135429669</v>
          </cell>
          <cell r="BD100">
            <v>7.3733649133447186</v>
          </cell>
          <cell r="BE100">
            <v>7.7137732147196045</v>
          </cell>
          <cell r="BG100">
            <v>7.1963042135429669</v>
          </cell>
          <cell r="BH100">
            <v>7.3733649133447186</v>
          </cell>
          <cell r="BI100">
            <v>7.7137732147196045</v>
          </cell>
          <cell r="BJ100">
            <v>8.5</v>
          </cell>
          <cell r="BK100">
            <v>8.9</v>
          </cell>
          <cell r="BL100">
            <v>9.1999999999999993</v>
          </cell>
          <cell r="BM100">
            <v>8.8000000000000007</v>
          </cell>
          <cell r="BN100">
            <v>8.4</v>
          </cell>
          <cell r="BO100">
            <v>7.9</v>
          </cell>
          <cell r="BP100">
            <v>7.9</v>
          </cell>
          <cell r="BQ100">
            <v>7.9</v>
          </cell>
          <cell r="BR100">
            <v>7.9</v>
          </cell>
          <cell r="BS100">
            <v>7.9</v>
          </cell>
          <cell r="BT100">
            <v>7.9</v>
          </cell>
          <cell r="BU100">
            <v>7.9</v>
          </cell>
        </row>
        <row r="101">
          <cell r="A101" t="str">
            <v>Gross Profit</v>
          </cell>
          <cell r="B101" t="str">
            <v>gm</v>
          </cell>
          <cell r="I101">
            <v>5.4689826302729525</v>
          </cell>
          <cell r="J101">
            <v>7.1572372316587529</v>
          </cell>
          <cell r="K101">
            <v>8.2558290171271302</v>
          </cell>
          <cell r="L101">
            <v>7.1166459549142473</v>
          </cell>
          <cell r="N101">
            <v>6.4605387843508861</v>
          </cell>
          <cell r="O101">
            <v>6.9385396725269857</v>
          </cell>
          <cell r="P101">
            <v>7.385411532774766</v>
          </cell>
          <cell r="Q101">
            <v>7.4779152229876216</v>
          </cell>
          <cell r="S101">
            <v>6.9545508326677909</v>
          </cell>
          <cell r="T101">
            <v>7.070656957669839</v>
          </cell>
          <cell r="U101">
            <v>7.2654274632686464</v>
          </cell>
          <cell r="V101">
            <v>7.4823885113358131</v>
          </cell>
          <cell r="X101">
            <v>6.8587993844905757</v>
          </cell>
          <cell r="Y101">
            <v>6.9715180055481119</v>
          </cell>
          <cell r="Z101">
            <v>7.0574032488138174</v>
          </cell>
          <cell r="AA101">
            <v>7.1953638926594969</v>
          </cell>
          <cell r="AC101">
            <v>7.1792986267791985</v>
          </cell>
          <cell r="AD101">
            <v>7.2225567199081855</v>
          </cell>
          <cell r="AE101">
            <v>6.7883519825688232</v>
          </cell>
          <cell r="AF101">
            <v>7.250224654848461</v>
          </cell>
          <cell r="AH101">
            <v>7.0694864048338326</v>
          </cell>
          <cell r="AI101">
            <v>7.1999999999999993</v>
          </cell>
          <cell r="AJ101">
            <v>7.1999999999999993</v>
          </cell>
          <cell r="AK101">
            <v>7.3999999999999995</v>
          </cell>
          <cell r="AM101">
            <v>7.3</v>
          </cell>
          <cell r="AN101">
            <v>7.3999999999999995</v>
          </cell>
          <cell r="AO101">
            <v>7.5</v>
          </cell>
          <cell r="AP101">
            <v>7.7</v>
          </cell>
          <cell r="AR101">
            <v>7.6</v>
          </cell>
          <cell r="AS101">
            <v>7.7</v>
          </cell>
          <cell r="AT101">
            <v>7.8</v>
          </cell>
          <cell r="AU101">
            <v>8.1</v>
          </cell>
          <cell r="AW101">
            <v>5.6009734097305275</v>
          </cell>
          <cell r="AX101">
            <v>6.9605229649364899</v>
          </cell>
          <cell r="AY101">
            <v>7.0950896199979114</v>
          </cell>
          <cell r="AZ101">
            <v>7.2218796946777006</v>
          </cell>
          <cell r="BA101">
            <v>7.0549190813237184</v>
          </cell>
          <cell r="BB101">
            <v>7.1220742089180291</v>
          </cell>
          <cell r="BC101">
            <v>7.2223201283303524</v>
          </cell>
          <cell r="BD101">
            <v>7.4849254303090236</v>
          </cell>
          <cell r="BE101">
            <v>7.8137422705666051</v>
          </cell>
          <cell r="BG101">
            <v>7.2223201283303524</v>
          </cell>
          <cell r="BH101">
            <v>7.4849254303090236</v>
          </cell>
          <cell r="BI101">
            <v>7.8137422705666051</v>
          </cell>
          <cell r="BJ101">
            <v>8.5</v>
          </cell>
          <cell r="BK101">
            <v>8.9</v>
          </cell>
          <cell r="BL101">
            <v>9.1999999999999993</v>
          </cell>
          <cell r="BM101">
            <v>8.8000000000000007</v>
          </cell>
          <cell r="BN101">
            <v>8.4</v>
          </cell>
          <cell r="BO101">
            <v>7.9</v>
          </cell>
          <cell r="BP101">
            <v>7.9</v>
          </cell>
          <cell r="BQ101">
            <v>7.9</v>
          </cell>
          <cell r="BR101">
            <v>7.9</v>
          </cell>
          <cell r="BS101">
            <v>7.9</v>
          </cell>
          <cell r="BT101">
            <v>7.9</v>
          </cell>
          <cell r="BU101">
            <v>7.9</v>
          </cell>
        </row>
        <row r="102">
          <cell r="A102" t="str">
            <v>SG&amp;A</v>
          </cell>
          <cell r="B102" t="str">
            <v>sgapct</v>
          </cell>
          <cell r="I102">
            <v>3.0603804797353185</v>
          </cell>
          <cell r="J102">
            <v>4.4146706760632064</v>
          </cell>
          <cell r="K102">
            <v>3.947526013340926</v>
          </cell>
          <cell r="L102">
            <v>2.6796470073347409</v>
          </cell>
          <cell r="N102">
            <v>3.5738459455800724</v>
          </cell>
          <cell r="O102">
            <v>4.1983089910951223</v>
          </cell>
          <cell r="P102">
            <v>4.3107442089699353</v>
          </cell>
          <cell r="Q102">
            <v>3.9645606064208501</v>
          </cell>
          <cell r="S102">
            <v>3.8999874286390392</v>
          </cell>
          <cell r="T102">
            <v>3.769464671521165</v>
          </cell>
          <cell r="U102">
            <v>3.803538384328939</v>
          </cell>
          <cell r="V102">
            <v>3.8107202419765396</v>
          </cell>
          <cell r="X102">
            <v>3.5988446483738059</v>
          </cell>
          <cell r="Y102">
            <v>3.5115252621681039</v>
          </cell>
          <cell r="Z102">
            <v>3.2736970073638085</v>
          </cell>
          <cell r="AA102">
            <v>3.1745327346768297</v>
          </cell>
          <cell r="AC102">
            <v>3.3070202315627233</v>
          </cell>
          <cell r="AD102">
            <v>3.2478221945603911</v>
          </cell>
          <cell r="AE102">
            <v>3.6044395015774304</v>
          </cell>
          <cell r="AF102">
            <v>3.5372927048443756</v>
          </cell>
          <cell r="AH102">
            <v>3.5649546827794567</v>
          </cell>
          <cell r="AI102">
            <v>3.5000000000000004</v>
          </cell>
          <cell r="AJ102">
            <v>3.5000000000000004</v>
          </cell>
          <cell r="AK102">
            <v>3.3000000000000003</v>
          </cell>
          <cell r="AM102">
            <v>3.4000000000000004</v>
          </cell>
          <cell r="AN102">
            <v>3.3000000000000003</v>
          </cell>
          <cell r="AO102">
            <v>3.4000000000000004</v>
          </cell>
          <cell r="AP102">
            <v>3.3000000000000003</v>
          </cell>
          <cell r="AR102">
            <v>3.3000000000000003</v>
          </cell>
          <cell r="AS102">
            <v>3.3000000000000003</v>
          </cell>
          <cell r="AT102">
            <v>3.3000000000000003</v>
          </cell>
          <cell r="AU102">
            <v>3.3000000000000003</v>
          </cell>
          <cell r="AW102">
            <v>2.0996832650082209</v>
          </cell>
          <cell r="AX102">
            <v>3.4022921827865509</v>
          </cell>
          <cell r="AY102">
            <v>4.0178578298354157</v>
          </cell>
          <cell r="AZ102">
            <v>3.817378240896832</v>
          </cell>
          <cell r="BA102">
            <v>3.3434115303666148</v>
          </cell>
          <cell r="BB102">
            <v>3.4131176475703606</v>
          </cell>
          <cell r="BC102">
            <v>3.4620832891088171</v>
          </cell>
          <cell r="BD102">
            <v>3.3483045792564718</v>
          </cell>
          <cell r="BE102">
            <v>3.3000000000000003</v>
          </cell>
          <cell r="BG102">
            <v>3.4620832891088171</v>
          </cell>
          <cell r="BH102">
            <v>3.3483045792564718</v>
          </cell>
          <cell r="BI102">
            <v>3.3000000000000003</v>
          </cell>
          <cell r="BJ102">
            <v>3.2</v>
          </cell>
          <cell r="BK102">
            <v>3.2</v>
          </cell>
          <cell r="BL102">
            <v>3</v>
          </cell>
          <cell r="BM102">
            <v>3.2</v>
          </cell>
          <cell r="BN102">
            <v>3.5</v>
          </cell>
          <cell r="BO102">
            <v>3.5</v>
          </cell>
          <cell r="BP102">
            <v>3.5</v>
          </cell>
          <cell r="BQ102">
            <v>3.5</v>
          </cell>
          <cell r="BR102">
            <v>3.5</v>
          </cell>
          <cell r="BS102">
            <v>3.5</v>
          </cell>
          <cell r="BT102">
            <v>3.5</v>
          </cell>
          <cell r="BU102">
            <v>3.5</v>
          </cell>
        </row>
        <row r="103">
          <cell r="A103" t="str">
            <v>SG&amp;A (Incl. Integ. Costs)</v>
          </cell>
          <cell r="B103" t="str">
            <v>sgaicpct</v>
          </cell>
          <cell r="I103">
            <v>3.1224152191894126</v>
          </cell>
          <cell r="J103">
            <v>4.5307728924545172</v>
          </cell>
          <cell r="K103">
            <v>4.4588711786603827</v>
          </cell>
          <cell r="L103">
            <v>4.201924216942067</v>
          </cell>
          <cell r="N103">
            <v>3.9419250033843238</v>
          </cell>
          <cell r="O103">
            <v>4.4042237736566099</v>
          </cell>
          <cell r="P103">
            <v>4.4758501724987676</v>
          </cell>
          <cell r="Q103">
            <v>4.2316097084398754</v>
          </cell>
          <cell r="S103">
            <v>3.9411216611944271</v>
          </cell>
          <cell r="T103">
            <v>4.0513723293590456</v>
          </cell>
          <cell r="U103">
            <v>3.8980151767165565</v>
          </cell>
          <cell r="V103">
            <v>4.082110904670766</v>
          </cell>
          <cell r="X103">
            <v>3.6402135304154317</v>
          </cell>
          <cell r="Y103">
            <v>3.7459551992152522</v>
          </cell>
          <cell r="Z103">
            <v>3.4599171047505353</v>
          </cell>
          <cell r="AA103">
            <v>3.3395693385773786</v>
          </cell>
          <cell r="AC103">
            <v>3.3934059404102017</v>
          </cell>
          <cell r="AD103">
            <v>3.5408647178605976</v>
          </cell>
          <cell r="AE103">
            <v>4.0591479606890761</v>
          </cell>
          <cell r="AF103">
            <v>3.6434931786618741</v>
          </cell>
          <cell r="AH103">
            <v>3.7462235649546831</v>
          </cell>
          <cell r="AI103">
            <v>3.9499529180515371</v>
          </cell>
          <cell r="AJ103">
            <v>3.9431806552228998</v>
          </cell>
          <cell r="AK103">
            <v>3.6314994644180856</v>
          </cell>
          <cell r="AM103">
            <v>3.6537685409863756</v>
          </cell>
          <cell r="AN103">
            <v>3.4638416542907136</v>
          </cell>
          <cell r="AO103">
            <v>3.5172168985013545</v>
          </cell>
          <cell r="AP103">
            <v>3.4063439621153719</v>
          </cell>
          <cell r="AR103">
            <v>3.3000000000000003</v>
          </cell>
          <cell r="AS103">
            <v>3.3000000000000003</v>
          </cell>
          <cell r="AT103">
            <v>3.3000000000000003</v>
          </cell>
          <cell r="AU103">
            <v>3.3000000000000003</v>
          </cell>
          <cell r="AW103">
            <v>2.0996832650082209</v>
          </cell>
          <cell r="AX103">
            <v>4.0647197515747102</v>
          </cell>
          <cell r="AY103">
            <v>4.26785636794565</v>
          </cell>
          <cell r="AZ103">
            <v>3.9989073518157254</v>
          </cell>
          <cell r="BA103">
            <v>3.5085353629868523</v>
          </cell>
          <cell r="BB103">
            <v>3.6404169312577594</v>
          </cell>
          <cell r="BC103">
            <v>3.8148170598923574</v>
          </cell>
          <cell r="BD103">
            <v>3.5053793223915442</v>
          </cell>
          <cell r="BE103">
            <v>3.3000000000000003</v>
          </cell>
          <cell r="BF103">
            <v>0.840979101876417</v>
          </cell>
          <cell r="BG103">
            <v>3.8148170598923574</v>
          </cell>
          <cell r="BH103">
            <v>3.4840561753110886</v>
          </cell>
          <cell r="BI103">
            <v>3.3000000000000003</v>
          </cell>
          <cell r="BJ103">
            <v>3.2</v>
          </cell>
          <cell r="BK103">
            <v>3.2</v>
          </cell>
          <cell r="BL103">
            <v>3</v>
          </cell>
          <cell r="BM103">
            <v>3.2</v>
          </cell>
          <cell r="BN103">
            <v>3.5000000000000004</v>
          </cell>
          <cell r="BO103">
            <v>3.5000000000000004</v>
          </cell>
          <cell r="BP103">
            <v>3.5000000000000004</v>
          </cell>
          <cell r="BQ103">
            <v>3.5000000000000004</v>
          </cell>
          <cell r="BR103">
            <v>3.5000000000000004</v>
          </cell>
          <cell r="BS103">
            <v>3.5000000000000004</v>
          </cell>
          <cell r="BT103">
            <v>3.5000000000000004</v>
          </cell>
          <cell r="BU103">
            <v>0.16</v>
          </cell>
          <cell r="BV103">
            <v>0.23</v>
          </cell>
          <cell r="BW103">
            <v>0.14000000000000001</v>
          </cell>
          <cell r="BX103">
            <v>-0.15</v>
          </cell>
          <cell r="BY103">
            <v>0.04</v>
          </cell>
          <cell r="BZ103">
            <v>0.1</v>
          </cell>
          <cell r="CA103">
            <v>0.09</v>
          </cell>
          <cell r="CB103">
            <v>0.08</v>
          </cell>
          <cell r="CC103">
            <v>7.0000000000000007E-2</v>
          </cell>
          <cell r="CD103">
            <v>0.06</v>
          </cell>
          <cell r="CE103">
            <v>0.05</v>
          </cell>
          <cell r="CF103">
            <v>0.05</v>
          </cell>
          <cell r="CG103">
            <v>0.05</v>
          </cell>
          <cell r="CH103">
            <v>0.05</v>
          </cell>
          <cell r="CI103">
            <v>0.05</v>
          </cell>
          <cell r="CJ103">
            <v>0.05</v>
          </cell>
          <cell r="CN103">
            <v>-0.18101277247434788</v>
          </cell>
          <cell r="CO103">
            <v>-0.16544999744754718</v>
          </cell>
          <cell r="CP103">
            <v>1.5562775026800701E-2</v>
          </cell>
        </row>
        <row r="104">
          <cell r="A104" t="str">
            <v>EBITA Margin</v>
          </cell>
          <cell r="B104" t="str">
            <v>ebitapct</v>
          </cell>
          <cell r="I104">
            <v>2.408602150537634</v>
          </cell>
          <cell r="J104">
            <v>2.7425665555955465</v>
          </cell>
          <cell r="K104">
            <v>4.3083030037862038</v>
          </cell>
          <cell r="L104">
            <v>4.4369989475795055</v>
          </cell>
          <cell r="N104">
            <v>2.8866928387708133</v>
          </cell>
          <cell r="O104">
            <v>2.7402306814318638</v>
          </cell>
          <cell r="P104">
            <v>3.0746673238048299</v>
          </cell>
          <cell r="Q104">
            <v>3.5133546165667711</v>
          </cell>
          <cell r="S104">
            <v>3.0545634040287517</v>
          </cell>
          <cell r="T104">
            <v>3.3011922861486749</v>
          </cell>
          <cell r="U104">
            <v>3.4618890789397074</v>
          </cell>
          <cell r="V104">
            <v>3.671668269359273</v>
          </cell>
          <cell r="X104">
            <v>3.2599547361167707</v>
          </cell>
          <cell r="Y104">
            <v>3.4599927433800088</v>
          </cell>
          <cell r="Z104">
            <v>3.7837062414500093</v>
          </cell>
          <cell r="AA104">
            <v>4.0208311579826672</v>
          </cell>
          <cell r="AC104">
            <v>3.8722783952164752</v>
          </cell>
          <cell r="AD104">
            <v>3.9747345253477935</v>
          </cell>
          <cell r="AE104">
            <v>3.1839124809913923</v>
          </cell>
          <cell r="AF104">
            <v>3.7129319500040849</v>
          </cell>
          <cell r="AH104">
            <v>3.5045317220543764</v>
          </cell>
          <cell r="AI104">
            <v>3.6999999999999997</v>
          </cell>
          <cell r="AJ104">
            <v>3.6999999999999993</v>
          </cell>
          <cell r="AK104">
            <v>4.0999999999999996</v>
          </cell>
          <cell r="AM104">
            <v>3.8999999999999986</v>
          </cell>
          <cell r="AN104">
            <v>4.0999999999999996</v>
          </cell>
          <cell r="AO104">
            <v>4.0999999999999988</v>
          </cell>
          <cell r="AP104">
            <v>4.3999999999999995</v>
          </cell>
          <cell r="AR104">
            <v>4.3</v>
          </cell>
          <cell r="AS104">
            <v>4.3999999999999995</v>
          </cell>
          <cell r="AT104">
            <v>4.5</v>
          </cell>
          <cell r="AU104">
            <v>4.8</v>
          </cell>
          <cell r="AW104">
            <v>3.501290144722307</v>
          </cell>
          <cell r="AX104">
            <v>3.5582307821499395</v>
          </cell>
          <cell r="AY104">
            <v>3.0772317901624975</v>
          </cell>
          <cell r="AZ104">
            <v>3.4045014537808687</v>
          </cell>
          <cell r="BA104">
            <v>3.7115075509571041</v>
          </cell>
          <cell r="BB104">
            <v>3.7089565613476685</v>
          </cell>
          <cell r="BC104">
            <v>3.7602368392215353</v>
          </cell>
          <cell r="BD104">
            <v>4.1366208510525517</v>
          </cell>
          <cell r="BE104">
            <v>4.5137422705666053</v>
          </cell>
          <cell r="BF104">
            <v>47.761254232249726</v>
          </cell>
          <cell r="BG104">
            <v>3.7602368392215353</v>
          </cell>
          <cell r="BH104">
            <v>4.1366208510525517</v>
          </cell>
          <cell r="BI104">
            <v>4.5137422705666053</v>
          </cell>
          <cell r="BJ104">
            <v>5.3000000000000007</v>
          </cell>
          <cell r="BK104">
            <v>5.7000000000000011</v>
          </cell>
          <cell r="BL104">
            <v>6.2</v>
          </cell>
          <cell r="BM104">
            <v>5.6000000000000005</v>
          </cell>
          <cell r="BN104">
            <v>4.9000000000000004</v>
          </cell>
          <cell r="BO104">
            <v>4.3999999999999995</v>
          </cell>
          <cell r="BP104">
            <v>4.4000000000000004</v>
          </cell>
          <cell r="BQ104">
            <v>4.3999999999999995</v>
          </cell>
          <cell r="BR104">
            <v>4.3999999999999995</v>
          </cell>
          <cell r="BS104">
            <v>4.4000000000000004</v>
          </cell>
          <cell r="BT104">
            <v>4.3999999999999995</v>
          </cell>
          <cell r="BU104">
            <v>11.013418014645659</v>
          </cell>
          <cell r="BV104">
            <v>14.402444852837348</v>
          </cell>
          <cell r="BW104">
            <v>9.6313236040840522</v>
          </cell>
          <cell r="BX104">
            <v>-16.532868910847721</v>
          </cell>
          <cell r="BY104">
            <v>3.4048861875532355</v>
          </cell>
          <cell r="BZ104">
            <v>7.7111007213586324</v>
          </cell>
          <cell r="CA104">
            <v>7.4393868554717857</v>
          </cell>
          <cell r="CB104">
            <v>7.0454965476891784</v>
          </cell>
          <cell r="CC104">
            <v>6.5581002535598065</v>
          </cell>
          <cell r="CD104">
            <v>5.587009582766167</v>
          </cell>
          <cell r="CE104">
            <v>4.6103863988360194</v>
          </cell>
          <cell r="CF104">
            <v>4.6289394274628748</v>
          </cell>
          <cell r="CG104">
            <v>4.6466089785360598</v>
          </cell>
          <cell r="CH104">
            <v>4.6634371224153037</v>
          </cell>
          <cell r="CI104">
            <v>4.6794639261098059</v>
          </cell>
          <cell r="CJ104">
            <v>4.6947275486759921</v>
          </cell>
          <cell r="CN104">
            <v>-18.101277247434787</v>
          </cell>
          <cell r="CO104">
            <v>-16.544999744754719</v>
          </cell>
          <cell r="CP104">
            <v>1.5562775026800679</v>
          </cell>
        </row>
        <row r="105">
          <cell r="A105" t="str">
            <v>EBITA Margin (Incl. Integ. Costs)</v>
          </cell>
          <cell r="B105" t="str">
            <v>ebitaicpct</v>
          </cell>
          <cell r="I105">
            <v>2.3465674110835399</v>
          </cell>
          <cell r="J105">
            <v>2.6264643392042353</v>
          </cell>
          <cell r="K105">
            <v>3.7969578384667475</v>
          </cell>
          <cell r="L105">
            <v>2.9147217379721799</v>
          </cell>
          <cell r="N105">
            <v>2.5186137809665623</v>
          </cell>
          <cell r="O105">
            <v>2.5343158988703767</v>
          </cell>
          <cell r="P105">
            <v>2.9095613602759975</v>
          </cell>
          <cell r="Q105">
            <v>3.2463055145477453</v>
          </cell>
          <cell r="S105">
            <v>3.0134291714733634</v>
          </cell>
          <cell r="T105">
            <v>3.0192846283107939</v>
          </cell>
          <cell r="U105">
            <v>3.3674122865520904</v>
          </cell>
          <cell r="V105">
            <v>3.4002776066650475</v>
          </cell>
          <cell r="X105">
            <v>3.2185858540751449</v>
          </cell>
          <cell r="Y105">
            <v>3.2255628063328601</v>
          </cell>
          <cell r="Z105">
            <v>3.5974861440632826</v>
          </cell>
          <cell r="AA105">
            <v>3.8557945540821184</v>
          </cell>
          <cell r="AC105">
            <v>3.7858926863689968</v>
          </cell>
          <cell r="AD105">
            <v>3.6816920020475865</v>
          </cell>
          <cell r="AE105">
            <v>2.7292040218797466</v>
          </cell>
          <cell r="AF105">
            <v>3.6067314761865865</v>
          </cell>
          <cell r="AH105">
            <v>3.3232628398791495</v>
          </cell>
          <cell r="AI105">
            <v>3.2500470819484621</v>
          </cell>
          <cell r="AJ105">
            <v>3.2568193447771003</v>
          </cell>
          <cell r="AK105">
            <v>3.7685005355819139</v>
          </cell>
          <cell r="AM105">
            <v>3.6462314590136242</v>
          </cell>
          <cell r="AN105">
            <v>3.9361583457092868</v>
          </cell>
          <cell r="AO105">
            <v>3.982783101498645</v>
          </cell>
          <cell r="AP105">
            <v>4.2936560378846282</v>
          </cell>
          <cell r="AR105">
            <v>4.3</v>
          </cell>
          <cell r="AS105">
            <v>4.3999999999999995</v>
          </cell>
          <cell r="AT105">
            <v>4.5</v>
          </cell>
          <cell r="AU105">
            <v>4.8</v>
          </cell>
          <cell r="AW105">
            <v>3.501290144722307</v>
          </cell>
          <cell r="AX105">
            <v>2.8958032133617801</v>
          </cell>
          <cell r="AY105">
            <v>2.8272332520522623</v>
          </cell>
          <cell r="AZ105">
            <v>3.2229723428619752</v>
          </cell>
          <cell r="BA105">
            <v>3.5463837183368665</v>
          </cell>
          <cell r="BB105">
            <v>3.4816572776602701</v>
          </cell>
          <cell r="BC105">
            <v>3.407503068437995</v>
          </cell>
          <cell r="BD105">
            <v>3.9795461079174803</v>
          </cell>
          <cell r="BE105">
            <v>4.5137422705666053</v>
          </cell>
          <cell r="BF105" t="str">
            <v xml:space="preserve"> --</v>
          </cell>
          <cell r="BG105">
            <v>3.407503068437995</v>
          </cell>
          <cell r="BH105">
            <v>4.0008692549979354</v>
          </cell>
          <cell r="BI105">
            <v>4.5137422705666053</v>
          </cell>
          <cell r="BJ105">
            <v>5.3000000000000007</v>
          </cell>
          <cell r="BK105">
            <v>5.7000000000000011</v>
          </cell>
          <cell r="BL105">
            <v>6.2</v>
          </cell>
          <cell r="BM105">
            <v>5.6000000000000005</v>
          </cell>
          <cell r="BN105">
            <v>4.9000000000000004</v>
          </cell>
          <cell r="BO105">
            <v>4.3999999999999995</v>
          </cell>
          <cell r="BP105">
            <v>4.4000000000000004</v>
          </cell>
          <cell r="BQ105">
            <v>4.3999999999999995</v>
          </cell>
          <cell r="BR105">
            <v>4.3999999999999995</v>
          </cell>
          <cell r="BS105">
            <v>4.4000000000000004</v>
          </cell>
          <cell r="BT105">
            <v>4.3999999999999995</v>
          </cell>
          <cell r="BU105" t="str">
            <v xml:space="preserve"> --</v>
          </cell>
          <cell r="BV105" t="str">
            <v xml:space="preserve"> --</v>
          </cell>
          <cell r="BW105" t="str">
            <v xml:space="preserve"> --</v>
          </cell>
          <cell r="BX105" t="str">
            <v xml:space="preserve"> --</v>
          </cell>
          <cell r="BY105" t="str">
            <v xml:space="preserve"> --</v>
          </cell>
          <cell r="BZ105" t="str">
            <v xml:space="preserve"> --</v>
          </cell>
          <cell r="CA105" t="str">
            <v xml:space="preserve"> --</v>
          </cell>
        </row>
        <row r="106">
          <cell r="A106" t="str">
            <v>Operating Income</v>
          </cell>
          <cell r="B106" t="str">
            <v>oipct</v>
          </cell>
          <cell r="I106">
            <v>1.6699751861042185</v>
          </cell>
          <cell r="J106">
            <v>1.8599575065888003</v>
          </cell>
          <cell r="K106">
            <v>2.8483294509883494</v>
          </cell>
          <cell r="L106">
            <v>2.2112540197632566</v>
          </cell>
          <cell r="N106">
            <v>0.72370380397996426</v>
          </cell>
          <cell r="O106">
            <v>1.1722794494978812</v>
          </cell>
          <cell r="P106">
            <v>1.5810744208969927</v>
          </cell>
          <cell r="Q106">
            <v>2.0797624116771027</v>
          </cell>
          <cell r="S106">
            <v>1.7365116691809388</v>
          </cell>
          <cell r="T106">
            <v>1.9194206609586297</v>
          </cell>
          <cell r="U106">
            <v>2.3305258053556992</v>
          </cell>
          <cell r="V106">
            <v>2.5337668787773873</v>
          </cell>
          <cell r="X106">
            <v>2.2682179687320714</v>
          </cell>
          <cell r="Y106">
            <v>2.3054348641869558</v>
          </cell>
          <cell r="Z106">
            <v>2.6126579669088192</v>
          </cell>
          <cell r="AA106">
            <v>3.0215910804821737</v>
          </cell>
          <cell r="AC106">
            <v>2.6873903233893208</v>
          </cell>
          <cell r="AD106">
            <v>2.6244538103796615</v>
          </cell>
          <cell r="AE106">
            <v>1.2694341678204171</v>
          </cell>
          <cell r="AF106">
            <v>2.1730250796503561</v>
          </cell>
          <cell r="AH106">
            <v>2.3007204276086402</v>
          </cell>
          <cell r="AI106">
            <v>2.2601506622350804</v>
          </cell>
          <cell r="AJ106">
            <v>2.2818219032867217</v>
          </cell>
          <cell r="AK106">
            <v>2.8568770084321784</v>
          </cell>
          <cell r="AM106">
            <v>2.7157468087302483</v>
          </cell>
          <cell r="AN106">
            <v>3.0350292471103648</v>
          </cell>
          <cell r="AO106">
            <v>3.1231925124887141</v>
          </cell>
          <cell r="AP106">
            <v>3.5138003157052329</v>
          </cell>
          <cell r="AR106">
            <v>3.478540129906472</v>
          </cell>
          <cell r="AS106">
            <v>3.6088191266956247</v>
          </cell>
          <cell r="AT106">
            <v>3.7501744261357923</v>
          </cell>
          <cell r="AU106">
            <v>4.1221268075129327</v>
          </cell>
          <cell r="AW106">
            <v>3.4102561051314249</v>
          </cell>
          <cell r="AX106">
            <v>2.1352972925291507</v>
          </cell>
          <cell r="AY106">
            <v>1.4308361486252541</v>
          </cell>
          <cell r="AZ106">
            <v>2.1739507991169709</v>
          </cell>
          <cell r="BA106">
            <v>2.6343829390155427</v>
          </cell>
          <cell r="BB106">
            <v>2.2325507567596814</v>
          </cell>
          <cell r="BC106">
            <v>2.4344443904144417</v>
          </cell>
          <cell r="BD106">
            <v>3.1156350206745849</v>
          </cell>
          <cell r="BE106">
            <v>3.7576163367546385</v>
          </cell>
          <cell r="BF106" t="str">
            <v xml:space="preserve"> --</v>
          </cell>
          <cell r="BG106">
            <v>2.4344443904144342</v>
          </cell>
          <cell r="BH106">
            <v>3.2542354766975423</v>
          </cell>
          <cell r="BI106">
            <v>3.9137293844991783</v>
          </cell>
          <cell r="BJ106">
            <v>4.8182539085442846</v>
          </cell>
          <cell r="BK106">
            <v>5.3051261545444959</v>
          </cell>
          <cell r="BL106">
            <v>5.8841009236355957</v>
          </cell>
          <cell r="BM106">
            <v>5.3472807389084771</v>
          </cell>
          <cell r="BN106">
            <v>4.6911411065359321</v>
          </cell>
          <cell r="BO106">
            <v>4.2214881252443854</v>
          </cell>
          <cell r="BP106">
            <v>4.2420248895968022</v>
          </cell>
          <cell r="BQ106">
            <v>4.2563862632698193</v>
          </cell>
          <cell r="BR106">
            <v>4.2670243178424254</v>
          </cell>
          <cell r="BS106">
            <v>4.2745512432475712</v>
          </cell>
          <cell r="BT106">
            <v>4.2793761954303573</v>
          </cell>
          <cell r="BU106" t="str">
            <v xml:space="preserve"> --</v>
          </cell>
          <cell r="BV106" t="str">
            <v xml:space="preserve"> --</v>
          </cell>
          <cell r="BW106" t="str">
            <v xml:space="preserve"> --</v>
          </cell>
          <cell r="BX106" t="str">
            <v xml:space="preserve"> --</v>
          </cell>
          <cell r="BY106" t="str">
            <v xml:space="preserve"> --</v>
          </cell>
          <cell r="BZ106" t="str">
            <v xml:space="preserve"> --</v>
          </cell>
          <cell r="CA106" t="str">
            <v xml:space="preserve"> --</v>
          </cell>
        </row>
        <row r="107">
          <cell r="A107" t="str">
            <v>Pretax Income</v>
          </cell>
          <cell r="B107" t="str">
            <v>ptinpct</v>
          </cell>
          <cell r="I107">
            <v>0.22125723738626951</v>
          </cell>
          <cell r="J107">
            <v>0.26935714202784095</v>
          </cell>
          <cell r="K107">
            <v>0.90805319749607227</v>
          </cell>
          <cell r="L107">
            <v>0.47834633855737874</v>
          </cell>
          <cell r="N107" t="str">
            <v>NM</v>
          </cell>
          <cell r="O107" t="str">
            <v>NM</v>
          </cell>
          <cell r="P107">
            <v>1.1207491375061598</v>
          </cell>
          <cell r="Q107">
            <v>1.7473289686133548</v>
          </cell>
          <cell r="S107">
            <v>1.4380342828408319</v>
          </cell>
          <cell r="T107">
            <v>1.7403376810434499</v>
          </cell>
          <cell r="U107">
            <v>2.109809742016453</v>
          </cell>
          <cell r="V107">
            <v>2.3965797068657611</v>
          </cell>
          <cell r="X107">
            <v>2.3806023979066229</v>
          </cell>
          <cell r="Y107">
            <v>2.6057384662526548</v>
          </cell>
          <cell r="Z107">
            <v>2.8137618267260835</v>
          </cell>
          <cell r="AA107">
            <v>3.1857575441161115</v>
          </cell>
          <cell r="AC107">
            <v>2.8194200718642932</v>
          </cell>
          <cell r="AD107">
            <v>2.7163091299828044</v>
          </cell>
          <cell r="AE107">
            <v>1.499807076874186</v>
          </cell>
          <cell r="AF107">
            <v>2.0423168041826654</v>
          </cell>
          <cell r="AH107">
            <v>2.2217057866604648</v>
          </cell>
          <cell r="AI107">
            <v>2.1850085249204736</v>
          </cell>
          <cell r="AJ107">
            <v>2.2091402758301659</v>
          </cell>
          <cell r="AK107">
            <v>2.790162741218039</v>
          </cell>
          <cell r="AM107">
            <v>2.6489210929371696</v>
          </cell>
          <cell r="AN107">
            <v>2.9715406060727139</v>
          </cell>
          <cell r="AO107">
            <v>3.0638026172480282</v>
          </cell>
          <cell r="AP107">
            <v>3.4609828145212651</v>
          </cell>
          <cell r="AR107">
            <v>3.4229048932501378</v>
          </cell>
          <cell r="AS107">
            <v>3.555234603912738</v>
          </cell>
          <cell r="AT107">
            <v>3.6993907849968073</v>
          </cell>
          <cell r="AU107">
            <v>4.0762163049308544</v>
          </cell>
          <cell r="AW107">
            <v>2.669736834276399</v>
          </cell>
          <cell r="AX107">
            <v>0.4591442364764754</v>
          </cell>
          <cell r="AY107">
            <v>0.4383207164552464</v>
          </cell>
          <cell r="AZ107">
            <v>1.9725433444171299</v>
          </cell>
          <cell r="BA107">
            <v>2.8290389481212976</v>
          </cell>
          <cell r="BB107">
            <v>2.3112558825184579</v>
          </cell>
          <cell r="BC107">
            <v>2.3612438398631239</v>
          </cell>
          <cell r="BD107">
            <v>3.0553575879965011</v>
          </cell>
          <cell r="BE107">
            <v>3.7064059894191912</v>
          </cell>
          <cell r="BF107">
            <v>61.240264075365339</v>
          </cell>
          <cell r="BG107">
            <v>2.3612438398631164</v>
          </cell>
          <cell r="BH107">
            <v>3.2021408017115838</v>
          </cell>
          <cell r="BI107">
            <v>3.5582980693027269</v>
          </cell>
          <cell r="BJ107">
            <v>4.4868367839695864</v>
          </cell>
          <cell r="BK107">
            <v>5.2484058130789704</v>
          </cell>
          <cell r="BL107">
            <v>5.8602107402684389</v>
          </cell>
          <cell r="BM107">
            <v>5.3447660989512746</v>
          </cell>
          <cell r="BN107">
            <v>4.6620819091058143</v>
          </cell>
          <cell r="BO107">
            <v>4.1779942894327053</v>
          </cell>
          <cell r="BP107">
            <v>4.1930552475848364</v>
          </cell>
          <cell r="BQ107">
            <v>4.231892527930829</v>
          </cell>
          <cell r="BR107">
            <v>4.2839418519513401</v>
          </cell>
          <cell r="BS107">
            <v>4.3477886682607396</v>
          </cell>
          <cell r="BT107">
            <v>4.373964032468888</v>
          </cell>
          <cell r="BU107">
            <v>12.37499999999998</v>
          </cell>
          <cell r="BV107">
            <v>19.032258064516117</v>
          </cell>
          <cell r="BW107">
            <v>21.600000000000019</v>
          </cell>
          <cell r="BX107">
            <v>3.5937499999999956</v>
          </cell>
          <cell r="BY107">
            <v>-6.6666666666666536</v>
          </cell>
          <cell r="BZ107">
            <v>-5.7142857142857277</v>
          </cell>
          <cell r="CA107">
            <v>9.0000000000000071</v>
          </cell>
        </row>
        <row r="108">
          <cell r="A108" t="str">
            <v xml:space="preserve">Tax Rate </v>
          </cell>
          <cell r="B108" t="str">
            <v>taxrate</v>
          </cell>
          <cell r="I108" t="str">
            <v>NM</v>
          </cell>
          <cell r="J108" t="str">
            <v>NM</v>
          </cell>
          <cell r="K108">
            <v>61.238223418573249</v>
          </cell>
          <cell r="L108">
            <v>39.779681762545913</v>
          </cell>
          <cell r="N108" t="str">
            <v>NM</v>
          </cell>
          <cell r="O108" t="str">
            <v>NM</v>
          </cell>
          <cell r="P108">
            <v>30.310026385224297</v>
          </cell>
          <cell r="Q108">
            <v>55.461405244928265</v>
          </cell>
          <cell r="S108">
            <v>38.998521565854595</v>
          </cell>
          <cell r="T108">
            <v>39.073060830383014</v>
          </cell>
          <cell r="U108">
            <v>31.999021970728986</v>
          </cell>
          <cell r="V108">
            <v>32.001037478926207</v>
          </cell>
          <cell r="X108">
            <v>32.001146340827972</v>
          </cell>
          <cell r="Y108">
            <v>23.999706470491105</v>
          </cell>
          <cell r="Z108">
            <v>23.899018616221536</v>
          </cell>
          <cell r="AA108">
            <v>24.000327761389713</v>
          </cell>
          <cell r="AC108">
            <v>23.943884607785023</v>
          </cell>
          <cell r="AD108">
            <v>17.018803702627473</v>
          </cell>
          <cell r="AE108">
            <v>17</v>
          </cell>
          <cell r="AF108">
            <v>17.010000000000002</v>
          </cell>
          <cell r="AH108">
            <v>16.945606694560706</v>
          </cell>
          <cell r="AI108">
            <v>17</v>
          </cell>
          <cell r="AJ108">
            <v>17</v>
          </cell>
          <cell r="AK108">
            <v>17</v>
          </cell>
          <cell r="AM108">
            <v>17</v>
          </cell>
          <cell r="AN108">
            <v>17</v>
          </cell>
          <cell r="AO108">
            <v>17</v>
          </cell>
          <cell r="AP108">
            <v>17</v>
          </cell>
          <cell r="AR108">
            <v>17</v>
          </cell>
          <cell r="AS108">
            <v>17</v>
          </cell>
          <cell r="AT108">
            <v>17</v>
          </cell>
          <cell r="AU108">
            <v>17</v>
          </cell>
          <cell r="AW108">
            <v>46.070128519426476</v>
          </cell>
          <cell r="AX108">
            <v>79.344404645609458</v>
          </cell>
          <cell r="AY108">
            <v>90.588119646117192</v>
          </cell>
          <cell r="AZ108">
            <v>34.514307589242996</v>
          </cell>
          <cell r="BA108">
            <v>25.08644749719091</v>
          </cell>
          <cell r="BB108">
            <v>19.287802515266293</v>
          </cell>
          <cell r="BC108">
            <v>16.987824442162118</v>
          </cell>
          <cell r="BD108">
            <v>17.000000000000004</v>
          </cell>
          <cell r="BE108">
            <v>17</v>
          </cell>
          <cell r="BF108" t="str">
            <v xml:space="preserve"> --</v>
          </cell>
          <cell r="BG108">
            <v>16.987824442162118</v>
          </cell>
          <cell r="BH108">
            <v>17.000000000000004</v>
          </cell>
          <cell r="BI108">
            <v>17</v>
          </cell>
          <cell r="BJ108">
            <v>17</v>
          </cell>
          <cell r="BK108">
            <v>17</v>
          </cell>
          <cell r="BL108">
            <v>17</v>
          </cell>
          <cell r="BM108">
            <v>17</v>
          </cell>
          <cell r="BN108">
            <v>17</v>
          </cell>
          <cell r="BO108">
            <v>17</v>
          </cell>
          <cell r="BP108">
            <v>17</v>
          </cell>
          <cell r="BQ108">
            <v>17</v>
          </cell>
          <cell r="BR108">
            <v>17</v>
          </cell>
          <cell r="BS108">
            <v>17</v>
          </cell>
          <cell r="BT108">
            <v>17</v>
          </cell>
          <cell r="BU108" t="str">
            <v xml:space="preserve"> --</v>
          </cell>
          <cell r="BV108" t="str">
            <v xml:space="preserve"> --</v>
          </cell>
          <cell r="BW108" t="str">
            <v xml:space="preserve"> --</v>
          </cell>
          <cell r="BX108" t="str">
            <v xml:space="preserve"> --</v>
          </cell>
          <cell r="BY108" t="str">
            <v xml:space="preserve"> --</v>
          </cell>
          <cell r="BZ108" t="str">
            <v xml:space="preserve"> --</v>
          </cell>
          <cell r="CA108" t="str">
            <v xml:space="preserve"> --</v>
          </cell>
        </row>
        <row r="109">
          <cell r="A109" t="str">
            <v>Net Margin</v>
          </cell>
          <cell r="B109" t="str">
            <v>nipct</v>
          </cell>
          <cell r="I109" t="str">
            <v>NM</v>
          </cell>
          <cell r="J109" t="str">
            <v>NM</v>
          </cell>
          <cell r="K109">
            <v>0.3519775516539293</v>
          </cell>
          <cell r="L109">
            <v>0.28806168735646298</v>
          </cell>
          <cell r="N109" t="str">
            <v>NM</v>
          </cell>
          <cell r="O109" t="str">
            <v>NM</v>
          </cell>
          <cell r="P109">
            <v>0.78104977821586907</v>
          </cell>
          <cell r="Q109">
            <v>0.77823576836867681</v>
          </cell>
          <cell r="S109">
            <v>0.87722217292276772</v>
          </cell>
          <cell r="T109">
            <v>1.0603344802752657</v>
          </cell>
          <cell r="U109">
            <v>1.4346912591280276</v>
          </cell>
          <cell r="V109">
            <v>1.6296493366593088</v>
          </cell>
          <cell r="X109">
            <v>1.6187823407592643</v>
          </cell>
          <cell r="Y109">
            <v>1.9803688829633408</v>
          </cell>
          <cell r="Z109">
            <v>2.1413003639406814</v>
          </cell>
          <cell r="AA109">
            <v>2.4211652918450453</v>
          </cell>
          <cell r="AC109">
            <v>2.1443413832483773</v>
          </cell>
          <cell r="AD109">
            <v>2.2540258111944831</v>
          </cell>
          <cell r="AE109">
            <v>1.2448398738055744</v>
          </cell>
          <cell r="AF109">
            <v>1.6949187157911942</v>
          </cell>
          <cell r="AH109">
            <v>1.8452242621426862</v>
          </cell>
          <cell r="AI109">
            <v>1.8135570756839927</v>
          </cell>
          <cell r="AJ109">
            <v>1.8335864289390376</v>
          </cell>
          <cell r="AK109">
            <v>2.3158350752109724</v>
          </cell>
          <cell r="AM109">
            <v>2.1986045071378508</v>
          </cell>
          <cell r="AN109">
            <v>2.4663787030403528</v>
          </cell>
          <cell r="AO109">
            <v>2.5429561723158631</v>
          </cell>
          <cell r="AP109">
            <v>2.8726157360526501</v>
          </cell>
          <cell r="AR109">
            <v>2.8410110613976145</v>
          </cell>
          <cell r="AS109">
            <v>2.9508447212475719</v>
          </cell>
          <cell r="AT109">
            <v>3.0704943515473504</v>
          </cell>
          <cell r="AU109">
            <v>3.3832595330926085</v>
          </cell>
          <cell r="AW109">
            <v>1.439785643594794</v>
          </cell>
          <cell r="AX109">
            <v>9.4838975579586801E-2</v>
          </cell>
          <cell r="AY109">
            <v>4.1254221399049745E-2</v>
          </cell>
          <cell r="AZ109">
            <v>1.2917336671938608</v>
          </cell>
          <cell r="BA109">
            <v>2.119333577725766</v>
          </cell>
          <cell r="BB109">
            <v>1.8654654122758223</v>
          </cell>
          <cell r="BC109">
            <v>1.9601198816958085</v>
          </cell>
          <cell r="BD109">
            <v>2.5359467980370964</v>
          </cell>
          <cell r="BE109">
            <v>3.0763169712179286</v>
          </cell>
          <cell r="BF109">
            <v>123.08894658689292</v>
          </cell>
          <cell r="BG109">
            <v>1.9601198816958025</v>
          </cell>
          <cell r="BH109">
            <v>2.6577768654206144</v>
          </cell>
          <cell r="BI109">
            <v>2.9533873975212637</v>
          </cell>
          <cell r="BJ109">
            <v>3.7240745306947565</v>
          </cell>
          <cell r="BK109">
            <v>4.3561768248555452</v>
          </cell>
          <cell r="BL109">
            <v>4.8639749144228048</v>
          </cell>
          <cell r="BM109">
            <v>4.4361558621295574</v>
          </cell>
          <cell r="BN109">
            <v>3.8695279845578252</v>
          </cell>
          <cell r="BO109">
            <v>3.467735260229146</v>
          </cell>
          <cell r="BP109">
            <v>3.4802358554954136</v>
          </cell>
          <cell r="BQ109">
            <v>3.5124707981825876</v>
          </cell>
          <cell r="BR109">
            <v>3.5556717371196132</v>
          </cell>
          <cell r="BS109">
            <v>3.6086645946564131</v>
          </cell>
          <cell r="BT109">
            <v>3.6303901469491771</v>
          </cell>
          <cell r="BU109">
            <v>39.542913249698294</v>
          </cell>
          <cell r="BV109">
            <v>38.982175327141455</v>
          </cell>
          <cell r="BW109">
            <v>7.5208703464826776</v>
          </cell>
          <cell r="BX109">
            <v>-77.333333333333343</v>
          </cell>
          <cell r="BY109">
            <v>160.00000000000006</v>
          </cell>
          <cell r="BZ109">
            <v>46.666666666666721</v>
          </cell>
          <cell r="CA109">
            <v>6.2749999999999861</v>
          </cell>
        </row>
        <row r="110">
          <cell r="A110" t="str">
            <v>Est. Net Margin (US GAAP)</v>
          </cell>
          <cell r="I110" t="str">
            <v>NM</v>
          </cell>
          <cell r="J110" t="str">
            <v>NM</v>
          </cell>
          <cell r="K110">
            <v>0.3519775516539293</v>
          </cell>
          <cell r="L110">
            <v>0.28806168735646298</v>
          </cell>
          <cell r="N110" t="str">
            <v>NM</v>
          </cell>
          <cell r="O110" t="str">
            <v>NM</v>
          </cell>
          <cell r="P110">
            <v>0.78104977821586907</v>
          </cell>
          <cell r="Q110">
            <v>0.77823576836867681</v>
          </cell>
          <cell r="S110">
            <v>0.87722217292276772</v>
          </cell>
          <cell r="T110">
            <v>1.0603344802752657</v>
          </cell>
          <cell r="U110">
            <v>1.4346912591280276</v>
          </cell>
          <cell r="V110">
            <v>1.6296493366593088</v>
          </cell>
          <cell r="X110">
            <v>1.6187823407592643</v>
          </cell>
          <cell r="Y110">
            <v>1.9803688829633408</v>
          </cell>
          <cell r="Z110">
            <v>2.0605357616044309</v>
          </cell>
          <cell r="AA110">
            <v>2.3254498625178375</v>
          </cell>
          <cell r="AC110">
            <v>2.0180682060852528</v>
          </cell>
          <cell r="AD110">
            <v>2.1187233764271696</v>
          </cell>
          <cell r="AE110">
            <v>1.0678045348282938</v>
          </cell>
          <cell r="AF110">
            <v>1.5274487378482156</v>
          </cell>
          <cell r="AH110">
            <v>1.6500116198001347</v>
          </cell>
          <cell r="AI110">
            <v>1.6200773209218322</v>
          </cell>
          <cell r="AJ110">
            <v>1.6385869406409621</v>
          </cell>
          <cell r="AK110">
            <v>2.1293666264757993</v>
          </cell>
          <cell r="AM110">
            <v>2.0040486257149634</v>
          </cell>
          <cell r="AN110">
            <v>2.2738647592487649</v>
          </cell>
          <cell r="AO110">
            <v>2.355409134713697</v>
          </cell>
          <cell r="AP110">
            <v>2.6989205979308757</v>
          </cell>
          <cell r="AR110">
            <v>2.6543156363763578</v>
          </cell>
          <cell r="AS110">
            <v>2.7674346097088307</v>
          </cell>
          <cell r="AT110">
            <v>2.8932628522703556</v>
          </cell>
          <cell r="AU110">
            <v>3.219953718538906</v>
          </cell>
          <cell r="AW110">
            <v>1.439785643594794</v>
          </cell>
          <cell r="AX110">
            <v>9.4838975579586801E-2</v>
          </cell>
          <cell r="AY110">
            <v>4.1254221399049745E-2</v>
          </cell>
          <cell r="AZ110">
            <v>1.2917336671938608</v>
          </cell>
          <cell r="BA110">
            <v>2.0639607468154209</v>
          </cell>
          <cell r="BB110">
            <v>1.7155318478382247</v>
          </cell>
          <cell r="BC110">
            <v>1.7677196430866045</v>
          </cell>
          <cell r="BD110">
            <v>2.3494205405641986</v>
          </cell>
          <cell r="BE110">
            <v>2.8993147639846728</v>
          </cell>
          <cell r="BF110" t="str">
            <v>NM</v>
          </cell>
          <cell r="BG110">
            <v>-9.7009372021346181</v>
          </cell>
          <cell r="BH110">
            <v>-37.527996690764311</v>
          </cell>
          <cell r="BI110">
            <v>-143.49612467068542</v>
          </cell>
          <cell r="BJ110">
            <v>-90.505204855524667</v>
          </cell>
          <cell r="BK110" t="str">
            <v>NM</v>
          </cell>
          <cell r="BM110">
            <v>-37.527996690764311</v>
          </cell>
          <cell r="BN110">
            <v>-143.49612467068542</v>
          </cell>
          <cell r="BO110">
            <v>-90.505204855524667</v>
          </cell>
          <cell r="BP110">
            <v>-3115.5814774583105</v>
          </cell>
          <cell r="BQ110">
            <v>117.68897872519997</v>
          </cell>
          <cell r="BR110">
            <v>14.1046470153948</v>
          </cell>
          <cell r="BS110">
            <v>-38.800491103372359</v>
          </cell>
          <cell r="BT110">
            <v>60.216122718057896</v>
          </cell>
          <cell r="BU110">
            <v>40.353213752063091</v>
          </cell>
          <cell r="BV110">
            <v>38.592370275856268</v>
          </cell>
          <cell r="BW110">
            <v>7.5532362021916155</v>
          </cell>
          <cell r="BX110">
            <v>-77.210080036244193</v>
          </cell>
          <cell r="BY110">
            <v>159.47011183030844</v>
          </cell>
          <cell r="BZ110">
            <v>47.181348800133051</v>
          </cell>
          <cell r="CA110">
            <v>6.4124522100690307</v>
          </cell>
        </row>
        <row r="111">
          <cell r="A111" t="str">
            <v>Note:  Celestica does not record interest expense for its zero coupon convertible debentures on its income statement.  Instead, the amount is deducted from retained earnings.</v>
          </cell>
          <cell r="I111" t="str">
            <v xml:space="preserve"> --</v>
          </cell>
          <cell r="J111" t="str">
            <v xml:space="preserve"> --</v>
          </cell>
          <cell r="K111" t="str">
            <v xml:space="preserve"> --</v>
          </cell>
          <cell r="L111" t="str">
            <v xml:space="preserve"> --</v>
          </cell>
          <cell r="N111">
            <v>122.47794399693123</v>
          </cell>
          <cell r="O111">
            <v>109.09090909090904</v>
          </cell>
          <cell r="P111">
            <v>163.19974038617525</v>
          </cell>
          <cell r="Q111">
            <v>44.744989408505774</v>
          </cell>
          <cell r="S111" t="str">
            <v>NM</v>
          </cell>
          <cell r="T111" t="str">
            <v>NM</v>
          </cell>
          <cell r="U111">
            <v>100.96225571789654</v>
          </cell>
          <cell r="V111">
            <v>130.66531577169877</v>
          </cell>
          <cell r="X111">
            <v>80.545171896811254</v>
          </cell>
          <cell r="Y111">
            <v>131.58584287473906</v>
          </cell>
          <cell r="Z111">
            <v>157.45682166170027</v>
          </cell>
          <cell r="AA111">
            <v>185.32454856027326</v>
          </cell>
          <cell r="AC111">
            <v>121.03317295517853</v>
          </cell>
          <cell r="AD111">
            <v>46.20204463009825</v>
          </cell>
          <cell r="AE111">
            <v>-22.908038033505818</v>
          </cell>
          <cell r="AF111">
            <v>-35.429245847801148</v>
          </cell>
          <cell r="AH111">
            <v>-27.365213207158192</v>
          </cell>
          <cell r="AI111">
            <v>-25.456498388829452</v>
          </cell>
          <cell r="AJ111">
            <v>-21.32945493213272</v>
          </cell>
          <cell r="AK111">
            <v>-48.874172185430474</v>
          </cell>
          <cell r="AM111">
            <v>-79.850157728706534</v>
          </cell>
          <cell r="AN111">
            <v>-117.23775216138306</v>
          </cell>
          <cell r="AO111">
            <v>-107.52671426517809</v>
          </cell>
          <cell r="AP111">
            <v>-110.74550962383177</v>
          </cell>
          <cell r="AR111">
            <v>-152.52989428567574</v>
          </cell>
          <cell r="AS111">
            <v>-113.23701783163997</v>
          </cell>
          <cell r="AT111" t="str">
            <v>NM</v>
          </cell>
          <cell r="AU111" t="str">
            <v>NM</v>
          </cell>
          <cell r="AW111" t="str">
            <v>NM</v>
          </cell>
          <cell r="AX111" t="str">
            <v>NM</v>
          </cell>
          <cell r="AY111" t="str">
            <v>NM</v>
          </cell>
          <cell r="AZ111">
            <v>135.69409579736612</v>
          </cell>
          <cell r="BC111" t="str">
            <v xml:space="preserve"> --</v>
          </cell>
          <cell r="BD111">
            <v>90.961108242987336</v>
          </cell>
          <cell r="BE111">
            <v>176.99024770766218</v>
          </cell>
          <cell r="BF111">
            <v>147.27676550252394</v>
          </cell>
          <cell r="BG111">
            <v>5.448702556731333</v>
          </cell>
          <cell r="BH111">
            <v>-30.658275371803288</v>
          </cell>
          <cell r="BI111">
            <v>-103.22396053791027</v>
          </cell>
          <cell r="BJ111" t="str">
            <v>NM</v>
          </cell>
          <cell r="BK111" t="str">
            <v>NM</v>
          </cell>
          <cell r="BM111" t="str">
            <v xml:space="preserve"> --</v>
          </cell>
          <cell r="BN111" t="str">
            <v xml:space="preserve"> --</v>
          </cell>
          <cell r="BO111" t="str">
            <v xml:space="preserve"> --</v>
          </cell>
          <cell r="BP111" t="str">
            <v xml:space="preserve"> --</v>
          </cell>
          <cell r="BQ111" t="str">
            <v xml:space="preserve"> --</v>
          </cell>
          <cell r="BR111" t="str">
            <v xml:space="preserve"> --</v>
          </cell>
          <cell r="BS111" t="str">
            <v xml:space="preserve"> --</v>
          </cell>
          <cell r="BT111" t="str">
            <v xml:space="preserve"> --</v>
          </cell>
          <cell r="BU111" t="str">
            <v xml:space="preserve"> --</v>
          </cell>
          <cell r="BV111" t="str">
            <v xml:space="preserve"> --</v>
          </cell>
          <cell r="BW111" t="str">
            <v xml:space="preserve"> --</v>
          </cell>
          <cell r="BX111" t="str">
            <v xml:space="preserve"> --</v>
          </cell>
          <cell r="BY111" t="str">
            <v xml:space="preserve"> --</v>
          </cell>
          <cell r="BZ111" t="str">
            <v xml:space="preserve"> --</v>
          </cell>
          <cell r="CA111" t="str">
            <v xml:space="preserve"> --</v>
          </cell>
        </row>
        <row r="112">
          <cell r="A112" t="str">
            <v>Note:  Celestica does not record interest expense for its zero coupon convertible debentures on its income statement.  Instead, the amount is deducted from retained earnings.</v>
          </cell>
          <cell r="B112" t="str">
            <v>yyebgpsg</v>
          </cell>
          <cell r="I112" t="str">
            <v xml:space="preserve"> --</v>
          </cell>
          <cell r="J112" t="str">
            <v xml:space="preserve"> --</v>
          </cell>
          <cell r="K112" t="str">
            <v xml:space="preserve"> --</v>
          </cell>
          <cell r="L112" t="str">
            <v xml:space="preserve"> --</v>
          </cell>
          <cell r="N112">
            <v>73.829807174831458</v>
          </cell>
          <cell r="O112">
            <v>98.004707992377533</v>
          </cell>
          <cell r="P112">
            <v>47.284738442845175</v>
          </cell>
          <cell r="Q112">
            <v>-20.659809038204845</v>
          </cell>
          <cell r="S112">
            <v>79.569730092404711</v>
          </cell>
          <cell r="T112">
            <v>169.32380729166661</v>
          </cell>
          <cell r="U112">
            <v>53.453975509337191</v>
          </cell>
          <cell r="V112">
            <v>73.395004935619298</v>
          </cell>
          <cell r="X112">
            <v>50.904994102503665</v>
          </cell>
          <cell r="Y112">
            <v>96.722282762874116</v>
          </cell>
          <cell r="Z112">
            <v>110.88054210653814</v>
          </cell>
          <cell r="AA112">
            <v>142.64122660583891</v>
          </cell>
          <cell r="AC112">
            <v>97.651806385289603</v>
          </cell>
          <cell r="AD112">
            <v>37.384537725577928</v>
          </cell>
          <cell r="AE112">
            <v>-28.032454405071949</v>
          </cell>
          <cell r="AF112">
            <v>-41.212883949777243</v>
          </cell>
          <cell r="AH112">
            <v>-34.419988128356906</v>
          </cell>
          <cell r="AI112">
            <v>-33.288882011323928</v>
          </cell>
          <cell r="AJ112">
            <v>-28.206117692660492</v>
          </cell>
          <cell r="AK112">
            <v>-52.286304362668133</v>
          </cell>
          <cell r="AM112">
            <v>-85.143199439795794</v>
          </cell>
          <cell r="AN112">
            <v>-125.75347918136883</v>
          </cell>
          <cell r="AO112">
            <v>-117.80037013884052</v>
          </cell>
          <cell r="AP112">
            <v>-125.08909213411931</v>
          </cell>
          <cell r="AR112" t="str">
            <v>NM</v>
          </cell>
          <cell r="AS112">
            <v>-84.689271527778104</v>
          </cell>
          <cell r="AT112" t="str">
            <v>NM</v>
          </cell>
          <cell r="AU112" t="str">
            <v>NM</v>
          </cell>
          <cell r="AW112" t="str">
            <v>NM</v>
          </cell>
          <cell r="AX112" t="str">
            <v>NM</v>
          </cell>
          <cell r="AY112" t="str">
            <v>NM</v>
          </cell>
          <cell r="AZ112">
            <v>155.13711845148936</v>
          </cell>
          <cell r="BB112" t="str">
            <v xml:space="preserve"> --</v>
          </cell>
          <cell r="BC112" t="str">
            <v xml:space="preserve"> --</v>
          </cell>
          <cell r="BD112">
            <v>20.916154027161404</v>
          </cell>
          <cell r="BE112">
            <v>92.791486890581893</v>
          </cell>
          <cell r="BF112">
            <v>99.876214608272392</v>
          </cell>
          <cell r="BG112">
            <v>-4.1046148496534984</v>
          </cell>
          <cell r="BH112">
            <v>-37.009548127673078</v>
          </cell>
          <cell r="BI112">
            <v>-111.61748516390296</v>
          </cell>
          <cell r="BJ112">
            <v>-194.60346461444905</v>
          </cell>
          <cell r="BK112" t="str">
            <v>NM</v>
          </cell>
          <cell r="BM112">
            <v>-39.595063569088438</v>
          </cell>
          <cell r="BN112">
            <v>-111.61748516390296</v>
          </cell>
          <cell r="BO112">
            <v>-194.60346461444905</v>
          </cell>
          <cell r="BP112" t="str">
            <v>NM</v>
          </cell>
          <cell r="BQ112">
            <v>94.54935524675534</v>
          </cell>
          <cell r="BR112">
            <v>18.692415804309981</v>
          </cell>
          <cell r="BS112">
            <v>-37.079591626728515</v>
          </cell>
          <cell r="BT112">
            <v>55.916052692633734</v>
          </cell>
          <cell r="BU112">
            <v>26.979166295940548</v>
          </cell>
          <cell r="BV112">
            <v>47.945972105167471</v>
          </cell>
          <cell r="BW112">
            <v>9.039676540104713</v>
          </cell>
          <cell r="BX112">
            <v>-77.421538351843893</v>
          </cell>
          <cell r="BY112">
            <v>136.78570112202792</v>
          </cell>
          <cell r="BZ112">
            <v>59.414121685619278</v>
          </cell>
          <cell r="CA112">
            <v>8.66727003376635</v>
          </cell>
        </row>
        <row r="113">
          <cell r="A113" t="str">
            <v xml:space="preserve">(a) Extraordinary Items </v>
          </cell>
          <cell r="I113" t="str">
            <v xml:space="preserve"> --</v>
          </cell>
          <cell r="J113" t="str">
            <v xml:space="preserve"> --</v>
          </cell>
          <cell r="K113" t="str">
            <v xml:space="preserve"> --</v>
          </cell>
          <cell r="L113" t="str">
            <v xml:space="preserve"> --</v>
          </cell>
          <cell r="N113">
            <v>33.491280301518664</v>
          </cell>
          <cell r="O113">
            <v>81.313753826833519</v>
          </cell>
          <cell r="P113">
            <v>75.052076615100603</v>
          </cell>
          <cell r="Q113">
            <v>54.046589840119964</v>
          </cell>
          <cell r="S113">
            <v>148.3643374942495</v>
          </cell>
          <cell r="T113" t="str">
            <v>NM</v>
          </cell>
          <cell r="U113">
            <v>58.473492057544775</v>
          </cell>
          <cell r="V113">
            <v>71.454303551653993</v>
          </cell>
          <cell r="X113">
            <v>51.046417189031537</v>
          </cell>
          <cell r="Y113">
            <v>100.89018823839271</v>
          </cell>
          <cell r="Z113">
            <v>107.16187725350608</v>
          </cell>
          <cell r="AA113">
            <v>151.91782826593521</v>
          </cell>
          <cell r="AC113">
            <v>95.941116685729753</v>
          </cell>
          <cell r="AD113">
            <v>35.784195413350162</v>
          </cell>
          <cell r="AE113">
            <v>-34.400246120830388</v>
          </cell>
          <cell r="AF113">
            <v>-40.699828229070356</v>
          </cell>
          <cell r="AH113">
            <v>-36.497846005528999</v>
          </cell>
          <cell r="AI113">
            <v>-37.639448077753492</v>
          </cell>
          <cell r="AJ113">
            <v>-22.050498189870961</v>
          </cell>
          <cell r="AK113">
            <v>-55.636784936702966</v>
          </cell>
          <cell r="AM113">
            <v>-84.343294571490645</v>
          </cell>
          <cell r="AN113">
            <v>-129.60777445817314</v>
          </cell>
          <cell r="AO113">
            <v>-118.81207800566801</v>
          </cell>
          <cell r="AP113">
            <v>-127.77778761137162</v>
          </cell>
          <cell r="AR113" t="str">
            <v>NM</v>
          </cell>
          <cell r="AS113">
            <v>-84.689271527778104</v>
          </cell>
          <cell r="AT113" t="str">
            <v>NM</v>
          </cell>
          <cell r="AU113" t="str">
            <v>NM</v>
          </cell>
          <cell r="AW113" t="str">
            <v>NM</v>
          </cell>
          <cell r="AX113" t="str">
            <v>NM</v>
          </cell>
          <cell r="AY113" t="str">
            <v>NM</v>
          </cell>
          <cell r="AZ113">
            <v>155.13711845148936</v>
          </cell>
          <cell r="BB113" t="str">
            <v xml:space="preserve"> --</v>
          </cell>
          <cell r="BC113" t="str">
            <v xml:space="preserve"> --</v>
          </cell>
          <cell r="BD113">
            <v>59.964662543530636</v>
          </cell>
          <cell r="BE113">
            <v>114.71793681209448</v>
          </cell>
          <cell r="BF113">
            <v>97.467066736399175</v>
          </cell>
          <cell r="BG113">
            <v>-5.8527736408465758</v>
          </cell>
          <cell r="BH113">
            <v>-38.86456870534689</v>
          </cell>
          <cell r="BI113">
            <v>-112.69602418369323</v>
          </cell>
          <cell r="BJ113">
            <v>-194.60346461444905</v>
          </cell>
          <cell r="BK113" t="str">
            <v>NM</v>
          </cell>
          <cell r="BM113" t="str">
            <v xml:space="preserve"> --</v>
          </cell>
          <cell r="BN113" t="str">
            <v xml:space="preserve"> --</v>
          </cell>
          <cell r="BO113" t="str">
            <v xml:space="preserve"> --</v>
          </cell>
          <cell r="BP113" t="str">
            <v xml:space="preserve"> --</v>
          </cell>
          <cell r="BQ113" t="str">
            <v xml:space="preserve"> --</v>
          </cell>
          <cell r="BR113" t="str">
            <v xml:space="preserve"> --</v>
          </cell>
          <cell r="BS113" t="str">
            <v xml:space="preserve"> --</v>
          </cell>
          <cell r="BT113" t="str">
            <v xml:space="preserve"> --</v>
          </cell>
          <cell r="BU113" t="str">
            <v xml:space="preserve"> --</v>
          </cell>
          <cell r="BV113" t="str">
            <v xml:space="preserve"> --</v>
          </cell>
          <cell r="BW113" t="str">
            <v xml:space="preserve"> --</v>
          </cell>
          <cell r="BX113" t="str">
            <v xml:space="preserve"> --</v>
          </cell>
          <cell r="BY113" t="str">
            <v xml:space="preserve"> --</v>
          </cell>
          <cell r="BZ113" t="str">
            <v xml:space="preserve"> --</v>
          </cell>
          <cell r="CA113" t="str">
            <v xml:space="preserve"> --</v>
          </cell>
        </row>
        <row r="114">
          <cell r="A114" t="str">
            <v>2Q97: Credit loss of $13.9 million.</v>
          </cell>
        </row>
        <row r="115">
          <cell r="A115" t="str">
            <v>1Q98: $35 million write-off of intellectual property.</v>
          </cell>
        </row>
        <row r="116">
          <cell r="A116" t="str">
            <v>2Q98: Charges relate to writing off deferred financing.</v>
          </cell>
          <cell r="B116" t="str">
            <v>gm</v>
          </cell>
          <cell r="I116">
            <v>5.4689826302729525</v>
          </cell>
          <cell r="J116">
            <v>7.1572372316587529</v>
          </cell>
          <cell r="K116">
            <v>8.2558290171271302</v>
          </cell>
          <cell r="L116">
            <v>7.1166459549142473</v>
          </cell>
          <cell r="N116">
            <v>6.4605387843508861</v>
          </cell>
          <cell r="O116">
            <v>6.9385396725269857</v>
          </cell>
          <cell r="P116">
            <v>7.385411532774766</v>
          </cell>
          <cell r="Q116">
            <v>7.4779152229876216</v>
          </cell>
          <cell r="S116">
            <v>6.9545508326677909</v>
          </cell>
          <cell r="T116">
            <v>7.070656957669839</v>
          </cell>
          <cell r="U116">
            <v>7.2654274632686464</v>
          </cell>
          <cell r="V116">
            <v>7.4823885113358131</v>
          </cell>
          <cell r="X116">
            <v>6.8587993844905757</v>
          </cell>
          <cell r="Y116">
            <v>6.9715180055481119</v>
          </cell>
          <cell r="Z116">
            <v>7.0574032488138174</v>
          </cell>
          <cell r="AA116">
            <v>7.1953638926594969</v>
          </cell>
          <cell r="AC116">
            <v>7.1792986267791985</v>
          </cell>
          <cell r="AD116">
            <v>7.2225567199081855</v>
          </cell>
          <cell r="AE116">
            <v>6.7883519825688232</v>
          </cell>
          <cell r="AF116">
            <v>7.250224654848461</v>
          </cell>
          <cell r="AH116">
            <v>7.0694864048338326</v>
          </cell>
          <cell r="AI116">
            <v>7.2025609105459729</v>
          </cell>
          <cell r="AJ116">
            <v>6.702741334422389</v>
          </cell>
          <cell r="AK116">
            <v>5.769130184633096</v>
          </cell>
          <cell r="AM116">
            <v>4.7688043341312865</v>
          </cell>
          <cell r="AN116">
            <v>3.0530530530530644</v>
          </cell>
          <cell r="AO116">
            <v>3.9332028382676758</v>
          </cell>
          <cell r="AP116">
            <v>3.7</v>
          </cell>
          <cell r="AR116">
            <v>3.6</v>
          </cell>
          <cell r="AS116">
            <v>3.9</v>
          </cell>
          <cell r="AT116">
            <v>4.5</v>
          </cell>
          <cell r="AU116">
            <v>5.0999999999999996</v>
          </cell>
          <cell r="AW116">
            <v>5.0999999999999996</v>
          </cell>
          <cell r="AX116">
            <v>5.5</v>
          </cell>
          <cell r="AY116">
            <v>6</v>
          </cell>
          <cell r="AZ116">
            <v>6.3</v>
          </cell>
          <cell r="BB116">
            <v>5.6009734097305275</v>
          </cell>
          <cell r="BC116">
            <v>6.9605229649364899</v>
          </cell>
          <cell r="BD116">
            <v>7.0950896199979114</v>
          </cell>
          <cell r="BE116">
            <v>7.2218796946777006</v>
          </cell>
          <cell r="BF116">
            <v>7.0549190813237184</v>
          </cell>
          <cell r="BG116">
            <v>7.1220742089180291</v>
          </cell>
          <cell r="BH116">
            <v>6.7182494106268598</v>
          </cell>
          <cell r="BI116">
            <v>3.858922625442899</v>
          </cell>
          <cell r="BJ116">
            <v>4.3104507949944821</v>
          </cell>
          <cell r="BK116">
            <v>5.7599178651375667</v>
          </cell>
          <cell r="BM116">
            <v>6.7182494106268598</v>
          </cell>
          <cell r="BN116">
            <v>3.858922625442899</v>
          </cell>
          <cell r="BO116">
            <v>4.3104507949944821</v>
          </cell>
          <cell r="BP116">
            <v>5.7599178651375667</v>
          </cell>
          <cell r="BQ116">
            <v>7</v>
          </cell>
          <cell r="BR116">
            <v>7</v>
          </cell>
          <cell r="BS116">
            <v>5.9</v>
          </cell>
          <cell r="BT116">
            <v>6.8</v>
          </cell>
          <cell r="BU116">
            <v>7.4</v>
          </cell>
          <cell r="BV116">
            <v>7.8</v>
          </cell>
          <cell r="BW116">
            <v>7.7</v>
          </cell>
          <cell r="BX116">
            <v>5.0999999999999996</v>
          </cell>
          <cell r="BY116">
            <v>6.5</v>
          </cell>
          <cell r="BZ116">
            <v>7</v>
          </cell>
          <cell r="CA116">
            <v>6.9</v>
          </cell>
        </row>
        <row r="117">
          <cell r="A117" t="str">
            <v>4Q98:  Charge associated with IMS acquisition.</v>
          </cell>
          <cell r="B117" t="str">
            <v>sgapct</v>
          </cell>
          <cell r="I117">
            <v>3.0603804797353185</v>
          </cell>
          <cell r="J117">
            <v>4.4146706760632064</v>
          </cell>
          <cell r="K117">
            <v>3.947526013340926</v>
          </cell>
          <cell r="L117">
            <v>2.6796470073347409</v>
          </cell>
          <cell r="N117">
            <v>3.5738459455800724</v>
          </cell>
          <cell r="O117">
            <v>4.1983089910951223</v>
          </cell>
          <cell r="P117">
            <v>4.3107442089699353</v>
          </cell>
          <cell r="Q117">
            <v>3.9645606064208501</v>
          </cell>
          <cell r="S117">
            <v>3.8999874286390392</v>
          </cell>
          <cell r="T117">
            <v>3.769464671521165</v>
          </cell>
          <cell r="U117">
            <v>3.803538384328939</v>
          </cell>
          <cell r="V117">
            <v>3.8107202419765396</v>
          </cell>
          <cell r="X117">
            <v>3.5988446483738059</v>
          </cell>
          <cell r="Y117">
            <v>3.5115252621681039</v>
          </cell>
          <cell r="Z117">
            <v>3.2736970073638085</v>
          </cell>
          <cell r="AA117">
            <v>3.1745327346768297</v>
          </cell>
          <cell r="AC117">
            <v>3.3070202315627233</v>
          </cell>
          <cell r="AD117">
            <v>3.2478221945603911</v>
          </cell>
          <cell r="AE117">
            <v>3.6044395015774304</v>
          </cell>
          <cell r="AF117">
            <v>3.5372927048443756</v>
          </cell>
          <cell r="AH117">
            <v>3.5649546827794567</v>
          </cell>
          <cell r="AI117">
            <v>3.5568202027387517</v>
          </cell>
          <cell r="AJ117">
            <v>3.7367910562050133</v>
          </cell>
          <cell r="AK117">
            <v>3.5828233694230867</v>
          </cell>
          <cell r="AM117">
            <v>4.0443492503464782</v>
          </cell>
          <cell r="AN117">
            <v>4.0227727727727727</v>
          </cell>
          <cell r="AO117">
            <v>4.2206997797895767</v>
          </cell>
          <cell r="AP117">
            <v>4.0999999999999996</v>
          </cell>
          <cell r="AR117">
            <v>4.2</v>
          </cell>
          <cell r="AS117">
            <v>3.9</v>
          </cell>
          <cell r="AT117">
            <v>3.7</v>
          </cell>
          <cell r="AU117">
            <v>3.5</v>
          </cell>
          <cell r="AW117">
            <v>3.6</v>
          </cell>
          <cell r="AX117">
            <v>3.4</v>
          </cell>
          <cell r="AY117">
            <v>3.2</v>
          </cell>
          <cell r="AZ117">
            <v>3</v>
          </cell>
          <cell r="BB117">
            <v>2.0996832650082209</v>
          </cell>
          <cell r="BC117">
            <v>3.4022921827865509</v>
          </cell>
          <cell r="BD117">
            <v>4.0178578298354157</v>
          </cell>
          <cell r="BE117">
            <v>3.817378240896832</v>
          </cell>
          <cell r="BF117">
            <v>3.3434115303666148</v>
          </cell>
          <cell r="BG117">
            <v>3.4131176475703606</v>
          </cell>
          <cell r="BH117">
            <v>3.6075681557154078</v>
          </cell>
          <cell r="BI117">
            <v>4.0977351382099698</v>
          </cell>
          <cell r="BJ117">
            <v>3.8095829744999121</v>
          </cell>
          <cell r="BK117">
            <v>3.2826999229136464</v>
          </cell>
          <cell r="BM117">
            <v>3.6075681557154078</v>
          </cell>
          <cell r="BN117">
            <v>4.0977351382099698</v>
          </cell>
          <cell r="BO117">
            <v>3.8095829744999121</v>
          </cell>
          <cell r="BP117">
            <v>3.2826999229136464</v>
          </cell>
          <cell r="BQ117">
            <v>2.9</v>
          </cell>
          <cell r="BR117">
            <v>3.1</v>
          </cell>
          <cell r="BS117">
            <v>3.5</v>
          </cell>
          <cell r="BT117">
            <v>3.2</v>
          </cell>
          <cell r="BU117">
            <v>3.1</v>
          </cell>
          <cell r="BV117">
            <v>3</v>
          </cell>
          <cell r="BW117">
            <v>3.2</v>
          </cell>
          <cell r="BX117">
            <v>3.9</v>
          </cell>
          <cell r="BY117">
            <v>3.5</v>
          </cell>
          <cell r="BZ117">
            <v>3</v>
          </cell>
          <cell r="CA117">
            <v>3</v>
          </cell>
        </row>
        <row r="118">
          <cell r="A118" t="str">
            <v>2Q01:  $53.2MM pretax restructuring charge.</v>
          </cell>
          <cell r="B118" t="str">
            <v>sgaicpct</v>
          </cell>
          <cell r="I118">
            <v>3.1224152191894126</v>
          </cell>
          <cell r="J118">
            <v>4.5307728924545172</v>
          </cell>
          <cell r="K118">
            <v>4.4588711786603827</v>
          </cell>
          <cell r="L118">
            <v>4.201924216942067</v>
          </cell>
          <cell r="N118">
            <v>3.9419250033843238</v>
          </cell>
          <cell r="O118">
            <v>4.4042237736566099</v>
          </cell>
          <cell r="P118">
            <v>4.4758501724987676</v>
          </cell>
          <cell r="Q118">
            <v>4.2316097084398754</v>
          </cell>
          <cell r="S118">
            <v>3.9411216611944271</v>
          </cell>
          <cell r="T118">
            <v>4.0513723293590456</v>
          </cell>
          <cell r="U118">
            <v>3.8980151767165565</v>
          </cell>
          <cell r="V118">
            <v>4.082110904670766</v>
          </cell>
          <cell r="X118">
            <v>3.6402135304154317</v>
          </cell>
          <cell r="Y118">
            <v>3.7459551992152522</v>
          </cell>
          <cell r="Z118">
            <v>3.4599171047505353</v>
          </cell>
          <cell r="AA118">
            <v>3.3395693385773786</v>
          </cell>
          <cell r="AC118">
            <v>3.3934059404102017</v>
          </cell>
          <cell r="AD118">
            <v>3.5408647178605976</v>
          </cell>
          <cell r="AE118">
            <v>4.0591479606890761</v>
          </cell>
          <cell r="AF118">
            <v>3.6434931786618741</v>
          </cell>
          <cell r="AH118">
            <v>3.7462235649546831</v>
          </cell>
          <cell r="AI118">
            <v>4.0103147785879427</v>
          </cell>
          <cell r="AJ118">
            <v>3.8899382306396446</v>
          </cell>
          <cell r="AK118">
            <v>3.7920393326010773</v>
          </cell>
          <cell r="AM118">
            <v>4.0443492503464782</v>
          </cell>
          <cell r="AN118">
            <v>4.0227727727727727</v>
          </cell>
          <cell r="AO118">
            <v>4.2206997797895767</v>
          </cell>
          <cell r="AP118">
            <v>4.0999999999999996</v>
          </cell>
          <cell r="AR118">
            <v>4.2</v>
          </cell>
          <cell r="AS118">
            <v>3.9</v>
          </cell>
          <cell r="AT118">
            <v>3.7000000000000006</v>
          </cell>
          <cell r="AU118">
            <v>3.5000000000000004</v>
          </cell>
          <cell r="AW118">
            <v>3.6000000000000005</v>
          </cell>
          <cell r="AX118">
            <v>3.4000000000000004</v>
          </cell>
          <cell r="AY118">
            <v>3.2</v>
          </cell>
          <cell r="AZ118">
            <v>3.0000000000000004</v>
          </cell>
          <cell r="BB118">
            <v>2.0996832650082209</v>
          </cell>
          <cell r="BC118">
            <v>4.0647197515747102</v>
          </cell>
          <cell r="BD118">
            <v>4.26785636794565</v>
          </cell>
          <cell r="BE118">
            <v>3.9989073518157254</v>
          </cell>
          <cell r="BF118">
            <v>3.5085353629868523</v>
          </cell>
          <cell r="BG118">
            <v>3.6404169312577594</v>
          </cell>
          <cell r="BH118">
            <v>3.8626609442060089</v>
          </cell>
          <cell r="BI118">
            <v>4.0977351382099698</v>
          </cell>
          <cell r="BJ118">
            <v>3.8095829744999121</v>
          </cell>
          <cell r="BK118">
            <v>3.2826999229136464</v>
          </cell>
          <cell r="BM118">
            <v>3.8626609442060089</v>
          </cell>
          <cell r="BN118">
            <v>4.0977351382099698</v>
          </cell>
          <cell r="BO118">
            <v>3.8095829744999121</v>
          </cell>
          <cell r="BP118">
            <v>3.2826999229136464</v>
          </cell>
          <cell r="BQ118">
            <v>2.8999999999999995</v>
          </cell>
          <cell r="BR118">
            <v>3.0999999999999996</v>
          </cell>
          <cell r="BS118">
            <v>3.5000000000000004</v>
          </cell>
          <cell r="BT118">
            <v>3.2</v>
          </cell>
          <cell r="BU118">
            <v>3.1</v>
          </cell>
          <cell r="BV118">
            <v>3</v>
          </cell>
          <cell r="BW118">
            <v>3.2</v>
          </cell>
          <cell r="BX118">
            <v>3.9</v>
          </cell>
          <cell r="BY118">
            <v>3.5000000000000004</v>
          </cell>
          <cell r="BZ118">
            <v>3</v>
          </cell>
          <cell r="CA118">
            <v>3</v>
          </cell>
        </row>
        <row r="119">
          <cell r="A119" t="str">
            <v>3Q01:  $79.6MM pretax charges for restructuring ($43.5MM) and impairment of goodwill/intangibles ($36.1MM).</v>
          </cell>
          <cell r="B119" t="str">
            <v>ebitapct</v>
          </cell>
          <cell r="I119">
            <v>2.408602150537634</v>
          </cell>
          <cell r="J119">
            <v>2.7425665555955465</v>
          </cell>
          <cell r="K119">
            <v>4.3083030037862038</v>
          </cell>
          <cell r="L119">
            <v>4.4369989475795055</v>
          </cell>
          <cell r="N119">
            <v>2.8866928387708133</v>
          </cell>
          <cell r="O119">
            <v>2.7402306814318638</v>
          </cell>
          <cell r="P119">
            <v>3.0746673238048299</v>
          </cell>
          <cell r="Q119">
            <v>3.5133546165667711</v>
          </cell>
          <cell r="S119">
            <v>3.0545634040287517</v>
          </cell>
          <cell r="T119">
            <v>3.3011922861486749</v>
          </cell>
          <cell r="U119">
            <v>3.4618890789397074</v>
          </cell>
          <cell r="V119">
            <v>3.671668269359273</v>
          </cell>
          <cell r="X119">
            <v>3.2599547361167707</v>
          </cell>
          <cell r="Y119">
            <v>3.4599927433800088</v>
          </cell>
          <cell r="Z119">
            <v>3.7837062414500093</v>
          </cell>
          <cell r="AA119">
            <v>4.0208311579826672</v>
          </cell>
          <cell r="AC119">
            <v>3.8722783952164752</v>
          </cell>
          <cell r="AD119">
            <v>3.9747345253477935</v>
          </cell>
          <cell r="AE119">
            <v>3.1839124809913923</v>
          </cell>
          <cell r="AF119">
            <v>3.7129319500040849</v>
          </cell>
          <cell r="AH119">
            <v>3.5045317220543764</v>
          </cell>
          <cell r="AI119">
            <v>3.6457407078072204</v>
          </cell>
          <cell r="AJ119">
            <v>2.9659502782173761</v>
          </cell>
          <cell r="AK119">
            <v>2.1863068152100098</v>
          </cell>
          <cell r="AM119">
            <v>0.72445508378480794</v>
          </cell>
          <cell r="AN119">
            <v>-0.96971971971970805</v>
          </cell>
          <cell r="AO119">
            <v>-0.28749694152190147</v>
          </cell>
          <cell r="AP119">
            <v>-0.39999999999999886</v>
          </cell>
          <cell r="AR119">
            <v>-0.59999999999999964</v>
          </cell>
          <cell r="AS119">
            <v>0</v>
          </cell>
          <cell r="AT119">
            <v>0.79999999999999882</v>
          </cell>
          <cell r="AU119">
            <v>1.599999999999999</v>
          </cell>
          <cell r="AW119">
            <v>1.4999999999999991</v>
          </cell>
          <cell r="AX119">
            <v>2.0999999999999996</v>
          </cell>
          <cell r="AY119">
            <v>2.8000000000000003</v>
          </cell>
          <cell r="AZ119">
            <v>3.2999999999999994</v>
          </cell>
          <cell r="BB119">
            <v>3.501290144722307</v>
          </cell>
          <cell r="BC119">
            <v>3.5582307821499395</v>
          </cell>
          <cell r="BD119">
            <v>3.0772317901624975</v>
          </cell>
          <cell r="BE119">
            <v>3.4045014537808687</v>
          </cell>
          <cell r="BF119">
            <v>3.7115075509571041</v>
          </cell>
          <cell r="BG119">
            <v>3.7089565613476685</v>
          </cell>
          <cell r="BH119">
            <v>3.110681254911452</v>
          </cell>
          <cell r="BI119">
            <v>-0.23881251276707047</v>
          </cell>
          <cell r="BJ119">
            <v>0.50086782049457024</v>
          </cell>
          <cell r="BK119">
            <v>2.4772179422239198</v>
          </cell>
          <cell r="BM119">
            <v>3.110681254911452</v>
          </cell>
          <cell r="BN119">
            <v>-0.23881251276707047</v>
          </cell>
          <cell r="BO119">
            <v>0.50086782049457024</v>
          </cell>
          <cell r="BP119">
            <v>2.4772179422239198</v>
          </cell>
          <cell r="BQ119">
            <v>4.1000000000000014</v>
          </cell>
          <cell r="BR119">
            <v>3.9000000000000012</v>
          </cell>
          <cell r="BS119">
            <v>2.4</v>
          </cell>
          <cell r="BT119">
            <v>3.6000000000000005</v>
          </cell>
          <cell r="BU119">
            <v>4.3000000000000007</v>
          </cell>
          <cell r="BV119">
            <v>4.8</v>
          </cell>
          <cell r="BW119">
            <v>4.5</v>
          </cell>
          <cell r="BX119">
            <v>1.1999999999999997</v>
          </cell>
          <cell r="BY119">
            <v>3</v>
          </cell>
          <cell r="BZ119">
            <v>4.0000000000000009</v>
          </cell>
          <cell r="CA119">
            <v>3.9000000000000008</v>
          </cell>
        </row>
        <row r="120">
          <cell r="A120" t="str">
            <v>4Q01: $136.5 pretax charges for severance ($54.4MM), lease termination and other exit costs ($23.3MM) and asset impairment ($58.8MM).</v>
          </cell>
          <cell r="B120" t="str">
            <v>ebitaicpct</v>
          </cell>
          <cell r="I120">
            <v>2.3465674110835399</v>
          </cell>
          <cell r="J120">
            <v>2.6264643392042353</v>
          </cell>
          <cell r="K120">
            <v>3.7969578384667475</v>
          </cell>
          <cell r="L120">
            <v>2.9147217379721799</v>
          </cell>
          <cell r="N120">
            <v>2.5186137809665623</v>
          </cell>
          <cell r="O120">
            <v>2.5343158988703767</v>
          </cell>
          <cell r="P120">
            <v>2.9095613602759975</v>
          </cell>
          <cell r="Q120">
            <v>3.2463055145477453</v>
          </cell>
          <cell r="S120">
            <v>3.0134291714733634</v>
          </cell>
          <cell r="T120">
            <v>3.0192846283107939</v>
          </cell>
          <cell r="U120">
            <v>3.3674122865520904</v>
          </cell>
          <cell r="V120">
            <v>3.4002776066650475</v>
          </cell>
          <cell r="X120">
            <v>3.2185858540751449</v>
          </cell>
          <cell r="Y120">
            <v>3.2255628063328601</v>
          </cell>
          <cell r="Z120">
            <v>3.5974861440632826</v>
          </cell>
          <cell r="AA120">
            <v>3.8557945540821184</v>
          </cell>
          <cell r="AC120">
            <v>3.7858926863689968</v>
          </cell>
          <cell r="AD120">
            <v>3.6816920020475865</v>
          </cell>
          <cell r="AE120">
            <v>2.7292040218797466</v>
          </cell>
          <cell r="AF120">
            <v>3.6067314761865865</v>
          </cell>
          <cell r="AH120">
            <v>3.3232628398791495</v>
          </cell>
          <cell r="AI120">
            <v>3.1922461319580298</v>
          </cell>
          <cell r="AJ120">
            <v>2.8128031037827443</v>
          </cell>
          <cell r="AK120">
            <v>1.9770908520320194</v>
          </cell>
          <cell r="AM120">
            <v>0.72445508378480794</v>
          </cell>
          <cell r="AN120">
            <v>-0.96971971971970805</v>
          </cell>
          <cell r="AO120">
            <v>-0.28749694152190147</v>
          </cell>
          <cell r="AP120">
            <v>-0.39999999999999886</v>
          </cell>
          <cell r="AR120">
            <v>-0.59999999999999964</v>
          </cell>
          <cell r="AS120">
            <v>0</v>
          </cell>
          <cell r="AT120">
            <v>0.79999999999999882</v>
          </cell>
          <cell r="AU120">
            <v>1.599999999999999</v>
          </cell>
          <cell r="AW120">
            <v>1.4999999999999991</v>
          </cell>
          <cell r="AX120">
            <v>2.0999999999999996</v>
          </cell>
          <cell r="AY120">
            <v>2.8000000000000003</v>
          </cell>
          <cell r="AZ120">
            <v>3.2999999999999994</v>
          </cell>
          <cell r="BB120">
            <v>3.501290144722307</v>
          </cell>
          <cell r="BC120">
            <v>2.8958032133617801</v>
          </cell>
          <cell r="BD120">
            <v>2.8272332520522623</v>
          </cell>
          <cell r="BE120">
            <v>3.2229723428619752</v>
          </cell>
          <cell r="BF120">
            <v>3.5463837183368665</v>
          </cell>
          <cell r="BG120">
            <v>3.4816572776602701</v>
          </cell>
          <cell r="BH120">
            <v>2.8555884664208513</v>
          </cell>
          <cell r="BI120">
            <v>-0.23881251276707047</v>
          </cell>
          <cell r="BJ120">
            <v>0.50086782049457024</v>
          </cell>
          <cell r="BK120">
            <v>2.4772179422239198</v>
          </cell>
          <cell r="BM120">
            <v>2.8555884664208513</v>
          </cell>
          <cell r="BN120">
            <v>-0.23881251276707047</v>
          </cell>
          <cell r="BO120">
            <v>0.50086782049457024</v>
          </cell>
          <cell r="BP120">
            <v>2.4772179422239198</v>
          </cell>
          <cell r="BQ120">
            <v>4.1000000000000014</v>
          </cell>
          <cell r="BR120">
            <v>3.9000000000000012</v>
          </cell>
          <cell r="BS120">
            <v>2.4</v>
          </cell>
          <cell r="BT120">
            <v>3.6000000000000005</v>
          </cell>
          <cell r="BU120">
            <v>4.3000000000000007</v>
          </cell>
          <cell r="BV120">
            <v>4.8</v>
          </cell>
          <cell r="BW120">
            <v>4.5</v>
          </cell>
          <cell r="BX120">
            <v>1.1999999999999997</v>
          </cell>
          <cell r="BY120">
            <v>3</v>
          </cell>
          <cell r="BZ120">
            <v>4.0000000000000009</v>
          </cell>
          <cell r="CA120">
            <v>3.9000000000000008</v>
          </cell>
        </row>
        <row r="121">
          <cell r="A121" t="str">
            <v>E = Morgan Stanley Research Estimates</v>
          </cell>
          <cell r="B121" t="str">
            <v>oipct</v>
          </cell>
          <cell r="I121">
            <v>1.6699751861042185</v>
          </cell>
          <cell r="J121">
            <v>1.8599575065888003</v>
          </cell>
          <cell r="K121">
            <v>2.8483294509883494</v>
          </cell>
          <cell r="L121">
            <v>2.2112540197632566</v>
          </cell>
          <cell r="N121">
            <v>0.72370380397996426</v>
          </cell>
          <cell r="O121">
            <v>1.1722794494978812</v>
          </cell>
          <cell r="P121">
            <v>1.5810744208969927</v>
          </cell>
          <cell r="Q121">
            <v>2.0797624116771027</v>
          </cell>
          <cell r="S121">
            <v>1.7365116691809388</v>
          </cell>
          <cell r="T121">
            <v>1.9194206609586297</v>
          </cell>
          <cell r="U121">
            <v>2.3305258053556992</v>
          </cell>
          <cell r="V121">
            <v>2.5337668787773873</v>
          </cell>
          <cell r="X121">
            <v>2.2682179687320714</v>
          </cell>
          <cell r="Y121">
            <v>2.3054348641869558</v>
          </cell>
          <cell r="Z121">
            <v>2.6126579669088192</v>
          </cell>
          <cell r="AA121">
            <v>3.0215910804821737</v>
          </cell>
          <cell r="AC121">
            <v>2.6873903233893208</v>
          </cell>
          <cell r="AD121">
            <v>2.6244538103796615</v>
          </cell>
          <cell r="AE121">
            <v>1.2694341678204171</v>
          </cell>
          <cell r="AF121">
            <v>2.1730250796503561</v>
          </cell>
          <cell r="AH121">
            <v>2.3007204276086402</v>
          </cell>
          <cell r="AI121">
            <v>2.2274586519651431</v>
          </cell>
          <cell r="AJ121">
            <v>1.3323804175813045</v>
          </cell>
          <cell r="AK121">
            <v>0.76363826559967463</v>
          </cell>
          <cell r="AM121">
            <v>-5.6696484817938958E-2</v>
          </cell>
          <cell r="AN121">
            <v>-1.7267267267267148</v>
          </cell>
          <cell r="AO121">
            <v>-1.0215316858331323</v>
          </cell>
          <cell r="AP121">
            <v>-1.0877492216913984</v>
          </cell>
          <cell r="AR121">
            <v>-1.2514841916508255</v>
          </cell>
          <cell r="AS121">
            <v>-0.62296432723826101</v>
          </cell>
          <cell r="AT121">
            <v>0.19705223926937326</v>
          </cell>
          <cell r="AU121">
            <v>1.049794399311752</v>
          </cell>
          <cell r="AW121">
            <v>1.033183994906792</v>
          </cell>
          <cell r="AX121">
            <v>1.6610965587981752</v>
          </cell>
          <cell r="AY121">
            <v>2.3827268777401986</v>
          </cell>
          <cell r="AZ121">
            <v>2.9224511179801431</v>
          </cell>
          <cell r="BB121">
            <v>3.4102561051314249</v>
          </cell>
          <cell r="BC121">
            <v>2.1352972925291507</v>
          </cell>
          <cell r="BD121">
            <v>1.4308361486252541</v>
          </cell>
          <cell r="BE121">
            <v>2.1739507991169709</v>
          </cell>
          <cell r="BF121">
            <v>2.6343829390155427</v>
          </cell>
          <cell r="BG121">
            <v>2.2325507567596814</v>
          </cell>
          <cell r="BH121">
            <v>1.6961856978782595</v>
          </cell>
          <cell r="BI121">
            <v>-0.97751995605211295</v>
          </cell>
          <cell r="BJ121">
            <v>-0.10370828671360946</v>
          </cell>
          <cell r="BK121">
            <v>2.0546419301128194</v>
          </cell>
          <cell r="BM121">
            <v>1.6961856978782595</v>
          </cell>
          <cell r="BN121">
            <v>-0.97751995605211295</v>
          </cell>
          <cell r="BO121">
            <v>-0.10370828671360946</v>
          </cell>
          <cell r="BP121">
            <v>2.0546419301128194</v>
          </cell>
          <cell r="BQ121">
            <v>3.8268416211305119</v>
          </cell>
          <cell r="BR121">
            <v>3.7665605620465148</v>
          </cell>
          <cell r="BS121">
            <v>2.3047172640756965</v>
          </cell>
          <cell r="BT121">
            <v>3.5101106264865067</v>
          </cell>
          <cell r="BU121">
            <v>4.2225091607642309</v>
          </cell>
          <cell r="BV121">
            <v>4.771166735786954</v>
          </cell>
          <cell r="BW121">
            <v>4.5</v>
          </cell>
          <cell r="BX121">
            <v>1.1999999999999997</v>
          </cell>
          <cell r="BY121">
            <v>3</v>
          </cell>
          <cell r="BZ121">
            <v>4.0000000000000009</v>
          </cell>
          <cell r="CA121">
            <v>3.9000000000000008</v>
          </cell>
        </row>
        <row r="122">
          <cell r="A122" t="str">
            <v>Pretax Income</v>
          </cell>
          <cell r="B122" t="str">
            <v>ptinpct</v>
          </cell>
          <cell r="I122">
            <v>0.22125723738626951</v>
          </cell>
          <cell r="J122">
            <v>0.26935714202784095</v>
          </cell>
          <cell r="K122">
            <v>0.90805319749607227</v>
          </cell>
          <cell r="L122">
            <v>0.47834633855737874</v>
          </cell>
          <cell r="N122" t="str">
            <v>NM</v>
          </cell>
          <cell r="O122" t="str">
            <v>NM</v>
          </cell>
          <cell r="P122">
            <v>1.1207491375061598</v>
          </cell>
          <cell r="Q122">
            <v>1.7473289686133548</v>
          </cell>
          <cell r="S122">
            <v>1.4380342828408319</v>
          </cell>
          <cell r="T122">
            <v>1.7403376810434499</v>
          </cell>
          <cell r="U122">
            <v>2.109809742016453</v>
          </cell>
          <cell r="V122">
            <v>2.3965797068657611</v>
          </cell>
          <cell r="X122">
            <v>2.3806023979066229</v>
          </cell>
          <cell r="Y122">
            <v>2.6057384662526548</v>
          </cell>
          <cell r="Z122">
            <v>2.8137618267260835</v>
          </cell>
          <cell r="AA122">
            <v>3.1857575441161115</v>
          </cell>
          <cell r="AC122">
            <v>2.8194200718642932</v>
          </cell>
          <cell r="AD122">
            <v>2.7163091299828044</v>
          </cell>
          <cell r="AE122">
            <v>1.499807076874186</v>
          </cell>
          <cell r="AF122">
            <v>2.0423168041826654</v>
          </cell>
          <cell r="AH122">
            <v>2.2217057866604648</v>
          </cell>
          <cell r="AI122">
            <v>2.1652142984172151</v>
          </cell>
          <cell r="AJ122">
            <v>1.3885343815406697</v>
          </cell>
          <cell r="AK122">
            <v>0.92578063706261726</v>
          </cell>
          <cell r="AM122">
            <v>0.15749023560539477</v>
          </cell>
          <cell r="AN122">
            <v>-1.6328828828828708</v>
          </cell>
          <cell r="AO122">
            <v>-1.0031808172253516</v>
          </cell>
          <cell r="AP122">
            <v>-1.0685362664773788</v>
          </cell>
          <cell r="AR122">
            <v>-1.2263578787365401</v>
          </cell>
          <cell r="AS122">
            <v>-0.59890980071075661</v>
          </cell>
          <cell r="AT122">
            <v>0.2193828908168341</v>
          </cell>
          <cell r="AU122">
            <v>1.0702947751689411</v>
          </cell>
          <cell r="AW122">
            <v>1.0880966708012911</v>
          </cell>
          <cell r="AX122">
            <v>1.7016916764835046</v>
          </cell>
          <cell r="AY122">
            <v>2.4545519852204873</v>
          </cell>
          <cell r="AZ122">
            <v>2.9622551002516877</v>
          </cell>
          <cell r="BB122">
            <v>2.669736834276399</v>
          </cell>
          <cell r="BC122">
            <v>0.4591442364764754</v>
          </cell>
          <cell r="BD122">
            <v>0.4383207164552464</v>
          </cell>
          <cell r="BE122">
            <v>1.9725433444171299</v>
          </cell>
          <cell r="BF122">
            <v>2.8290389481212976</v>
          </cell>
          <cell r="BG122">
            <v>2.3112558825184579</v>
          </cell>
          <cell r="BH122">
            <v>1.7094843740554948</v>
          </cell>
          <cell r="BI122">
            <v>-0.89321238929068081</v>
          </cell>
          <cell r="BJ122">
            <v>-8.08135805351273E-2</v>
          </cell>
          <cell r="BK122">
            <v>2.1061625664821242</v>
          </cell>
          <cell r="BM122">
            <v>1.7094843740554948</v>
          </cell>
          <cell r="BN122">
            <v>-0.89321238929068081</v>
          </cell>
          <cell r="BO122">
            <v>-8.08135805351273E-2</v>
          </cell>
          <cell r="BP122">
            <v>2.1061625664821242</v>
          </cell>
          <cell r="BQ122">
            <v>3.8528435136700812</v>
          </cell>
          <cell r="BR122">
            <v>3.7898909408006727</v>
          </cell>
          <cell r="BS122">
            <v>2.3193946434877928</v>
          </cell>
          <cell r="BT122">
            <v>3.5057020455910033</v>
          </cell>
          <cell r="BU122">
            <v>4.2416943841024048</v>
          </cell>
          <cell r="BV122">
            <v>4.7794022656791926</v>
          </cell>
          <cell r="BW122">
            <v>4.50912439285863</v>
          </cell>
          <cell r="BX122">
            <v>1.2089715767043194</v>
          </cell>
          <cell r="BY122">
            <v>3.0162691366070584</v>
          </cell>
          <cell r="BZ122">
            <v>4.0358050897276323</v>
          </cell>
          <cell r="CA122">
            <v>3.9399992315577523</v>
          </cell>
        </row>
        <row r="123">
          <cell r="A123" t="str">
            <v xml:space="preserve">Tax Rate </v>
          </cell>
          <cell r="B123" t="str">
            <v>taxrate</v>
          </cell>
          <cell r="I123" t="str">
            <v>NM</v>
          </cell>
          <cell r="J123" t="str">
            <v>NM</v>
          </cell>
          <cell r="K123">
            <v>61.238223418573249</v>
          </cell>
          <cell r="L123">
            <v>39.779681762545913</v>
          </cell>
          <cell r="N123" t="str">
            <v>NM</v>
          </cell>
          <cell r="O123" t="str">
            <v>NM</v>
          </cell>
          <cell r="P123">
            <v>30.310026385224297</v>
          </cell>
          <cell r="Q123">
            <v>55.461405244928265</v>
          </cell>
          <cell r="S123">
            <v>38.998521565854595</v>
          </cell>
          <cell r="T123">
            <v>39.073060830383014</v>
          </cell>
          <cell r="U123">
            <v>31.999021970728986</v>
          </cell>
          <cell r="V123">
            <v>32.001037478926207</v>
          </cell>
          <cell r="X123">
            <v>32.001146340827972</v>
          </cell>
          <cell r="Y123">
            <v>23.999706470491105</v>
          </cell>
          <cell r="Z123">
            <v>23.899018616221536</v>
          </cell>
          <cell r="AA123">
            <v>24.000327761389713</v>
          </cell>
          <cell r="AC123">
            <v>23.943884607785023</v>
          </cell>
          <cell r="AD123">
            <v>17.018803702627473</v>
          </cell>
          <cell r="AE123">
            <v>17</v>
          </cell>
          <cell r="AF123">
            <v>17.010000000000002</v>
          </cell>
          <cell r="AH123">
            <v>16.945606694560706</v>
          </cell>
          <cell r="AI123">
            <v>17.043121149897335</v>
          </cell>
          <cell r="AJ123">
            <v>19.852941176470452</v>
          </cell>
          <cell r="AK123">
            <v>17</v>
          </cell>
          <cell r="AM123">
            <v>17</v>
          </cell>
          <cell r="AN123">
            <v>17</v>
          </cell>
          <cell r="AO123">
            <v>4.5731707317073047</v>
          </cell>
          <cell r="AP123">
            <v>17</v>
          </cell>
          <cell r="AR123">
            <v>17</v>
          </cell>
          <cell r="AS123">
            <v>17</v>
          </cell>
          <cell r="AT123">
            <v>17</v>
          </cell>
          <cell r="AU123">
            <v>17</v>
          </cell>
          <cell r="AW123">
            <v>17</v>
          </cell>
          <cell r="AX123">
            <v>17</v>
          </cell>
          <cell r="AY123">
            <v>17</v>
          </cell>
          <cell r="AZ123">
            <v>17</v>
          </cell>
          <cell r="BB123">
            <v>46.070128519426476</v>
          </cell>
          <cell r="BC123">
            <v>79.344404645609458</v>
          </cell>
          <cell r="BD123">
            <v>90.588119646117192</v>
          </cell>
          <cell r="BE123">
            <v>34.514307589242996</v>
          </cell>
          <cell r="BF123">
            <v>25.08644749719091</v>
          </cell>
          <cell r="BG123">
            <v>19.287802515266293</v>
          </cell>
          <cell r="BH123">
            <v>17.545261669024033</v>
          </cell>
          <cell r="BI123">
            <v>13.524797005566949</v>
          </cell>
          <cell r="BJ123">
            <v>17.000000000000004</v>
          </cell>
          <cell r="BK123">
            <v>17</v>
          </cell>
          <cell r="BM123">
            <v>17.545261669024033</v>
          </cell>
          <cell r="BN123">
            <v>13.524797005566949</v>
          </cell>
          <cell r="BO123">
            <v>17.000000000000004</v>
          </cell>
          <cell r="BP123">
            <v>17</v>
          </cell>
          <cell r="BQ123">
            <v>17</v>
          </cell>
          <cell r="BR123">
            <v>17</v>
          </cell>
          <cell r="BS123">
            <v>17</v>
          </cell>
          <cell r="BT123">
            <v>17</v>
          </cell>
          <cell r="BU123">
            <v>17</v>
          </cell>
          <cell r="BV123">
            <v>17</v>
          </cell>
          <cell r="BW123">
            <v>17</v>
          </cell>
          <cell r="BX123">
            <v>17</v>
          </cell>
          <cell r="BY123">
            <v>17</v>
          </cell>
          <cell r="BZ123">
            <v>17</v>
          </cell>
          <cell r="CA123">
            <v>17</v>
          </cell>
        </row>
        <row r="124">
          <cell r="A124" t="str">
            <v>Celestica Inc.</v>
          </cell>
          <cell r="B124" t="str">
            <v>nipct</v>
          </cell>
          <cell r="I124" t="str">
            <v>NM</v>
          </cell>
          <cell r="J124" t="str">
            <v>NM</v>
          </cell>
          <cell r="K124">
            <v>0.3519775516539293</v>
          </cell>
          <cell r="L124">
            <v>0.28806168735646298</v>
          </cell>
          <cell r="N124" t="str">
            <v>NM</v>
          </cell>
          <cell r="O124" t="str">
            <v>NM</v>
          </cell>
          <cell r="P124">
            <v>0.78104977821586907</v>
          </cell>
          <cell r="Q124">
            <v>0.77823576836867681</v>
          </cell>
          <cell r="S124">
            <v>0.87722217292276772</v>
          </cell>
          <cell r="T124">
            <v>1.0603344802752657</v>
          </cell>
          <cell r="U124">
            <v>1.4346912591280276</v>
          </cell>
          <cell r="V124">
            <v>1.6296493366593088</v>
          </cell>
          <cell r="X124">
            <v>1.6187823407592643</v>
          </cell>
          <cell r="Y124">
            <v>1.9803688829633408</v>
          </cell>
          <cell r="Z124">
            <v>2.1413003639406814</v>
          </cell>
          <cell r="AA124">
            <v>2.4211652918450453</v>
          </cell>
          <cell r="AC124">
            <v>2.1443413832483773</v>
          </cell>
          <cell r="AD124">
            <v>2.2540258111944831</v>
          </cell>
          <cell r="AE124">
            <v>1.2448398738055744</v>
          </cell>
          <cell r="AF124">
            <v>1.6949187157911942</v>
          </cell>
          <cell r="AH124">
            <v>1.8452242621426862</v>
          </cell>
          <cell r="AI124">
            <v>1.7961942023830693</v>
          </cell>
          <cell r="AJ124">
            <v>1.1128694675583328</v>
          </cell>
          <cell r="AK124">
            <v>0.76839792876197233</v>
          </cell>
          <cell r="AM124">
            <v>0.13071689555247765</v>
          </cell>
          <cell r="AN124">
            <v>-1.3552927927927827</v>
          </cell>
          <cell r="AO124">
            <v>-0.95730364570589943</v>
          </cell>
          <cell r="AP124">
            <v>-0.88688510117622432</v>
          </cell>
          <cell r="AR124">
            <v>-1.0178770393513281</v>
          </cell>
          <cell r="AS124">
            <v>-0.49709513458992793</v>
          </cell>
          <cell r="AT124">
            <v>0.18208779937797229</v>
          </cell>
          <cell r="AU124">
            <v>0.888344663390221</v>
          </cell>
          <cell r="AW124">
            <v>0.90312023676507158</v>
          </cell>
          <cell r="AX124">
            <v>1.4124040914813087</v>
          </cell>
          <cell r="AY124">
            <v>2.0372781477330046</v>
          </cell>
          <cell r="AZ124">
            <v>2.458671733208901</v>
          </cell>
          <cell r="BB124">
            <v>1.439785643594794</v>
          </cell>
          <cell r="BC124">
            <v>9.4838975579586801E-2</v>
          </cell>
          <cell r="BD124">
            <v>4.1254221399049745E-2</v>
          </cell>
          <cell r="BE124">
            <v>1.2917336671938608</v>
          </cell>
          <cell r="BF124">
            <v>2.119333577725766</v>
          </cell>
          <cell r="BG124">
            <v>1.8654654122758223</v>
          </cell>
          <cell r="BH124">
            <v>1.4095508674363804</v>
          </cell>
          <cell r="BI124">
            <v>-0.77240722681054197</v>
          </cell>
          <cell r="BJ124">
            <v>-6.7075271844155668E-2</v>
          </cell>
          <cell r="BK124">
            <v>1.7481149301801626</v>
          </cell>
          <cell r="BM124">
            <v>-5.3824457474460461</v>
          </cell>
          <cell r="BN124">
            <v>-1.7744143726124637</v>
          </cell>
          <cell r="BO124">
            <v>-6.7075271844155668E-2</v>
          </cell>
          <cell r="BP124">
            <v>1.7481149301801626</v>
          </cell>
          <cell r="BQ124">
            <v>3.1978601163461668</v>
          </cell>
          <cell r="BR124">
            <v>3.1456094808645583</v>
          </cell>
          <cell r="BS124">
            <v>1.9250975540948683</v>
          </cell>
          <cell r="BT124">
            <v>2.9097326978405329</v>
          </cell>
          <cell r="BU124">
            <v>3.5206063388049964</v>
          </cell>
          <cell r="BV124">
            <v>3.9669038805137302</v>
          </cell>
          <cell r="BW124">
            <v>3.7425732460726628</v>
          </cell>
          <cell r="BX124">
            <v>1.0034464086645851</v>
          </cell>
          <cell r="BY124">
            <v>2.5035033833838582</v>
          </cell>
          <cell r="BZ124">
            <v>3.3497182244739347</v>
          </cell>
          <cell r="CA124">
            <v>3.2701993621929346</v>
          </cell>
        </row>
        <row r="125">
          <cell r="A125" t="str">
            <v>EBITDA Statistics</v>
          </cell>
          <cell r="I125" t="str">
            <v>NM</v>
          </cell>
          <cell r="J125" t="str">
            <v>NM</v>
          </cell>
          <cell r="K125">
            <v>0.3519775516539293</v>
          </cell>
          <cell r="L125">
            <v>0.28806168735646298</v>
          </cell>
          <cell r="N125" t="str">
            <v>NM</v>
          </cell>
          <cell r="O125" t="str">
            <v>NM</v>
          </cell>
          <cell r="P125">
            <v>0.78104977821586907</v>
          </cell>
          <cell r="Q125">
            <v>0.77823576836867681</v>
          </cell>
          <cell r="S125">
            <v>0.87722217292276772</v>
          </cell>
          <cell r="T125">
            <v>1.0603344802752657</v>
          </cell>
          <cell r="U125">
            <v>1.4346912591280276</v>
          </cell>
          <cell r="V125">
            <v>1.6296493366593088</v>
          </cell>
          <cell r="X125">
            <v>1.6187823407592643</v>
          </cell>
          <cell r="Y125">
            <v>1.9803688829633408</v>
          </cell>
          <cell r="Z125">
            <v>2.0605357616044309</v>
          </cell>
          <cell r="AA125">
            <v>2.3254498625178375</v>
          </cell>
          <cell r="AC125">
            <v>2.0180682060852528</v>
          </cell>
          <cell r="AD125">
            <v>2.1187233764271696</v>
          </cell>
          <cell r="AE125">
            <v>1.0678045348282938</v>
          </cell>
          <cell r="AF125">
            <v>1.5274487378482156</v>
          </cell>
          <cell r="AH125">
            <v>1.6500116198001347</v>
          </cell>
          <cell r="AI125">
            <v>1.600569091232438</v>
          </cell>
          <cell r="AJ125">
            <v>0.87804380009189753</v>
          </cell>
          <cell r="AK125">
            <v>0.54349076834563259</v>
          </cell>
          <cell r="AM125">
            <v>-0.12126748141615028</v>
          </cell>
          <cell r="AN125">
            <v>-1.5742617617617516</v>
          </cell>
          <cell r="AO125">
            <v>-1.1775140689992687</v>
          </cell>
          <cell r="AP125">
            <v>-1.0989411111977392</v>
          </cell>
          <cell r="AR125">
            <v>-1.2460466179940139</v>
          </cell>
          <cell r="AS125">
            <v>-0.72101779599354254</v>
          </cell>
          <cell r="AT125">
            <v>-4.0197089370645568E-2</v>
          </cell>
          <cell r="AU125">
            <v>0.68043286958175886</v>
          </cell>
          <cell r="AW125">
            <v>0.6796869351819983</v>
          </cell>
          <cell r="AX125">
            <v>1.197328900920871</v>
          </cell>
          <cell r="AY125">
            <v>1.8280471804460388</v>
          </cell>
          <cell r="AZ125">
            <v>2.265056921916667</v>
          </cell>
          <cell r="BB125">
            <v>1.439785643594794</v>
          </cell>
          <cell r="BC125">
            <v>9.4838975579586801E-2</v>
          </cell>
          <cell r="BD125">
            <v>4.1254221399049745E-2</v>
          </cell>
          <cell r="BE125">
            <v>1.2917336671938608</v>
          </cell>
          <cell r="BF125">
            <v>2.0639607468154209</v>
          </cell>
          <cell r="BG125">
            <v>1.7155318478382247</v>
          </cell>
          <cell r="BH125">
            <v>1.197981019162186</v>
          </cell>
          <cell r="BI125">
            <v>-0.99782723012226626</v>
          </cell>
          <cell r="BJ125">
            <v>-0.28717440764805546</v>
          </cell>
          <cell r="BK125">
            <v>1.5386328045182498</v>
          </cell>
        </row>
        <row r="126">
          <cell r="A126" t="str">
            <v>($ Millions)</v>
          </cell>
          <cell r="V126" t="str">
            <v xml:space="preserve"> </v>
          </cell>
          <cell r="X126">
            <v>17</v>
          </cell>
          <cell r="Y126">
            <v>17</v>
          </cell>
          <cell r="Z126">
            <v>17</v>
          </cell>
          <cell r="AA126">
            <v>17</v>
          </cell>
          <cell r="AC126">
            <v>17</v>
          </cell>
          <cell r="AD126">
            <v>17</v>
          </cell>
          <cell r="AE126">
            <v>17</v>
          </cell>
          <cell r="AF126">
            <v>17</v>
          </cell>
          <cell r="AH126">
            <v>17</v>
          </cell>
          <cell r="AI126">
            <v>17</v>
          </cell>
          <cell r="AJ126">
            <v>17</v>
          </cell>
          <cell r="AK126">
            <v>17</v>
          </cell>
          <cell r="AM126">
            <v>17</v>
          </cell>
          <cell r="AN126">
            <v>17</v>
          </cell>
          <cell r="AO126">
            <v>17</v>
          </cell>
          <cell r="AP126">
            <v>17</v>
          </cell>
          <cell r="AR126">
            <v>17</v>
          </cell>
          <cell r="AS126">
            <v>17</v>
          </cell>
          <cell r="AT126">
            <v>17</v>
          </cell>
          <cell r="AU126">
            <v>17</v>
          </cell>
          <cell r="AW126">
            <v>17</v>
          </cell>
          <cell r="AX126">
            <v>17</v>
          </cell>
          <cell r="AY126">
            <v>17</v>
          </cell>
          <cell r="AZ126">
            <v>17</v>
          </cell>
          <cell r="BB126">
            <v>17</v>
          </cell>
          <cell r="BC126">
            <v>17</v>
          </cell>
          <cell r="BD126">
            <v>17</v>
          </cell>
          <cell r="BE126">
            <v>17</v>
          </cell>
          <cell r="BF126">
            <v>17</v>
          </cell>
          <cell r="BG126">
            <v>17</v>
          </cell>
          <cell r="BH126">
            <v>17</v>
          </cell>
          <cell r="BI126">
            <v>17</v>
          </cell>
          <cell r="BJ126">
            <v>17</v>
          </cell>
          <cell r="BK126">
            <v>17</v>
          </cell>
          <cell r="BM126">
            <v>17</v>
          </cell>
          <cell r="BN126">
            <v>17</v>
          </cell>
          <cell r="BO126">
            <v>17</v>
          </cell>
          <cell r="BP126">
            <v>17</v>
          </cell>
          <cell r="BQ126">
            <v>17</v>
          </cell>
          <cell r="BR126">
            <v>17</v>
          </cell>
          <cell r="BS126">
            <v>17</v>
          </cell>
          <cell r="BT126">
            <v>17</v>
          </cell>
          <cell r="BU126">
            <v>17</v>
          </cell>
          <cell r="BV126">
            <v>17</v>
          </cell>
          <cell r="BW126">
            <v>17</v>
          </cell>
          <cell r="BX126">
            <v>17</v>
          </cell>
          <cell r="BY126">
            <v>17</v>
          </cell>
          <cell r="BZ126">
            <v>17</v>
          </cell>
          <cell r="CA126">
            <v>17</v>
          </cell>
        </row>
        <row r="127">
          <cell r="D127">
            <v>1996</v>
          </cell>
          <cell r="I127">
            <v>1997</v>
          </cell>
          <cell r="N127">
            <v>1998</v>
          </cell>
          <cell r="S127">
            <v>1999</v>
          </cell>
          <cell r="X127">
            <v>2000</v>
          </cell>
          <cell r="AC127">
            <v>2001</v>
          </cell>
          <cell r="AH127" t="str">
            <v>2002E</v>
          </cell>
          <cell r="AM127" t="str">
            <v>2003E</v>
          </cell>
          <cell r="AR127" t="str">
            <v>2004E</v>
          </cell>
          <cell r="AV127" t="str">
            <v xml:space="preserve"> </v>
          </cell>
          <cell r="AZ127" t="str">
            <v xml:space="preserve"> </v>
          </cell>
        </row>
        <row r="128">
          <cell r="A128" t="str">
            <v xml:space="preserve"> </v>
          </cell>
          <cell r="D128">
            <v>35125</v>
          </cell>
          <cell r="E128">
            <v>35217</v>
          </cell>
          <cell r="F128">
            <v>35309</v>
          </cell>
          <cell r="G128">
            <v>35400</v>
          </cell>
          <cell r="I128">
            <v>35490</v>
          </cell>
          <cell r="J128">
            <v>35582</v>
          </cell>
          <cell r="K128">
            <v>35674</v>
          </cell>
          <cell r="L128">
            <v>35765</v>
          </cell>
          <cell r="N128">
            <v>35855</v>
          </cell>
          <cell r="O128">
            <v>35947</v>
          </cell>
          <cell r="P128">
            <v>36039</v>
          </cell>
          <cell r="Q128">
            <v>36130</v>
          </cell>
          <cell r="S128">
            <v>36220</v>
          </cell>
          <cell r="T128">
            <v>36312</v>
          </cell>
          <cell r="U128">
            <v>36404</v>
          </cell>
          <cell r="V128">
            <v>36495</v>
          </cell>
          <cell r="X128">
            <v>36586</v>
          </cell>
          <cell r="Y128">
            <v>36678</v>
          </cell>
          <cell r="Z128">
            <v>36770</v>
          </cell>
          <cell r="AA128">
            <v>36861</v>
          </cell>
          <cell r="AC128">
            <v>36951</v>
          </cell>
          <cell r="AD128">
            <v>37043</v>
          </cell>
          <cell r="AE128">
            <v>37135</v>
          </cell>
          <cell r="AF128">
            <v>37226</v>
          </cell>
          <cell r="AH128" t="str">
            <v xml:space="preserve"> 3/02</v>
          </cell>
          <cell r="AI128" t="str">
            <v xml:space="preserve"> 6/02E</v>
          </cell>
          <cell r="AJ128" t="str">
            <v xml:space="preserve"> 9/02E</v>
          </cell>
          <cell r="AK128" t="str">
            <v>12/02E</v>
          </cell>
          <cell r="AM128" t="str">
            <v xml:space="preserve"> 3/03E</v>
          </cell>
          <cell r="AN128" t="str">
            <v xml:space="preserve"> 6/03E</v>
          </cell>
          <cell r="AO128" t="str">
            <v xml:space="preserve"> 9/03E</v>
          </cell>
          <cell r="AP128" t="str">
            <v>12/03E</v>
          </cell>
          <cell r="AR128" t="str">
            <v xml:space="preserve"> 3/04E</v>
          </cell>
          <cell r="AS128" t="str">
            <v xml:space="preserve"> 6/04E</v>
          </cell>
          <cell r="AT128" t="str">
            <v xml:space="preserve"> 9/04E</v>
          </cell>
          <cell r="AU128" t="str">
            <v>12/04E</v>
          </cell>
          <cell r="AW128">
            <v>1996</v>
          </cell>
          <cell r="AX128">
            <v>1997</v>
          </cell>
          <cell r="AY128">
            <v>1998</v>
          </cell>
          <cell r="AZ128">
            <v>1999</v>
          </cell>
          <cell r="BA128">
            <v>2000</v>
          </cell>
          <cell r="BB128">
            <v>2001</v>
          </cell>
          <cell r="BC128" t="str">
            <v>2002E</v>
          </cell>
          <cell r="BD128" t="str">
            <v>2003E</v>
          </cell>
          <cell r="BE128" t="str">
            <v>2004E</v>
          </cell>
          <cell r="BG128">
            <v>2002</v>
          </cell>
          <cell r="BH128">
            <v>2003</v>
          </cell>
          <cell r="BI128">
            <v>2004</v>
          </cell>
          <cell r="BJ128">
            <v>2005</v>
          </cell>
          <cell r="BK128">
            <v>2006</v>
          </cell>
          <cell r="BL128">
            <v>2007</v>
          </cell>
          <cell r="BM128">
            <v>2008</v>
          </cell>
          <cell r="BN128">
            <v>2009</v>
          </cell>
          <cell r="BO128">
            <v>2010</v>
          </cell>
          <cell r="BP128">
            <v>2011</v>
          </cell>
          <cell r="BQ128">
            <v>2012</v>
          </cell>
          <cell r="BR128">
            <v>2013</v>
          </cell>
          <cell r="BS128">
            <v>2014</v>
          </cell>
          <cell r="BT128">
            <v>2015</v>
          </cell>
          <cell r="BU128">
            <v>2016</v>
          </cell>
        </row>
        <row r="129">
          <cell r="A129" t="str">
            <v xml:space="preserve">(a) Extraordinary Items </v>
          </cell>
          <cell r="AZ129" t="str">
            <v xml:space="preserve"> </v>
          </cell>
          <cell r="BA129" t="str">
            <v xml:space="preserve"> </v>
          </cell>
          <cell r="BB129" t="str">
            <v xml:space="preserve"> </v>
          </cell>
        </row>
        <row r="130">
          <cell r="A130" t="str">
            <v>Operating Income</v>
          </cell>
          <cell r="I130">
            <v>8.0760000000000005</v>
          </cell>
          <cell r="J130">
            <v>8.009999999999998</v>
          </cell>
          <cell r="K130">
            <v>11.653000000000006</v>
          </cell>
          <cell r="L130">
            <v>15.106999999999999</v>
          </cell>
          <cell r="N130">
            <v>5.3459999999999965</v>
          </cell>
          <cell r="O130">
            <v>9.0690000000000026</v>
          </cell>
          <cell r="P130">
            <v>12.831999999999994</v>
          </cell>
          <cell r="Q130">
            <v>19.244</v>
          </cell>
          <cell r="S130">
            <v>18.786000000000001</v>
          </cell>
          <cell r="T130">
            <v>23.986999999999995</v>
          </cell>
          <cell r="U130">
            <v>31.623999999999995</v>
          </cell>
          <cell r="V130">
            <v>40.762</v>
          </cell>
          <cell r="X130">
            <v>36.570999999999998</v>
          </cell>
          <cell r="Y130">
            <v>48.227000000000018</v>
          </cell>
          <cell r="Z130">
            <v>67.932999999999993</v>
          </cell>
          <cell r="AA130">
            <v>104.17599999999999</v>
          </cell>
          <cell r="AC130">
            <v>72.36</v>
          </cell>
          <cell r="AD130">
            <v>69.829000000000278</v>
          </cell>
          <cell r="AE130">
            <v>27.964999999999876</v>
          </cell>
          <cell r="AF130">
            <v>53.200000000000017</v>
          </cell>
          <cell r="AH130">
            <v>49.499999999999901</v>
          </cell>
          <cell r="AI130">
            <v>50.230825750000008</v>
          </cell>
          <cell r="AJ130">
            <v>51.487398567499994</v>
          </cell>
          <cell r="AK130">
            <v>68.944352919474994</v>
          </cell>
          <cell r="AM130">
            <v>64.210011174144483</v>
          </cell>
          <cell r="AN130">
            <v>74.096645575249127</v>
          </cell>
          <cell r="AO130">
            <v>79.933675581408565</v>
          </cell>
          <cell r="AP130">
            <v>99.125523794941756</v>
          </cell>
          <cell r="AR130">
            <v>93.160829450170539</v>
          </cell>
          <cell r="AS130">
            <v>100.34876153630184</v>
          </cell>
          <cell r="AT130">
            <v>110.03070614117082</v>
          </cell>
          <cell r="AU130">
            <v>133.78134844448019</v>
          </cell>
          <cell r="AW130">
            <v>68.779000000000011</v>
          </cell>
          <cell r="AX130">
            <v>42.846000000000004</v>
          </cell>
          <cell r="AY130">
            <v>46.490999999999993</v>
          </cell>
          <cell r="AZ130">
            <v>115.15899999999999</v>
          </cell>
          <cell r="BA130">
            <v>256.90699999999998</v>
          </cell>
          <cell r="BB130">
            <v>223.35400000000018</v>
          </cell>
          <cell r="BC130">
            <v>220.1625772369749</v>
          </cell>
          <cell r="BD130">
            <v>170.66257723697498</v>
          </cell>
          <cell r="BE130">
            <v>437.32164557212343</v>
          </cell>
          <cell r="BG130">
            <v>220.16257723697424</v>
          </cell>
          <cell r="BH130">
            <v>383.55178974258473</v>
          </cell>
          <cell r="BI130">
            <v>574.00131536045706</v>
          </cell>
          <cell r="BJ130">
            <v>880.14485529224748</v>
          </cell>
          <cell r="BK130">
            <v>1182.2791176796773</v>
          </cell>
          <cell r="BL130">
            <v>1639.1338880732449</v>
          </cell>
          <cell r="BM130">
            <v>1861.9898736310834</v>
          </cell>
          <cell r="BN130">
            <v>1976.5517787069095</v>
          </cell>
          <cell r="BO130">
            <v>2081.0433789353401</v>
          </cell>
          <cell r="BP130">
            <v>2363.0190181969347</v>
          </cell>
          <cell r="BQ130">
            <v>2608.1209200166281</v>
          </cell>
          <cell r="BR130">
            <v>2823.8105936179586</v>
          </cell>
          <cell r="BS130">
            <v>2998.5192292350366</v>
          </cell>
          <cell r="BT130">
            <v>3121.979998404438</v>
          </cell>
          <cell r="BU130">
            <v>3218.2793983565712</v>
          </cell>
        </row>
        <row r="131">
          <cell r="A131" t="str">
            <v>Amortization of Intangibles</v>
          </cell>
          <cell r="I131">
            <v>3.2719999999999998</v>
          </cell>
          <cell r="J131">
            <v>3.3010000000000002</v>
          </cell>
          <cell r="K131">
            <v>3.8809999999999998</v>
          </cell>
          <cell r="L131">
            <v>4.806</v>
          </cell>
          <cell r="N131">
            <v>13.259</v>
          </cell>
          <cell r="O131">
            <v>10.537000000000001</v>
          </cell>
          <cell r="P131">
            <v>10.782</v>
          </cell>
          <cell r="Q131">
            <v>10.794</v>
          </cell>
          <cell r="S131">
            <v>13.814</v>
          </cell>
          <cell r="T131">
            <v>13.744999999999999</v>
          </cell>
          <cell r="U131">
            <v>14.07</v>
          </cell>
          <cell r="V131">
            <v>13.94</v>
          </cell>
          <cell r="X131">
            <v>15.323</v>
          </cell>
          <cell r="Y131">
            <v>19.248000000000001</v>
          </cell>
          <cell r="Z131">
            <v>25.606999999999999</v>
          </cell>
          <cell r="AA131">
            <v>28.760999999999999</v>
          </cell>
          <cell r="AC131">
            <v>29.577999999999999</v>
          </cell>
          <cell r="AD131">
            <v>28.13</v>
          </cell>
          <cell r="AE131">
            <v>32.158000000000001</v>
          </cell>
          <cell r="AF131">
            <v>35.1</v>
          </cell>
          <cell r="AH131">
            <v>22</v>
          </cell>
          <cell r="AI131">
            <v>22</v>
          </cell>
          <cell r="AJ131">
            <v>22</v>
          </cell>
          <cell r="AK131">
            <v>22</v>
          </cell>
          <cell r="AM131">
            <v>22</v>
          </cell>
          <cell r="AN131">
            <v>22</v>
          </cell>
          <cell r="AO131">
            <v>22</v>
          </cell>
          <cell r="AP131">
            <v>22</v>
          </cell>
          <cell r="AR131">
            <v>22</v>
          </cell>
          <cell r="AS131">
            <v>22</v>
          </cell>
          <cell r="AT131">
            <v>22</v>
          </cell>
          <cell r="AU131">
            <v>22</v>
          </cell>
          <cell r="AW131" t="str">
            <v xml:space="preserve"> --</v>
          </cell>
          <cell r="AX131">
            <v>15.260000000000002</v>
          </cell>
          <cell r="AY131">
            <v>45.372</v>
          </cell>
          <cell r="AZ131">
            <v>55.568999999999996</v>
          </cell>
          <cell r="BA131">
            <v>88.938999999999993</v>
          </cell>
          <cell r="BB131">
            <v>124.96600000000001</v>
          </cell>
          <cell r="BC131">
            <v>88</v>
          </cell>
          <cell r="BD131">
            <v>66</v>
          </cell>
          <cell r="BE131">
            <v>88</v>
          </cell>
          <cell r="BG131">
            <v>88</v>
          </cell>
          <cell r="BH131">
            <v>88</v>
          </cell>
          <cell r="BI131">
            <v>88</v>
          </cell>
          <cell r="BJ131">
            <v>88</v>
          </cell>
          <cell r="BK131">
            <v>88</v>
          </cell>
          <cell r="BL131">
            <v>88</v>
          </cell>
          <cell r="BM131">
            <v>88</v>
          </cell>
          <cell r="BN131">
            <v>88</v>
          </cell>
          <cell r="BO131">
            <v>88</v>
          </cell>
          <cell r="BP131">
            <v>88</v>
          </cell>
          <cell r="BQ131">
            <v>88</v>
          </cell>
          <cell r="BR131">
            <v>88</v>
          </cell>
          <cell r="BS131">
            <v>88</v>
          </cell>
          <cell r="BT131">
            <v>88</v>
          </cell>
          <cell r="BU131">
            <v>88</v>
          </cell>
        </row>
        <row r="132">
          <cell r="A132" t="str">
            <v>Depreciation</v>
          </cell>
          <cell r="I132">
            <v>4.9000000000000004</v>
          </cell>
          <cell r="J132">
            <v>5.8</v>
          </cell>
          <cell r="K132">
            <v>5.5</v>
          </cell>
          <cell r="L132">
            <v>3</v>
          </cell>
          <cell r="N132">
            <v>7.5</v>
          </cell>
          <cell r="O132">
            <v>9.1999999999999993</v>
          </cell>
          <cell r="P132">
            <v>10.4</v>
          </cell>
          <cell r="Q132">
            <v>12.5</v>
          </cell>
          <cell r="S132">
            <v>14.349</v>
          </cell>
          <cell r="T132">
            <v>15.797000000000002</v>
          </cell>
          <cell r="U132">
            <v>18.847999999999999</v>
          </cell>
          <cell r="V132">
            <v>22</v>
          </cell>
          <cell r="X132">
            <v>23.569000000000003</v>
          </cell>
          <cell r="Y132">
            <v>29.108999999999998</v>
          </cell>
          <cell r="Z132">
            <v>32.728000000000002</v>
          </cell>
          <cell r="AA132">
            <v>38.155000000000001</v>
          </cell>
          <cell r="AC132">
            <v>40.158000000000001</v>
          </cell>
          <cell r="AD132">
            <v>43.190999999999995</v>
          </cell>
          <cell r="AE132">
            <v>52.138999999999996</v>
          </cell>
          <cell r="AF132">
            <v>59.1</v>
          </cell>
          <cell r="AH132">
            <v>57</v>
          </cell>
          <cell r="AI132">
            <v>58.031853991071429</v>
          </cell>
          <cell r="AJ132">
            <v>59.240648371875004</v>
          </cell>
          <cell r="AK132">
            <v>60.533475282843753</v>
          </cell>
          <cell r="AM132">
            <v>62.222303326326255</v>
          </cell>
          <cell r="AN132">
            <v>63.966147325895058</v>
          </cell>
          <cell r="AO132">
            <v>65.794260140902182</v>
          </cell>
          <cell r="AP132">
            <v>67.809284877833051</v>
          </cell>
          <cell r="AR132">
            <v>70.678740761142947</v>
          </cell>
          <cell r="AS132">
            <v>73.658012551799644</v>
          </cell>
          <cell r="AT132">
            <v>76.801600793256085</v>
          </cell>
          <cell r="AU132">
            <v>80.27886303532037</v>
          </cell>
          <cell r="AW132" t="str">
            <v xml:space="preserve"> --</v>
          </cell>
          <cell r="AX132">
            <v>19.2</v>
          </cell>
          <cell r="AY132">
            <v>39.6</v>
          </cell>
          <cell r="AZ132">
            <v>70.994</v>
          </cell>
          <cell r="BA132">
            <v>123.56100000000001</v>
          </cell>
          <cell r="BB132">
            <v>194.58799999999999</v>
          </cell>
          <cell r="BC132">
            <v>234.80597764579016</v>
          </cell>
          <cell r="BD132">
            <v>234.80597764579016</v>
          </cell>
          <cell r="BE132">
            <v>301.41721714151902</v>
          </cell>
          <cell r="BG132">
            <v>222.98228571428569</v>
          </cell>
          <cell r="BH132">
            <v>297.98761541708927</v>
          </cell>
          <cell r="BI132">
            <v>374.51938034711981</v>
          </cell>
          <cell r="BJ132">
            <v>471.68192608302485</v>
          </cell>
          <cell r="BK132">
            <v>563.01634639361419</v>
          </cell>
          <cell r="BL132">
            <v>696.72993772831705</v>
          </cell>
          <cell r="BM132">
            <v>895.70849626210111</v>
          </cell>
          <cell r="BN132">
            <v>1144.4316944293312</v>
          </cell>
          <cell r="BO132">
            <v>1409.2721558377975</v>
          </cell>
          <cell r="BP132">
            <v>1690.9661011540754</v>
          </cell>
          <cell r="BQ132">
            <v>2009.2802593614695</v>
          </cell>
          <cell r="BR132">
            <v>2359.4258333896032</v>
          </cell>
          <cell r="BS132">
            <v>2737.5830533399876</v>
          </cell>
          <cell r="BT132">
            <v>3138.4297064873949</v>
          </cell>
          <cell r="BU132">
            <v>3576.1542517243638</v>
          </cell>
        </row>
        <row r="133">
          <cell r="A133" t="str">
            <v>Amort. Deferred Financing</v>
          </cell>
          <cell r="I133">
            <v>0.6</v>
          </cell>
          <cell r="J133">
            <v>0.8</v>
          </cell>
          <cell r="K133">
            <v>0.8</v>
          </cell>
          <cell r="L133">
            <v>0.4</v>
          </cell>
          <cell r="N133">
            <v>0.7</v>
          </cell>
          <cell r="O133">
            <v>0.7</v>
          </cell>
          <cell r="P133">
            <v>0.3</v>
          </cell>
          <cell r="Q133">
            <v>0.2</v>
          </cell>
          <cell r="S133">
            <v>0.3</v>
          </cell>
          <cell r="T133">
            <v>0.4</v>
          </cell>
          <cell r="U133">
            <v>0.4</v>
          </cell>
          <cell r="V133">
            <v>0.4</v>
          </cell>
          <cell r="X133" t="str">
            <v xml:space="preserve"> --</v>
          </cell>
          <cell r="Y133" t="str">
            <v xml:space="preserve"> --</v>
          </cell>
          <cell r="Z133" t="str">
            <v xml:space="preserve"> --</v>
          </cell>
          <cell r="AA133" t="str">
            <v xml:space="preserve"> --</v>
          </cell>
          <cell r="AC133" t="str">
            <v xml:space="preserve"> --</v>
          </cell>
          <cell r="AD133" t="str">
            <v xml:space="preserve"> --</v>
          </cell>
          <cell r="AE133" t="str">
            <v xml:space="preserve"> --</v>
          </cell>
          <cell r="AF133" t="str">
            <v xml:space="preserve"> --</v>
          </cell>
          <cell r="AH133" t="str">
            <v xml:space="preserve"> --</v>
          </cell>
          <cell r="AI133" t="str">
            <v xml:space="preserve"> --</v>
          </cell>
          <cell r="AJ133" t="str">
            <v xml:space="preserve"> --</v>
          </cell>
          <cell r="AK133" t="str">
            <v xml:space="preserve"> --</v>
          </cell>
          <cell r="AM133" t="str">
            <v xml:space="preserve"> --</v>
          </cell>
          <cell r="AN133" t="str">
            <v xml:space="preserve"> --</v>
          </cell>
          <cell r="AO133" t="str">
            <v xml:space="preserve"> --</v>
          </cell>
          <cell r="AP133" t="str">
            <v xml:space="preserve"> --</v>
          </cell>
          <cell r="AR133" t="str">
            <v xml:space="preserve"> --</v>
          </cell>
          <cell r="AS133" t="str">
            <v xml:space="preserve"> --</v>
          </cell>
          <cell r="AT133" t="str">
            <v xml:space="preserve"> --</v>
          </cell>
          <cell r="AU133" t="str">
            <v xml:space="preserve"> --</v>
          </cell>
          <cell r="AW133" t="str">
            <v xml:space="preserve"> --</v>
          </cell>
          <cell r="AX133">
            <v>2.6</v>
          </cell>
          <cell r="AY133">
            <v>1.9</v>
          </cell>
          <cell r="AZ133">
            <v>1.5</v>
          </cell>
          <cell r="BA133">
            <v>0</v>
          </cell>
          <cell r="BB133">
            <v>0</v>
          </cell>
          <cell r="BC133">
            <v>0</v>
          </cell>
          <cell r="BD133">
            <v>0</v>
          </cell>
          <cell r="BE133">
            <v>0</v>
          </cell>
          <cell r="BG133" t="str">
            <v xml:space="preserve"> --</v>
          </cell>
          <cell r="BH133" t="str">
            <v xml:space="preserve"> --</v>
          </cell>
          <cell r="BI133" t="str">
            <v xml:space="preserve"> --</v>
          </cell>
          <cell r="BJ133" t="str">
            <v xml:space="preserve"> --</v>
          </cell>
          <cell r="BK133" t="str">
            <v xml:space="preserve"> --</v>
          </cell>
          <cell r="BL133" t="str">
            <v xml:space="preserve"> --</v>
          </cell>
          <cell r="BM133" t="str">
            <v xml:space="preserve"> --</v>
          </cell>
          <cell r="BN133" t="str">
            <v xml:space="preserve"> --</v>
          </cell>
          <cell r="BO133" t="str">
            <v xml:space="preserve"> --</v>
          </cell>
          <cell r="BP133" t="str">
            <v xml:space="preserve"> --</v>
          </cell>
          <cell r="BQ133" t="str">
            <v xml:space="preserve"> --</v>
          </cell>
          <cell r="BR133" t="str">
            <v xml:space="preserve"> --</v>
          </cell>
          <cell r="BS133" t="str">
            <v xml:space="preserve"> --</v>
          </cell>
          <cell r="BT133" t="str">
            <v xml:space="preserve"> --</v>
          </cell>
          <cell r="BU133" t="str">
            <v xml:space="preserve"> --</v>
          </cell>
        </row>
        <row r="134">
          <cell r="A134" t="str">
            <v>Integration Costs</v>
          </cell>
          <cell r="I134">
            <v>0.3</v>
          </cell>
          <cell r="J134">
            <v>0.5</v>
          </cell>
          <cell r="K134">
            <v>2.0920000000000001</v>
          </cell>
          <cell r="L134">
            <v>10.4</v>
          </cell>
          <cell r="N134">
            <v>2.7189999999999999</v>
          </cell>
          <cell r="O134">
            <v>1.593</v>
          </cell>
          <cell r="P134">
            <v>1.34</v>
          </cell>
          <cell r="Q134">
            <v>2.4710000000000001</v>
          </cell>
          <cell r="S134">
            <v>0.44500000000000001</v>
          </cell>
          <cell r="T134">
            <v>3.5230000000000001</v>
          </cell>
          <cell r="U134">
            <v>1.282</v>
          </cell>
          <cell r="V134">
            <v>4.3659999999999997</v>
          </cell>
          <cell r="X134">
            <v>0.66700000000000004</v>
          </cell>
          <cell r="Y134">
            <v>4.9039999999999999</v>
          </cell>
          <cell r="Z134">
            <v>4.8419999999999996</v>
          </cell>
          <cell r="AA134">
            <v>5.69</v>
          </cell>
          <cell r="AC134">
            <v>2.3260000000000001</v>
          </cell>
          <cell r="AD134">
            <v>7.7969999999999997</v>
          </cell>
          <cell r="AE134">
            <v>10.016999999999999</v>
          </cell>
          <cell r="AF134">
            <v>2.6</v>
          </cell>
          <cell r="AH134">
            <v>3.9</v>
          </cell>
          <cell r="AI134">
            <v>10</v>
          </cell>
          <cell r="AJ134">
            <v>10</v>
          </cell>
          <cell r="AK134">
            <v>8</v>
          </cell>
          <cell r="AM134">
            <v>6</v>
          </cell>
          <cell r="AN134">
            <v>4</v>
          </cell>
          <cell r="AO134">
            <v>3</v>
          </cell>
          <cell r="AP134">
            <v>3</v>
          </cell>
          <cell r="AR134">
            <v>0</v>
          </cell>
          <cell r="AS134">
            <v>0</v>
          </cell>
          <cell r="AT134">
            <v>0</v>
          </cell>
          <cell r="AU134">
            <v>0</v>
          </cell>
          <cell r="AW134" t="str">
            <v xml:space="preserve"> --</v>
          </cell>
          <cell r="AX134">
            <v>13.292000000000002</v>
          </cell>
          <cell r="AY134">
            <v>8.1229999999999993</v>
          </cell>
          <cell r="AZ134">
            <v>9.6159999999999997</v>
          </cell>
          <cell r="BA134">
            <v>16.103000000000002</v>
          </cell>
          <cell r="BB134">
            <v>22.740000000000002</v>
          </cell>
          <cell r="BC134">
            <v>31.9</v>
          </cell>
          <cell r="BD134">
            <v>28</v>
          </cell>
          <cell r="BE134">
            <v>0</v>
          </cell>
          <cell r="BG134">
            <v>31.9</v>
          </cell>
          <cell r="BH134">
            <v>16</v>
          </cell>
          <cell r="BI134">
            <v>0</v>
          </cell>
          <cell r="BJ134" t="str">
            <v xml:space="preserve"> --</v>
          </cell>
          <cell r="BK134" t="str">
            <v xml:space="preserve"> --</v>
          </cell>
          <cell r="BL134" t="str">
            <v xml:space="preserve"> --</v>
          </cell>
          <cell r="BM134" t="str">
            <v xml:space="preserve"> --</v>
          </cell>
          <cell r="BN134" t="str">
            <v xml:space="preserve"> --</v>
          </cell>
          <cell r="BO134" t="str">
            <v xml:space="preserve"> --</v>
          </cell>
          <cell r="BP134" t="str">
            <v xml:space="preserve"> --</v>
          </cell>
          <cell r="BQ134" t="str">
            <v xml:space="preserve"> --</v>
          </cell>
          <cell r="BR134" t="str">
            <v xml:space="preserve"> --</v>
          </cell>
          <cell r="BS134" t="str">
            <v xml:space="preserve"> --</v>
          </cell>
          <cell r="BT134" t="str">
            <v xml:space="preserve"> --</v>
          </cell>
          <cell r="BU134" t="str">
            <v xml:space="preserve"> --</v>
          </cell>
        </row>
        <row r="135">
          <cell r="A135" t="str">
            <v>3Q01:  $79.6MM pretax charges for restructuring ($43.5MM) and impairment of goodwill/intangibles ($36.1MM).</v>
          </cell>
        </row>
        <row r="136">
          <cell r="A136" t="str">
            <v>EBITDA</v>
          </cell>
          <cell r="B136" t="str">
            <v>ebitda</v>
          </cell>
          <cell r="I136">
            <v>17.148000000000003</v>
          </cell>
          <cell r="J136">
            <v>18.410999999999998</v>
          </cell>
          <cell r="K136">
            <v>23.926000000000005</v>
          </cell>
          <cell r="L136">
            <v>33.713000000000001</v>
          </cell>
          <cell r="N136">
            <v>29.523999999999997</v>
          </cell>
          <cell r="O136">
            <v>31.099</v>
          </cell>
          <cell r="P136">
            <v>35.653999999999996</v>
          </cell>
          <cell r="Q136">
            <v>45.209000000000003</v>
          </cell>
          <cell r="S136">
            <v>47.693999999999996</v>
          </cell>
          <cell r="T136">
            <v>57.451999999999998</v>
          </cell>
          <cell r="U136">
            <v>66.224000000000004</v>
          </cell>
          <cell r="V136">
            <v>81.468000000000004</v>
          </cell>
          <cell r="X136">
            <v>76.13</v>
          </cell>
          <cell r="Y136">
            <v>101.48800000000001</v>
          </cell>
          <cell r="Z136">
            <v>131.11000000000001</v>
          </cell>
          <cell r="AA136">
            <v>176.78199999999998</v>
          </cell>
          <cell r="AC136">
            <v>144.422</v>
          </cell>
          <cell r="AD136">
            <v>148.94700000000026</v>
          </cell>
          <cell r="AE136">
            <v>122.27899999999987</v>
          </cell>
          <cell r="AF136">
            <v>150</v>
          </cell>
          <cell r="AH136">
            <v>132.39999999999989</v>
          </cell>
          <cell r="AI136">
            <v>140.26267974107145</v>
          </cell>
          <cell r="AJ136">
            <v>142.72804693937499</v>
          </cell>
          <cell r="AK136">
            <v>159.47782820231873</v>
          </cell>
          <cell r="AM136">
            <v>154.43231450047074</v>
          </cell>
          <cell r="AN136">
            <v>164.06279290114418</v>
          </cell>
          <cell r="AO136">
            <v>170.72793572231075</v>
          </cell>
          <cell r="AP136">
            <v>191.93480867277481</v>
          </cell>
          <cell r="AR136">
            <v>185.83957021131349</v>
          </cell>
          <cell r="AS136">
            <v>196.00677408810148</v>
          </cell>
          <cell r="AT136">
            <v>208.8323069344269</v>
          </cell>
          <cell r="AU136">
            <v>236.06021147980056</v>
          </cell>
          <cell r="AW136" t="str">
            <v xml:space="preserve"> --</v>
          </cell>
          <cell r="AX136">
            <v>93.198000000000008</v>
          </cell>
          <cell r="AY136">
            <v>141.48599999999999</v>
          </cell>
          <cell r="AZ136">
            <v>252.83799999999997</v>
          </cell>
          <cell r="BA136">
            <v>485.51</v>
          </cell>
          <cell r="BB136">
            <v>565.64800000000014</v>
          </cell>
          <cell r="BC136">
            <v>574.86855488276501</v>
          </cell>
          <cell r="BD136">
            <v>681.15785179670047</v>
          </cell>
          <cell r="BE136">
            <v>826.73886271364245</v>
          </cell>
          <cell r="BG136">
            <v>563.04486295125992</v>
          </cell>
          <cell r="BH136">
            <v>785.53940515967406</v>
          </cell>
          <cell r="BI136">
            <v>1036.5206957075768</v>
          </cell>
          <cell r="BJ136">
            <v>1439.8267813752723</v>
          </cell>
          <cell r="BK136">
            <v>1833.2954640732914</v>
          </cell>
          <cell r="BL136">
            <v>2423.8638258015617</v>
          </cell>
          <cell r="BM136">
            <v>2845.6983698931845</v>
          </cell>
          <cell r="BN136">
            <v>3208.9834731362407</v>
          </cell>
          <cell r="BO136">
            <v>3578.3155347731376</v>
          </cell>
          <cell r="BP136">
            <v>4141.9851193510103</v>
          </cell>
          <cell r="BQ136">
            <v>4705.4011793780974</v>
          </cell>
          <cell r="BR136">
            <v>5271.2364270075614</v>
          </cell>
          <cell r="BS136">
            <v>5824.1022825750242</v>
          </cell>
          <cell r="BT136">
            <v>6348.4097048918329</v>
          </cell>
          <cell r="BU136">
            <v>6882.433650080935</v>
          </cell>
        </row>
        <row r="137">
          <cell r="A137" t="str">
            <v>% Chg. Yr-yr</v>
          </cell>
          <cell r="I137" t="str">
            <v xml:space="preserve"> --</v>
          </cell>
          <cell r="J137" t="str">
            <v xml:space="preserve"> --</v>
          </cell>
          <cell r="K137" t="str">
            <v xml:space="preserve"> --</v>
          </cell>
          <cell r="L137" t="str">
            <v xml:space="preserve"> --</v>
          </cell>
          <cell r="N137">
            <v>0.7217168182878464</v>
          </cell>
          <cell r="O137">
            <v>0.68915322361631648</v>
          </cell>
          <cell r="P137">
            <v>0.4901780489843679</v>
          </cell>
          <cell r="Q137">
            <v>0.3409960549342983</v>
          </cell>
          <cell r="S137">
            <v>0.61543151334507518</v>
          </cell>
          <cell r="T137">
            <v>0.84739059133734207</v>
          </cell>
          <cell r="U137">
            <v>0.85740730352835626</v>
          </cell>
          <cell r="V137">
            <v>0.80203056913446424</v>
          </cell>
          <cell r="X137">
            <v>0.59621755357067974</v>
          </cell>
          <cell r="Y137">
            <v>0.76648332521061091</v>
          </cell>
          <cell r="Z137">
            <v>0.97979584440686174</v>
          </cell>
          <cell r="AA137">
            <v>1.1699563018608532</v>
          </cell>
          <cell r="AC137">
            <v>0.89704452909496912</v>
          </cell>
          <cell r="AD137">
            <v>0.46763164117925515</v>
          </cell>
          <cell r="AE137">
            <v>-6.7355655556404104E-2</v>
          </cell>
          <cell r="AF137">
            <v>-0.15149732438822949</v>
          </cell>
          <cell r="AH137">
            <v>-8.3242165321073647E-2</v>
          </cell>
          <cell r="AI137">
            <v>-5.8304767863258666E-2</v>
          </cell>
          <cell r="AJ137">
            <v>0.1672326968602551</v>
          </cell>
          <cell r="AK137">
            <v>6.3185521348791518E-2</v>
          </cell>
          <cell r="AM137">
            <v>0.16640720921805796</v>
          </cell>
          <cell r="AN137">
            <v>0.16968243586967224</v>
          </cell>
          <cell r="AO137">
            <v>0.19617650057825675</v>
          </cell>
          <cell r="AP137">
            <v>0.2035203315490357</v>
          </cell>
          <cell r="AR137">
            <v>0.20337230463995293</v>
          </cell>
          <cell r="AS137">
            <v>0.19470582343557385</v>
          </cell>
          <cell r="AT137">
            <v>0.22318767605843348</v>
          </cell>
          <cell r="AU137">
            <v>0.22989786538539825</v>
          </cell>
          <cell r="AW137" t="str">
            <v xml:space="preserve"> --</v>
          </cell>
          <cell r="AX137" t="str">
            <v xml:space="preserve"> --</v>
          </cell>
          <cell r="AY137">
            <v>0.51812270649584735</v>
          </cell>
          <cell r="AZ137">
            <v>0.787017796813819</v>
          </cell>
          <cell r="BA137">
            <v>0.92024141940689308</v>
          </cell>
          <cell r="BB137">
            <v>0.16505942205103952</v>
          </cell>
          <cell r="BC137">
            <v>1.6300870652357746E-2</v>
          </cell>
          <cell r="BD137">
            <v>0.18489321778195267</v>
          </cell>
          <cell r="BE137">
            <v>0.21372580604178704</v>
          </cell>
        </row>
        <row r="138">
          <cell r="A138" t="str">
            <v>EBITDA Margin</v>
          </cell>
          <cell r="B138" t="str">
            <v>ebitdapct</v>
          </cell>
          <cell r="I138">
            <v>3.5459057071960301E-2</v>
          </cell>
          <cell r="J138">
            <v>4.2751158119608501E-2</v>
          </cell>
          <cell r="K138">
            <v>5.8482047922721381E-2</v>
          </cell>
          <cell r="L138">
            <v>4.9346664968742085E-2</v>
          </cell>
          <cell r="N138">
            <v>3.9967510491403811E-2</v>
          </cell>
          <cell r="O138">
            <v>4.0199270702320648E-2</v>
          </cell>
          <cell r="P138">
            <v>4.3930507639231141E-2</v>
          </cell>
          <cell r="Q138">
            <v>4.8858854120510366E-2</v>
          </cell>
          <cell r="S138">
            <v>4.4086653651610609E-2</v>
          </cell>
          <cell r="T138">
            <v>4.597263343202368E-2</v>
          </cell>
          <cell r="U138">
            <v>4.8803674719793778E-2</v>
          </cell>
          <cell r="V138">
            <v>5.0640527962375781E-2</v>
          </cell>
          <cell r="X138">
            <v>4.7217586054407207E-2</v>
          </cell>
          <cell r="Y138">
            <v>4.8515141621209228E-2</v>
          </cell>
          <cell r="Z138">
            <v>5.0424033391932549E-2</v>
          </cell>
          <cell r="AA138">
            <v>5.1275045537340615E-2</v>
          </cell>
          <cell r="AC138">
            <v>5.3637131741919912E-2</v>
          </cell>
          <cell r="AD138">
            <v>5.5980254864686385E-2</v>
          </cell>
          <cell r="AE138">
            <v>5.5506933884109891E-2</v>
          </cell>
          <cell r="AF138">
            <v>6.1269504125479948E-2</v>
          </cell>
          <cell r="AH138">
            <v>6.1538461538461486E-2</v>
          </cell>
          <cell r="AI138">
            <v>6.3111602043223344E-2</v>
          </cell>
          <cell r="AJ138">
            <v>6.3254309361276934E-2</v>
          </cell>
          <cell r="AK138">
            <v>6.608351829453514E-2</v>
          </cell>
          <cell r="AM138">
            <v>6.5316771886555811E-2</v>
          </cell>
          <cell r="AN138">
            <v>6.7200798491195285E-2</v>
          </cell>
          <cell r="AO138">
            <v>6.6707330376359411E-2</v>
          </cell>
          <cell r="AP138">
            <v>6.8037026740395828E-2</v>
          </cell>
          <cell r="AR138">
            <v>6.9390795092737545E-2</v>
          </cell>
          <cell r="AS138">
            <v>7.0489459407544294E-2</v>
          </cell>
          <cell r="AT138">
            <v>7.1176274722042285E-2</v>
          </cell>
          <cell r="AU138">
            <v>7.2735858715902102E-2</v>
          </cell>
          <cell r="AW138" t="str">
            <v xml:space="preserve"> --</v>
          </cell>
          <cell r="AX138">
            <v>4.6446678119108381E-2</v>
          </cell>
          <cell r="AY138">
            <v>4.3544617952806501E-2</v>
          </cell>
          <cell r="AZ138">
            <v>4.7730300901113819E-2</v>
          </cell>
          <cell r="BA138">
            <v>4.9785302102373093E-2</v>
          </cell>
          <cell r="BB138">
            <v>5.6539747237998851E-2</v>
          </cell>
          <cell r="BC138">
            <v>6.3566004096765688E-2</v>
          </cell>
          <cell r="BD138">
            <v>6.6870434128377496E-2</v>
          </cell>
          <cell r="BE138">
            <v>7.1036215294090571E-2</v>
          </cell>
          <cell r="BG138">
            <v>6.2258601137648847E-2</v>
          </cell>
          <cell r="BH138">
            <v>6.6648892508887531E-2</v>
          </cell>
          <cell r="BI138">
            <v>7.0673383420468333E-2</v>
          </cell>
          <cell r="BJ138">
            <v>7.882169594327286E-2</v>
          </cell>
          <cell r="BK138">
            <v>8.2263685199403996E-2</v>
          </cell>
          <cell r="BL138">
            <v>8.7010948159523177E-2</v>
          </cell>
          <cell r="BM138">
            <v>8.1723044241904283E-2</v>
          </cell>
          <cell r="BN138">
            <v>7.6161901970877202E-2</v>
          </cell>
          <cell r="BO138">
            <v>7.2587706202214941E-2</v>
          </cell>
          <cell r="BP138">
            <v>7.4355745058850148E-2</v>
          </cell>
          <cell r="BQ138">
            <v>7.6790937066487125E-2</v>
          </cell>
          <cell r="BR138">
            <v>7.9652984056271137E-2</v>
          </cell>
          <cell r="BS138">
            <v>8.3025726198638558E-2</v>
          </cell>
          <cell r="BT138">
            <v>8.7019242223965648E-2</v>
          </cell>
          <cell r="BU138">
            <v>9.159149730482101E-2</v>
          </cell>
        </row>
        <row r="139">
          <cell r="A139" t="str">
            <v>1Q03: $1.6mm (1.3mm after tax) gain on   sale of land</v>
          </cell>
        </row>
        <row r="140">
          <cell r="A140" t="str">
            <v>EBITDA (Incl. Integ. Costs)</v>
          </cell>
          <cell r="I140">
            <v>16.848000000000003</v>
          </cell>
          <cell r="J140">
            <v>17.910999999999998</v>
          </cell>
          <cell r="K140">
            <v>21.834000000000007</v>
          </cell>
          <cell r="L140">
            <v>23.312999999999999</v>
          </cell>
          <cell r="N140">
            <v>26.804999999999996</v>
          </cell>
          <cell r="O140">
            <v>29.506</v>
          </cell>
          <cell r="P140">
            <v>34.313999999999993</v>
          </cell>
          <cell r="Q140">
            <v>42.738</v>
          </cell>
          <cell r="S140">
            <v>47.248999999999995</v>
          </cell>
          <cell r="T140">
            <v>53.928999999999995</v>
          </cell>
          <cell r="U140">
            <v>64.942000000000007</v>
          </cell>
          <cell r="V140">
            <v>77.102000000000004</v>
          </cell>
          <cell r="X140">
            <v>75.462999999999994</v>
          </cell>
          <cell r="Y140">
            <v>96.584000000000017</v>
          </cell>
          <cell r="Z140">
            <v>126.268</v>
          </cell>
          <cell r="AA140">
            <v>171.09199999999998</v>
          </cell>
          <cell r="AC140">
            <v>142.096</v>
          </cell>
          <cell r="AD140">
            <v>141.15000000000026</v>
          </cell>
          <cell r="AE140">
            <v>112.26199999999987</v>
          </cell>
          <cell r="AF140">
            <v>147.4</v>
          </cell>
          <cell r="AH140">
            <v>128.49999999999989</v>
          </cell>
          <cell r="AI140">
            <v>130.26267974107145</v>
          </cell>
          <cell r="AJ140">
            <v>132.72804693937499</v>
          </cell>
          <cell r="AK140">
            <v>151.47782820231873</v>
          </cell>
          <cell r="AM140">
            <v>148.43231450047074</v>
          </cell>
          <cell r="AN140">
            <v>160.06279290114418</v>
          </cell>
          <cell r="AO140">
            <v>167.72793572231075</v>
          </cell>
          <cell r="AP140">
            <v>188.93480867277481</v>
          </cell>
          <cell r="AR140">
            <v>185.83957021131349</v>
          </cell>
          <cell r="AS140">
            <v>196.00677408810148</v>
          </cell>
          <cell r="AT140">
            <v>208.8323069344269</v>
          </cell>
          <cell r="AU140">
            <v>236.06021147980056</v>
          </cell>
          <cell r="AW140">
            <v>68.779000000000011</v>
          </cell>
          <cell r="AX140">
            <v>79.906000000000006</v>
          </cell>
          <cell r="AY140">
            <v>133.363</v>
          </cell>
          <cell r="AZ140">
            <v>243.22199999999998</v>
          </cell>
          <cell r="BA140">
            <v>469.40700000000004</v>
          </cell>
          <cell r="BB140">
            <v>542.90800000000013</v>
          </cell>
          <cell r="BC140">
            <v>542.96855488276515</v>
          </cell>
          <cell r="BD140">
            <v>471.46855488276515</v>
          </cell>
          <cell r="BE140">
            <v>826.73886271364245</v>
          </cell>
          <cell r="BG140">
            <v>531.14486295125994</v>
          </cell>
          <cell r="BH140">
            <v>769.53940515967406</v>
          </cell>
          <cell r="BI140">
            <v>1036.5206957075768</v>
          </cell>
          <cell r="BJ140">
            <v>1439.8267813752723</v>
          </cell>
          <cell r="BK140">
            <v>1833.2954640732914</v>
          </cell>
          <cell r="BL140">
            <v>2423.8638258015617</v>
          </cell>
          <cell r="BM140">
            <v>2845.6983698931845</v>
          </cell>
          <cell r="BN140">
            <v>3208.9834731362407</v>
          </cell>
          <cell r="BO140">
            <v>3578.3155347731376</v>
          </cell>
          <cell r="BP140">
            <v>4141.9851193510103</v>
          </cell>
          <cell r="BQ140">
            <v>4705.4011793780974</v>
          </cell>
          <cell r="BR140">
            <v>5271.2364270075614</v>
          </cell>
          <cell r="BS140">
            <v>5824.1022825750242</v>
          </cell>
          <cell r="BT140">
            <v>6348.4097048918329</v>
          </cell>
          <cell r="BU140">
            <v>6882.433650080935</v>
          </cell>
        </row>
        <row r="141">
          <cell r="A141" t="str">
            <v>EBITDA Margin (Incl. Integ. Costs)</v>
          </cell>
          <cell r="B141" t="str">
            <v>ebitdapctint</v>
          </cell>
          <cell r="I141">
            <v>3.4838709677419359E-2</v>
          </cell>
          <cell r="J141">
            <v>4.1590135955695391E-2</v>
          </cell>
          <cell r="K141">
            <v>5.3368596269526822E-2</v>
          </cell>
          <cell r="L141">
            <v>3.4123892872668829E-2</v>
          </cell>
          <cell r="N141">
            <v>3.6286719913361305E-2</v>
          </cell>
          <cell r="O141">
            <v>3.8140122876705776E-2</v>
          </cell>
          <cell r="P141">
            <v>4.2279448003942822E-2</v>
          </cell>
          <cell r="Q141">
            <v>4.6188363100320109E-2</v>
          </cell>
          <cell r="S141">
            <v>4.3675311326056725E-2</v>
          </cell>
          <cell r="T141">
            <v>4.3153556853644866E-2</v>
          </cell>
          <cell r="U141">
            <v>4.7858906795917609E-2</v>
          </cell>
          <cell r="V141">
            <v>4.7926621335433517E-2</v>
          </cell>
          <cell r="X141">
            <v>4.6803897233990949E-2</v>
          </cell>
          <cell r="Y141">
            <v>4.6170842250737747E-2</v>
          </cell>
          <cell r="Z141">
            <v>4.8561832418065276E-2</v>
          </cell>
          <cell r="AA141">
            <v>4.9624679498335128E-2</v>
          </cell>
          <cell r="AC141">
            <v>5.2773274653445126E-2</v>
          </cell>
          <cell r="AD141">
            <v>5.3049829631684316E-2</v>
          </cell>
          <cell r="AE141">
            <v>5.095984929299343E-2</v>
          </cell>
          <cell r="AF141">
            <v>6.0207499387304964E-2</v>
          </cell>
          <cell r="AH141">
            <v>5.9725772716709223E-2</v>
          </cell>
          <cell r="AI141">
            <v>5.8612072862707976E-2</v>
          </cell>
          <cell r="AJ141">
            <v>5.8822502809047945E-2</v>
          </cell>
          <cell r="AK141">
            <v>6.2768523650354277E-2</v>
          </cell>
          <cell r="AM141">
            <v>6.2779086476692059E-2</v>
          </cell>
          <cell r="AN141">
            <v>6.5562381948288159E-2</v>
          </cell>
          <cell r="AO141">
            <v>6.5535161391345867E-2</v>
          </cell>
          <cell r="AP141">
            <v>6.6973587119242117E-2</v>
          </cell>
          <cell r="AR141">
            <v>6.9390795092737545E-2</v>
          </cell>
          <cell r="AS141">
            <v>7.0489459407544294E-2</v>
          </cell>
          <cell r="AT141">
            <v>7.1176274722042285E-2</v>
          </cell>
          <cell r="AU141">
            <v>7.2735858715902102E-2</v>
          </cell>
          <cell r="AW141">
            <v>3.4102561051314248E-2</v>
          </cell>
          <cell r="AX141">
            <v>3.982240243122679E-2</v>
          </cell>
          <cell r="AY141">
            <v>4.1044632571704154E-2</v>
          </cell>
          <cell r="AZ141">
            <v>4.5915009791924893E-2</v>
          </cell>
          <cell r="BA141">
            <v>4.8134063776170723E-2</v>
          </cell>
          <cell r="BB141">
            <v>5.426675440112487E-2</v>
          </cell>
          <cell r="BC141">
            <v>6.0038666388930295E-2</v>
          </cell>
          <cell r="BD141">
            <v>4.6284876346546128E-2</v>
          </cell>
          <cell r="BE141">
            <v>7.1036215294090571E-2</v>
          </cell>
          <cell r="BG141">
            <v>5.8731263429813441E-2</v>
          </cell>
          <cell r="BH141">
            <v>6.5291376548341357E-2</v>
          </cell>
          <cell r="BI141">
            <v>7.0673383420468333E-2</v>
          </cell>
          <cell r="BJ141">
            <v>7.882169594327286E-2</v>
          </cell>
          <cell r="BK141">
            <v>8.2263685199403996E-2</v>
          </cell>
          <cell r="BL141">
            <v>8.7010948159523177E-2</v>
          </cell>
          <cell r="BM141">
            <v>8.1723044241904283E-2</v>
          </cell>
          <cell r="BN141">
            <v>7.6161901970877202E-2</v>
          </cell>
          <cell r="BO141">
            <v>7.2587706202214941E-2</v>
          </cell>
          <cell r="BP141">
            <v>7.4355745058850148E-2</v>
          </cell>
          <cell r="BQ141">
            <v>7.6790937066487125E-2</v>
          </cell>
          <cell r="BR141">
            <v>7.9652984056271137E-2</v>
          </cell>
          <cell r="BS141">
            <v>8.3025726198638558E-2</v>
          </cell>
          <cell r="BT141">
            <v>8.7019242223965648E-2</v>
          </cell>
          <cell r="BU141">
            <v>9.159149730482101E-2</v>
          </cell>
        </row>
        <row r="142">
          <cell r="A142" t="str">
            <v>EBITDA/Interest Expense</v>
          </cell>
          <cell r="I142">
            <v>2.4476163288609762</v>
          </cell>
          <cell r="J142">
            <v>2.6877372262773722</v>
          </cell>
          <cell r="K142">
            <v>3.0141093474426817</v>
          </cell>
          <cell r="L142">
            <v>2.8476222653940368</v>
          </cell>
          <cell r="N142">
            <v>2.3830817660828152</v>
          </cell>
          <cell r="O142">
            <v>2.3834304107909259</v>
          </cell>
          <cell r="P142">
            <v>9.5433618843683075</v>
          </cell>
          <cell r="Q142">
            <v>14.697334200260078</v>
          </cell>
          <cell r="S142">
            <v>14.770517187983895</v>
          </cell>
          <cell r="T142">
            <v>25.67113494191242</v>
          </cell>
          <cell r="U142">
            <v>22.111519198664443</v>
          </cell>
          <cell r="V142">
            <v>36.913457181694611</v>
          </cell>
          <cell r="X142" t="str">
            <v>NA</v>
          </cell>
          <cell r="Y142" t="str">
            <v>NA</v>
          </cell>
          <cell r="Z142" t="str">
            <v>NA</v>
          </cell>
          <cell r="AA142" t="str">
            <v>NA</v>
          </cell>
          <cell r="AC142" t="str">
            <v>NA</v>
          </cell>
          <cell r="AD142" t="str">
            <v>NA</v>
          </cell>
          <cell r="AE142" t="str">
            <v>NA</v>
          </cell>
          <cell r="AF142" t="str">
            <v>NA</v>
          </cell>
          <cell r="AH142" t="str">
            <v>NA</v>
          </cell>
          <cell r="AI142" t="str">
            <v>NA</v>
          </cell>
          <cell r="AJ142" t="str">
            <v>NA</v>
          </cell>
          <cell r="AK142" t="str">
            <v>NA</v>
          </cell>
          <cell r="AW142" t="str">
            <v xml:space="preserve"> --</v>
          </cell>
          <cell r="AX142">
            <v>2.7710284541967711</v>
          </cell>
          <cell r="AY142">
            <v>4.3872988309715035</v>
          </cell>
          <cell r="AZ142">
            <v>23.698378479707561</v>
          </cell>
          <cell r="BA142" t="str">
            <v>NA</v>
          </cell>
          <cell r="BB142" t="str">
            <v>NA</v>
          </cell>
          <cell r="BC142" t="str">
            <v>NA</v>
          </cell>
          <cell r="BD142" t="str">
            <v>NA</v>
          </cell>
        </row>
        <row r="143">
          <cell r="A143" t="str">
            <v>E = Morgan Stanley Research Estimates</v>
          </cell>
        </row>
        <row r="144">
          <cell r="A144" t="str">
            <v>CFO/Net Income</v>
          </cell>
          <cell r="I144" t="str">
            <v xml:space="preserve"> --</v>
          </cell>
          <cell r="J144" t="str">
            <v xml:space="preserve"> --</v>
          </cell>
          <cell r="K144" t="str">
            <v xml:space="preserve"> --</v>
          </cell>
          <cell r="L144" t="str">
            <v xml:space="preserve"> --</v>
          </cell>
          <cell r="N144" t="str">
            <v>NM</v>
          </cell>
          <cell r="O144" t="str">
            <v>NM</v>
          </cell>
          <cell r="P144">
            <v>3.5425145922069747</v>
          </cell>
          <cell r="Q144" t="str">
            <v>NM</v>
          </cell>
          <cell r="S144" t="str">
            <v>NM</v>
          </cell>
          <cell r="T144" t="str">
            <v>NM</v>
          </cell>
          <cell r="U144">
            <v>3.6166529689747282</v>
          </cell>
          <cell r="V144" t="str">
            <v>NM</v>
          </cell>
          <cell r="X144">
            <v>0.98375478927203097</v>
          </cell>
          <cell r="Y144" t="str">
            <v>NM</v>
          </cell>
          <cell r="Z144" t="str">
            <v>NM</v>
          </cell>
          <cell r="AA144">
            <v>1.8367415393830488</v>
          </cell>
          <cell r="AC144" t="str">
            <v>NM</v>
          </cell>
          <cell r="AD144">
            <v>3.5377753322328251</v>
          </cell>
          <cell r="AE144" t="str">
            <v>NM</v>
          </cell>
          <cell r="AF144" t="str">
            <v>NM</v>
          </cell>
          <cell r="AH144" t="str">
            <v>NM</v>
          </cell>
          <cell r="AI144">
            <v>3.5524188772033916</v>
          </cell>
          <cell r="AJ144">
            <v>2.6845140657477047</v>
          </cell>
          <cell r="AK144">
            <v>3.0570086664909319</v>
          </cell>
          <cell r="AM144">
            <v>2.0500892486967723</v>
          </cell>
          <cell r="AN144">
            <v>2.3778838615926512</v>
          </cell>
          <cell r="AO144">
            <v>1.7202151957790959</v>
          </cell>
          <cell r="AP144">
            <v>1.3618077647841715</v>
          </cell>
          <cell r="AR144">
            <v>2.2137656133185049</v>
          </cell>
          <cell r="AS144">
            <v>2.3476863932357368</v>
          </cell>
          <cell r="AT144">
            <v>1.8212402180608458</v>
          </cell>
          <cell r="AU144">
            <v>1.9087235277425976</v>
          </cell>
          <cell r="AW144" t="str">
            <v>--</v>
          </cell>
          <cell r="AX144">
            <v>17.595375722543341</v>
          </cell>
          <cell r="AY144">
            <v>60.859120885679772</v>
          </cell>
          <cell r="AZ144" t="str">
            <v>NM</v>
          </cell>
          <cell r="BA144" t="str">
            <v>NM</v>
          </cell>
          <cell r="BB144">
            <v>6.9133661827838253</v>
          </cell>
          <cell r="BC144">
            <v>3.9432071386114864</v>
          </cell>
          <cell r="BD144">
            <v>1.8274632708051717</v>
          </cell>
          <cell r="BE144">
            <v>2.052137497602057</v>
          </cell>
        </row>
        <row r="145">
          <cell r="A145" t="str">
            <v>Celestica Inc.</v>
          </cell>
          <cell r="L145" t="str">
            <v xml:space="preserve"> </v>
          </cell>
          <cell r="V145" t="str">
            <v xml:space="preserve"> </v>
          </cell>
        </row>
        <row r="146">
          <cell r="A146" t="str">
            <v>Employees</v>
          </cell>
          <cell r="AX146">
            <v>9900</v>
          </cell>
          <cell r="AY146">
            <v>14000</v>
          </cell>
          <cell r="AZ146" t="str">
            <v>20,000+</v>
          </cell>
          <cell r="BA146">
            <v>30000</v>
          </cell>
          <cell r="BB146">
            <v>40000</v>
          </cell>
        </row>
        <row r="147">
          <cell r="A147" t="str">
            <v>Sales/Employee (000)</v>
          </cell>
          <cell r="V147" t="str">
            <v xml:space="preserve"> </v>
          </cell>
          <cell r="AX147">
            <v>202.68272727272728</v>
          </cell>
          <cell r="AY147">
            <v>232.08707142857142</v>
          </cell>
          <cell r="AZ147">
            <v>264.86110000000002</v>
          </cell>
          <cell r="BA147">
            <v>325.0691666666666</v>
          </cell>
          <cell r="BB147">
            <v>250.11077500000002</v>
          </cell>
        </row>
        <row r="148">
          <cell r="A148" t="str">
            <v>($ Millions)</v>
          </cell>
          <cell r="D148">
            <v>1996</v>
          </cell>
          <cell r="I148">
            <v>1997</v>
          </cell>
          <cell r="N148">
            <v>1998</v>
          </cell>
          <cell r="S148">
            <v>1999</v>
          </cell>
          <cell r="V148" t="str">
            <v xml:space="preserve"> </v>
          </cell>
          <cell r="X148">
            <v>2000</v>
          </cell>
          <cell r="AC148">
            <v>2001</v>
          </cell>
          <cell r="AH148">
            <v>2002</v>
          </cell>
          <cell r="AM148" t="str">
            <v>2003E</v>
          </cell>
          <cell r="AR148" t="str">
            <v>2004E</v>
          </cell>
          <cell r="AW148" t="str">
            <v>2005E</v>
          </cell>
          <cell r="BA148" t="str">
            <v xml:space="preserve"> </v>
          </cell>
          <cell r="BE148" t="str">
            <v xml:space="preserve"> </v>
          </cell>
        </row>
        <row r="149">
          <cell r="A149" t="str">
            <v xml:space="preserve"> </v>
          </cell>
          <cell r="D149">
            <v>35125</v>
          </cell>
          <cell r="E149">
            <v>35217</v>
          </cell>
          <cell r="F149">
            <v>35309</v>
          </cell>
          <cell r="G149">
            <v>35400</v>
          </cell>
          <cell r="I149">
            <v>35490</v>
          </cell>
          <cell r="J149">
            <v>35582</v>
          </cell>
          <cell r="K149">
            <v>35674</v>
          </cell>
          <cell r="L149">
            <v>35765</v>
          </cell>
          <cell r="N149">
            <v>35855</v>
          </cell>
          <cell r="O149">
            <v>35947</v>
          </cell>
          <cell r="P149">
            <v>36039</v>
          </cell>
          <cell r="Q149">
            <v>36130</v>
          </cell>
          <cell r="S149">
            <v>36220</v>
          </cell>
          <cell r="T149">
            <v>36312</v>
          </cell>
          <cell r="U149">
            <v>36404</v>
          </cell>
          <cell r="V149">
            <v>36495</v>
          </cell>
          <cell r="X149">
            <v>36586</v>
          </cell>
          <cell r="Y149">
            <v>36678</v>
          </cell>
          <cell r="Z149">
            <v>36770</v>
          </cell>
          <cell r="AA149">
            <v>36861</v>
          </cell>
          <cell r="AC149">
            <v>36951</v>
          </cell>
          <cell r="AD149">
            <v>37043</v>
          </cell>
          <cell r="AE149">
            <v>37135</v>
          </cell>
          <cell r="AF149">
            <v>37226</v>
          </cell>
          <cell r="AH149" t="str">
            <v xml:space="preserve"> 3/02</v>
          </cell>
          <cell r="AI149" t="str">
            <v xml:space="preserve"> 6/02</v>
          </cell>
          <cell r="AJ149" t="str">
            <v xml:space="preserve"> 9/02</v>
          </cell>
          <cell r="AK149" t="str">
            <v>12/02</v>
          </cell>
          <cell r="AM149" t="str">
            <v xml:space="preserve"> 3/03</v>
          </cell>
          <cell r="AN149" t="str">
            <v xml:space="preserve"> 6/03</v>
          </cell>
          <cell r="AO149" t="str">
            <v xml:space="preserve"> 9/03</v>
          </cell>
          <cell r="AP149" t="str">
            <v>12/03E</v>
          </cell>
          <cell r="AR149" t="str">
            <v xml:space="preserve"> 3/04E</v>
          </cell>
          <cell r="AS149" t="str">
            <v xml:space="preserve"> 6/04E</v>
          </cell>
          <cell r="AT149" t="str">
            <v xml:space="preserve"> 9/04E</v>
          </cell>
          <cell r="AU149" t="str">
            <v>12/04E</v>
          </cell>
          <cell r="AW149" t="str">
            <v xml:space="preserve"> 3/05E</v>
          </cell>
          <cell r="AX149" t="str">
            <v xml:space="preserve"> 6/05E</v>
          </cell>
          <cell r="AY149" t="str">
            <v xml:space="preserve"> 9/05E</v>
          </cell>
          <cell r="AZ149" t="str">
            <v>12/05E</v>
          </cell>
          <cell r="BA149" t="str">
            <v xml:space="preserve"> </v>
          </cell>
          <cell r="BB149">
            <v>1996</v>
          </cell>
          <cell r="BC149">
            <v>1997</v>
          </cell>
          <cell r="BD149">
            <v>1998</v>
          </cell>
          <cell r="BE149" t="str">
            <v xml:space="preserve"> </v>
          </cell>
          <cell r="BF149">
            <v>2000</v>
          </cell>
          <cell r="BG149">
            <v>2001</v>
          </cell>
          <cell r="BH149">
            <v>2002</v>
          </cell>
          <cell r="BI149" t="str">
            <v>2003E</v>
          </cell>
          <cell r="BJ149" t="str">
            <v>2004E</v>
          </cell>
          <cell r="BK149" t="str">
            <v>2005E</v>
          </cell>
          <cell r="BM149">
            <v>2002</v>
          </cell>
          <cell r="BN149">
            <v>2003</v>
          </cell>
          <cell r="BO149">
            <v>2004</v>
          </cell>
          <cell r="BP149">
            <v>2005</v>
          </cell>
          <cell r="BQ149">
            <v>2006</v>
          </cell>
          <cell r="BR149">
            <v>2007</v>
          </cell>
          <cell r="BS149">
            <v>2008</v>
          </cell>
          <cell r="BT149">
            <v>2009</v>
          </cell>
          <cell r="BU149">
            <v>2010</v>
          </cell>
          <cell r="BV149">
            <v>2011</v>
          </cell>
          <cell r="BW149">
            <v>2012</v>
          </cell>
          <cell r="BX149">
            <v>2013</v>
          </cell>
          <cell r="BY149">
            <v>2014</v>
          </cell>
          <cell r="BZ149">
            <v>2015</v>
          </cell>
          <cell r="CA149">
            <v>2016</v>
          </cell>
        </row>
        <row r="150">
          <cell r="A150" t="str">
            <v xml:space="preserve"> </v>
          </cell>
          <cell r="D150">
            <v>35125</v>
          </cell>
          <cell r="E150">
            <v>35217</v>
          </cell>
          <cell r="F150">
            <v>35309</v>
          </cell>
          <cell r="G150">
            <v>35400</v>
          </cell>
          <cell r="I150">
            <v>35490</v>
          </cell>
          <cell r="J150">
            <v>35582</v>
          </cell>
          <cell r="K150">
            <v>35674</v>
          </cell>
          <cell r="L150">
            <v>35765</v>
          </cell>
          <cell r="N150">
            <v>35855</v>
          </cell>
          <cell r="O150">
            <v>35947</v>
          </cell>
          <cell r="P150">
            <v>36039</v>
          </cell>
          <cell r="Q150">
            <v>36130</v>
          </cell>
          <cell r="S150" t="str">
            <v xml:space="preserve"> </v>
          </cell>
          <cell r="T150">
            <v>36312</v>
          </cell>
          <cell r="U150">
            <v>36404</v>
          </cell>
          <cell r="V150">
            <v>36495</v>
          </cell>
          <cell r="X150">
            <v>36586</v>
          </cell>
          <cell r="Y150">
            <v>36678</v>
          </cell>
          <cell r="Z150">
            <v>36770</v>
          </cell>
          <cell r="AA150">
            <v>36861</v>
          </cell>
          <cell r="AC150">
            <v>36951</v>
          </cell>
          <cell r="AD150">
            <v>37043</v>
          </cell>
          <cell r="AE150">
            <v>37135</v>
          </cell>
          <cell r="AF150">
            <v>37226</v>
          </cell>
          <cell r="AH150" t="str">
            <v xml:space="preserve"> 3/02</v>
          </cell>
          <cell r="AI150" t="str">
            <v xml:space="preserve"> 6/02</v>
          </cell>
          <cell r="AJ150" t="str">
            <v xml:space="preserve"> 9/02</v>
          </cell>
          <cell r="AK150" t="str">
            <v>12/02</v>
          </cell>
          <cell r="AM150" t="str">
            <v xml:space="preserve"> 3/03</v>
          </cell>
          <cell r="AN150" t="str">
            <v xml:space="preserve"> 6/03</v>
          </cell>
          <cell r="AO150" t="str">
            <v xml:space="preserve"> 9/03</v>
          </cell>
          <cell r="AP150">
            <v>37958</v>
          </cell>
          <cell r="AR150" t="str">
            <v xml:space="preserve"> 3/04E</v>
          </cell>
          <cell r="AS150" t="str">
            <v xml:space="preserve"> 6/04E</v>
          </cell>
          <cell r="AT150" t="str">
            <v xml:space="preserve"> 9/04E</v>
          </cell>
          <cell r="AU150" t="str">
            <v>12/04E</v>
          </cell>
          <cell r="AW150" t="str">
            <v xml:space="preserve"> 3/05E</v>
          </cell>
          <cell r="AX150" t="str">
            <v xml:space="preserve"> 6/05E</v>
          </cell>
          <cell r="AY150" t="str">
            <v xml:space="preserve"> 9/05E</v>
          </cell>
          <cell r="AZ150" t="str">
            <v>12/05E</v>
          </cell>
          <cell r="BB150">
            <v>1996</v>
          </cell>
          <cell r="BC150">
            <v>1997</v>
          </cell>
          <cell r="BD150">
            <v>1998</v>
          </cell>
          <cell r="BE150" t="str">
            <v xml:space="preserve"> </v>
          </cell>
          <cell r="BF150" t="str">
            <v xml:space="preserve"> </v>
          </cell>
          <cell r="BG150" t="str">
            <v xml:space="preserve"> </v>
          </cell>
          <cell r="BH150">
            <v>2002</v>
          </cell>
          <cell r="BI150">
            <v>2003</v>
          </cell>
          <cell r="BJ150" t="str">
            <v>2004E</v>
          </cell>
          <cell r="BK150" t="str">
            <v>2005E</v>
          </cell>
          <cell r="BM150">
            <v>2002</v>
          </cell>
          <cell r="BN150">
            <v>2003</v>
          </cell>
          <cell r="BO150">
            <v>2004</v>
          </cell>
          <cell r="BP150">
            <v>2005</v>
          </cell>
          <cell r="BQ150">
            <v>2006</v>
          </cell>
          <cell r="BR150">
            <v>2007</v>
          </cell>
          <cell r="BS150">
            <v>2008</v>
          </cell>
          <cell r="BT150">
            <v>2009</v>
          </cell>
          <cell r="BU150">
            <v>2010</v>
          </cell>
          <cell r="BV150">
            <v>2011</v>
          </cell>
          <cell r="BW150">
            <v>2012</v>
          </cell>
          <cell r="BX150">
            <v>2013</v>
          </cell>
          <cell r="BY150">
            <v>2014</v>
          </cell>
          <cell r="BZ150">
            <v>2015</v>
          </cell>
          <cell r="CA150">
            <v>2016</v>
          </cell>
        </row>
        <row r="151">
          <cell r="A151" t="str">
            <v>Celestica Inc.</v>
          </cell>
          <cell r="I151">
            <v>8.0760000000000005</v>
          </cell>
          <cell r="J151">
            <v>8.009999999999998</v>
          </cell>
          <cell r="K151">
            <v>11.653000000000006</v>
          </cell>
          <cell r="L151" t="str">
            <v xml:space="preserve"> </v>
          </cell>
          <cell r="N151">
            <v>5.3459999999999965</v>
          </cell>
          <cell r="O151">
            <v>9.0690000000000026</v>
          </cell>
          <cell r="P151">
            <v>12.831999999999994</v>
          </cell>
          <cell r="Q151">
            <v>19.244</v>
          </cell>
          <cell r="S151">
            <v>18.786000000000001</v>
          </cell>
          <cell r="T151">
            <v>23.986999999999995</v>
          </cell>
          <cell r="U151">
            <v>31.623999999999995</v>
          </cell>
          <cell r="V151">
            <v>40.762</v>
          </cell>
          <cell r="X151">
            <v>36.570999999999998</v>
          </cell>
          <cell r="Y151">
            <v>48.227000000000018</v>
          </cell>
          <cell r="Z151">
            <v>67.932999999999993</v>
          </cell>
          <cell r="AA151">
            <v>104.17599999999999</v>
          </cell>
          <cell r="AC151">
            <v>72.36</v>
          </cell>
          <cell r="AD151">
            <v>69.829000000000278</v>
          </cell>
          <cell r="AE151">
            <v>27.964999999999876</v>
          </cell>
          <cell r="AF151">
            <v>53.200000000000017</v>
          </cell>
          <cell r="AH151">
            <v>49.499999999999901</v>
          </cell>
          <cell r="AI151">
            <v>50.099999999999994</v>
          </cell>
          <cell r="AJ151">
            <v>26.100000000000179</v>
          </cell>
          <cell r="AK151">
            <v>14.600000000000179</v>
          </cell>
          <cell r="AM151">
            <v>-0.89999999999996305</v>
          </cell>
          <cell r="AN151">
            <v>-27.59999999999981</v>
          </cell>
          <cell r="AO151">
            <v>-16.700000000000045</v>
          </cell>
          <cell r="AP151">
            <v>-18.979288159999982</v>
          </cell>
          <cell r="AR151">
            <v>-20.842567867999989</v>
          </cell>
          <cell r="AS151">
            <v>-10.849999999999994</v>
          </cell>
          <cell r="AT151">
            <v>3.5459403539071843</v>
          </cell>
          <cell r="AU151">
            <v>20.701841672066806</v>
          </cell>
          <cell r="AW151">
            <v>19.421334008239285</v>
          </cell>
          <cell r="AX151">
            <v>33.210316746528648</v>
          </cell>
          <cell r="AY151">
            <v>50.107297203658149</v>
          </cell>
          <cell r="AZ151">
            <v>67.923677652227951</v>
          </cell>
          <cell r="BB151">
            <v>68.779000000000011</v>
          </cell>
          <cell r="BC151">
            <v>42.846000000000004</v>
          </cell>
          <cell r="BD151">
            <v>46.490999999999993</v>
          </cell>
          <cell r="BE151" t="str">
            <v xml:space="preserve"> </v>
          </cell>
          <cell r="BF151" t="str">
            <v xml:space="preserve"> </v>
          </cell>
          <cell r="BG151" t="str">
            <v xml:space="preserve"> </v>
          </cell>
          <cell r="BH151">
            <v>140.30000000000024</v>
          </cell>
          <cell r="BI151">
            <v>-64.1792881599998</v>
          </cell>
          <cell r="BJ151">
            <v>-7.4447858420259934</v>
          </cell>
          <cell r="BK151">
            <v>170.66262561065403</v>
          </cell>
          <cell r="BM151">
            <v>140.30000000000024</v>
          </cell>
          <cell r="BN151">
            <v>-64.1792881599998</v>
          </cell>
          <cell r="BO151">
            <v>-7.4447858420259934</v>
          </cell>
          <cell r="BP151">
            <v>170.66262561065403</v>
          </cell>
          <cell r="BQ151">
            <v>378.25939734358491</v>
          </cell>
          <cell r="BR151">
            <v>431.86914965423847</v>
          </cell>
          <cell r="BS151">
            <v>264.25601517183895</v>
          </cell>
          <cell r="BT151">
            <v>426.61281412322398</v>
          </cell>
          <cell r="BU151">
            <v>595.30794912406714</v>
          </cell>
          <cell r="BV151">
            <v>827.37193758802107</v>
          </cell>
          <cell r="BW151">
            <v>889.59750829719769</v>
          </cell>
          <cell r="BX151">
            <v>201.64210188069808</v>
          </cell>
          <cell r="BY151">
            <v>524.26946488981514</v>
          </cell>
          <cell r="BZ151">
            <v>768.92854850506251</v>
          </cell>
          <cell r="CA151">
            <v>817.17881492375511</v>
          </cell>
        </row>
        <row r="152">
          <cell r="A152" t="str">
            <v>Revenues and Profits by Region</v>
          </cell>
          <cell r="I152">
            <v>3.2719999999999998</v>
          </cell>
          <cell r="J152">
            <v>3.3010000000000002</v>
          </cell>
          <cell r="K152">
            <v>3.8809999999999998</v>
          </cell>
          <cell r="L152">
            <v>4.806</v>
          </cell>
          <cell r="N152">
            <v>13.259</v>
          </cell>
          <cell r="O152">
            <v>10.537000000000001</v>
          </cell>
          <cell r="P152">
            <v>10.782</v>
          </cell>
          <cell r="Q152">
            <v>10.794</v>
          </cell>
          <cell r="S152">
            <v>13.814</v>
          </cell>
          <cell r="T152">
            <v>13.744999999999999</v>
          </cell>
          <cell r="U152">
            <v>14.07</v>
          </cell>
          <cell r="V152">
            <v>13.94</v>
          </cell>
          <cell r="X152">
            <v>15.323</v>
          </cell>
          <cell r="Y152">
            <v>19.248000000000001</v>
          </cell>
          <cell r="Z152">
            <v>25.606999999999999</v>
          </cell>
          <cell r="AA152">
            <v>28.760999999999999</v>
          </cell>
          <cell r="AC152">
            <v>29.577999999999999</v>
          </cell>
          <cell r="AD152">
            <v>28.13</v>
          </cell>
          <cell r="AE152">
            <v>32.158000000000001</v>
          </cell>
          <cell r="AF152">
            <v>35.1</v>
          </cell>
          <cell r="AH152">
            <v>22</v>
          </cell>
          <cell r="AI152">
            <v>21.7</v>
          </cell>
          <cell r="AJ152">
            <v>29</v>
          </cell>
          <cell r="AK152">
            <v>23.2</v>
          </cell>
          <cell r="AM152">
            <v>12.4</v>
          </cell>
          <cell r="AN152">
            <v>12.1</v>
          </cell>
          <cell r="AO152">
            <v>12</v>
          </cell>
          <cell r="AP152">
            <v>12</v>
          </cell>
          <cell r="AR152">
            <v>10.85</v>
          </cell>
          <cell r="AS152">
            <v>10.85</v>
          </cell>
          <cell r="AT152">
            <v>10.85</v>
          </cell>
          <cell r="AU152">
            <v>10.85</v>
          </cell>
          <cell r="AW152">
            <v>8.7750000000000004</v>
          </cell>
          <cell r="AX152">
            <v>8.7750000000000004</v>
          </cell>
          <cell r="AY152">
            <v>8.7750000000000004</v>
          </cell>
          <cell r="AZ152">
            <v>8.7750000000000004</v>
          </cell>
          <cell r="BB152" t="str">
            <v xml:space="preserve"> --</v>
          </cell>
          <cell r="BC152">
            <v>15.260000000000002</v>
          </cell>
          <cell r="BD152">
            <v>45.372</v>
          </cell>
          <cell r="BE152">
            <v>55.568999999999996</v>
          </cell>
          <cell r="BF152">
            <v>88.938999999999993</v>
          </cell>
          <cell r="BG152">
            <v>124.96600000000001</v>
          </cell>
          <cell r="BH152">
            <v>95.9</v>
          </cell>
          <cell r="BI152">
            <v>48.5</v>
          </cell>
          <cell r="BJ152">
            <v>43.4</v>
          </cell>
          <cell r="BK152">
            <v>35.1</v>
          </cell>
          <cell r="BM152">
            <v>95.9</v>
          </cell>
          <cell r="BN152">
            <v>48.5</v>
          </cell>
          <cell r="BO152">
            <v>43.4</v>
          </cell>
          <cell r="BP152">
            <v>35.1</v>
          </cell>
          <cell r="BQ152">
            <v>27</v>
          </cell>
          <cell r="BR152">
            <v>15.3</v>
          </cell>
          <cell r="BS152">
            <v>10.925000000000001</v>
          </cell>
          <cell r="BT152">
            <v>10.925000000000001</v>
          </cell>
          <cell r="BU152">
            <v>10.925000000000001</v>
          </cell>
          <cell r="BV152">
            <v>5</v>
          </cell>
          <cell r="BW152">
            <v>0</v>
          </cell>
          <cell r="BX152">
            <v>0</v>
          </cell>
          <cell r="BY152">
            <v>0</v>
          </cell>
          <cell r="BZ152">
            <v>0</v>
          </cell>
          <cell r="CA152">
            <v>0</v>
          </cell>
        </row>
        <row r="153">
          <cell r="A153" t="str">
            <v>($ Millions)</v>
          </cell>
          <cell r="I153">
            <v>4.9000000000000004</v>
          </cell>
          <cell r="J153">
            <v>5.8</v>
          </cell>
          <cell r="K153">
            <v>5.5</v>
          </cell>
          <cell r="L153">
            <v>3</v>
          </cell>
          <cell r="N153">
            <v>7.5</v>
          </cell>
          <cell r="O153">
            <v>9.1999999999999993</v>
          </cell>
          <cell r="P153">
            <v>10.4</v>
          </cell>
          <cell r="Q153">
            <v>12.5</v>
          </cell>
          <cell r="S153" t="str">
            <v xml:space="preserve"> </v>
          </cell>
          <cell r="T153">
            <v>15.797000000000002</v>
          </cell>
          <cell r="U153">
            <v>18.847999999999999</v>
          </cell>
          <cell r="V153">
            <v>22</v>
          </cell>
          <cell r="X153">
            <v>23.569000000000003</v>
          </cell>
          <cell r="Y153">
            <v>29.108999999999998</v>
          </cell>
          <cell r="Z153">
            <v>32.728000000000002</v>
          </cell>
          <cell r="AA153">
            <v>38.155000000000001</v>
          </cell>
          <cell r="AC153">
            <v>40.158000000000001</v>
          </cell>
          <cell r="AD153">
            <v>43.190999999999995</v>
          </cell>
          <cell r="AE153">
            <v>52.138999999999996</v>
          </cell>
          <cell r="AF153">
            <v>59.1</v>
          </cell>
          <cell r="AH153">
            <v>57</v>
          </cell>
          <cell r="AI153">
            <v>55.8</v>
          </cell>
          <cell r="AJ153">
            <v>61</v>
          </cell>
          <cell r="AK153">
            <v>50.2</v>
          </cell>
          <cell r="AM153">
            <v>43.800000000000004</v>
          </cell>
          <cell r="AN153">
            <v>44</v>
          </cell>
          <cell r="AO153">
            <v>42.7</v>
          </cell>
          <cell r="AP153">
            <v>42.93675380471381</v>
          </cell>
          <cell r="AR153">
            <v>42.02065222812795</v>
          </cell>
          <cell r="AS153">
            <v>41.18142557412876</v>
          </cell>
          <cell r="AT153">
            <v>40.600440181551434</v>
          </cell>
          <cell r="AU153">
            <v>40.212544383253615</v>
          </cell>
          <cell r="AW153">
            <v>41.894940235919847</v>
          </cell>
          <cell r="AX153">
            <v>42.540165247909677</v>
          </cell>
          <cell r="AY153">
            <v>43.218836993116177</v>
          </cell>
          <cell r="AZ153">
            <v>43.968915967252649</v>
          </cell>
          <cell r="BB153" t="str">
            <v xml:space="preserve"> --</v>
          </cell>
          <cell r="BC153">
            <v>19.2</v>
          </cell>
          <cell r="BD153">
            <v>39.6</v>
          </cell>
          <cell r="BE153">
            <v>70.994</v>
          </cell>
          <cell r="BF153">
            <v>123.56100000000001</v>
          </cell>
          <cell r="BG153">
            <v>194.58799999999999</v>
          </cell>
          <cell r="BH153">
            <v>224</v>
          </cell>
          <cell r="BI153">
            <v>173.43675380471382</v>
          </cell>
          <cell r="BJ153">
            <v>164.01506236706177</v>
          </cell>
          <cell r="BK153">
            <v>171.62285844419836</v>
          </cell>
          <cell r="BM153">
            <v>224</v>
          </cell>
          <cell r="BN153">
            <v>173.43675380471382</v>
          </cell>
          <cell r="BO153">
            <v>164.01506236706177</v>
          </cell>
          <cell r="BP153">
            <v>171.62285844419836</v>
          </cell>
          <cell r="BQ153">
            <v>219.80947238105642</v>
          </cell>
          <cell r="BR153">
            <v>281.64302408803104</v>
          </cell>
          <cell r="BS153">
            <v>305.27962689763081</v>
          </cell>
          <cell r="BT153">
            <v>349.62713863870323</v>
          </cell>
          <cell r="BU153">
            <v>420.85524228934213</v>
          </cell>
          <cell r="BV153">
            <v>539.40336014565094</v>
          </cell>
          <cell r="BW153">
            <v>627.21420977700939</v>
          </cell>
          <cell r="BX153">
            <v>615.85324936772247</v>
          </cell>
          <cell r="BY153">
            <v>567.16199807016267</v>
          </cell>
          <cell r="BZ153">
            <v>596.22371212042208</v>
          </cell>
          <cell r="CA153">
            <v>636.92791717977764</v>
          </cell>
        </row>
        <row r="154">
          <cell r="A154" t="str">
            <v xml:space="preserve">              </v>
          </cell>
          <cell r="I154">
            <v>0.6</v>
          </cell>
          <cell r="J154">
            <v>0.8</v>
          </cell>
          <cell r="K154">
            <v>0.8</v>
          </cell>
          <cell r="L154">
            <v>0.4</v>
          </cell>
          <cell r="N154">
            <v>0.7</v>
          </cell>
          <cell r="O154">
            <v>0.7</v>
          </cell>
          <cell r="P154">
            <v>0.3</v>
          </cell>
          <cell r="Q154">
            <v>0.2</v>
          </cell>
          <cell r="S154" t="str">
            <v xml:space="preserve"> </v>
          </cell>
          <cell r="T154">
            <v>0.4</v>
          </cell>
          <cell r="U154">
            <v>0.4</v>
          </cell>
          <cell r="V154">
            <v>0.4</v>
          </cell>
          <cell r="X154" t="str">
            <v xml:space="preserve"> --</v>
          </cell>
          <cell r="Y154" t="str">
            <v xml:space="preserve"> --</v>
          </cell>
          <cell r="Z154" t="str">
            <v xml:space="preserve"> --</v>
          </cell>
          <cell r="AA154" t="str">
            <v xml:space="preserve"> --</v>
          </cell>
          <cell r="AC154" t="str">
            <v xml:space="preserve"> --</v>
          </cell>
          <cell r="AD154" t="str">
            <v xml:space="preserve"> --</v>
          </cell>
          <cell r="AE154" t="str">
            <v xml:space="preserve"> --</v>
          </cell>
          <cell r="AF154" t="str">
            <v xml:space="preserve"> --</v>
          </cell>
          <cell r="AH154" t="str">
            <v xml:space="preserve"> --</v>
          </cell>
          <cell r="AI154" t="str">
            <v xml:space="preserve"> --</v>
          </cell>
          <cell r="AJ154" t="str">
            <v xml:space="preserve"> --</v>
          </cell>
          <cell r="AK154" t="str">
            <v xml:space="preserve"> --</v>
          </cell>
          <cell r="AM154" t="str">
            <v xml:space="preserve"> --</v>
          </cell>
          <cell r="AN154" t="str">
            <v xml:space="preserve"> --</v>
          </cell>
          <cell r="AO154" t="str">
            <v xml:space="preserve"> --</v>
          </cell>
          <cell r="AP154" t="str">
            <v xml:space="preserve"> --</v>
          </cell>
          <cell r="AR154" t="str">
            <v xml:space="preserve"> --</v>
          </cell>
          <cell r="AS154" t="str">
            <v xml:space="preserve"> --</v>
          </cell>
          <cell r="AT154" t="str">
            <v xml:space="preserve"> --</v>
          </cell>
          <cell r="AU154" t="str">
            <v xml:space="preserve"> --</v>
          </cell>
          <cell r="AW154" t="str">
            <v xml:space="preserve"> --</v>
          </cell>
          <cell r="AX154" t="str">
            <v xml:space="preserve"> --</v>
          </cell>
          <cell r="AY154" t="str">
            <v xml:space="preserve"> --</v>
          </cell>
          <cell r="AZ154" t="str">
            <v xml:space="preserve"> --</v>
          </cell>
          <cell r="BB154" t="str">
            <v xml:space="preserve"> --</v>
          </cell>
          <cell r="BC154">
            <v>2.6</v>
          </cell>
          <cell r="BD154">
            <v>1.9</v>
          </cell>
          <cell r="BE154">
            <v>1.5</v>
          </cell>
          <cell r="BF154">
            <v>0</v>
          </cell>
          <cell r="BG154">
            <v>0</v>
          </cell>
          <cell r="BH154">
            <v>0</v>
          </cell>
          <cell r="BI154">
            <v>0</v>
          </cell>
          <cell r="BJ154">
            <v>0</v>
          </cell>
          <cell r="BK154">
            <v>0</v>
          </cell>
          <cell r="BM154" t="str">
            <v xml:space="preserve"> --</v>
          </cell>
          <cell r="BN154" t="str">
            <v xml:space="preserve"> --</v>
          </cell>
          <cell r="BO154" t="str">
            <v xml:space="preserve"> --</v>
          </cell>
          <cell r="BP154" t="str">
            <v xml:space="preserve"> --</v>
          </cell>
          <cell r="BQ154" t="str">
            <v xml:space="preserve"> --</v>
          </cell>
          <cell r="BR154" t="str">
            <v xml:space="preserve"> --</v>
          </cell>
          <cell r="BS154" t="str">
            <v xml:space="preserve"> --</v>
          </cell>
          <cell r="BT154" t="str">
            <v xml:space="preserve"> --</v>
          </cell>
          <cell r="BU154" t="str">
            <v xml:space="preserve"> --</v>
          </cell>
          <cell r="BV154" t="str">
            <v xml:space="preserve"> --</v>
          </cell>
          <cell r="BW154" t="str">
            <v xml:space="preserve"> --</v>
          </cell>
          <cell r="BX154" t="str">
            <v xml:space="preserve"> --</v>
          </cell>
          <cell r="BY154" t="str">
            <v xml:space="preserve"> --</v>
          </cell>
          <cell r="BZ154" t="str">
            <v xml:space="preserve"> --</v>
          </cell>
          <cell r="CA154" t="str">
            <v xml:space="preserve"> --</v>
          </cell>
        </row>
        <row r="155">
          <cell r="A155" t="str">
            <v>Integration Costs</v>
          </cell>
          <cell r="D155">
            <v>1996</v>
          </cell>
          <cell r="I155">
            <v>1997</v>
          </cell>
          <cell r="J155">
            <v>0.5</v>
          </cell>
          <cell r="K155">
            <v>2.0920000000000001</v>
          </cell>
          <cell r="L155">
            <v>10.4</v>
          </cell>
          <cell r="N155">
            <v>1998</v>
          </cell>
          <cell r="O155">
            <v>1.593</v>
          </cell>
          <cell r="P155">
            <v>1.34</v>
          </cell>
          <cell r="Q155">
            <v>2.4710000000000001</v>
          </cell>
          <cell r="S155">
            <v>1999</v>
          </cell>
          <cell r="T155">
            <v>3.5230000000000001</v>
          </cell>
          <cell r="U155">
            <v>1.282</v>
          </cell>
          <cell r="V155">
            <v>4.3659999999999997</v>
          </cell>
          <cell r="X155">
            <v>2000</v>
          </cell>
          <cell r="Y155">
            <v>4.9039999999999999</v>
          </cell>
          <cell r="Z155">
            <v>4.8419999999999996</v>
          </cell>
          <cell r="AA155">
            <v>5.69</v>
          </cell>
          <cell r="AC155">
            <v>2001</v>
          </cell>
          <cell r="AD155">
            <v>7.7969999999999997</v>
          </cell>
          <cell r="AE155">
            <v>10.016999999999999</v>
          </cell>
          <cell r="AF155">
            <v>2.6</v>
          </cell>
          <cell r="AH155" t="str">
            <v>2002E</v>
          </cell>
          <cell r="AI155">
            <v>10.199999999999999</v>
          </cell>
          <cell r="AJ155">
            <v>3</v>
          </cell>
          <cell r="AK155">
            <v>4</v>
          </cell>
          <cell r="AM155" t="str">
            <v>2003E</v>
          </cell>
          <cell r="AN155">
            <v>0</v>
          </cell>
          <cell r="AO155">
            <v>0</v>
          </cell>
          <cell r="AP155">
            <v>0</v>
          </cell>
          <cell r="AR155" t="str">
            <v>2004E</v>
          </cell>
          <cell r="AS155">
            <v>0</v>
          </cell>
          <cell r="AT155">
            <v>0</v>
          </cell>
          <cell r="AU155">
            <v>0</v>
          </cell>
          <cell r="AV155" t="str">
            <v xml:space="preserve"> </v>
          </cell>
          <cell r="AW155">
            <v>0</v>
          </cell>
          <cell r="AX155">
            <v>0</v>
          </cell>
          <cell r="AY155">
            <v>0</v>
          </cell>
          <cell r="AZ155" t="str">
            <v xml:space="preserve"> </v>
          </cell>
          <cell r="BB155" t="str">
            <v xml:space="preserve"> --</v>
          </cell>
          <cell r="BC155">
            <v>13.292000000000002</v>
          </cell>
          <cell r="BD155">
            <v>8.1229999999999993</v>
          </cell>
          <cell r="BE155">
            <v>9.6159999999999997</v>
          </cell>
          <cell r="BF155">
            <v>16.103000000000002</v>
          </cell>
          <cell r="BG155">
            <v>22.740000000000002</v>
          </cell>
          <cell r="BH155">
            <v>21.1</v>
          </cell>
          <cell r="BI155">
            <v>0</v>
          </cell>
          <cell r="BJ155">
            <v>0</v>
          </cell>
          <cell r="BK155">
            <v>0</v>
          </cell>
          <cell r="BM155">
            <v>21.1</v>
          </cell>
          <cell r="BN155">
            <v>0</v>
          </cell>
          <cell r="BO155">
            <v>0</v>
          </cell>
          <cell r="BP155">
            <v>0</v>
          </cell>
          <cell r="BQ155" t="str">
            <v xml:space="preserve"> --</v>
          </cell>
          <cell r="BR155" t="str">
            <v xml:space="preserve"> --</v>
          </cell>
          <cell r="BS155" t="str">
            <v xml:space="preserve"> --</v>
          </cell>
          <cell r="BT155" t="str">
            <v xml:space="preserve"> --</v>
          </cell>
          <cell r="BU155" t="str">
            <v xml:space="preserve"> --</v>
          </cell>
          <cell r="BV155" t="str">
            <v xml:space="preserve"> --</v>
          </cell>
          <cell r="BW155" t="str">
            <v xml:space="preserve"> --</v>
          </cell>
          <cell r="BX155" t="str">
            <v xml:space="preserve"> --</v>
          </cell>
          <cell r="BY155" t="str">
            <v xml:space="preserve"> --</v>
          </cell>
          <cell r="BZ155" t="str">
            <v xml:space="preserve"> --</v>
          </cell>
          <cell r="CA155" t="str">
            <v xml:space="preserve"> --</v>
          </cell>
        </row>
        <row r="156">
          <cell r="A156" t="str">
            <v xml:space="preserve"> </v>
          </cell>
          <cell r="D156">
            <v>35125</v>
          </cell>
          <cell r="E156">
            <v>35217</v>
          </cell>
          <cell r="F156">
            <v>35309</v>
          </cell>
          <cell r="G156">
            <v>35400</v>
          </cell>
          <cell r="I156">
            <v>35490</v>
          </cell>
          <cell r="J156">
            <v>35582</v>
          </cell>
          <cell r="K156">
            <v>35674</v>
          </cell>
          <cell r="L156">
            <v>35765</v>
          </cell>
          <cell r="N156">
            <v>35855</v>
          </cell>
          <cell r="O156">
            <v>35947</v>
          </cell>
          <cell r="P156">
            <v>36039</v>
          </cell>
          <cell r="Q156">
            <v>36130</v>
          </cell>
          <cell r="S156">
            <v>36220</v>
          </cell>
          <cell r="T156">
            <v>36312</v>
          </cell>
          <cell r="U156">
            <v>36404</v>
          </cell>
          <cell r="V156">
            <v>36495</v>
          </cell>
          <cell r="X156">
            <v>36586</v>
          </cell>
          <cell r="Y156">
            <v>36678</v>
          </cell>
          <cell r="Z156">
            <v>36770</v>
          </cell>
          <cell r="AA156">
            <v>36861</v>
          </cell>
          <cell r="AC156">
            <v>36951</v>
          </cell>
          <cell r="AD156">
            <v>37043</v>
          </cell>
          <cell r="AE156">
            <v>37135</v>
          </cell>
          <cell r="AF156">
            <v>37226</v>
          </cell>
          <cell r="AH156" t="str">
            <v xml:space="preserve"> 3/02</v>
          </cell>
          <cell r="AI156" t="str">
            <v xml:space="preserve"> 6/02E</v>
          </cell>
          <cell r="AJ156" t="str">
            <v xml:space="preserve"> 9/02E</v>
          </cell>
          <cell r="AK156" t="str">
            <v>12/02E</v>
          </cell>
          <cell r="AM156" t="str">
            <v xml:space="preserve"> 3/03E</v>
          </cell>
          <cell r="AN156" t="str">
            <v xml:space="preserve"> 6/03E</v>
          </cell>
          <cell r="AO156" t="str">
            <v xml:space="preserve"> 9/03E</v>
          </cell>
          <cell r="AP156" t="str">
            <v>12/03E</v>
          </cell>
          <cell r="AR156" t="str">
            <v xml:space="preserve"> 3/04E</v>
          </cell>
          <cell r="AS156" t="str">
            <v xml:space="preserve"> 6/04E</v>
          </cell>
          <cell r="AT156" t="str">
            <v xml:space="preserve"> 9/04E</v>
          </cell>
          <cell r="AU156" t="str">
            <v>12/04E</v>
          </cell>
          <cell r="AW156">
            <v>1996</v>
          </cell>
          <cell r="AX156">
            <v>1997</v>
          </cell>
          <cell r="AY156">
            <v>1998</v>
          </cell>
          <cell r="AZ156">
            <v>1999</v>
          </cell>
          <cell r="BA156">
            <v>2000</v>
          </cell>
          <cell r="BB156">
            <v>2001</v>
          </cell>
          <cell r="BC156" t="str">
            <v>2002E</v>
          </cell>
          <cell r="BD156" t="str">
            <v>2003E</v>
          </cell>
          <cell r="BE156" t="str">
            <v>2004E</v>
          </cell>
          <cell r="BF156">
            <v>16.103000000000002</v>
          </cell>
          <cell r="BG156">
            <v>2002</v>
          </cell>
          <cell r="BH156">
            <v>2003</v>
          </cell>
          <cell r="BI156">
            <v>2004</v>
          </cell>
          <cell r="BJ156">
            <v>2005</v>
          </cell>
          <cell r="BK156">
            <v>2006</v>
          </cell>
          <cell r="BL156">
            <v>2007</v>
          </cell>
          <cell r="BM156">
            <v>2008</v>
          </cell>
          <cell r="BN156">
            <v>2009</v>
          </cell>
          <cell r="BO156">
            <v>2010</v>
          </cell>
          <cell r="BP156">
            <v>2011</v>
          </cell>
          <cell r="BQ156">
            <v>2012</v>
          </cell>
          <cell r="BR156">
            <v>2013</v>
          </cell>
          <cell r="BS156">
            <v>2014</v>
          </cell>
          <cell r="BT156">
            <v>2015</v>
          </cell>
          <cell r="BU156">
            <v>2016</v>
          </cell>
          <cell r="BV156" t="str">
            <v xml:space="preserve"> --</v>
          </cell>
          <cell r="BW156" t="str">
            <v xml:space="preserve"> --</v>
          </cell>
          <cell r="BX156" t="str">
            <v xml:space="preserve"> --</v>
          </cell>
          <cell r="BY156" t="str">
            <v xml:space="preserve"> --</v>
          </cell>
          <cell r="BZ156" t="str">
            <v xml:space="preserve"> --</v>
          </cell>
          <cell r="CA156" t="str">
            <v xml:space="preserve"> --</v>
          </cell>
        </row>
        <row r="157">
          <cell r="A157" t="str">
            <v>EBITDA</v>
          </cell>
          <cell r="B157" t="str">
            <v>ebitda</v>
          </cell>
          <cell r="I157">
            <v>17.148000000000003</v>
          </cell>
          <cell r="J157">
            <v>18.410999999999998</v>
          </cell>
          <cell r="K157">
            <v>23.926000000000005</v>
          </cell>
          <cell r="L157">
            <v>33.713000000000001</v>
          </cell>
          <cell r="N157">
            <v>29.523999999999997</v>
          </cell>
          <cell r="O157">
            <v>31.099</v>
          </cell>
          <cell r="P157">
            <v>35.653999999999996</v>
          </cell>
          <cell r="Q157">
            <v>45.209000000000003</v>
          </cell>
          <cell r="S157">
            <v>47.693999999999996</v>
          </cell>
          <cell r="T157">
            <v>57.451999999999998</v>
          </cell>
          <cell r="U157">
            <v>66.224000000000004</v>
          </cell>
          <cell r="V157">
            <v>81.468000000000004</v>
          </cell>
          <cell r="X157">
            <v>76.13</v>
          </cell>
          <cell r="Y157">
            <v>101.48800000000001</v>
          </cell>
          <cell r="Z157">
            <v>131.11000000000001</v>
          </cell>
          <cell r="AA157">
            <v>176.78199999999998</v>
          </cell>
          <cell r="AC157">
            <v>144.422</v>
          </cell>
          <cell r="AD157">
            <v>148.94700000000026</v>
          </cell>
          <cell r="AE157">
            <v>122.27899999999987</v>
          </cell>
          <cell r="AF157">
            <v>150</v>
          </cell>
          <cell r="AH157">
            <v>132.39999999999989</v>
          </cell>
          <cell r="AI157">
            <v>137.79999999999998</v>
          </cell>
          <cell r="AJ157">
            <v>119.10000000000018</v>
          </cell>
          <cell r="AK157">
            <v>92.000000000000185</v>
          </cell>
          <cell r="AM157">
            <v>55.30000000000004</v>
          </cell>
          <cell r="AN157">
            <v>28.500000000000192</v>
          </cell>
          <cell r="AO157">
            <v>37.999999999999957</v>
          </cell>
          <cell r="AP157">
            <v>35.957465644713828</v>
          </cell>
          <cell r="AR157">
            <v>32.028084360127963</v>
          </cell>
          <cell r="AS157">
            <v>41.181425574128767</v>
          </cell>
          <cell r="AT157">
            <v>54.99638053545862</v>
          </cell>
          <cell r="AU157">
            <v>71.764386055320415</v>
          </cell>
          <cell r="AW157">
            <v>70.091274244159138</v>
          </cell>
          <cell r="AX157">
            <v>84.525481994438323</v>
          </cell>
          <cell r="AY157">
            <v>102.10113419677432</v>
          </cell>
          <cell r="AZ157" t="str">
            <v xml:space="preserve"> </v>
          </cell>
          <cell r="BB157" t="str">
            <v xml:space="preserve"> --</v>
          </cell>
          <cell r="BC157">
            <v>93.198000000000008</v>
          </cell>
          <cell r="BD157">
            <v>141.48599999999999</v>
          </cell>
          <cell r="BE157">
            <v>252.83799999999997</v>
          </cell>
          <cell r="BF157">
            <v>485.51</v>
          </cell>
          <cell r="BG157">
            <v>565.64800000000014</v>
          </cell>
          <cell r="BH157">
            <v>481.30000000000024</v>
          </cell>
          <cell r="BI157">
            <v>157.75746564471402</v>
          </cell>
          <cell r="BJ157">
            <v>199.97027652503576</v>
          </cell>
          <cell r="BK157">
            <v>377.38548405485244</v>
          </cell>
          <cell r="BM157">
            <v>481.30000000000024</v>
          </cell>
          <cell r="BN157">
            <v>157.75746564471402</v>
          </cell>
          <cell r="BO157">
            <v>199.97027652503576</v>
          </cell>
          <cell r="BP157">
            <v>377.38548405485244</v>
          </cell>
          <cell r="BQ157">
            <v>625.06886972464133</v>
          </cell>
          <cell r="BR157">
            <v>728.81217374226958</v>
          </cell>
          <cell r="BS157">
            <v>580.46064206946971</v>
          </cell>
          <cell r="BT157">
            <v>787.16495276192722</v>
          </cell>
          <cell r="BU157">
            <v>1027.0881914134093</v>
          </cell>
          <cell r="BV157">
            <v>1371.775297733672</v>
          </cell>
          <cell r="BW157">
            <v>1516.811718074207</v>
          </cell>
          <cell r="BX157">
            <v>817.49535124842055</v>
          </cell>
          <cell r="BY157">
            <v>1091.4314629599778</v>
          </cell>
          <cell r="BZ157">
            <v>1365.1522606254846</v>
          </cell>
          <cell r="CA157">
            <v>1454.1067321035327</v>
          </cell>
        </row>
        <row r="158">
          <cell r="A158" t="str">
            <v>Revenues</v>
          </cell>
          <cell r="B158" t="str">
            <v>ebitda</v>
          </cell>
          <cell r="I158">
            <v>483.6</v>
          </cell>
          <cell r="J158">
            <v>430.65499999999997</v>
          </cell>
          <cell r="K158">
            <v>409.11700000000002</v>
          </cell>
          <cell r="L158">
            <v>683.18700000000001</v>
          </cell>
          <cell r="N158">
            <v>738.7</v>
          </cell>
          <cell r="O158">
            <v>773.62099999999998</v>
          </cell>
          <cell r="P158">
            <v>811.6</v>
          </cell>
          <cell r="Q158">
            <v>925.298</v>
          </cell>
          <cell r="S158">
            <v>1081.8240000000001</v>
          </cell>
          <cell r="T158">
            <v>1249.7</v>
          </cell>
          <cell r="U158">
            <v>1356.9469999999999</v>
          </cell>
          <cell r="V158">
            <v>1608.751</v>
          </cell>
          <cell r="X158">
            <v>1612.3230000000001</v>
          </cell>
          <cell r="Y158">
            <v>2091.8829999999998</v>
          </cell>
          <cell r="Z158">
            <v>2600.1489999999999</v>
          </cell>
          <cell r="AA158">
            <v>3447.72</v>
          </cell>
          <cell r="AC158">
            <v>2692.5749999999998</v>
          </cell>
          <cell r="AD158">
            <v>2660.7060000000001</v>
          </cell>
          <cell r="AE158">
            <v>2202.9499999999998</v>
          </cell>
          <cell r="AF158">
            <v>2448.1999999999998</v>
          </cell>
          <cell r="AH158">
            <v>2151.5</v>
          </cell>
          <cell r="AI158">
            <v>2249.1999999999998</v>
          </cell>
          <cell r="AJ158">
            <v>-2.5997922783140948E-2</v>
          </cell>
          <cell r="AK158">
            <v>-0.38666666666666538</v>
          </cell>
          <cell r="AM158">
            <v>-0.58232628398791475</v>
          </cell>
          <cell r="AN158">
            <v>-0.79317851959361252</v>
          </cell>
          <cell r="AO158">
            <v>-0.68094038623005959</v>
          </cell>
          <cell r="AP158">
            <v>-0.60915798212267658</v>
          </cell>
          <cell r="AR158">
            <v>-0.42083030090184559</v>
          </cell>
          <cell r="AS158">
            <v>0.4449623008466137</v>
          </cell>
          <cell r="AT158">
            <v>0.44727317198575478</v>
          </cell>
          <cell r="AU158">
            <v>0.99581324124467674</v>
          </cell>
          <cell r="AW158">
            <v>2016.828</v>
          </cell>
          <cell r="AX158">
            <v>2006.5590000000002</v>
          </cell>
          <cell r="AY158">
            <v>3249.2190000000001</v>
          </cell>
          <cell r="AZ158">
            <v>5297.2220000000007</v>
          </cell>
          <cell r="BA158">
            <v>9752.0749999999989</v>
          </cell>
          <cell r="BB158">
            <v>10004.431</v>
          </cell>
          <cell r="BC158" t="str">
            <v xml:space="preserve"> --</v>
          </cell>
          <cell r="BD158">
            <v>0.51812270649584735</v>
          </cell>
          <cell r="BE158">
            <v>0.787017796813819</v>
          </cell>
          <cell r="BF158">
            <v>0.92024141940689308</v>
          </cell>
          <cell r="BG158">
            <v>0.16505942205103952</v>
          </cell>
          <cell r="BH158">
            <v>-0.14911747235029538</v>
          </cell>
          <cell r="BI158">
            <v>-0.67222633358671535</v>
          </cell>
          <cell r="BJ158">
            <v>0.26758043245566143</v>
          </cell>
          <cell r="BK158">
            <v>0.88720789215693641</v>
          </cell>
          <cell r="BM158">
            <v>481.30000000000024</v>
          </cell>
          <cell r="BN158">
            <v>160.5000000000002</v>
          </cell>
          <cell r="BO158">
            <v>269.70080799319408</v>
          </cell>
          <cell r="BP158">
            <v>487.03549332174958</v>
          </cell>
          <cell r="BQ158">
            <v>849.71310386662924</v>
          </cell>
          <cell r="BR158">
            <v>681.78851735602825</v>
          </cell>
          <cell r="BS158">
            <v>931.812309547111</v>
          </cell>
          <cell r="BT158">
            <v>1152.2777534752101</v>
          </cell>
          <cell r="BU158">
            <v>1535.9905923376332</v>
          </cell>
          <cell r="BV158">
            <v>2108.7427783977791</v>
          </cell>
          <cell r="BW158">
            <v>2345.3900149284118</v>
          </cell>
          <cell r="BX158">
            <v>1192.2043970984614</v>
          </cell>
          <cell r="BY158">
            <v>1704.5179800939438</v>
          </cell>
          <cell r="BZ158">
            <v>2220.4766516187678</v>
          </cell>
          <cell r="CA158">
            <v>2386.130230200034</v>
          </cell>
        </row>
        <row r="159">
          <cell r="A159" t="str">
            <v>North America</v>
          </cell>
          <cell r="B159" t="str">
            <v>ebitdapct</v>
          </cell>
          <cell r="I159">
            <v>329.6</v>
          </cell>
          <cell r="J159">
            <v>292.65499999999997</v>
          </cell>
          <cell r="K159">
            <v>296.11700000000002</v>
          </cell>
          <cell r="L159">
            <v>525.18700000000001</v>
          </cell>
          <cell r="N159">
            <v>593.16</v>
          </cell>
          <cell r="O159">
            <v>596.94899999999996</v>
          </cell>
          <cell r="P159">
            <v>615.71400000000006</v>
          </cell>
          <cell r="Q159">
            <v>694.3</v>
          </cell>
          <cell r="S159">
            <v>742.07299999999998</v>
          </cell>
          <cell r="T159">
            <v>854.75800000000004</v>
          </cell>
          <cell r="U159">
            <v>930.69500000000005</v>
          </cell>
          <cell r="V159">
            <v>1060.0609999999999</v>
          </cell>
          <cell r="X159">
            <v>1180.7270000000001</v>
          </cell>
          <cell r="Y159">
            <v>1499.2460000000001</v>
          </cell>
          <cell r="Z159">
            <v>1718</v>
          </cell>
          <cell r="AA159">
            <v>2145</v>
          </cell>
          <cell r="AC159">
            <v>1695.62</v>
          </cell>
          <cell r="AD159">
            <v>1712.7909999999999</v>
          </cell>
          <cell r="AE159">
            <v>1442.7190000000001</v>
          </cell>
          <cell r="AF159">
            <v>1483.5</v>
          </cell>
          <cell r="AH159">
            <v>1359.4</v>
          </cell>
          <cell r="AI159">
            <v>1308.8</v>
          </cell>
          <cell r="AJ159">
            <v>6.0799428250548869E-2</v>
          </cell>
          <cell r="AK159">
            <v>4.8119671530937907E-2</v>
          </cell>
          <cell r="AM159">
            <v>3.4836840115912836E-2</v>
          </cell>
          <cell r="AN159">
            <v>1.7830330330330449E-2</v>
          </cell>
          <cell r="AO159">
            <v>2.3244433569855616E-2</v>
          </cell>
          <cell r="AP159">
            <v>2.0608099175955973E-2</v>
          </cell>
          <cell r="AR159">
            <v>1.9231143455744178E-2</v>
          </cell>
          <cell r="AS159">
            <v>2.3644754910137931E-2</v>
          </cell>
          <cell r="AT159">
            <v>3.0562160822252677E-2</v>
          </cell>
          <cell r="AU159">
            <v>3.6391859112986966E-2</v>
          </cell>
          <cell r="AW159" t="str">
            <v xml:space="preserve"> --</v>
          </cell>
          <cell r="AX159">
            <v>1543.9</v>
          </cell>
          <cell r="AY159">
            <v>2499.9160000000002</v>
          </cell>
          <cell r="AZ159">
            <v>3587.5870000000004</v>
          </cell>
          <cell r="BA159">
            <v>6542.973</v>
          </cell>
          <cell r="BB159">
            <v>6334.63</v>
          </cell>
          <cell r="BC159">
            <v>4.6446678119108381E-2</v>
          </cell>
          <cell r="BD159">
            <v>4.3544617952806501E-2</v>
          </cell>
          <cell r="BE159">
            <v>4.7730300901113819E-2</v>
          </cell>
          <cell r="BF159">
            <v>4.9785302102373093E-2</v>
          </cell>
          <cell r="BG159">
            <v>5.6539747237998851E-2</v>
          </cell>
          <cell r="BH159">
            <v>5.818775312821136E-2</v>
          </cell>
          <cell r="BI159">
            <v>2.4028167856811278E-2</v>
          </cell>
          <cell r="BJ159">
            <v>2.7856509525080529E-2</v>
          </cell>
          <cell r="BK159">
            <v>4.5434203099862354E-2</v>
          </cell>
          <cell r="BM159">
            <v>5.818775312821136E-2</v>
          </cell>
          <cell r="BN159">
            <v>2.4028167856811278E-2</v>
          </cell>
          <cell r="BO159">
            <v>2.7856509525080529E-2</v>
          </cell>
          <cell r="BP159">
            <v>4.5434203099862354E-2</v>
          </cell>
          <cell r="BQ159">
            <v>6.3238073753987878E-2</v>
          </cell>
          <cell r="BR159">
            <v>6.3563586168514458E-2</v>
          </cell>
          <cell r="BS159">
            <v>5.0625060020829976E-2</v>
          </cell>
          <cell r="BT159">
            <v>6.4766832453591203E-2</v>
          </cell>
          <cell r="BU159">
            <v>7.2851190775079719E-2</v>
          </cell>
          <cell r="BV159">
            <v>7.910551920096813E-2</v>
          </cell>
          <cell r="BW159">
            <v>7.6727426366100041E-2</v>
          </cell>
          <cell r="BX159">
            <v>4.8650277513894967E-2</v>
          </cell>
          <cell r="BY159">
            <v>6.2454417206389966E-2</v>
          </cell>
          <cell r="BZ159">
            <v>7.1015818740484543E-2</v>
          </cell>
          <cell r="CA159">
            <v>6.9397494791062331E-2</v>
          </cell>
        </row>
        <row r="160">
          <cell r="A160" t="str">
            <v xml:space="preserve">  U.S.</v>
          </cell>
          <cell r="B160" t="str">
            <v>ebitdapct</v>
          </cell>
          <cell r="I160" t="str">
            <v xml:space="preserve"> --</v>
          </cell>
          <cell r="J160" t="str">
            <v xml:space="preserve"> --</v>
          </cell>
          <cell r="K160">
            <v>12</v>
          </cell>
          <cell r="L160">
            <v>157</v>
          </cell>
          <cell r="N160">
            <v>286.21399999999994</v>
          </cell>
          <cell r="O160">
            <v>223.66499999999999</v>
          </cell>
          <cell r="P160">
            <v>209.68800000000005</v>
          </cell>
          <cell r="Q160">
            <v>225</v>
          </cell>
          <cell r="S160">
            <v>255.27299999999997</v>
          </cell>
          <cell r="T160">
            <v>281.57900000000006</v>
          </cell>
          <cell r="U160">
            <v>332.09400000000005</v>
          </cell>
          <cell r="V160">
            <v>491.66299999999967</v>
          </cell>
          <cell r="X160" t="str">
            <v xml:space="preserve"> --</v>
          </cell>
          <cell r="Y160" t="str">
            <v xml:space="preserve"> --</v>
          </cell>
          <cell r="Z160">
            <v>884.93899999999996</v>
          </cell>
          <cell r="AA160">
            <v>1329.441</v>
          </cell>
          <cell r="AC160" t="str">
            <v xml:space="preserve"> --</v>
          </cell>
          <cell r="AD160" t="str">
            <v xml:space="preserve"> --</v>
          </cell>
          <cell r="AE160" t="str">
            <v xml:space="preserve"> --</v>
          </cell>
          <cell r="AF160" t="str">
            <v xml:space="preserve"> --</v>
          </cell>
          <cell r="AH160">
            <v>6.1538461538461486E-2</v>
          </cell>
          <cell r="AI160">
            <v>6.1266227992174994E-2</v>
          </cell>
          <cell r="AJ160">
            <v>6.0799428250548869E-2</v>
          </cell>
          <cell r="AK160">
            <v>4.8119671530937907E-2</v>
          </cell>
          <cell r="AM160">
            <v>3.4836840115912836E-2</v>
          </cell>
          <cell r="AN160">
            <v>1.7830330330330449E-2</v>
          </cell>
          <cell r="AO160">
            <v>2.3244433569855616E-2</v>
          </cell>
          <cell r="AP160">
            <v>2.0210988092751202E-2</v>
          </cell>
          <cell r="AR160">
            <v>2.0928027496485039E-2</v>
          </cell>
          <cell r="AS160">
            <v>2.4763408443717848E-2</v>
          </cell>
          <cell r="AT160">
            <v>3.1209876020899897E-2</v>
          </cell>
          <cell r="AU160">
            <v>3.3148554461736868E-2</v>
          </cell>
          <cell r="AW160" t="str">
            <v xml:space="preserve"> --</v>
          </cell>
          <cell r="AX160">
            <v>269.2</v>
          </cell>
          <cell r="AY160">
            <v>944.56700000000001</v>
          </cell>
          <cell r="AZ160">
            <v>1360.6089999999999</v>
          </cell>
          <cell r="BA160" t="str">
            <v xml:space="preserve"> --</v>
          </cell>
          <cell r="BB160" t="str">
            <v xml:space="preserve"> --</v>
          </cell>
          <cell r="BC160">
            <v>4.6446678119108381E-2</v>
          </cell>
          <cell r="BD160">
            <v>4.3544617952806501E-2</v>
          </cell>
          <cell r="BE160">
            <v>4.7730300901113819E-2</v>
          </cell>
          <cell r="BF160">
            <v>4.9785302102373093E-2</v>
          </cell>
          <cell r="BG160">
            <v>5.6539747237998851E-2</v>
          </cell>
          <cell r="BH160">
            <v>5.818775312821136E-2</v>
          </cell>
          <cell r="BI160">
            <v>2.3828965926805758E-2</v>
          </cell>
          <cell r="BJ160">
            <v>2.8090467444696128E-2</v>
          </cell>
          <cell r="BK160">
            <v>3.9896092389635394E-2</v>
          </cell>
          <cell r="BM160">
            <v>5.818775312821136E-2</v>
          </cell>
          <cell r="BN160">
            <v>2.3828965926805758E-2</v>
          </cell>
          <cell r="BO160">
            <v>2.8090467444696128E-2</v>
          </cell>
          <cell r="BP160">
            <v>3.9896092389635394E-2</v>
          </cell>
          <cell r="BQ160">
            <v>6.0004535110515483E-2</v>
          </cell>
          <cell r="BR160">
            <v>4.8632461043393291E-2</v>
          </cell>
          <cell r="BS160">
            <v>5.9880032794513906E-2</v>
          </cell>
          <cell r="BT160">
            <v>6.2752171098159545E-2</v>
          </cell>
          <cell r="BU160">
            <v>6.7458774843325325E-2</v>
          </cell>
          <cell r="BV160">
            <v>7.2559684654014703E-2</v>
          </cell>
          <cell r="BW160">
            <v>7.0791644120695094E-2</v>
          </cell>
          <cell r="BX160">
            <v>4.2334917765502945E-2</v>
          </cell>
          <cell r="BY160">
            <v>5.8199097316572607E-2</v>
          </cell>
          <cell r="BZ160">
            <v>6.8923637194548693E-2</v>
          </cell>
          <cell r="CA160">
            <v>6.7950025139152492E-2</v>
          </cell>
        </row>
        <row r="161">
          <cell r="A161" t="str">
            <v xml:space="preserve">  Canada</v>
          </cell>
          <cell r="I161">
            <v>329.6</v>
          </cell>
          <cell r="J161">
            <v>292.65499999999997</v>
          </cell>
          <cell r="K161">
            <v>284.11700000000002</v>
          </cell>
          <cell r="L161">
            <v>368.18700000000001</v>
          </cell>
          <cell r="N161">
            <v>306.94600000000003</v>
          </cell>
          <cell r="O161">
            <v>373.28399999999999</v>
          </cell>
          <cell r="P161">
            <v>406.02600000000001</v>
          </cell>
          <cell r="Q161">
            <v>469.3</v>
          </cell>
          <cell r="S161">
            <v>486.8</v>
          </cell>
          <cell r="T161">
            <v>573.17899999999997</v>
          </cell>
          <cell r="U161">
            <v>598.601</v>
          </cell>
          <cell r="V161">
            <v>568.39800000000025</v>
          </cell>
          <cell r="X161" t="str">
            <v xml:space="preserve"> --</v>
          </cell>
          <cell r="Y161" t="str">
            <v xml:space="preserve"> --</v>
          </cell>
          <cell r="Z161">
            <v>833.06100000000004</v>
          </cell>
          <cell r="AA161">
            <v>815.55899999999997</v>
          </cell>
          <cell r="AC161" t="str">
            <v xml:space="preserve"> --</v>
          </cell>
          <cell r="AD161" t="str">
            <v xml:space="preserve"> --</v>
          </cell>
          <cell r="AE161" t="str">
            <v xml:space="preserve"> --</v>
          </cell>
          <cell r="AF161" t="str">
            <v xml:space="preserve"> --</v>
          </cell>
          <cell r="AH161">
            <v>128.49999999999989</v>
          </cell>
          <cell r="AI161">
            <v>127.6</v>
          </cell>
          <cell r="AJ161">
            <v>116.10000000000018</v>
          </cell>
          <cell r="AK161">
            <v>88.000000000000185</v>
          </cell>
          <cell r="AM161">
            <v>55.30000000000004</v>
          </cell>
          <cell r="AN161">
            <v>28.500000000000192</v>
          </cell>
          <cell r="AO161">
            <v>37.999999999999957</v>
          </cell>
          <cell r="AP161">
            <v>35.957465644713828</v>
          </cell>
          <cell r="AR161">
            <v>32.028084360127963</v>
          </cell>
          <cell r="AS161">
            <v>41.181425574128767</v>
          </cell>
          <cell r="AT161">
            <v>54.99638053545862</v>
          </cell>
          <cell r="AU161">
            <v>71.764386055320415</v>
          </cell>
          <cell r="AW161" t="str">
            <v xml:space="preserve"> --</v>
          </cell>
          <cell r="AX161">
            <v>1274.7</v>
          </cell>
          <cell r="AY161">
            <v>1555.556</v>
          </cell>
          <cell r="AZ161">
            <v>2226.9780000000001</v>
          </cell>
          <cell r="BA161" t="str">
            <v xml:space="preserve"> --</v>
          </cell>
          <cell r="BB161" t="str">
            <v xml:space="preserve"> --</v>
          </cell>
          <cell r="BC161">
            <v>79.906000000000006</v>
          </cell>
          <cell r="BD161">
            <v>133.363</v>
          </cell>
          <cell r="BE161">
            <v>243.22199999999998</v>
          </cell>
          <cell r="BF161">
            <v>469.40700000000004</v>
          </cell>
          <cell r="BG161">
            <v>542.90800000000013</v>
          </cell>
          <cell r="BH161">
            <v>460.20000000000027</v>
          </cell>
          <cell r="BI161">
            <v>157.75746564471402</v>
          </cell>
          <cell r="BJ161">
            <v>199.97027652503579</v>
          </cell>
          <cell r="BK161">
            <v>377.38548405485238</v>
          </cell>
          <cell r="BM161">
            <v>460.20000000000027</v>
          </cell>
          <cell r="BN161">
            <v>157.75746564471402</v>
          </cell>
          <cell r="BO161">
            <v>199.97027652503579</v>
          </cell>
          <cell r="BP161">
            <v>377.38548405485238</v>
          </cell>
          <cell r="BQ161">
            <v>625.06886972464133</v>
          </cell>
          <cell r="BR161">
            <v>728.81217374226958</v>
          </cell>
          <cell r="BS161">
            <v>580.46064206946971</v>
          </cell>
          <cell r="BT161">
            <v>787.16495276192722</v>
          </cell>
          <cell r="BU161">
            <v>1027.0881914134093</v>
          </cell>
          <cell r="BV161">
            <v>1371.775297733672</v>
          </cell>
          <cell r="BW161">
            <v>1516.811718074207</v>
          </cell>
          <cell r="BX161">
            <v>817.49535124842055</v>
          </cell>
          <cell r="BY161">
            <v>1091.4314629599778</v>
          </cell>
          <cell r="BZ161">
            <v>1365.1522606254846</v>
          </cell>
          <cell r="CA161">
            <v>1454.1067321035327</v>
          </cell>
        </row>
        <row r="162">
          <cell r="A162" t="str">
            <v>Europe</v>
          </cell>
          <cell r="B162" t="str">
            <v>ebitdapctint</v>
          </cell>
          <cell r="I162">
            <v>154</v>
          </cell>
          <cell r="J162">
            <v>138</v>
          </cell>
          <cell r="K162">
            <v>113</v>
          </cell>
          <cell r="L162">
            <v>158</v>
          </cell>
          <cell r="N162">
            <v>145.542</v>
          </cell>
          <cell r="O162">
            <v>176.672</v>
          </cell>
          <cell r="P162">
            <v>195.86500000000001</v>
          </cell>
          <cell r="Q162">
            <v>230.99800000000005</v>
          </cell>
          <cell r="S162">
            <v>236.11799999999999</v>
          </cell>
          <cell r="T162">
            <v>254.733</v>
          </cell>
          <cell r="U162">
            <v>262.29500000000002</v>
          </cell>
          <cell r="V162">
            <v>355.46899999999999</v>
          </cell>
          <cell r="X162">
            <v>347.87299999999999</v>
          </cell>
          <cell r="Y162">
            <v>524.98099999999999</v>
          </cell>
          <cell r="Z162">
            <v>764.27200000000005</v>
          </cell>
          <cell r="AA162">
            <v>1186.1420000000001</v>
          </cell>
          <cell r="AC162">
            <v>904.88499999999999</v>
          </cell>
          <cell r="AD162">
            <v>839.02099999999996</v>
          </cell>
          <cell r="AE162">
            <v>641.64099999999996</v>
          </cell>
          <cell r="AF162">
            <v>615.79999999999995</v>
          </cell>
          <cell r="AH162">
            <v>470.3</v>
          </cell>
          <cell r="AI162">
            <v>480.6</v>
          </cell>
          <cell r="AJ162">
            <v>5.9267956506202549E-2</v>
          </cell>
          <cell r="AK162">
            <v>4.6027511899157998E-2</v>
          </cell>
          <cell r="AM162">
            <v>3.4836840115912836E-2</v>
          </cell>
          <cell r="AN162">
            <v>1.7830330330330449E-2</v>
          </cell>
          <cell r="AO162">
            <v>2.3244433569855616E-2</v>
          </cell>
          <cell r="AP162">
            <v>2.0608099175955973E-2</v>
          </cell>
          <cell r="AR162">
            <v>1.9231143455744178E-2</v>
          </cell>
          <cell r="AS162">
            <v>2.3644754910137931E-2</v>
          </cell>
          <cell r="AT162">
            <v>3.0562160822252677E-2</v>
          </cell>
          <cell r="AU162">
            <v>3.6391859112986966E-2</v>
          </cell>
          <cell r="AW162" t="str">
            <v xml:space="preserve"> --</v>
          </cell>
          <cell r="AX162">
            <v>462.65900000000011</v>
          </cell>
          <cell r="AY162">
            <v>749.30299999999988</v>
          </cell>
          <cell r="AZ162">
            <v>1108.615</v>
          </cell>
          <cell r="BA162">
            <v>2823.268</v>
          </cell>
          <cell r="BB162">
            <v>3001.3469999999998</v>
          </cell>
          <cell r="BC162">
            <v>3.982240243122679E-2</v>
          </cell>
          <cell r="BD162">
            <v>4.1044632571704154E-2</v>
          </cell>
          <cell r="BE162">
            <v>4.5915009791924893E-2</v>
          </cell>
          <cell r="BF162">
            <v>4.8134063776170723E-2</v>
          </cell>
          <cell r="BG162">
            <v>5.426675440112487E-2</v>
          </cell>
          <cell r="BH162">
            <v>5.5636825243305356E-2</v>
          </cell>
          <cell r="BI162">
            <v>2.4028167856811278E-2</v>
          </cell>
          <cell r="BJ162">
            <v>2.7856509525080533E-2</v>
          </cell>
          <cell r="BK162">
            <v>4.5434203099862347E-2</v>
          </cell>
          <cell r="BM162">
            <v>5.5636825243305356E-2</v>
          </cell>
          <cell r="BN162">
            <v>2.4028167856811278E-2</v>
          </cell>
          <cell r="BO162">
            <v>2.7856509525080533E-2</v>
          </cell>
          <cell r="BP162">
            <v>4.5434203099862347E-2</v>
          </cell>
          <cell r="BQ162">
            <v>6.3238073753987878E-2</v>
          </cell>
          <cell r="BR162">
            <v>6.3563586168514458E-2</v>
          </cell>
          <cell r="BS162">
            <v>5.0625060020829976E-2</v>
          </cell>
          <cell r="BT162">
            <v>6.4766832453591203E-2</v>
          </cell>
          <cell r="BU162">
            <v>7.2851190775079719E-2</v>
          </cell>
          <cell r="BV162">
            <v>7.910551920096813E-2</v>
          </cell>
          <cell r="BW162">
            <v>7.6727426366100041E-2</v>
          </cell>
          <cell r="BX162">
            <v>4.8650277513894967E-2</v>
          </cell>
          <cell r="BY162">
            <v>6.2454417206389966E-2</v>
          </cell>
          <cell r="BZ162">
            <v>7.1015818740484543E-2</v>
          </cell>
          <cell r="CA162">
            <v>6.9397494791062331E-2</v>
          </cell>
        </row>
        <row r="163">
          <cell r="A163" t="str">
            <v>Asia</v>
          </cell>
          <cell r="B163" t="str">
            <v>ebitdapctint</v>
          </cell>
          <cell r="I163" t="str">
            <v xml:space="preserve"> --</v>
          </cell>
          <cell r="J163" t="str">
            <v xml:space="preserve"> --</v>
          </cell>
          <cell r="K163" t="str">
            <v xml:space="preserve"> --</v>
          </cell>
          <cell r="L163" t="str">
            <v xml:space="preserve"> --</v>
          </cell>
          <cell r="N163" t="str">
            <v xml:space="preserve"> --</v>
          </cell>
          <cell r="O163" t="str">
            <v xml:space="preserve"> --</v>
          </cell>
          <cell r="P163" t="str">
            <v xml:space="preserve"> --</v>
          </cell>
          <cell r="Q163" t="str">
            <v xml:space="preserve"> --</v>
          </cell>
          <cell r="S163">
            <v>141.31100000000001</v>
          </cell>
          <cell r="T163">
            <v>155.697</v>
          </cell>
          <cell r="U163">
            <v>183.005</v>
          </cell>
          <cell r="V163">
            <v>230.15100000000001</v>
          </cell>
          <cell r="X163">
            <v>154.56100000000001</v>
          </cell>
          <cell r="Y163">
            <v>191.38200000000001</v>
          </cell>
          <cell r="Z163">
            <v>213.2</v>
          </cell>
          <cell r="AA163">
            <v>313</v>
          </cell>
          <cell r="AC163">
            <v>214.96199999999999</v>
          </cell>
          <cell r="AD163">
            <v>196.898</v>
          </cell>
          <cell r="AE163">
            <v>163.84899999999999</v>
          </cell>
          <cell r="AF163">
            <v>415.4</v>
          </cell>
          <cell r="AH163">
            <v>400.7</v>
          </cell>
          <cell r="AI163">
            <v>533.6</v>
          </cell>
          <cell r="AJ163" t="str">
            <v>NA</v>
          </cell>
          <cell r="AK163" t="str">
            <v>NA</v>
          </cell>
          <cell r="AM163">
            <v>3.4836840115912836E-2</v>
          </cell>
          <cell r="AN163">
            <v>1.7830330330330449E-2</v>
          </cell>
          <cell r="AO163">
            <v>2.3244433569855616E-2</v>
          </cell>
          <cell r="AP163">
            <v>2.0210988092751202E-2</v>
          </cell>
          <cell r="AR163">
            <v>2.0928027496485039E-2</v>
          </cell>
          <cell r="AS163">
            <v>2.4763408443717848E-2</v>
          </cell>
          <cell r="AT163">
            <v>3.1209876020899897E-2</v>
          </cell>
          <cell r="AU163">
            <v>3.3148554461736868E-2</v>
          </cell>
          <cell r="AW163" t="str">
            <v xml:space="preserve"> --</v>
          </cell>
          <cell r="AX163" t="str">
            <v xml:space="preserve"> --</v>
          </cell>
          <cell r="AY163" t="str">
            <v xml:space="preserve"> --</v>
          </cell>
          <cell r="AZ163">
            <v>710.16399999999999</v>
          </cell>
          <cell r="BA163">
            <v>872.14300000000003</v>
          </cell>
          <cell r="BB163">
            <v>991.10900000000004</v>
          </cell>
          <cell r="BC163">
            <v>2.7710284541967711</v>
          </cell>
          <cell r="BD163">
            <v>4.3872988309715035</v>
          </cell>
          <cell r="BE163">
            <v>23.698378479707561</v>
          </cell>
          <cell r="BF163" t="str">
            <v>NA</v>
          </cell>
          <cell r="BG163" t="str">
            <v>NA</v>
          </cell>
          <cell r="BH163" t="str">
            <v>NA</v>
          </cell>
          <cell r="BI163" t="str">
            <v>NA</v>
          </cell>
          <cell r="BJ163">
            <v>2.8090467444696125E-2</v>
          </cell>
          <cell r="BK163">
            <v>3.9896092389635394E-2</v>
          </cell>
          <cell r="BM163">
            <v>5.5636825243305356E-2</v>
          </cell>
          <cell r="BN163">
            <v>2.3828965926805758E-2</v>
          </cell>
          <cell r="BO163">
            <v>2.8090467444696125E-2</v>
          </cell>
          <cell r="BP163">
            <v>3.9896092389635394E-2</v>
          </cell>
          <cell r="BQ163">
            <v>6.0004535110515483E-2</v>
          </cell>
          <cell r="BR163">
            <v>4.8632461043393291E-2</v>
          </cell>
          <cell r="BS163">
            <v>5.9880032794513906E-2</v>
          </cell>
          <cell r="BT163">
            <v>6.2752171098159545E-2</v>
          </cell>
          <cell r="BU163">
            <v>6.7458774843325325E-2</v>
          </cell>
          <cell r="BV163">
            <v>7.2559684654014703E-2</v>
          </cell>
          <cell r="BW163">
            <v>7.0791644120695094E-2</v>
          </cell>
          <cell r="BX163">
            <v>4.2334917765502945E-2</v>
          </cell>
          <cell r="BY163">
            <v>5.8199097316572607E-2</v>
          </cell>
          <cell r="BZ163">
            <v>6.8923637194548693E-2</v>
          </cell>
          <cell r="CA163">
            <v>6.7950025139152492E-2</v>
          </cell>
        </row>
        <row r="164">
          <cell r="A164" t="str">
            <v>Eliminations</v>
          </cell>
          <cell r="I164" t="str">
            <v xml:space="preserve"> --</v>
          </cell>
          <cell r="J164" t="str">
            <v xml:space="preserve"> --</v>
          </cell>
          <cell r="K164" t="str">
            <v xml:space="preserve"> --</v>
          </cell>
          <cell r="L164" t="str">
            <v xml:space="preserve"> --</v>
          </cell>
          <cell r="N164" t="str">
            <v xml:space="preserve"> --</v>
          </cell>
          <cell r="O164" t="str">
            <v xml:space="preserve"> --</v>
          </cell>
          <cell r="P164" t="str">
            <v xml:space="preserve"> --</v>
          </cell>
          <cell r="Q164" t="str">
            <v xml:space="preserve"> --</v>
          </cell>
          <cell r="S164">
            <v>-37.677999999999997</v>
          </cell>
          <cell r="T164">
            <v>-15.478</v>
          </cell>
          <cell r="U164">
            <v>-19.047999999999998</v>
          </cell>
          <cell r="V164">
            <v>-36.93</v>
          </cell>
          <cell r="X164">
            <v>-70.837999999999994</v>
          </cell>
          <cell r="Y164">
            <v>-123.726</v>
          </cell>
          <cell r="Z164">
            <v>-95.262</v>
          </cell>
          <cell r="AA164">
            <v>-195.654</v>
          </cell>
          <cell r="AC164">
            <v>-122.892</v>
          </cell>
          <cell r="AD164">
            <v>-88.004000000000005</v>
          </cell>
          <cell r="AE164">
            <v>-45.259</v>
          </cell>
          <cell r="AF164">
            <v>-66.5</v>
          </cell>
          <cell r="AH164">
            <v>-78.900000000000006</v>
          </cell>
          <cell r="AI164">
            <v>-73.599999999999994</v>
          </cell>
          <cell r="AJ164" t="str">
            <v>NA</v>
          </cell>
          <cell r="AK164" t="str">
            <v>NA</v>
          </cell>
          <cell r="AW164" t="str">
            <v xml:space="preserve"> --</v>
          </cell>
          <cell r="AX164" t="str">
            <v xml:space="preserve"> --</v>
          </cell>
          <cell r="AY164" t="str">
            <v xml:space="preserve"> --</v>
          </cell>
          <cell r="AZ164">
            <v>-109.13399999999999</v>
          </cell>
          <cell r="BA164">
            <v>-485.48</v>
          </cell>
          <cell r="BB164">
            <v>-322.65500000000003</v>
          </cell>
          <cell r="BC164">
            <v>2.7710284541967711</v>
          </cell>
          <cell r="BD164">
            <v>4.3872988309715035</v>
          </cell>
          <cell r="BE164">
            <v>23.698378479707561</v>
          </cell>
          <cell r="BF164" t="str">
            <v>NA</v>
          </cell>
          <cell r="BG164" t="str">
            <v>NA</v>
          </cell>
          <cell r="BH164" t="str">
            <v>NA</v>
          </cell>
          <cell r="BI164" t="str">
            <v>NA</v>
          </cell>
        </row>
        <row r="165">
          <cell r="A165" t="str">
            <v>CFO/Net Income</v>
          </cell>
          <cell r="I165" t="str">
            <v xml:space="preserve"> </v>
          </cell>
          <cell r="J165" t="str">
            <v xml:space="preserve"> </v>
          </cell>
          <cell r="K165" t="str">
            <v xml:space="preserve"> </v>
          </cell>
          <cell r="L165" t="str">
            <v xml:space="preserve"> </v>
          </cell>
          <cell r="N165" t="str">
            <v>NM</v>
          </cell>
          <cell r="O165" t="str">
            <v xml:space="preserve"> </v>
          </cell>
          <cell r="P165">
            <v>3.5425145922069747</v>
          </cell>
          <cell r="Q165" t="str">
            <v>NM</v>
          </cell>
          <cell r="S165" t="str">
            <v>NM</v>
          </cell>
          <cell r="T165" t="str">
            <v>NM</v>
          </cell>
          <cell r="U165">
            <v>3.6166529689747282</v>
          </cell>
          <cell r="V165" t="str">
            <v>NM</v>
          </cell>
          <cell r="X165">
            <v>0.98375478927203097</v>
          </cell>
          <cell r="Y165" t="str">
            <v xml:space="preserve"> </v>
          </cell>
          <cell r="Z165" t="str">
            <v xml:space="preserve"> </v>
          </cell>
          <cell r="AA165" t="str">
            <v xml:space="preserve"> </v>
          </cell>
          <cell r="AC165" t="str">
            <v>NM</v>
          </cell>
          <cell r="AD165">
            <v>3.5377753322328251</v>
          </cell>
          <cell r="AE165" t="str">
            <v>NM</v>
          </cell>
          <cell r="AF165" t="str">
            <v>NM</v>
          </cell>
          <cell r="AH165" t="str">
            <v>NM</v>
          </cell>
          <cell r="AI165" t="str">
            <v>NM</v>
          </cell>
          <cell r="AJ165" t="str">
            <v>NM</v>
          </cell>
          <cell r="AK165" t="str">
            <v>NM</v>
          </cell>
          <cell r="AM165" t="str">
            <v>NM</v>
          </cell>
          <cell r="AN165">
            <v>4.6253981443013794</v>
          </cell>
          <cell r="AO165">
            <v>4.5559105431309801</v>
          </cell>
          <cell r="AP165" t="str">
            <v>NM</v>
          </cell>
          <cell r="AR165">
            <v>3.5494701736087242</v>
          </cell>
          <cell r="AS165" t="str">
            <v>NM</v>
          </cell>
          <cell r="AT165" t="str">
            <v>NM</v>
          </cell>
          <cell r="AU165">
            <v>4.8462212115592562</v>
          </cell>
          <cell r="AW165" t="str">
            <v>NM</v>
          </cell>
          <cell r="AX165">
            <v>2.7258035007080306</v>
          </cell>
          <cell r="AY165">
            <v>1.938311707694109</v>
          </cell>
          <cell r="AZ165">
            <v>2.1776842327291024</v>
          </cell>
          <cell r="BB165" t="str">
            <v>--</v>
          </cell>
          <cell r="BC165">
            <v>17.595375722543341</v>
          </cell>
          <cell r="BD165">
            <v>60.859120885679772</v>
          </cell>
          <cell r="BE165" t="str">
            <v>NM</v>
          </cell>
          <cell r="BF165" t="str">
            <v>NM</v>
          </cell>
          <cell r="BG165">
            <v>6.9133661827838253</v>
          </cell>
          <cell r="BH165">
            <v>8.4285322194680408</v>
          </cell>
          <cell r="BI165" t="str">
            <v>NM</v>
          </cell>
          <cell r="BJ165" t="str">
            <v>NM</v>
          </cell>
          <cell r="BK165">
            <v>1.4578917138449305</v>
          </cell>
        </row>
        <row r="166">
          <cell r="A166" t="str">
            <v>% Revenues</v>
          </cell>
          <cell r="I166" t="str">
            <v xml:space="preserve"> --</v>
          </cell>
          <cell r="J166" t="str">
            <v xml:space="preserve"> --</v>
          </cell>
          <cell r="K166" t="str">
            <v xml:space="preserve"> --</v>
          </cell>
          <cell r="L166" t="str">
            <v xml:space="preserve"> </v>
          </cell>
          <cell r="N166" t="str">
            <v>NM</v>
          </cell>
          <cell r="O166" t="str">
            <v>NM</v>
          </cell>
          <cell r="P166">
            <v>3.5425145922069747</v>
          </cell>
          <cell r="Q166" t="str">
            <v>NM</v>
          </cell>
          <cell r="S166" t="str">
            <v>NM</v>
          </cell>
          <cell r="T166" t="str">
            <v>NM</v>
          </cell>
          <cell r="U166">
            <v>3.6166529689747282</v>
          </cell>
          <cell r="V166" t="str">
            <v xml:space="preserve"> </v>
          </cell>
          <cell r="X166">
            <v>0.98375478927203097</v>
          </cell>
          <cell r="Y166" t="str">
            <v>NM</v>
          </cell>
          <cell r="Z166" t="str">
            <v>NM</v>
          </cell>
          <cell r="AA166">
            <v>1.8367415393830488</v>
          </cell>
          <cell r="AC166" t="str">
            <v>NM</v>
          </cell>
          <cell r="AD166">
            <v>3.5377753322328251</v>
          </cell>
          <cell r="AE166" t="str">
            <v>NM</v>
          </cell>
          <cell r="AF166" t="str">
            <v>NM</v>
          </cell>
          <cell r="AH166" t="str">
            <v>NM</v>
          </cell>
          <cell r="AI166" t="str">
            <v>NM</v>
          </cell>
          <cell r="AJ166" t="str">
            <v>NM</v>
          </cell>
          <cell r="AK166" t="str">
            <v>NM</v>
          </cell>
          <cell r="AM166" t="str">
            <v>NM</v>
          </cell>
          <cell r="AN166">
            <v>4.6253981443013794</v>
          </cell>
          <cell r="AO166">
            <v>4.5559105431309801</v>
          </cell>
          <cell r="AP166">
            <v>4.6774193548387037</v>
          </cell>
          <cell r="AR166">
            <v>0.52754889064695765</v>
          </cell>
          <cell r="AS166" t="str">
            <v>NM</v>
          </cell>
          <cell r="AT166">
            <v>4.4309680874712889</v>
          </cell>
          <cell r="AU166" t="str">
            <v>NM</v>
          </cell>
          <cell r="AW166" t="str">
            <v>NM</v>
          </cell>
          <cell r="AX166">
            <v>2.1600599436623256</v>
          </cell>
          <cell r="AY166">
            <v>2.7489354378350499</v>
          </cell>
          <cell r="AZ166">
            <v>2.1871866635114063</v>
          </cell>
          <cell r="BB166" t="str">
            <v>--</v>
          </cell>
          <cell r="BC166">
            <v>17.595375722543341</v>
          </cell>
          <cell r="BD166">
            <v>60.859120885679772</v>
          </cell>
          <cell r="BE166" t="str">
            <v>NM</v>
          </cell>
          <cell r="BF166" t="str">
            <v>NM</v>
          </cell>
          <cell r="BG166">
            <v>6.9133661827838253</v>
          </cell>
          <cell r="BH166">
            <v>8.4285322194680408</v>
          </cell>
          <cell r="BI166">
            <v>3.1256848910087198</v>
          </cell>
          <cell r="BJ166">
            <v>0.90131604409545085</v>
          </cell>
          <cell r="BK166">
            <v>1.6101973312053455</v>
          </cell>
        </row>
        <row r="167">
          <cell r="A167" t="str">
            <v>North America</v>
          </cell>
          <cell r="I167">
            <v>0.68155500413564929</v>
          </cell>
          <cell r="J167">
            <v>0.67955788275998186</v>
          </cell>
          <cell r="K167">
            <v>0.72379539349379274</v>
          </cell>
          <cell r="L167">
            <v>0.76873096238657934</v>
          </cell>
          <cell r="N167">
            <v>0.80297820495465</v>
          </cell>
          <cell r="O167">
            <v>0.77162977737160698</v>
          </cell>
          <cell r="P167">
            <v>0.75864218827008378</v>
          </cell>
          <cell r="Q167">
            <v>0.75035285929505946</v>
          </cell>
          <cell r="S167">
            <v>0.68594614281066046</v>
          </cell>
          <cell r="T167">
            <v>0.68397055293270381</v>
          </cell>
          <cell r="U167">
            <v>0.68587424564113419</v>
          </cell>
          <cell r="V167">
            <v>0.65893416694068874</v>
          </cell>
          <cell r="X167">
            <v>0.73231418270408599</v>
          </cell>
          <cell r="Y167">
            <v>0.71669687071408883</v>
          </cell>
          <cell r="Z167">
            <v>0.66073136577942271</v>
          </cell>
          <cell r="AA167">
            <v>0.62215029062684912</v>
          </cell>
          <cell r="AC167">
            <v>0.62973919018040347</v>
          </cell>
          <cell r="AD167">
            <v>0.64373553485428303</v>
          </cell>
          <cell r="AE167">
            <v>0.65490319798452079</v>
          </cell>
          <cell r="AF167">
            <v>0.60595539580099667</v>
          </cell>
          <cell r="AH167">
            <v>0.63183825238205904</v>
          </cell>
          <cell r="AI167">
            <v>0.58189578516805973</v>
          </cell>
          <cell r="AX167">
            <v>0.76942666525130832</v>
          </cell>
          <cell r="AY167">
            <v>0.76938981336745849</v>
          </cell>
          <cell r="AZ167">
            <v>0.67725819306798918</v>
          </cell>
          <cell r="BA167">
            <v>0.67093136588879809</v>
          </cell>
          <cell r="BB167">
            <v>0.63318243686222631</v>
          </cell>
          <cell r="BC167">
            <v>9900</v>
          </cell>
          <cell r="BD167">
            <v>14000</v>
          </cell>
          <cell r="BE167" t="str">
            <v>20,000+</v>
          </cell>
          <cell r="BF167">
            <v>30000</v>
          </cell>
          <cell r="BG167">
            <v>40000</v>
          </cell>
        </row>
        <row r="168">
          <cell r="A168" t="str">
            <v xml:space="preserve">  U.S.</v>
          </cell>
          <cell r="I168" t="str">
            <v xml:space="preserve"> --</v>
          </cell>
          <cell r="J168" t="str">
            <v xml:space="preserve"> --</v>
          </cell>
          <cell r="K168" t="str">
            <v xml:space="preserve"> --</v>
          </cell>
          <cell r="L168" t="str">
            <v xml:space="preserve"> --</v>
          </cell>
          <cell r="N168">
            <v>0.38745634222282377</v>
          </cell>
          <cell r="O168">
            <v>0.28911443717272411</v>
          </cell>
          <cell r="P168">
            <v>0.25836372597338597</v>
          </cell>
          <cell r="Q168">
            <v>0.24316490471177934</v>
          </cell>
          <cell r="S168">
            <v>0.2359653695980122</v>
          </cell>
          <cell r="T168">
            <v>0.22531727614627514</v>
          </cell>
          <cell r="U168">
            <v>0.24473616139760807</v>
          </cell>
          <cell r="V168">
            <v>0.3056178364457891</v>
          </cell>
          <cell r="X168" t="str">
            <v xml:space="preserve"> --</v>
          </cell>
          <cell r="Y168" t="str">
            <v xml:space="preserve"> --</v>
          </cell>
          <cell r="Z168">
            <v>0.34034164965161612</v>
          </cell>
          <cell r="AA168">
            <v>0.38560004872785497</v>
          </cell>
          <cell r="AC168" t="str">
            <v xml:space="preserve"> --</v>
          </cell>
          <cell r="AD168" t="str">
            <v xml:space="preserve"> --</v>
          </cell>
          <cell r="AE168" t="str">
            <v xml:space="preserve"> --</v>
          </cell>
          <cell r="AF168" t="str">
            <v xml:space="preserve"> --</v>
          </cell>
          <cell r="AH168" t="str">
            <v xml:space="preserve"> --</v>
          </cell>
          <cell r="AI168" t="str">
            <v xml:space="preserve"> --</v>
          </cell>
          <cell r="AX168">
            <v>0.13416002220717158</v>
          </cell>
          <cell r="AY168">
            <v>0.29070585885408157</v>
          </cell>
          <cell r="AZ168">
            <v>0.25685330914958815</v>
          </cell>
          <cell r="BA168" t="str">
            <v xml:space="preserve"> --</v>
          </cell>
          <cell r="BB168" t="str">
            <v xml:space="preserve"> --</v>
          </cell>
          <cell r="BC168">
            <v>202.68272727272728</v>
          </cell>
          <cell r="BD168">
            <v>232.08707142857142</v>
          </cell>
          <cell r="BE168">
            <v>264.86110000000002</v>
          </cell>
          <cell r="BF168">
            <v>325.0691666666666</v>
          </cell>
          <cell r="BG168">
            <v>250.11077500000002</v>
          </cell>
          <cell r="BI168">
            <v>40000</v>
          </cell>
        </row>
        <row r="169">
          <cell r="A169" t="str">
            <v xml:space="preserve">  Canada</v>
          </cell>
          <cell r="I169" t="str">
            <v xml:space="preserve"> --</v>
          </cell>
          <cell r="J169" t="str">
            <v xml:space="preserve"> --</v>
          </cell>
          <cell r="K169" t="str">
            <v xml:space="preserve"> --</v>
          </cell>
          <cell r="L169" t="str">
            <v xml:space="preserve"> --</v>
          </cell>
          <cell r="N169">
            <v>0.41552186273182617</v>
          </cell>
          <cell r="O169">
            <v>0.48251534019888292</v>
          </cell>
          <cell r="P169">
            <v>0.50027846229669792</v>
          </cell>
          <cell r="Q169">
            <v>0.50718795458328025</v>
          </cell>
          <cell r="S169">
            <v>0.44998077321264823</v>
          </cell>
          <cell r="T169">
            <v>0.4586532767864287</v>
          </cell>
          <cell r="U169">
            <v>0.44113808424352613</v>
          </cell>
          <cell r="V169">
            <v>0.35331633049489963</v>
          </cell>
          <cell r="X169" t="str">
            <v xml:space="preserve"> --</v>
          </cell>
          <cell r="Y169" t="str">
            <v xml:space="preserve"> --</v>
          </cell>
          <cell r="Z169">
            <v>0.32038971612780653</v>
          </cell>
          <cell r="AA169">
            <v>0.23655024189899412</v>
          </cell>
          <cell r="AC169" t="str">
            <v xml:space="preserve"> --</v>
          </cell>
          <cell r="AD169" t="str">
            <v xml:space="preserve"> --</v>
          </cell>
          <cell r="AE169" t="str">
            <v xml:space="preserve"> --</v>
          </cell>
          <cell r="AF169" t="str">
            <v xml:space="preserve"> --</v>
          </cell>
          <cell r="AH169" t="str">
            <v xml:space="preserve"> --</v>
          </cell>
          <cell r="AI169" t="str">
            <v xml:space="preserve"> --</v>
          </cell>
          <cell r="AX169">
            <v>0.63526664304413671</v>
          </cell>
          <cell r="AY169">
            <v>0.47874766213049968</v>
          </cell>
          <cell r="AZ169">
            <v>0.42040488391840097</v>
          </cell>
          <cell r="BA169" t="str">
            <v xml:space="preserve"> --</v>
          </cell>
          <cell r="BB169" t="str">
            <v xml:space="preserve"> --</v>
          </cell>
          <cell r="BC169">
            <v>202.68272727272728</v>
          </cell>
          <cell r="BD169">
            <v>232.08707142857142</v>
          </cell>
          <cell r="BE169">
            <v>264.86110000000002</v>
          </cell>
          <cell r="BF169">
            <v>325.0691666666666</v>
          </cell>
          <cell r="BG169">
            <v>250.11077500000002</v>
          </cell>
          <cell r="BI169">
            <v>168.38750000000002</v>
          </cell>
        </row>
        <row r="170">
          <cell r="A170" t="str">
            <v>Europe</v>
          </cell>
          <cell r="I170">
            <v>0.31844499586435071</v>
          </cell>
          <cell r="J170">
            <v>0.32044211724001814</v>
          </cell>
          <cell r="K170">
            <v>0.27620460650620726</v>
          </cell>
          <cell r="L170">
            <v>0.23126903761342063</v>
          </cell>
          <cell r="N170">
            <v>0.19702450250439962</v>
          </cell>
          <cell r="O170">
            <v>0.22837022262839299</v>
          </cell>
          <cell r="P170">
            <v>0.24133193691473634</v>
          </cell>
          <cell r="Q170">
            <v>0.24964714070494051</v>
          </cell>
          <cell r="S170">
            <v>0.21825916230366491</v>
          </cell>
          <cell r="T170">
            <v>0.20383532047691447</v>
          </cell>
          <cell r="U170">
            <v>0.19329789593845598</v>
          </cell>
          <cell r="V170">
            <v>0.22095961401111794</v>
          </cell>
          <cell r="X170">
            <v>0.21575887709844738</v>
          </cell>
          <cell r="Y170">
            <v>0.25096097630699232</v>
          </cell>
          <cell r="Z170">
            <v>0.29393392455586204</v>
          </cell>
          <cell r="AA170">
            <v>0.34403663870615947</v>
          </cell>
          <cell r="AC170">
            <v>0.33606677622721748</v>
          </cell>
          <cell r="AD170">
            <v>0.31533773366918399</v>
          </cell>
          <cell r="AE170">
            <v>0.29126444086338776</v>
          </cell>
          <cell r="AF170">
            <v>0.25153173760313702</v>
          </cell>
          <cell r="AH170">
            <v>0.21859168022310016</v>
          </cell>
          <cell r="AI170">
            <v>0.21367597367953053</v>
          </cell>
          <cell r="AX170">
            <v>0.23057333474869168</v>
          </cell>
          <cell r="AY170">
            <v>0.23061018663254151</v>
          </cell>
          <cell r="AZ170">
            <v>0.20928233704383162</v>
          </cell>
          <cell r="BA170">
            <v>0.28950433625664285</v>
          </cell>
          <cell r="BB170">
            <v>0.30000176921606031</v>
          </cell>
        </row>
        <row r="171">
          <cell r="A171" t="str">
            <v>Asia</v>
          </cell>
          <cell r="I171" t="str">
            <v xml:space="preserve"> --</v>
          </cell>
          <cell r="J171" t="str">
            <v xml:space="preserve"> --</v>
          </cell>
          <cell r="K171" t="str">
            <v xml:space="preserve"> --</v>
          </cell>
          <cell r="L171" t="str">
            <v xml:space="preserve"> --</v>
          </cell>
          <cell r="N171" t="str">
            <v xml:space="preserve"> --</v>
          </cell>
          <cell r="O171" t="str">
            <v xml:space="preserve"> --</v>
          </cell>
          <cell r="P171" t="str">
            <v xml:space="preserve"> --</v>
          </cell>
          <cell r="Q171" t="str">
            <v xml:space="preserve"> --</v>
          </cell>
          <cell r="S171">
            <v>0.13062291093560505</v>
          </cell>
          <cell r="T171">
            <v>0.12458750100024006</v>
          </cell>
          <cell r="U171">
            <v>0.13486525265909427</v>
          </cell>
          <cell r="V171">
            <v>0.14306191573462892</v>
          </cell>
          <cell r="X171">
            <v>9.5862305505782647E-2</v>
          </cell>
          <cell r="Y171">
            <v>9.1487908262555803E-2</v>
          </cell>
          <cell r="Z171">
            <v>8.1995301038517404E-2</v>
          </cell>
          <cell r="AA171">
            <v>9.0784634483078677E-2</v>
          </cell>
          <cell r="AC171">
            <v>7.9835102086292867E-2</v>
          </cell>
          <cell r="AD171">
            <v>7.400216333559588E-2</v>
          </cell>
          <cell r="AE171">
            <v>7.4377085272021609E-2</v>
          </cell>
          <cell r="AF171">
            <v>0.16967568009149581</v>
          </cell>
          <cell r="AH171">
            <v>0.18624215663490587</v>
          </cell>
          <cell r="AI171">
            <v>0.23723990752267476</v>
          </cell>
          <cell r="AX171" t="str">
            <v xml:space="preserve"> --</v>
          </cell>
          <cell r="AY171" t="str">
            <v xml:space="preserve"> --</v>
          </cell>
          <cell r="AZ171">
            <v>0.13406347704513799</v>
          </cell>
          <cell r="BA171">
            <v>8.9431531238223672E-2</v>
          </cell>
          <cell r="BB171">
            <v>9.9067003410788682E-2</v>
          </cell>
        </row>
        <row r="172">
          <cell r="A172" t="str">
            <v>Eliminations</v>
          </cell>
          <cell r="L172" t="str">
            <v xml:space="preserve"> </v>
          </cell>
          <cell r="S172">
            <v>-3.4828216049930485E-2</v>
          </cell>
          <cell r="T172">
            <v>-1.2385372489397455E-2</v>
          </cell>
          <cell r="U172">
            <v>-1.4037394238684341E-2</v>
          </cell>
          <cell r="V172">
            <v>-2.2955696686435625E-2</v>
          </cell>
          <cell r="X172">
            <v>-4.3935365308316009E-2</v>
          </cell>
          <cell r="Y172">
            <v>-5.9145755283636803E-2</v>
          </cell>
          <cell r="Z172">
            <v>-3.6637131179790082E-2</v>
          </cell>
          <cell r="AA172">
            <v>-5.6748807907834743E-2</v>
          </cell>
          <cell r="AC172">
            <v>-4.5641068493913819E-2</v>
          </cell>
          <cell r="AD172">
            <v>-3.3075431859062969E-2</v>
          </cell>
          <cell r="AE172">
            <v>-2.0544724119930094E-2</v>
          </cell>
          <cell r="AF172">
            <v>-2.7162813495629445E-2</v>
          </cell>
          <cell r="AH172">
            <v>-3.6672089240065077E-2</v>
          </cell>
          <cell r="AI172">
            <v>-3.2722745865196516E-2</v>
          </cell>
          <cell r="AZ172">
            <v>-2.0602119375023355E-2</v>
          </cell>
          <cell r="BA172">
            <v>-4.9782225833989183E-2</v>
          </cell>
          <cell r="BB172">
            <v>-3.2251209489075394E-2</v>
          </cell>
        </row>
        <row r="173">
          <cell r="A173" t="str">
            <v>Revenues and Profits by Region</v>
          </cell>
          <cell r="L173" t="str">
            <v xml:space="preserve"> </v>
          </cell>
        </row>
        <row r="174">
          <cell r="A174" t="str">
            <v>Revenue Growth (yr-yr)</v>
          </cell>
          <cell r="D174" t="str">
            <v xml:space="preserve"> --</v>
          </cell>
          <cell r="E174" t="str">
            <v xml:space="preserve"> --</v>
          </cell>
          <cell r="F174" t="str">
            <v xml:space="preserve"> --</v>
          </cell>
          <cell r="G174" t="str">
            <v xml:space="preserve"> --</v>
          </cell>
          <cell r="I174" t="str">
            <v xml:space="preserve"> --</v>
          </cell>
          <cell r="J174" t="str">
            <v xml:space="preserve"> --</v>
          </cell>
          <cell r="K174" t="str">
            <v xml:space="preserve"> --</v>
          </cell>
          <cell r="L174" t="str">
            <v xml:space="preserve"> --</v>
          </cell>
          <cell r="N174">
            <v>0.52750206782464848</v>
          </cell>
          <cell r="O174">
            <v>0.79638225493724679</v>
          </cell>
          <cell r="P174">
            <v>0.98378458973838767</v>
          </cell>
          <cell r="Q174">
            <v>0.35438467066849921</v>
          </cell>
          <cell r="S174">
            <v>0.46449708948152169</v>
          </cell>
          <cell r="T174">
            <v>0.61539048190263723</v>
          </cell>
          <cell r="U174">
            <v>0.67194061113849179</v>
          </cell>
          <cell r="V174">
            <v>0.73863014942213212</v>
          </cell>
          <cell r="X174">
            <v>0.49037458958203928</v>
          </cell>
          <cell r="Y174">
            <v>0.67390813795310844</v>
          </cell>
          <cell r="Z174">
            <v>0.91617579758089307</v>
          </cell>
          <cell r="AA174">
            <v>1.1431035629503881</v>
          </cell>
          <cell r="AC174">
            <v>0.66999726481604482</v>
          </cell>
          <cell r="AD174">
            <v>0.27191912740817736</v>
          </cell>
          <cell r="AE174">
            <v>-0.15276009182550698</v>
          </cell>
          <cell r="AF174">
            <v>-0.28990753309433481</v>
          </cell>
          <cell r="AH174">
            <v>-0.20095076274569879</v>
          </cell>
          <cell r="AI174">
            <v>-0.15466045478155055</v>
          </cell>
          <cell r="AX174" t="str">
            <v xml:space="preserve"> --</v>
          </cell>
          <cell r="AY174">
            <v>0.6192990089003112</v>
          </cell>
          <cell r="AZ174">
            <v>0.63030623666795016</v>
          </cell>
          <cell r="BA174">
            <v>0.840979101876417</v>
          </cell>
          <cell r="BB174">
            <v>2.5877159476316747E-2</v>
          </cell>
        </row>
        <row r="175">
          <cell r="A175" t="str">
            <v>North America</v>
          </cell>
          <cell r="D175" t="str">
            <v xml:space="preserve"> --</v>
          </cell>
          <cell r="E175" t="str">
            <v xml:space="preserve"> --</v>
          </cell>
          <cell r="F175" t="str">
            <v xml:space="preserve"> --</v>
          </cell>
          <cell r="G175" t="str">
            <v xml:space="preserve"> --</v>
          </cell>
          <cell r="I175" t="str">
            <v xml:space="preserve"> --</v>
          </cell>
          <cell r="J175" t="str">
            <v xml:space="preserve"> --</v>
          </cell>
          <cell r="K175" t="str">
            <v xml:space="preserve"> --</v>
          </cell>
          <cell r="L175" t="str">
            <v xml:space="preserve"> --</v>
          </cell>
          <cell r="N175" t="str">
            <v xml:space="preserve"> --</v>
          </cell>
          <cell r="O175" t="str">
            <v xml:space="preserve"> --</v>
          </cell>
          <cell r="P175" t="str">
            <v xml:space="preserve"> --</v>
          </cell>
          <cell r="Q175" t="str">
            <v xml:space="preserve"> --</v>
          </cell>
          <cell r="S175">
            <v>25.105030683120908</v>
          </cell>
          <cell r="T175">
            <v>43.187776510221163</v>
          </cell>
          <cell r="U175">
            <v>51.157030699318184</v>
          </cell>
          <cell r="V175">
            <v>52.680541552642943</v>
          </cell>
          <cell r="X175">
            <v>59.111974158876571</v>
          </cell>
          <cell r="Y175">
            <v>75.400054752339258</v>
          </cell>
          <cell r="Z175">
            <v>84.593234088503749</v>
          </cell>
          <cell r="AA175">
            <v>102.34684607772576</v>
          </cell>
          <cell r="AC175">
            <v>43.608132955374089</v>
          </cell>
          <cell r="AD175">
            <v>14.243493062512735</v>
          </cell>
          <cell r="AE175">
            <v>-16.023341094295684</v>
          </cell>
          <cell r="AF175">
            <v>-30.83916083916084</v>
          </cell>
          <cell r="AH175">
            <v>-19.828735211898884</v>
          </cell>
          <cell r="AI175">
            <v>-23.586707309881938</v>
          </cell>
          <cell r="AX175" t="str">
            <v xml:space="preserve"> --</v>
          </cell>
          <cell r="AY175">
            <v>61.922145216659111</v>
          </cell>
          <cell r="AZ175">
            <v>43.508301878943143</v>
          </cell>
          <cell r="BA175">
            <v>82.378099820297024</v>
          </cell>
          <cell r="BB175">
            <v>-3.1842252749629263</v>
          </cell>
        </row>
        <row r="176">
          <cell r="A176" t="str">
            <v xml:space="preserve">  U.S.</v>
          </cell>
          <cell r="D176" t="str">
            <v xml:space="preserve"> --</v>
          </cell>
          <cell r="E176" t="str">
            <v xml:space="preserve"> --</v>
          </cell>
          <cell r="F176" t="str">
            <v xml:space="preserve"> --</v>
          </cell>
          <cell r="G176" t="str">
            <v xml:space="preserve"> --</v>
          </cell>
          <cell r="I176" t="str">
            <v xml:space="preserve"> --</v>
          </cell>
          <cell r="J176" t="str">
            <v xml:space="preserve"> --</v>
          </cell>
          <cell r="K176" t="str">
            <v xml:space="preserve"> --</v>
          </cell>
          <cell r="L176" t="str">
            <v xml:space="preserve"> --</v>
          </cell>
          <cell r="N176" t="str">
            <v xml:space="preserve"> --</v>
          </cell>
          <cell r="O176" t="str">
            <v xml:space="preserve"> --</v>
          </cell>
          <cell r="P176" t="str">
            <v xml:space="preserve"> --</v>
          </cell>
          <cell r="Q176" t="str">
            <v xml:space="preserve"> --</v>
          </cell>
          <cell r="S176">
            <v>-10.810442536004516</v>
          </cell>
          <cell r="T176">
            <v>25.893188473833661</v>
          </cell>
          <cell r="U176">
            <v>58.375300446377466</v>
          </cell>
          <cell r="V176">
            <v>118.51688888888874</v>
          </cell>
          <cell r="X176" t="str">
            <v xml:space="preserve"> --</v>
          </cell>
          <cell r="Y176" t="str">
            <v xml:space="preserve"> --</v>
          </cell>
          <cell r="Z176">
            <v>166.4724445488325</v>
          </cell>
          <cell r="AA176">
            <v>170.39679617949713</v>
          </cell>
          <cell r="AC176" t="str">
            <v xml:space="preserve"> --</v>
          </cell>
          <cell r="AD176" t="str">
            <v xml:space="preserve"> --</v>
          </cell>
          <cell r="AE176" t="str">
            <v xml:space="preserve"> --</v>
          </cell>
          <cell r="AF176" t="str">
            <v xml:space="preserve"> --</v>
          </cell>
          <cell r="AH176" t="str">
            <v xml:space="preserve"> --</v>
          </cell>
          <cell r="AI176" t="str">
            <v xml:space="preserve"> --</v>
          </cell>
          <cell r="AM176" t="str">
            <v>2003E</v>
          </cell>
          <cell r="AR176" t="str">
            <v>2004E</v>
          </cell>
          <cell r="AW176" t="str">
            <v>2005E</v>
          </cell>
          <cell r="AX176" t="str">
            <v xml:space="preserve"> --</v>
          </cell>
          <cell r="AY176">
            <v>250.87927191679049</v>
          </cell>
          <cell r="AZ176">
            <v>44.045790293330157</v>
          </cell>
          <cell r="BA176" t="str">
            <v xml:space="preserve"> --</v>
          </cell>
          <cell r="BB176" t="str">
            <v xml:space="preserve"> --</v>
          </cell>
          <cell r="BE176" t="str">
            <v xml:space="preserve"> </v>
          </cell>
        </row>
        <row r="177">
          <cell r="A177" t="str">
            <v xml:space="preserve">  Canada</v>
          </cell>
          <cell r="D177" t="str">
            <v xml:space="preserve"> --</v>
          </cell>
          <cell r="E177" t="str">
            <v xml:space="preserve"> --</v>
          </cell>
          <cell r="F177" t="str">
            <v xml:space="preserve"> --</v>
          </cell>
          <cell r="G177" t="str">
            <v xml:space="preserve"> --</v>
          </cell>
          <cell r="I177" t="str">
            <v xml:space="preserve"> --</v>
          </cell>
          <cell r="J177" t="str">
            <v xml:space="preserve"> --</v>
          </cell>
          <cell r="K177" t="str">
            <v xml:space="preserve"> --</v>
          </cell>
          <cell r="L177" t="str">
            <v xml:space="preserve"> --</v>
          </cell>
          <cell r="N177" t="str">
            <v xml:space="preserve"> --</v>
          </cell>
          <cell r="O177" t="str">
            <v xml:space="preserve"> --</v>
          </cell>
          <cell r="P177" t="str">
            <v xml:space="preserve"> --</v>
          </cell>
          <cell r="Q177" t="str">
            <v xml:space="preserve"> --</v>
          </cell>
          <cell r="S177">
            <v>58.594671375421072</v>
          </cell>
          <cell r="T177">
            <v>53.5503798716259</v>
          </cell>
          <cell r="U177">
            <v>47.429228670085166</v>
          </cell>
          <cell r="V177">
            <v>21.116130406989186</v>
          </cell>
          <cell r="X177" t="str">
            <v xml:space="preserve"> --</v>
          </cell>
          <cell r="Y177" t="str">
            <v xml:space="preserve"> --</v>
          </cell>
          <cell r="Z177">
            <v>39.167993371210549</v>
          </cell>
          <cell r="AA177">
            <v>43.483791287091009</v>
          </cell>
          <cell r="AC177" t="str">
            <v xml:space="preserve"> --</v>
          </cell>
          <cell r="AD177" t="str">
            <v xml:space="preserve"> --</v>
          </cell>
          <cell r="AE177" t="str">
            <v xml:space="preserve"> --</v>
          </cell>
          <cell r="AF177" t="str">
            <v xml:space="preserve"> --</v>
          </cell>
          <cell r="AH177" t="str">
            <v xml:space="preserve"> --</v>
          </cell>
          <cell r="AI177" t="str">
            <v xml:space="preserve"> --</v>
          </cell>
          <cell r="AJ177" t="str">
            <v xml:space="preserve"> 9/02</v>
          </cell>
          <cell r="AK177" t="str">
            <v>12/02</v>
          </cell>
          <cell r="AM177" t="str">
            <v xml:space="preserve"> 3/03</v>
          </cell>
          <cell r="AN177" t="str">
            <v xml:space="preserve"> 6/03</v>
          </cell>
          <cell r="AO177" t="str">
            <v xml:space="preserve"> 9/03</v>
          </cell>
          <cell r="AP177" t="str">
            <v>12/03E</v>
          </cell>
          <cell r="AR177" t="str">
            <v xml:space="preserve"> 3/04E</v>
          </cell>
          <cell r="AS177" t="str">
            <v xml:space="preserve"> 6/04E</v>
          </cell>
          <cell r="AT177" t="str">
            <v xml:space="preserve"> 9/04E</v>
          </cell>
          <cell r="AU177" t="str">
            <v>12/04E</v>
          </cell>
          <cell r="AW177" t="str">
            <v xml:space="preserve"> 3/05E</v>
          </cell>
          <cell r="AX177" t="str">
            <v xml:space="preserve"> --</v>
          </cell>
          <cell r="AY177">
            <v>22.033105828822475</v>
          </cell>
          <cell r="AZ177">
            <v>43.162830524905573</v>
          </cell>
          <cell r="BA177" t="str">
            <v xml:space="preserve"> --</v>
          </cell>
          <cell r="BB177" t="str">
            <v xml:space="preserve"> --</v>
          </cell>
          <cell r="BC177">
            <v>1997</v>
          </cell>
          <cell r="BD177">
            <v>1998</v>
          </cell>
          <cell r="BE177" t="str">
            <v xml:space="preserve"> </v>
          </cell>
          <cell r="BF177">
            <v>2000</v>
          </cell>
          <cell r="BG177">
            <v>2001</v>
          </cell>
          <cell r="BH177">
            <v>2002</v>
          </cell>
          <cell r="BI177" t="str">
            <v>2003E</v>
          </cell>
          <cell r="BJ177" t="str">
            <v>2004E</v>
          </cell>
          <cell r="BK177" t="str">
            <v>2005E</v>
          </cell>
          <cell r="BM177">
            <v>2002</v>
          </cell>
          <cell r="BN177">
            <v>2003</v>
          </cell>
          <cell r="BO177">
            <v>2004</v>
          </cell>
          <cell r="BP177">
            <v>2005</v>
          </cell>
          <cell r="BQ177">
            <v>2006</v>
          </cell>
          <cell r="BR177">
            <v>2007</v>
          </cell>
          <cell r="BS177">
            <v>2008</v>
          </cell>
          <cell r="BT177">
            <v>2009</v>
          </cell>
          <cell r="BU177">
            <v>2010</v>
          </cell>
          <cell r="BV177">
            <v>2011</v>
          </cell>
          <cell r="BW177">
            <v>2012</v>
          </cell>
          <cell r="BX177">
            <v>2013</v>
          </cell>
          <cell r="BY177">
            <v>2014</v>
          </cell>
          <cell r="BZ177">
            <v>2015</v>
          </cell>
          <cell r="CA177">
            <v>2016</v>
          </cell>
        </row>
        <row r="178">
          <cell r="A178" t="str">
            <v>Europe</v>
          </cell>
          <cell r="D178" t="str">
            <v xml:space="preserve"> --</v>
          </cell>
          <cell r="E178" t="str">
            <v xml:space="preserve"> --</v>
          </cell>
          <cell r="F178" t="str">
            <v xml:space="preserve"> --</v>
          </cell>
          <cell r="G178" t="str">
            <v xml:space="preserve"> --</v>
          </cell>
          <cell r="I178" t="str">
            <v xml:space="preserve"> --</v>
          </cell>
          <cell r="J178" t="str">
            <v xml:space="preserve"> --</v>
          </cell>
          <cell r="K178" t="str">
            <v xml:space="preserve"> --</v>
          </cell>
          <cell r="L178" t="str">
            <v xml:space="preserve"> --</v>
          </cell>
          <cell r="N178" t="str">
            <v xml:space="preserve"> --</v>
          </cell>
          <cell r="O178" t="str">
            <v xml:space="preserve"> --</v>
          </cell>
          <cell r="P178" t="str">
            <v xml:space="preserve"> --</v>
          </cell>
          <cell r="Q178" t="str">
            <v xml:space="preserve"> --</v>
          </cell>
          <cell r="S178">
            <v>62.23358205878715</v>
          </cell>
          <cell r="T178">
            <v>44.184137837348317</v>
          </cell>
          <cell r="U178">
            <v>33.916217803078652</v>
          </cell>
          <cell r="V178">
            <v>53.884016311829505</v>
          </cell>
          <cell r="X178">
            <v>47.330148485079505</v>
          </cell>
          <cell r="Y178">
            <v>106.09069103728217</v>
          </cell>
          <cell r="Z178">
            <v>191.3787910558722</v>
          </cell>
          <cell r="AA178">
            <v>233.68366861807925</v>
          </cell>
          <cell r="AC178">
            <v>160.11935390214248</v>
          </cell>
          <cell r="AD178">
            <v>59.819307746375586</v>
          </cell>
          <cell r="AE178">
            <v>-16.045465488726542</v>
          </cell>
          <cell r="AF178">
            <v>-48.083787607217353</v>
          </cell>
          <cell r="AH178">
            <v>-48.026544809561436</v>
          </cell>
          <cell r="AI178">
            <v>-42.71895459112465</v>
          </cell>
          <cell r="AJ178" t="str">
            <v xml:space="preserve"> 9/02</v>
          </cell>
          <cell r="AK178" t="str">
            <v>12/02</v>
          </cell>
          <cell r="AM178" t="str">
            <v xml:space="preserve"> 3/03</v>
          </cell>
          <cell r="AN178" t="str">
            <v xml:space="preserve"> 6/03</v>
          </cell>
          <cell r="AO178" t="str">
            <v xml:space="preserve"> 9/03</v>
          </cell>
          <cell r="AP178">
            <v>37958</v>
          </cell>
          <cell r="AR178" t="str">
            <v xml:space="preserve"> 3/04E</v>
          </cell>
          <cell r="AS178" t="str">
            <v xml:space="preserve"> 6/04E</v>
          </cell>
          <cell r="AT178" t="str">
            <v xml:space="preserve"> 9/04E</v>
          </cell>
          <cell r="AU178" t="str">
            <v>12/04E</v>
          </cell>
          <cell r="AW178" t="str">
            <v xml:space="preserve"> 3/05E</v>
          </cell>
          <cell r="AX178" t="str">
            <v xml:space="preserve"> --</v>
          </cell>
          <cell r="AY178">
            <v>61.955781688025027</v>
          </cell>
          <cell r="AZ178">
            <v>47.95283083078543</v>
          </cell>
          <cell r="BA178">
            <v>154.66622768048421</v>
          </cell>
          <cell r="BB178">
            <v>6.3075485572039014</v>
          </cell>
          <cell r="BC178">
            <v>1997</v>
          </cell>
          <cell r="BD178">
            <v>1998</v>
          </cell>
          <cell r="BE178" t="str">
            <v xml:space="preserve"> </v>
          </cell>
          <cell r="BF178">
            <v>2000</v>
          </cell>
          <cell r="BG178">
            <v>2001</v>
          </cell>
          <cell r="BH178">
            <v>2002</v>
          </cell>
          <cell r="BI178">
            <v>2003</v>
          </cell>
          <cell r="BJ178" t="str">
            <v>2004E</v>
          </cell>
          <cell r="BK178" t="str">
            <v>2005E</v>
          </cell>
          <cell r="BM178">
            <v>2002</v>
          </cell>
          <cell r="BN178">
            <v>2003</v>
          </cell>
          <cell r="BO178">
            <v>2004</v>
          </cell>
          <cell r="BP178">
            <v>2005</v>
          </cell>
          <cell r="BQ178">
            <v>2006</v>
          </cell>
          <cell r="BR178">
            <v>2007</v>
          </cell>
          <cell r="BS178">
            <v>2008</v>
          </cell>
          <cell r="BT178">
            <v>2009</v>
          </cell>
          <cell r="BU178">
            <v>2010</v>
          </cell>
          <cell r="BV178">
            <v>2011</v>
          </cell>
          <cell r="BW178">
            <v>2012</v>
          </cell>
          <cell r="BX178">
            <v>2013</v>
          </cell>
          <cell r="BY178">
            <v>2014</v>
          </cell>
          <cell r="BZ178">
            <v>2015</v>
          </cell>
          <cell r="CA178">
            <v>2016</v>
          </cell>
        </row>
        <row r="179">
          <cell r="A179" t="str">
            <v>Asia</v>
          </cell>
          <cell r="D179" t="str">
            <v xml:space="preserve"> --</v>
          </cell>
          <cell r="E179" t="str">
            <v xml:space="preserve"> --</v>
          </cell>
          <cell r="F179" t="str">
            <v xml:space="preserve"> --</v>
          </cell>
          <cell r="G179" t="str">
            <v xml:space="preserve"> --</v>
          </cell>
          <cell r="I179" t="str">
            <v xml:space="preserve"> --</v>
          </cell>
          <cell r="J179" t="str">
            <v xml:space="preserve"> --</v>
          </cell>
          <cell r="K179" t="str">
            <v xml:space="preserve"> --</v>
          </cell>
          <cell r="L179" t="str">
            <v xml:space="preserve"> --</v>
          </cell>
          <cell r="N179" t="str">
            <v xml:space="preserve"> --</v>
          </cell>
          <cell r="O179" t="str">
            <v xml:space="preserve"> --</v>
          </cell>
          <cell r="P179" t="str">
            <v xml:space="preserve"> --</v>
          </cell>
          <cell r="Q179" t="str">
            <v xml:space="preserve"> --</v>
          </cell>
          <cell r="S179" t="str">
            <v xml:space="preserve"> --</v>
          </cell>
          <cell r="T179" t="str">
            <v xml:space="preserve"> --</v>
          </cell>
          <cell r="U179" t="str">
            <v xml:space="preserve"> --</v>
          </cell>
          <cell r="V179" t="str">
            <v xml:space="preserve"> --</v>
          </cell>
          <cell r="X179">
            <v>9.3764816610171877</v>
          </cell>
          <cell r="Y179">
            <v>22.91951675369468</v>
          </cell>
          <cell r="Z179">
            <v>16.499549192645002</v>
          </cell>
          <cell r="AA179">
            <v>35.997671094194672</v>
          </cell>
          <cell r="AC179">
            <v>39.079069105401729</v>
          </cell>
          <cell r="AD179">
            <v>2.8821937277277776</v>
          </cell>
          <cell r="AE179">
            <v>-23.147748592870542</v>
          </cell>
          <cell r="AF179">
            <v>32.715654952076669</v>
          </cell>
          <cell r="AH179">
            <v>86.405039030154171</v>
          </cell>
          <cell r="AI179">
            <v>171.00326057146339</v>
          </cell>
          <cell r="AJ179">
            <v>1958.9</v>
          </cell>
          <cell r="AK179">
            <v>1911.9</v>
          </cell>
          <cell r="AM179">
            <v>1587.4</v>
          </cell>
          <cell r="AN179">
            <v>1598.4</v>
          </cell>
          <cell r="AO179">
            <v>1634.8</v>
          </cell>
          <cell r="AP179">
            <v>1744.8220400000002</v>
          </cell>
          <cell r="AX179" t="str">
            <v xml:space="preserve"> --</v>
          </cell>
          <cell r="AY179" t="str">
            <v xml:space="preserve"> --</v>
          </cell>
          <cell r="AZ179" t="str">
            <v xml:space="preserve"> --</v>
          </cell>
          <cell r="BA179">
            <v>22.808675179254379</v>
          </cell>
          <cell r="BB179">
            <v>13.640652966314004</v>
          </cell>
          <cell r="BC179">
            <v>2006.5590000000002</v>
          </cell>
          <cell r="BD179">
            <v>3249.2190000000001</v>
          </cell>
          <cell r="BE179" t="str">
            <v xml:space="preserve"> </v>
          </cell>
          <cell r="BF179">
            <v>9752.0749999999989</v>
          </cell>
          <cell r="BG179">
            <v>10004.431</v>
          </cell>
          <cell r="BH179">
            <v>8271.5</v>
          </cell>
        </row>
        <row r="180">
          <cell r="A180" t="str">
            <v>North America</v>
          </cell>
          <cell r="I180">
            <v>329.6</v>
          </cell>
          <cell r="J180">
            <v>292.65499999999997</v>
          </cell>
          <cell r="K180">
            <v>296.11700000000002</v>
          </cell>
          <cell r="L180">
            <v>525.18700000000001</v>
          </cell>
          <cell r="N180">
            <v>593.16</v>
          </cell>
          <cell r="O180">
            <v>596.94899999999996</v>
          </cell>
          <cell r="P180">
            <v>615.71400000000006</v>
          </cell>
          <cell r="Q180">
            <v>694.3</v>
          </cell>
          <cell r="S180">
            <v>742.07299999999998</v>
          </cell>
          <cell r="T180">
            <v>854.75800000000004</v>
          </cell>
          <cell r="U180">
            <v>930.69500000000005</v>
          </cell>
          <cell r="V180">
            <v>1060.0609999999999</v>
          </cell>
          <cell r="X180">
            <v>1180.7270000000001</v>
          </cell>
          <cell r="Y180">
            <v>1499.2460000000001</v>
          </cell>
          <cell r="Z180">
            <v>1718</v>
          </cell>
          <cell r="AA180">
            <v>2145</v>
          </cell>
          <cell r="AC180">
            <v>1695.62</v>
          </cell>
          <cell r="AD180">
            <v>1712.7909999999999</v>
          </cell>
          <cell r="AE180">
            <v>1442.7190000000001</v>
          </cell>
          <cell r="AF180">
            <v>1483.5</v>
          </cell>
          <cell r="AH180">
            <v>1359.4</v>
          </cell>
          <cell r="AI180">
            <v>1308.8</v>
          </cell>
          <cell r="AJ180">
            <v>1028.4000000000001</v>
          </cell>
          <cell r="AK180">
            <v>944.2</v>
          </cell>
          <cell r="AM180">
            <v>769.3</v>
          </cell>
          <cell r="AN180">
            <v>783.8</v>
          </cell>
          <cell r="AO180">
            <v>729.5</v>
          </cell>
          <cell r="AP180">
            <v>823.55600288000028</v>
          </cell>
          <cell r="AR180">
            <v>2004.30944</v>
          </cell>
          <cell r="AS180">
            <v>2319.3401217999999</v>
          </cell>
          <cell r="AT180">
            <v>2383.9600678340003</v>
          </cell>
          <cell r="AU180">
            <v>2893.54095727506</v>
          </cell>
          <cell r="AW180">
            <v>2886.3343696215716</v>
          </cell>
          <cell r="AX180">
            <v>3042.6861522059116</v>
          </cell>
          <cell r="AY180">
            <v>2984.5163722462944</v>
          </cell>
          <cell r="AZ180">
            <v>3294.0619997035114</v>
          </cell>
          <cell r="BB180" t="str">
            <v xml:space="preserve"> --</v>
          </cell>
          <cell r="BC180">
            <v>1543.9</v>
          </cell>
          <cell r="BD180">
            <v>2499.9160000000002</v>
          </cell>
          <cell r="BE180">
            <v>3587.5870000000004</v>
          </cell>
          <cell r="BF180">
            <v>6542.973</v>
          </cell>
          <cell r="BG180">
            <v>6334.63</v>
          </cell>
          <cell r="BH180">
            <v>4640.8</v>
          </cell>
          <cell r="BI180">
            <v>6735.4000000000005</v>
          </cell>
        </row>
        <row r="181">
          <cell r="A181" t="str">
            <v>Revenue Growth (seq.)</v>
          </cell>
          <cell r="D181" t="str">
            <v xml:space="preserve"> --</v>
          </cell>
          <cell r="E181">
            <v>-0.26575164767874693</v>
          </cell>
          <cell r="F181">
            <v>-0.33442334527591389</v>
          </cell>
          <cell r="G181">
            <v>-6.844798118298745E-3</v>
          </cell>
          <cell r="I181">
            <v>0.33799991699752385</v>
          </cell>
          <cell r="J181">
            <v>-0.10948097601323414</v>
          </cell>
          <cell r="K181">
            <v>-5.0012190732721007E-2</v>
          </cell>
          <cell r="L181">
            <v>0.66990616376244438</v>
          </cell>
          <cell r="N181">
            <v>8.1255937247049603E-2</v>
          </cell>
          <cell r="O181">
            <v>4.7273588736970185E-2</v>
          </cell>
          <cell r="P181">
            <v>4.9092514293174627E-2</v>
          </cell>
          <cell r="Q181">
            <v>0.14009117792015768</v>
          </cell>
          <cell r="S181">
            <v>0.16916279944407098</v>
          </cell>
          <cell r="T181">
            <v>0.15517866122400692</v>
          </cell>
          <cell r="U181">
            <v>8.5818196367128063E-2</v>
          </cell>
          <cell r="V181">
            <v>0.18556656965968465</v>
          </cell>
          <cell r="X181">
            <v>2.2203560401827804E-3</v>
          </cell>
          <cell r="Y181">
            <v>0.29743419897874035</v>
          </cell>
          <cell r="Z181">
            <v>0.24297056766559133</v>
          </cell>
          <cell r="AA181">
            <v>0.32597016555589686</v>
          </cell>
          <cell r="AC181">
            <v>-0.21902735720998223</v>
          </cell>
          <cell r="AD181">
            <v>-1.1835882008857546E-2</v>
          </cell>
          <cell r="AE181">
            <v>-0.17204305924818464</v>
          </cell>
          <cell r="AF181">
            <v>0.11132799201071286</v>
          </cell>
          <cell r="AH181">
            <v>-0.12119107916019922</v>
          </cell>
          <cell r="AI181">
            <v>3.2979200557750499E-2</v>
          </cell>
          <cell r="AJ181">
            <v>1.5281043404820727E-2</v>
          </cell>
          <cell r="AK181">
            <v>6.9517637986798109E-2</v>
          </cell>
          <cell r="AM181">
            <v>769.3</v>
          </cell>
          <cell r="AN181">
            <v>783.8</v>
          </cell>
          <cell r="AO181">
            <v>0</v>
          </cell>
          <cell r="AP181">
            <v>0</v>
          </cell>
          <cell r="AR181">
            <v>841.80996479999999</v>
          </cell>
          <cell r="AS181">
            <v>1000.5634162824136</v>
          </cell>
          <cell r="AT181">
            <v>1029.0316833979871</v>
          </cell>
          <cell r="AU181">
            <v>1250.3102962268181</v>
          </cell>
          <cell r="AW181" t="str">
            <v xml:space="preserve"> --</v>
          </cell>
          <cell r="AX181" t="str">
            <v xml:space="preserve"> --</v>
          </cell>
          <cell r="AY181" t="str">
            <v xml:space="preserve"> --</v>
          </cell>
          <cell r="AZ181" t="str">
            <v xml:space="preserve"> --</v>
          </cell>
          <cell r="BA181" t="str">
            <v xml:space="preserve"> --</v>
          </cell>
          <cell r="BB181" t="str">
            <v xml:space="preserve"> --</v>
          </cell>
          <cell r="BC181">
            <v>269.2</v>
          </cell>
          <cell r="BD181">
            <v>944.56700000000001</v>
          </cell>
          <cell r="BE181">
            <v>1360.6089999999999</v>
          </cell>
          <cell r="BF181" t="str">
            <v xml:space="preserve"> --</v>
          </cell>
          <cell r="BG181" t="str">
            <v xml:space="preserve"> --</v>
          </cell>
          <cell r="BH181">
            <v>0</v>
          </cell>
          <cell r="BI181">
            <v>3091.1</v>
          </cell>
        </row>
        <row r="182">
          <cell r="A182" t="str">
            <v>North America</v>
          </cell>
          <cell r="D182" t="str">
            <v xml:space="preserve"> --</v>
          </cell>
          <cell r="E182" t="str">
            <v xml:space="preserve"> --</v>
          </cell>
          <cell r="F182" t="str">
            <v xml:space="preserve"> --</v>
          </cell>
          <cell r="G182" t="str">
            <v xml:space="preserve"> --</v>
          </cell>
          <cell r="I182" t="str">
            <v xml:space="preserve"> --</v>
          </cell>
          <cell r="J182">
            <v>-11.209041262135933</v>
          </cell>
          <cell r="K182">
            <v>1.1829628743742715</v>
          </cell>
          <cell r="L182">
            <v>77.357936221155811</v>
          </cell>
          <cell r="N182">
            <v>12.942628054388239</v>
          </cell>
          <cell r="O182">
            <v>0.63878211612380387</v>
          </cell>
          <cell r="P182">
            <v>3.1434846192891053</v>
          </cell>
          <cell r="Q182">
            <v>12.763393393686018</v>
          </cell>
          <cell r="S182">
            <v>6.880743194584471</v>
          </cell>
          <cell r="T182">
            <v>15.185163723784601</v>
          </cell>
          <cell r="U182">
            <v>8.8840350134190125</v>
          </cell>
          <cell r="V182">
            <v>13.899934994815677</v>
          </cell>
          <cell r="X182">
            <v>11.382929850263345</v>
          </cell>
          <cell r="Y182">
            <v>26.976515316410989</v>
          </cell>
          <cell r="Z182">
            <v>14.59093437634651</v>
          </cell>
          <cell r="AA182">
            <v>24.85448195576252</v>
          </cell>
          <cell r="AC182">
            <v>-20.950116550116562</v>
          </cell>
          <cell r="AD182">
            <v>1.0126679326736054</v>
          </cell>
          <cell r="AE182">
            <v>-15.767948336954118</v>
          </cell>
          <cell r="AF182">
            <v>2.8266765738858224</v>
          </cell>
          <cell r="AH182">
            <v>-8.3653522076171161</v>
          </cell>
          <cell r="AI182">
            <v>-3.7222303957628489</v>
          </cell>
          <cell r="AJ182" t="str">
            <v xml:space="preserve"> --</v>
          </cell>
          <cell r="AK182" t="str">
            <v xml:space="preserve"> --</v>
          </cell>
          <cell r="AO182">
            <v>0</v>
          </cell>
          <cell r="AP182">
            <v>0</v>
          </cell>
          <cell r="AW182" t="str">
            <v xml:space="preserve"> --</v>
          </cell>
          <cell r="AX182" t="str">
            <v xml:space="preserve"> --</v>
          </cell>
          <cell r="AY182" t="str">
            <v xml:space="preserve"> --</v>
          </cell>
          <cell r="AZ182" t="str">
            <v xml:space="preserve"> --</v>
          </cell>
          <cell r="BA182" t="str">
            <v xml:space="preserve"> --</v>
          </cell>
          <cell r="BB182" t="str">
            <v xml:space="preserve"> --</v>
          </cell>
          <cell r="BC182">
            <v>1274.7</v>
          </cell>
          <cell r="BD182">
            <v>1555.556</v>
          </cell>
          <cell r="BE182">
            <v>2226.9780000000001</v>
          </cell>
          <cell r="BF182" t="str">
            <v xml:space="preserve"> --</v>
          </cell>
          <cell r="BG182" t="str">
            <v xml:space="preserve"> --</v>
          </cell>
          <cell r="BH182">
            <v>0</v>
          </cell>
          <cell r="BI182" t="e">
            <v>#VALUE!</v>
          </cell>
        </row>
        <row r="183">
          <cell r="A183" t="str">
            <v xml:space="preserve">  U.S.</v>
          </cell>
          <cell r="D183" t="str">
            <v xml:space="preserve"> --</v>
          </cell>
          <cell r="E183" t="str">
            <v xml:space="preserve"> --</v>
          </cell>
          <cell r="F183" t="str">
            <v xml:space="preserve"> --</v>
          </cell>
          <cell r="G183" t="str">
            <v xml:space="preserve"> --</v>
          </cell>
          <cell r="I183" t="str">
            <v xml:space="preserve"> --</v>
          </cell>
          <cell r="J183" t="str">
            <v xml:space="preserve"> --</v>
          </cell>
          <cell r="K183" t="str">
            <v xml:space="preserve"> --</v>
          </cell>
          <cell r="L183">
            <v>1208.3333333333335</v>
          </cell>
          <cell r="N183">
            <v>82.301910828025456</v>
          </cell>
          <cell r="O183">
            <v>-21.853927480835999</v>
          </cell>
          <cell r="P183">
            <v>-6.2490778619810676</v>
          </cell>
          <cell r="Q183">
            <v>7.3022776696806346</v>
          </cell>
          <cell r="S183">
            <v>13.454666666666659</v>
          </cell>
          <cell r="T183">
            <v>10.305045970392523</v>
          </cell>
          <cell r="U183">
            <v>17.939903188803143</v>
          </cell>
          <cell r="V183">
            <v>48.049347473907879</v>
          </cell>
          <cell r="X183" t="str">
            <v xml:space="preserve"> --</v>
          </cell>
          <cell r="Y183" t="str">
            <v xml:space="preserve"> --</v>
          </cell>
          <cell r="Z183" t="str">
            <v xml:space="preserve"> --</v>
          </cell>
          <cell r="AA183">
            <v>50.229676847782741</v>
          </cell>
          <cell r="AC183" t="str">
            <v xml:space="preserve"> --</v>
          </cell>
          <cell r="AD183" t="str">
            <v xml:space="preserve"> --</v>
          </cell>
          <cell r="AE183" t="str">
            <v xml:space="preserve"> --</v>
          </cell>
          <cell r="AF183" t="str">
            <v xml:space="preserve"> --</v>
          </cell>
          <cell r="AH183" t="str">
            <v xml:space="preserve"> --</v>
          </cell>
          <cell r="AI183" t="str">
            <v xml:space="preserve"> --</v>
          </cell>
          <cell r="AJ183">
            <v>382.3</v>
          </cell>
          <cell r="AK183">
            <v>453.3</v>
          </cell>
          <cell r="AM183">
            <v>336.4</v>
          </cell>
          <cell r="AN183">
            <v>344.1</v>
          </cell>
          <cell r="AO183">
            <v>322.2</v>
          </cell>
          <cell r="AP183" t="e">
            <v>#VALUE!</v>
          </cell>
          <cell r="AW183" t="str">
            <v xml:space="preserve"> --</v>
          </cell>
          <cell r="AX183" t="str">
            <v xml:space="preserve"> --</v>
          </cell>
          <cell r="AY183" t="str">
            <v xml:space="preserve"> --</v>
          </cell>
          <cell r="AZ183" t="str">
            <v xml:space="preserve"> --</v>
          </cell>
          <cell r="BA183" t="str">
            <v xml:space="preserve"> --</v>
          </cell>
          <cell r="BB183" t="str">
            <v xml:space="preserve"> --</v>
          </cell>
          <cell r="BC183">
            <v>462.65900000000011</v>
          </cell>
          <cell r="BD183">
            <v>749.30299999999988</v>
          </cell>
          <cell r="BE183">
            <v>1108.615</v>
          </cell>
          <cell r="BF183">
            <v>2823.268</v>
          </cell>
          <cell r="BG183">
            <v>3001.3469999999998</v>
          </cell>
          <cell r="BH183">
            <v>1786.5</v>
          </cell>
          <cell r="BI183" t="e">
            <v>#VALUE!</v>
          </cell>
        </row>
        <row r="184">
          <cell r="A184" t="str">
            <v xml:space="preserve">  Canada</v>
          </cell>
          <cell r="D184" t="str">
            <v xml:space="preserve"> --</v>
          </cell>
          <cell r="E184" t="str">
            <v xml:space="preserve"> --</v>
          </cell>
          <cell r="F184" t="str">
            <v xml:space="preserve"> --</v>
          </cell>
          <cell r="G184" t="str">
            <v xml:space="preserve"> --</v>
          </cell>
          <cell r="I184" t="str">
            <v xml:space="preserve"> --</v>
          </cell>
          <cell r="J184">
            <v>-11.209041262135933</v>
          </cell>
          <cell r="K184">
            <v>-2.9174283712904092</v>
          </cell>
          <cell r="L184">
            <v>29.589922461521123</v>
          </cell>
          <cell r="N184">
            <v>-16.633123928873093</v>
          </cell>
          <cell r="O184">
            <v>21.612270562248725</v>
          </cell>
          <cell r="P184">
            <v>8.7713376410454291</v>
          </cell>
          <cell r="Q184">
            <v>15.583731091112396</v>
          </cell>
          <cell r="S184">
            <v>3.7289580225868368</v>
          </cell>
          <cell r="T184">
            <v>17.744248151191442</v>
          </cell>
          <cell r="U184">
            <v>4.4352636785367272</v>
          </cell>
          <cell r="V184">
            <v>-5.0455979859705842</v>
          </cell>
          <cell r="X184" t="str">
            <v xml:space="preserve"> --</v>
          </cell>
          <cell r="Y184" t="str">
            <v xml:space="preserve"> --</v>
          </cell>
          <cell r="Z184" t="str">
            <v xml:space="preserve"> --</v>
          </cell>
          <cell r="AA184">
            <v>-2.1009265828072721</v>
          </cell>
          <cell r="AC184" t="str">
            <v xml:space="preserve"> --</v>
          </cell>
          <cell r="AD184" t="str">
            <v xml:space="preserve"> --</v>
          </cell>
          <cell r="AE184" t="str">
            <v xml:space="preserve"> --</v>
          </cell>
          <cell r="AF184" t="str">
            <v xml:space="preserve"> --</v>
          </cell>
          <cell r="AH184" t="str">
            <v xml:space="preserve"> --</v>
          </cell>
          <cell r="AI184" t="str">
            <v xml:space="preserve"> --</v>
          </cell>
          <cell r="AJ184">
            <v>595.4</v>
          </cell>
          <cell r="AK184">
            <v>580.20000000000005</v>
          </cell>
          <cell r="AM184">
            <v>525.6</v>
          </cell>
          <cell r="AN184">
            <v>538.1</v>
          </cell>
          <cell r="AO184">
            <v>637</v>
          </cell>
          <cell r="AP184">
            <v>628.13593440000011</v>
          </cell>
          <cell r="AR184">
            <v>420.90498239999999</v>
          </cell>
          <cell r="AS184">
            <v>498.71379100599933</v>
          </cell>
          <cell r="AT184">
            <v>512.90331381438841</v>
          </cell>
          <cell r="AU184">
            <v>623.19586906534607</v>
          </cell>
          <cell r="AW184" t="str">
            <v xml:space="preserve"> --</v>
          </cell>
          <cell r="AX184" t="str">
            <v xml:space="preserve"> --</v>
          </cell>
          <cell r="AY184" t="str">
            <v xml:space="preserve"> --</v>
          </cell>
          <cell r="AZ184" t="str">
            <v xml:space="preserve"> --</v>
          </cell>
          <cell r="BA184" t="str">
            <v xml:space="preserve"> --</v>
          </cell>
          <cell r="BB184" t="str">
            <v xml:space="preserve"> --</v>
          </cell>
          <cell r="BC184" t="str">
            <v xml:space="preserve"> --</v>
          </cell>
          <cell r="BD184" t="str">
            <v xml:space="preserve"> --</v>
          </cell>
          <cell r="BE184">
            <v>710.16399999999999</v>
          </cell>
          <cell r="BF184">
            <v>872.14300000000003</v>
          </cell>
          <cell r="BG184">
            <v>991.10900000000004</v>
          </cell>
          <cell r="BH184">
            <v>2109.8999999999996</v>
          </cell>
          <cell r="BI184">
            <v>1399.3000000000002</v>
          </cell>
        </row>
        <row r="185">
          <cell r="A185" t="str">
            <v>Europe</v>
          </cell>
          <cell r="D185" t="str">
            <v xml:space="preserve"> --</v>
          </cell>
          <cell r="E185" t="str">
            <v xml:space="preserve"> --</v>
          </cell>
          <cell r="F185" t="str">
            <v xml:space="preserve"> --</v>
          </cell>
          <cell r="G185" t="str">
            <v xml:space="preserve"> --</v>
          </cell>
          <cell r="I185" t="str">
            <v xml:space="preserve"> --</v>
          </cell>
          <cell r="J185">
            <v>-10.389610389610393</v>
          </cell>
          <cell r="K185">
            <v>-18.115942028985511</v>
          </cell>
          <cell r="L185">
            <v>39.823008849557517</v>
          </cell>
          <cell r="N185">
            <v>-7.8848101265822752</v>
          </cell>
          <cell r="O185">
            <v>21.389014854818544</v>
          </cell>
          <cell r="P185">
            <v>10.863634305379467</v>
          </cell>
          <cell r="Q185">
            <v>17.937354810711483</v>
          </cell>
          <cell r="S185">
            <v>2.2164694066615143</v>
          </cell>
          <cell r="T185">
            <v>7.8837699794170657</v>
          </cell>
          <cell r="U185">
            <v>2.9685984933243814</v>
          </cell>
          <cell r="V185">
            <v>35.52259860081206</v>
          </cell>
          <cell r="X185">
            <v>-2.1368952004253594</v>
          </cell>
          <cell r="Y185">
            <v>50.911683286716716</v>
          </cell>
          <cell r="Z185">
            <v>45.580887689268756</v>
          </cell>
          <cell r="AA185">
            <v>55.198934410785697</v>
          </cell>
          <cell r="AC185">
            <v>-23.711916448452207</v>
          </cell>
          <cell r="AD185">
            <v>-7.2787149748310576</v>
          </cell>
          <cell r="AE185">
            <v>-23.525036918027087</v>
          </cell>
          <cell r="AF185">
            <v>-4.0273299243658078</v>
          </cell>
          <cell r="AH185">
            <v>-23.627801234166935</v>
          </cell>
          <cell r="AI185">
            <v>2.1900914310014841</v>
          </cell>
          <cell r="AJ185">
            <v>-47.2</v>
          </cell>
          <cell r="AK185">
            <v>-65.8</v>
          </cell>
          <cell r="AM185">
            <v>-43.9</v>
          </cell>
          <cell r="AN185">
            <v>-67.599999999999994</v>
          </cell>
          <cell r="AO185">
            <v>-53.9</v>
          </cell>
          <cell r="AP185">
            <v>-73.28252568000002</v>
          </cell>
          <cell r="AR185">
            <v>801.72377600000004</v>
          </cell>
          <cell r="AS185">
            <v>931.6912043432992</v>
          </cell>
          <cell r="AT185">
            <v>958.19990298533412</v>
          </cell>
          <cell r="AU185">
            <v>1164.2471498933878</v>
          </cell>
          <cell r="AW185" t="str">
            <v xml:space="preserve"> --</v>
          </cell>
          <cell r="AX185" t="str">
            <v xml:space="preserve"> --</v>
          </cell>
          <cell r="AY185" t="str">
            <v xml:space="preserve"> --</v>
          </cell>
          <cell r="AZ185" t="str">
            <v xml:space="preserve"> --</v>
          </cell>
          <cell r="BA185" t="str">
            <v xml:space="preserve"> --</v>
          </cell>
          <cell r="BB185" t="str">
            <v xml:space="preserve"> --</v>
          </cell>
          <cell r="BC185" t="str">
            <v xml:space="preserve"> --</v>
          </cell>
          <cell r="BD185" t="str">
            <v xml:space="preserve"> --</v>
          </cell>
          <cell r="BE185">
            <v>-109.13399999999999</v>
          </cell>
          <cell r="BF185">
            <v>-485.48</v>
          </cell>
          <cell r="BG185">
            <v>-322.65500000000003</v>
          </cell>
          <cell r="BH185">
            <v>-265.5</v>
          </cell>
          <cell r="BI185">
            <v>2475.5</v>
          </cell>
        </row>
        <row r="186">
          <cell r="A186" t="str">
            <v>Asia</v>
          </cell>
          <cell r="D186" t="str">
            <v xml:space="preserve"> --</v>
          </cell>
          <cell r="E186" t="str">
            <v xml:space="preserve"> --</v>
          </cell>
          <cell r="F186" t="str">
            <v xml:space="preserve"> --</v>
          </cell>
          <cell r="G186" t="str">
            <v xml:space="preserve"> --</v>
          </cell>
          <cell r="I186" t="str">
            <v xml:space="preserve"> --</v>
          </cell>
          <cell r="J186" t="str">
            <v xml:space="preserve"> --</v>
          </cell>
          <cell r="K186" t="str">
            <v xml:space="preserve"> --</v>
          </cell>
          <cell r="L186" t="str">
            <v xml:space="preserve"> --</v>
          </cell>
          <cell r="N186" t="str">
            <v xml:space="preserve"> --</v>
          </cell>
          <cell r="O186" t="str">
            <v xml:space="preserve"> --</v>
          </cell>
          <cell r="P186" t="str">
            <v xml:space="preserve"> --</v>
          </cell>
          <cell r="Q186" t="str">
            <v xml:space="preserve"> --</v>
          </cell>
          <cell r="S186" t="str">
            <v xml:space="preserve"> --</v>
          </cell>
          <cell r="T186">
            <v>10.180382277388178</v>
          </cell>
          <cell r="U186">
            <v>17.53919471794574</v>
          </cell>
          <cell r="V186">
            <v>25.762137646512407</v>
          </cell>
          <cell r="X186">
            <v>-32.843654817923884</v>
          </cell>
          <cell r="Y186">
            <v>23.822956632009372</v>
          </cell>
          <cell r="Z186">
            <v>11.400236176860922</v>
          </cell>
          <cell r="AA186">
            <v>46.810506566604126</v>
          </cell>
          <cell r="AC186">
            <v>-31.322044728434506</v>
          </cell>
          <cell r="AD186">
            <v>-8.4033457076134415</v>
          </cell>
          <cell r="AE186">
            <v>-16.784832756046285</v>
          </cell>
          <cell r="AF186">
            <v>153.52611245720146</v>
          </cell>
          <cell r="AH186">
            <v>-3.5387578237842998</v>
          </cell>
          <cell r="AI186">
            <v>33.166957823808339</v>
          </cell>
          <cell r="AJ186">
            <v>-47.2</v>
          </cell>
          <cell r="AK186">
            <v>-65.8</v>
          </cell>
          <cell r="AM186">
            <v>-43.9</v>
          </cell>
          <cell r="AN186">
            <v>-67.599999999999994</v>
          </cell>
          <cell r="AO186">
            <v>-53.9</v>
          </cell>
          <cell r="AP186">
            <v>-65.099999999999994</v>
          </cell>
          <cell r="AR186">
            <v>-60.129283199999996</v>
          </cell>
          <cell r="AS186">
            <v>-88.500211631712034</v>
          </cell>
          <cell r="AT186">
            <v>-91.018240597709351</v>
          </cell>
          <cell r="AU186">
            <v>-110.59041737955141</v>
          </cell>
          <cell r="AW186" t="str">
            <v xml:space="preserve"> --</v>
          </cell>
          <cell r="AX186" t="str">
            <v xml:space="preserve"> --</v>
          </cell>
          <cell r="AY186" t="str">
            <v xml:space="preserve"> --</v>
          </cell>
          <cell r="AZ186" t="str">
            <v xml:space="preserve"> --</v>
          </cell>
          <cell r="BA186" t="str">
            <v xml:space="preserve"> --</v>
          </cell>
          <cell r="BB186" t="str">
            <v xml:space="preserve"> --</v>
          </cell>
          <cell r="BC186" t="str">
            <v xml:space="preserve"> --</v>
          </cell>
          <cell r="BD186" t="str">
            <v xml:space="preserve"> --</v>
          </cell>
          <cell r="BE186">
            <v>-109.13399999999999</v>
          </cell>
          <cell r="BF186">
            <v>-485.48</v>
          </cell>
          <cell r="BG186">
            <v>-322.65500000000003</v>
          </cell>
          <cell r="BH186">
            <v>-265.5</v>
          </cell>
          <cell r="BI186">
            <v>-230.5</v>
          </cell>
        </row>
        <row r="187">
          <cell r="A187" t="str">
            <v>% Revenues</v>
          </cell>
          <cell r="I187" t="str">
            <v xml:space="preserve"> </v>
          </cell>
          <cell r="J187" t="str">
            <v xml:space="preserve"> </v>
          </cell>
          <cell r="K187" t="str">
            <v xml:space="preserve"> </v>
          </cell>
          <cell r="L187" t="str">
            <v xml:space="preserve"> </v>
          </cell>
          <cell r="O187" t="str">
            <v xml:space="preserve"> </v>
          </cell>
          <cell r="V187" t="str">
            <v xml:space="preserve"> </v>
          </cell>
          <cell r="Y187" t="str">
            <v xml:space="preserve"> </v>
          </cell>
          <cell r="Z187" t="str">
            <v xml:space="preserve"> </v>
          </cell>
          <cell r="AA187" t="str">
            <v xml:space="preserve"> </v>
          </cell>
        </row>
        <row r="188">
          <cell r="A188" t="str">
            <v>EBITA</v>
          </cell>
          <cell r="I188">
            <v>0.68155500413564929</v>
          </cell>
          <cell r="J188">
            <v>0.67955788275998186</v>
          </cell>
          <cell r="K188">
            <v>0.72379539349379274</v>
          </cell>
          <cell r="L188">
            <v>0.76873096238657934</v>
          </cell>
          <cell r="N188">
            <v>21.323999999999998</v>
          </cell>
          <cell r="O188">
            <v>21.198999999999998</v>
          </cell>
          <cell r="P188">
            <v>24.954000000000001</v>
          </cell>
          <cell r="Q188">
            <v>32.509</v>
          </cell>
          <cell r="S188">
            <v>33.045000000000002</v>
          </cell>
          <cell r="T188">
            <v>41.255000000000003</v>
          </cell>
          <cell r="U188">
            <v>46.975999999999999</v>
          </cell>
          <cell r="V188">
            <v>59.067999999999998</v>
          </cell>
          <cell r="X188">
            <v>52.561</v>
          </cell>
          <cell r="Y188">
            <v>72.378999999999991</v>
          </cell>
          <cell r="Z188">
            <v>98.381999999999991</v>
          </cell>
          <cell r="AA188">
            <v>138.62700000000001</v>
          </cell>
          <cell r="AC188">
            <v>104.26400000000001</v>
          </cell>
          <cell r="AD188">
            <v>105.756</v>
          </cell>
          <cell r="AE188">
            <v>70.14</v>
          </cell>
          <cell r="AF188">
            <v>90.9</v>
          </cell>
          <cell r="AH188">
            <v>75.399999999999991</v>
          </cell>
          <cell r="AI188">
            <v>82</v>
          </cell>
          <cell r="AJ188">
            <v>0.52498851396191748</v>
          </cell>
          <cell r="AK188">
            <v>0.49385428108164653</v>
          </cell>
          <cell r="AM188">
            <v>0.48462895300491365</v>
          </cell>
          <cell r="AN188">
            <v>0.49036536536536529</v>
          </cell>
          <cell r="AO188">
            <v>0.4820000000000001</v>
          </cell>
          <cell r="AP188">
            <v>0.47200000000000009</v>
          </cell>
          <cell r="AW188">
            <v>70.615000000000009</v>
          </cell>
          <cell r="AX188">
            <v>58.146000000000001</v>
          </cell>
          <cell r="AY188">
            <v>91.863</v>
          </cell>
          <cell r="AZ188">
            <v>180.34399999999999</v>
          </cell>
          <cell r="BA188">
            <v>361.94900000000001</v>
          </cell>
          <cell r="BB188">
            <v>371.06000000000006</v>
          </cell>
          <cell r="BC188">
            <v>0.76942666525130832</v>
          </cell>
          <cell r="BD188">
            <v>0.76938981336745849</v>
          </cell>
          <cell r="BE188">
            <v>0.67725819306798918</v>
          </cell>
          <cell r="BF188">
            <v>0.67093136588879809</v>
          </cell>
          <cell r="BG188">
            <v>0.63318243686222631</v>
          </cell>
          <cell r="BH188">
            <v>0.56105905821193258</v>
          </cell>
        </row>
        <row r="189">
          <cell r="A189" t="str">
            <v>North America</v>
          </cell>
          <cell r="I189" t="str">
            <v xml:space="preserve"> --</v>
          </cell>
          <cell r="J189" t="str">
            <v xml:space="preserve"> --</v>
          </cell>
          <cell r="K189" t="str">
            <v xml:space="preserve"> --</v>
          </cell>
          <cell r="L189" t="str">
            <v xml:space="preserve"> --</v>
          </cell>
          <cell r="N189">
            <v>17.763999999999999</v>
          </cell>
          <cell r="O189">
            <v>16.285</v>
          </cell>
          <cell r="P189">
            <v>18.516999999999999</v>
          </cell>
          <cell r="Q189">
            <v>22.5</v>
          </cell>
          <cell r="S189">
            <v>23.573</v>
          </cell>
          <cell r="T189">
            <v>28.768999999999998</v>
          </cell>
          <cell r="U189">
            <v>29.666</v>
          </cell>
          <cell r="V189">
            <v>32.159999999999997</v>
          </cell>
          <cell r="X189">
            <v>32.195</v>
          </cell>
          <cell r="Y189">
            <v>42.085999999999999</v>
          </cell>
          <cell r="Z189">
            <v>56.017000000000003</v>
          </cell>
          <cell r="AA189">
            <v>71.078000000000003</v>
          </cell>
          <cell r="AC189">
            <v>52.655999999999999</v>
          </cell>
          <cell r="AD189">
            <v>55.215000000000003</v>
          </cell>
          <cell r="AE189">
            <v>38.805999999999997</v>
          </cell>
          <cell r="AF189">
            <v>46.1</v>
          </cell>
          <cell r="AH189">
            <v>40.299999999999997</v>
          </cell>
          <cell r="AI189">
            <v>44.1</v>
          </cell>
          <cell r="AJ189" t="str">
            <v xml:space="preserve"> --</v>
          </cell>
          <cell r="AK189" t="str">
            <v xml:space="preserve"> --</v>
          </cell>
          <cell r="AM189" t="str">
            <v xml:space="preserve"> --</v>
          </cell>
          <cell r="AN189" t="str">
            <v xml:space="preserve"> --</v>
          </cell>
          <cell r="AO189">
            <v>0.4820000000000001</v>
          </cell>
          <cell r="AP189">
            <v>0.42223730937956966</v>
          </cell>
          <cell r="AR189">
            <v>0.42</v>
          </cell>
          <cell r="AS189">
            <v>0.42714066141107637</v>
          </cell>
          <cell r="AT189">
            <v>0.42714066141107637</v>
          </cell>
          <cell r="AU189">
            <v>0.42714066141107637</v>
          </cell>
          <cell r="AW189" t="str">
            <v xml:space="preserve"> --</v>
          </cell>
          <cell r="AX189">
            <v>60.377000000000002</v>
          </cell>
          <cell r="AY189">
            <v>75.066000000000003</v>
          </cell>
          <cell r="AZ189">
            <v>111.36799999999999</v>
          </cell>
          <cell r="BA189">
            <v>201.376</v>
          </cell>
          <cell r="BB189">
            <v>192.77700000000002</v>
          </cell>
          <cell r="BC189">
            <v>0.13416002220717158</v>
          </cell>
          <cell r="BD189">
            <v>0.29070585885408157</v>
          </cell>
          <cell r="BE189">
            <v>0.25685330914958815</v>
          </cell>
          <cell r="BF189" t="str">
            <v xml:space="preserve"> --</v>
          </cell>
          <cell r="BG189" t="str">
            <v xml:space="preserve"> --</v>
          </cell>
          <cell r="BH189" t="str">
            <v xml:space="preserve"> --</v>
          </cell>
          <cell r="BI189">
            <v>0.45893339668022681</v>
          </cell>
        </row>
        <row r="190">
          <cell r="A190" t="str">
            <v>Europe</v>
          </cell>
          <cell r="I190" t="str">
            <v xml:space="preserve"> --</v>
          </cell>
          <cell r="J190" t="str">
            <v xml:space="preserve"> --</v>
          </cell>
          <cell r="K190" t="str">
            <v xml:space="preserve"> --</v>
          </cell>
          <cell r="L190" t="str">
            <v xml:space="preserve"> --</v>
          </cell>
          <cell r="N190">
            <v>3.544</v>
          </cell>
          <cell r="O190">
            <v>4.9139999999999997</v>
          </cell>
          <cell r="P190">
            <v>6.4370000000000003</v>
          </cell>
          <cell r="Q190">
            <v>10.009</v>
          </cell>
          <cell r="S190">
            <v>6.0780000000000003</v>
          </cell>
          <cell r="T190">
            <v>8.2460000000000004</v>
          </cell>
          <cell r="U190">
            <v>11.022</v>
          </cell>
          <cell r="V190">
            <v>17.494</v>
          </cell>
          <cell r="X190">
            <v>12.5</v>
          </cell>
          <cell r="Y190">
            <v>22.216000000000001</v>
          </cell>
          <cell r="Z190">
            <v>33.119</v>
          </cell>
          <cell r="AA190">
            <v>53.308999999999997</v>
          </cell>
          <cell r="AC190">
            <v>41.173000000000002</v>
          </cell>
          <cell r="AD190">
            <v>40.548000000000002</v>
          </cell>
          <cell r="AE190">
            <v>23.209</v>
          </cell>
          <cell r="AF190">
            <v>23.6</v>
          </cell>
          <cell r="AH190">
            <v>15.4</v>
          </cell>
          <cell r="AI190">
            <v>11.8</v>
          </cell>
          <cell r="AJ190" t="str">
            <v xml:space="preserve"> --</v>
          </cell>
          <cell r="AK190" t="str">
            <v xml:space="preserve"> --</v>
          </cell>
          <cell r="AM190" t="str">
            <v xml:space="preserve"> --</v>
          </cell>
          <cell r="AN190" t="str">
            <v xml:space="preserve"> --</v>
          </cell>
          <cell r="AP190" t="str">
            <v xml:space="preserve"> --</v>
          </cell>
          <cell r="AR190" t="str">
            <v xml:space="preserve"> --</v>
          </cell>
          <cell r="AS190" t="str">
            <v xml:space="preserve"> --</v>
          </cell>
          <cell r="AT190" t="str">
            <v xml:space="preserve"> --</v>
          </cell>
          <cell r="AU190" t="str">
            <v xml:space="preserve"> --</v>
          </cell>
          <cell r="AW190" t="str">
            <v xml:space="preserve"> --</v>
          </cell>
          <cell r="AX190">
            <v>10.975</v>
          </cell>
          <cell r="AY190">
            <v>24.911999999999999</v>
          </cell>
          <cell r="AZ190">
            <v>44.44</v>
          </cell>
          <cell r="BA190">
            <v>121.14400000000001</v>
          </cell>
          <cell r="BB190">
            <v>128.53</v>
          </cell>
          <cell r="BC190">
            <v>0.63526664304413671</v>
          </cell>
          <cell r="BD190">
            <v>0.47874766213049968</v>
          </cell>
          <cell r="BE190">
            <v>0.42040488391840097</v>
          </cell>
          <cell r="BF190" t="str">
            <v xml:space="preserve"> --</v>
          </cell>
          <cell r="BG190" t="str">
            <v xml:space="preserve"> --</v>
          </cell>
          <cell r="BH190" t="str">
            <v xml:space="preserve"> --</v>
          </cell>
          <cell r="BI190" t="str">
            <v xml:space="preserve"> --</v>
          </cell>
        </row>
        <row r="191">
          <cell r="A191" t="str">
            <v>Asia</v>
          </cell>
          <cell r="I191">
            <v>0.31844499586435071</v>
          </cell>
          <cell r="J191">
            <v>0.32044211724001814</v>
          </cell>
          <cell r="K191">
            <v>0.27620460650620726</v>
          </cell>
          <cell r="L191">
            <v>0.23126903761342063</v>
          </cell>
          <cell r="N191" t="str">
            <v xml:space="preserve"> --</v>
          </cell>
          <cell r="O191" t="str">
            <v xml:space="preserve"> --</v>
          </cell>
          <cell r="P191" t="str">
            <v xml:space="preserve"> --</v>
          </cell>
          <cell r="Q191" t="str">
            <v xml:space="preserve"> --</v>
          </cell>
          <cell r="S191">
            <v>3.3940000000000001</v>
          </cell>
          <cell r="T191">
            <v>4.24</v>
          </cell>
          <cell r="U191">
            <v>6.2880000000000003</v>
          </cell>
          <cell r="V191">
            <v>9.4139999999999997</v>
          </cell>
          <cell r="X191">
            <v>7.8659999999999997</v>
          </cell>
          <cell r="Y191">
            <v>8.077</v>
          </cell>
          <cell r="Z191">
            <v>9.2460000000000004</v>
          </cell>
          <cell r="AA191">
            <v>14.24</v>
          </cell>
          <cell r="AC191">
            <v>10.435</v>
          </cell>
          <cell r="AD191">
            <v>9.9930000000000003</v>
          </cell>
          <cell r="AE191">
            <v>8.125</v>
          </cell>
          <cell r="AF191">
            <v>21.2</v>
          </cell>
          <cell r="AH191">
            <v>19.7</v>
          </cell>
          <cell r="AI191">
            <v>26.1</v>
          </cell>
          <cell r="AJ191">
            <v>0.19516054928786564</v>
          </cell>
          <cell r="AK191">
            <v>0.23709399027145769</v>
          </cell>
          <cell r="AM191">
            <v>0.21191886103061608</v>
          </cell>
          <cell r="AN191">
            <v>0.21527777777777779</v>
          </cell>
          <cell r="AO191">
            <v>0.21</v>
          </cell>
          <cell r="AP191" t="str">
            <v xml:space="preserve"> --</v>
          </cell>
          <cell r="AR191" t="str">
            <v xml:space="preserve"> --</v>
          </cell>
          <cell r="AS191" t="str">
            <v xml:space="preserve"> --</v>
          </cell>
          <cell r="AT191" t="str">
            <v xml:space="preserve"> --</v>
          </cell>
          <cell r="AU191" t="str">
            <v xml:space="preserve"> --</v>
          </cell>
          <cell r="AW191" t="str">
            <v xml:space="preserve"> --</v>
          </cell>
          <cell r="AX191" t="str">
            <v xml:space="preserve"> --</v>
          </cell>
          <cell r="AY191" t="str">
            <v xml:space="preserve"> --</v>
          </cell>
          <cell r="AZ191">
            <v>24.536000000000001</v>
          </cell>
          <cell r="BA191">
            <v>39.429000000000002</v>
          </cell>
          <cell r="BB191">
            <v>49.753</v>
          </cell>
          <cell r="BC191">
            <v>0.23057333474869168</v>
          </cell>
          <cell r="BD191">
            <v>0.23061018663254151</v>
          </cell>
          <cell r="BE191">
            <v>0.20928233704383162</v>
          </cell>
          <cell r="BF191">
            <v>0.28950433625664285</v>
          </cell>
          <cell r="BG191">
            <v>0.30000176921606031</v>
          </cell>
          <cell r="BH191">
            <v>0.21598259082391344</v>
          </cell>
          <cell r="BI191" t="str">
            <v xml:space="preserve"> --</v>
          </cell>
        </row>
        <row r="192">
          <cell r="A192" t="str">
            <v>Asia</v>
          </cell>
          <cell r="I192" t="str">
            <v xml:space="preserve"> --</v>
          </cell>
          <cell r="J192" t="str">
            <v xml:space="preserve"> --</v>
          </cell>
          <cell r="K192" t="str">
            <v xml:space="preserve"> --</v>
          </cell>
          <cell r="L192" t="str">
            <v xml:space="preserve"> --</v>
          </cell>
          <cell r="N192" t="str">
            <v xml:space="preserve"> --</v>
          </cell>
          <cell r="O192" t="str">
            <v xml:space="preserve"> --</v>
          </cell>
          <cell r="P192" t="str">
            <v xml:space="preserve"> --</v>
          </cell>
          <cell r="Q192" t="str">
            <v xml:space="preserve"> --</v>
          </cell>
          <cell r="S192">
            <v>0.13062291093560505</v>
          </cell>
          <cell r="T192">
            <v>0.12458750100024006</v>
          </cell>
          <cell r="U192">
            <v>0.13486525265909427</v>
          </cell>
          <cell r="V192">
            <v>0.14306191573462892</v>
          </cell>
          <cell r="X192">
            <v>9.5862305505782647E-2</v>
          </cell>
          <cell r="Y192">
            <v>9.1487908262555803E-2</v>
          </cell>
          <cell r="Z192">
            <v>8.1995301038517404E-2</v>
          </cell>
          <cell r="AA192">
            <v>9.0784634483078677E-2</v>
          </cell>
          <cell r="AC192">
            <v>7.9835102086292867E-2</v>
          </cell>
          <cell r="AD192">
            <v>7.400216333559588E-2</v>
          </cell>
          <cell r="AE192">
            <v>7.4377085272021609E-2</v>
          </cell>
          <cell r="AF192">
            <v>0.16967568009149581</v>
          </cell>
          <cell r="AH192">
            <v>0.18624215663490587</v>
          </cell>
          <cell r="AI192">
            <v>0.23723990752267476</v>
          </cell>
          <cell r="AJ192">
            <v>0.303946092194599</v>
          </cell>
          <cell r="AK192">
            <v>0.30346775458967518</v>
          </cell>
          <cell r="AM192">
            <v>0.33110747133677709</v>
          </cell>
          <cell r="AN192">
            <v>0.33664914914914912</v>
          </cell>
          <cell r="AO192">
            <v>0.35</v>
          </cell>
          <cell r="AP192">
            <v>0.36</v>
          </cell>
          <cell r="AR192">
            <v>0.21</v>
          </cell>
          <cell r="AS192">
            <v>0.21290098666270016</v>
          </cell>
          <cell r="AT192">
            <v>0.21290098666270016</v>
          </cell>
          <cell r="AU192">
            <v>0.21290098666270016</v>
          </cell>
          <cell r="AW192" t="str">
            <v xml:space="preserve"> </v>
          </cell>
          <cell r="BC192" t="str">
            <v xml:space="preserve"> --</v>
          </cell>
          <cell r="BD192" t="str">
            <v xml:space="preserve"> --</v>
          </cell>
          <cell r="BE192">
            <v>0.13406347704513799</v>
          </cell>
          <cell r="BF192">
            <v>8.9431531238223672E-2</v>
          </cell>
          <cell r="BG192">
            <v>9.9067003410788682E-2</v>
          </cell>
          <cell r="BH192">
            <v>0.25508069878498452</v>
          </cell>
          <cell r="BI192">
            <v>0.20775306589066722</v>
          </cell>
        </row>
        <row r="193">
          <cell r="A193" t="str">
            <v>EBITA Margin</v>
          </cell>
          <cell r="I193" t="str">
            <v xml:space="preserve"> --</v>
          </cell>
          <cell r="J193" t="str">
            <v xml:space="preserve"> --</v>
          </cell>
          <cell r="K193" t="str">
            <v xml:space="preserve"> --</v>
          </cell>
          <cell r="L193" t="str">
            <v xml:space="preserve"> --</v>
          </cell>
          <cell r="N193">
            <v>2.8866928387708133E-2</v>
          </cell>
          <cell r="O193">
            <v>2.7402306814318638E-2</v>
          </cell>
          <cell r="P193">
            <v>3.0746673238048298E-2</v>
          </cell>
          <cell r="Q193">
            <v>3.513354616566771E-2</v>
          </cell>
          <cell r="S193">
            <v>3.0545634040287515E-2</v>
          </cell>
          <cell r="T193">
            <v>3.3011922861486756E-2</v>
          </cell>
          <cell r="U193">
            <v>3.4618890789397082E-2</v>
          </cell>
          <cell r="V193">
            <v>3.6716682693592732E-2</v>
          </cell>
          <cell r="X193">
            <v>3.2599547361167706E-2</v>
          </cell>
          <cell r="Y193">
            <v>3.4599927433800075E-2</v>
          </cell>
          <cell r="Z193">
            <v>3.7837062414500092E-2</v>
          </cell>
          <cell r="AA193">
            <v>4.0208311579826676E-2</v>
          </cell>
          <cell r="AC193">
            <v>3.8722783952164753E-2</v>
          </cell>
          <cell r="AD193">
            <v>3.9747345253477832E-2</v>
          </cell>
          <cell r="AE193">
            <v>3.183912480991398E-2</v>
          </cell>
          <cell r="AF193">
            <v>3.712931950004085E-2</v>
          </cell>
          <cell r="AH193">
            <v>3.5045317220543805E-2</v>
          </cell>
          <cell r="AI193">
            <v>3.6457407078072206E-2</v>
          </cell>
          <cell r="AJ193">
            <v>-2.4095155444382052E-2</v>
          </cell>
          <cell r="AK193">
            <v>-3.4416025942779434E-2</v>
          </cell>
          <cell r="AM193">
            <v>-2.7655285372306916E-2</v>
          </cell>
          <cell r="AN193">
            <v>-4.229229229229229E-2</v>
          </cell>
          <cell r="AO193">
            <v>-4.2000000000000003E-2</v>
          </cell>
          <cell r="AP193">
            <v>-4.2000000000000003E-2</v>
          </cell>
          <cell r="AR193">
            <v>0.4</v>
          </cell>
          <cell r="AS193">
            <v>0.39773910456641381</v>
          </cell>
          <cell r="AT193">
            <v>0.39773910456641381</v>
          </cell>
          <cell r="AU193">
            <v>0.39773910456641381</v>
          </cell>
          <cell r="AW193">
            <v>3.501290144722307E-2</v>
          </cell>
          <cell r="AX193">
            <v>2.897796675801708E-2</v>
          </cell>
          <cell r="AY193">
            <v>2.8272332520522622E-2</v>
          </cell>
          <cell r="AZ193">
            <v>3.4045014537808678E-2</v>
          </cell>
          <cell r="BA193">
            <v>3.7115075509571042E-2</v>
          </cell>
          <cell r="BB193">
            <v>3.708956561347667E-2</v>
          </cell>
          <cell r="BC193" t="str">
            <v xml:space="preserve"> --</v>
          </cell>
          <cell r="BD193" t="str">
            <v xml:space="preserve"> --</v>
          </cell>
          <cell r="BE193">
            <v>-2.0602119375023355E-2</v>
          </cell>
          <cell r="BF193">
            <v>-4.9782225833989183E-2</v>
          </cell>
          <cell r="BG193">
            <v>-3.2251209489075394E-2</v>
          </cell>
          <cell r="BH193">
            <v>-3.2098168409599226E-2</v>
          </cell>
          <cell r="BI193">
            <v>0.36753570686225018</v>
          </cell>
        </row>
        <row r="194">
          <cell r="A194" t="str">
            <v>North America</v>
          </cell>
          <cell r="N194">
            <v>2.9948074718457076</v>
          </cell>
          <cell r="O194">
            <v>2.7280387436782711</v>
          </cell>
          <cell r="P194">
            <v>3.0074027876579059</v>
          </cell>
          <cell r="Q194">
            <v>3.240674060204523</v>
          </cell>
          <cell r="S194">
            <v>3.1766416511583095</v>
          </cell>
          <cell r="T194">
            <v>3.3657479660909866</v>
          </cell>
          <cell r="U194">
            <v>3.1875104088879813</v>
          </cell>
          <cell r="V194">
            <v>3.033787678256251</v>
          </cell>
          <cell r="X194">
            <v>2.7267098999175929</v>
          </cell>
          <cell r="Y194">
            <v>2.8071443912473333</v>
          </cell>
          <cell r="Z194">
            <v>3.260593713620489</v>
          </cell>
          <cell r="AA194">
            <v>3.3136596736596737</v>
          </cell>
          <cell r="AC194">
            <v>3.105412769370496</v>
          </cell>
          <cell r="AD194">
            <v>3.2236857853643559</v>
          </cell>
          <cell r="AE194">
            <v>2.6897822791548456</v>
          </cell>
          <cell r="AF194">
            <v>3.1075160094371421</v>
          </cell>
          <cell r="AH194">
            <v>2.9645431808150651</v>
          </cell>
          <cell r="AI194">
            <v>3.3694987775061129</v>
          </cell>
          <cell r="AJ194">
            <v>-2.4095155444382052E-2</v>
          </cell>
          <cell r="AK194">
            <v>-3.4416025942779434E-2</v>
          </cell>
          <cell r="AM194">
            <v>-2.7655285372306916E-2</v>
          </cell>
          <cell r="AN194">
            <v>-4.229229229229229E-2</v>
          </cell>
          <cell r="AO194">
            <v>-4.2000000000000003E-2</v>
          </cell>
          <cell r="AP194">
            <v>-3.3998328807186125E-2</v>
          </cell>
          <cell r="AR194">
            <v>-0.03</v>
          </cell>
          <cell r="AS194">
            <v>-3.7780752640190388E-2</v>
          </cell>
          <cell r="AT194">
            <v>-3.7780752640190388E-2</v>
          </cell>
          <cell r="AU194">
            <v>-3.7780752640190388E-2</v>
          </cell>
          <cell r="AW194" t="str">
            <v xml:space="preserve"> --</v>
          </cell>
          <cell r="AX194">
            <v>3.9106807435714748</v>
          </cell>
          <cell r="AY194">
            <v>3.0027408920939744</v>
          </cell>
          <cell r="AZ194">
            <v>3.1042592137835259</v>
          </cell>
          <cell r="BA194">
            <v>3.0777446277097584</v>
          </cell>
          <cell r="BB194">
            <v>3.0432243082863564</v>
          </cell>
          <cell r="BE194">
            <v>-2.0602119375023355E-2</v>
          </cell>
          <cell r="BF194">
            <v>-4.9782225833989183E-2</v>
          </cell>
          <cell r="BG194">
            <v>-3.2251209489075394E-2</v>
          </cell>
          <cell r="BH194">
            <v>-3.2098168409599226E-2</v>
          </cell>
          <cell r="BI194">
            <v>-3.4222169433144281E-2</v>
          </cell>
        </row>
        <row r="195">
          <cell r="A195" t="str">
            <v>Europe</v>
          </cell>
          <cell r="D195" t="str">
            <v xml:space="preserve"> --</v>
          </cell>
          <cell r="E195" t="str">
            <v xml:space="preserve"> --</v>
          </cell>
          <cell r="F195" t="str">
            <v xml:space="preserve"> --</v>
          </cell>
          <cell r="G195" t="str">
            <v xml:space="preserve"> --</v>
          </cell>
          <cell r="I195" t="str">
            <v xml:space="preserve"> --</v>
          </cell>
          <cell r="J195" t="str">
            <v xml:space="preserve"> --</v>
          </cell>
          <cell r="K195" t="str">
            <v xml:space="preserve"> --</v>
          </cell>
          <cell r="L195" t="str">
            <v xml:space="preserve"> --</v>
          </cell>
          <cell r="N195">
            <v>2.4350359346442954</v>
          </cell>
          <cell r="O195">
            <v>2.7814254664010143</v>
          </cell>
          <cell r="P195">
            <v>3.286447297883746</v>
          </cell>
          <cell r="Q195">
            <v>4.3329379475146963</v>
          </cell>
          <cell r="S195">
            <v>2.574136660483318</v>
          </cell>
          <cell r="T195">
            <v>3.2371149399567387</v>
          </cell>
          <cell r="U195">
            <v>4.2021388131683786</v>
          </cell>
          <cell r="V195">
            <v>4.9213855497947785</v>
          </cell>
          <cell r="X195">
            <v>3.5932653583347949</v>
          </cell>
          <cell r="Y195">
            <v>4.2317721974700042</v>
          </cell>
          <cell r="Z195">
            <v>4.3334048610965725</v>
          </cell>
          <cell r="AA195">
            <v>4.4943185554512013</v>
          </cell>
          <cell r="AC195">
            <v>4.550080949512922</v>
          </cell>
          <cell r="AD195">
            <v>4.8327753417375732</v>
          </cell>
          <cell r="AE195">
            <v>3.6171316982549433</v>
          </cell>
          <cell r="AF195">
            <v>3.8324131211432286</v>
          </cell>
          <cell r="AH195">
            <v>3.2745056347012547</v>
          </cell>
          <cell r="AI195">
            <v>2.4552642530170621</v>
          </cell>
          <cell r="AJ195">
            <v>-0.11078326789078274</v>
          </cell>
          <cell r="AK195">
            <v>-0.21905890041663256</v>
          </cell>
          <cell r="AM195">
            <v>-0.26218917034626998</v>
          </cell>
          <cell r="AN195">
            <v>-0.28934732349279735</v>
          </cell>
          <cell r="AO195">
            <v>-0.16544999744754718</v>
          </cell>
          <cell r="AP195">
            <v>-8.7388440818034319E-2</v>
          </cell>
          <cell r="AW195" t="str">
            <v xml:space="preserve"> --</v>
          </cell>
          <cell r="AX195">
            <v>2.3721574637043692</v>
          </cell>
          <cell r="AY195">
            <v>3.3246897450030231</v>
          </cell>
          <cell r="AZ195">
            <v>4.0086053318780639</v>
          </cell>
          <cell r="BA195">
            <v>4.2909139337817033</v>
          </cell>
          <cell r="BB195">
            <v>4.2824105310049125</v>
          </cell>
          <cell r="BC195" t="str">
            <v xml:space="preserve"> --</v>
          </cell>
          <cell r="BD195">
            <v>0.6192990089003112</v>
          </cell>
          <cell r="BE195">
            <v>0.63030623666795016</v>
          </cell>
          <cell r="BF195">
            <v>0.840979101876417</v>
          </cell>
          <cell r="BG195">
            <v>2.5877159476316747E-2</v>
          </cell>
          <cell r="BH195">
            <v>-0.17321634783627382</v>
          </cell>
        </row>
        <row r="196">
          <cell r="A196" t="str">
            <v>Asia</v>
          </cell>
          <cell r="D196" t="str">
            <v xml:space="preserve"> --</v>
          </cell>
          <cell r="E196" t="str">
            <v xml:space="preserve"> --</v>
          </cell>
          <cell r="F196" t="str">
            <v xml:space="preserve"> --</v>
          </cell>
          <cell r="G196" t="str">
            <v xml:space="preserve"> --</v>
          </cell>
          <cell r="I196" t="str">
            <v xml:space="preserve"> --</v>
          </cell>
          <cell r="J196" t="str">
            <v xml:space="preserve"> --</v>
          </cell>
          <cell r="K196" t="str">
            <v xml:space="preserve"> --</v>
          </cell>
          <cell r="L196" t="str">
            <v xml:space="preserve"> --</v>
          </cell>
          <cell r="N196" t="str">
            <v xml:space="preserve"> --</v>
          </cell>
          <cell r="O196" t="str">
            <v xml:space="preserve"> --</v>
          </cell>
          <cell r="P196" t="str">
            <v xml:space="preserve"> --</v>
          </cell>
          <cell r="Q196" t="str">
            <v xml:space="preserve"> --</v>
          </cell>
          <cell r="S196">
            <v>2.4017946232069693</v>
          </cell>
          <cell r="T196">
            <v>2.7232380842276989</v>
          </cell>
          <cell r="U196">
            <v>3.4359716947624386</v>
          </cell>
          <cell r="V196">
            <v>4.0903580692675678</v>
          </cell>
          <cell r="X196">
            <v>5.0892527869255497</v>
          </cell>
          <cell r="Y196">
            <v>4.2203551013156932</v>
          </cell>
          <cell r="Z196">
            <v>4.3367729831144466</v>
          </cell>
          <cell r="AA196">
            <v>4.5495207667731634</v>
          </cell>
          <cell r="AC196">
            <v>4.8543463495873693</v>
          </cell>
          <cell r="AD196">
            <v>5.075216609615131</v>
          </cell>
          <cell r="AE196">
            <v>4.9588340484226334</v>
          </cell>
          <cell r="AF196">
            <v>5.1035146846413095</v>
          </cell>
          <cell r="AH196">
            <v>4.9163963064636889</v>
          </cell>
          <cell r="AI196">
            <v>4.8913043478260869</v>
          </cell>
          <cell r="AJ196">
            <v>-28.717927746151538</v>
          </cell>
          <cell r="AK196">
            <v>-36.353218739467472</v>
          </cell>
          <cell r="AM196">
            <v>-43.408856848609688</v>
          </cell>
          <cell r="AN196">
            <v>-40.113080684596582</v>
          </cell>
          <cell r="AO196">
            <v>-29.064566316608332</v>
          </cell>
          <cell r="AP196">
            <v>-12.777377369201414</v>
          </cell>
          <cell r="AR196">
            <v>0.26263666372684891</v>
          </cell>
          <cell r="AS196">
            <v>0.46550813313313322</v>
          </cell>
          <cell r="AT196">
            <v>0.47364610937117702</v>
          </cell>
          <cell r="AU196">
            <v>0.52870424995090914</v>
          </cell>
          <cell r="AW196" t="str">
            <v xml:space="preserve"> --</v>
          </cell>
          <cell r="AX196" t="str">
            <v xml:space="preserve"> --</v>
          </cell>
          <cell r="AY196" t="str">
            <v xml:space="preserve"> --</v>
          </cell>
          <cell r="AZ196">
            <v>3.4549765969550701</v>
          </cell>
          <cell r="BA196">
            <v>4.5209329204041087</v>
          </cell>
          <cell r="BB196">
            <v>5.019932217344409</v>
          </cell>
          <cell r="BC196" t="str">
            <v xml:space="preserve"> --</v>
          </cell>
          <cell r="BD196">
            <v>61.922145216659111</v>
          </cell>
          <cell r="BE196">
            <v>43.508301878943143</v>
          </cell>
          <cell r="BF196">
            <v>82.378099820297024</v>
          </cell>
          <cell r="BG196">
            <v>-3.1842252749629263</v>
          </cell>
          <cell r="BH196">
            <v>-0.26739209709170064</v>
          </cell>
          <cell r="BI196">
            <v>-0.18570996796228001</v>
          </cell>
        </row>
        <row r="197">
          <cell r="A197" t="str">
            <v xml:space="preserve">  U.S.</v>
          </cell>
          <cell r="D197" t="str">
            <v xml:space="preserve"> --</v>
          </cell>
          <cell r="E197" t="str">
            <v xml:space="preserve"> --</v>
          </cell>
          <cell r="F197" t="str">
            <v xml:space="preserve"> --</v>
          </cell>
          <cell r="G197" t="str">
            <v xml:space="preserve"> --</v>
          </cell>
          <cell r="I197" t="str">
            <v xml:space="preserve"> --</v>
          </cell>
          <cell r="J197" t="str">
            <v xml:space="preserve"> --</v>
          </cell>
          <cell r="K197" t="str">
            <v xml:space="preserve"> --</v>
          </cell>
          <cell r="L197" t="str">
            <v xml:space="preserve"> --</v>
          </cell>
          <cell r="N197" t="str">
            <v xml:space="preserve"> --</v>
          </cell>
          <cell r="O197" t="str">
            <v xml:space="preserve"> --</v>
          </cell>
          <cell r="P197" t="str">
            <v xml:space="preserve"> --</v>
          </cell>
          <cell r="Q197" t="str">
            <v xml:space="preserve"> --</v>
          </cell>
          <cell r="S197">
            <v>-10.810442536004516</v>
          </cell>
          <cell r="T197">
            <v>25.893188473833661</v>
          </cell>
          <cell r="U197">
            <v>58.375300446377466</v>
          </cell>
          <cell r="V197">
            <v>118.51688888888874</v>
          </cell>
          <cell r="X197" t="str">
            <v xml:space="preserve"> --</v>
          </cell>
          <cell r="Y197" t="str">
            <v xml:space="preserve"> --</v>
          </cell>
          <cell r="Z197">
            <v>166.4724445488325</v>
          </cell>
          <cell r="AA197">
            <v>170.39679617949713</v>
          </cell>
          <cell r="AC197" t="str">
            <v xml:space="preserve"> --</v>
          </cell>
          <cell r="AD197" t="str">
            <v xml:space="preserve"> --</v>
          </cell>
          <cell r="AE197" t="str">
            <v xml:space="preserve"> --</v>
          </cell>
          <cell r="AF197" t="str">
            <v xml:space="preserve"> --</v>
          </cell>
          <cell r="AH197" t="str">
            <v xml:space="preserve"> --</v>
          </cell>
          <cell r="AI197" t="str">
            <v xml:space="preserve"> --</v>
          </cell>
          <cell r="AJ197" t="str">
            <v xml:space="preserve"> --</v>
          </cell>
          <cell r="AK197" t="str">
            <v xml:space="preserve"> --</v>
          </cell>
          <cell r="AM197" t="str">
            <v xml:space="preserve"> --</v>
          </cell>
          <cell r="AN197" t="str">
            <v xml:space="preserve"> --</v>
          </cell>
          <cell r="AO197" t="str">
            <v xml:space="preserve"> --</v>
          </cell>
          <cell r="AP197" t="str">
            <v xml:space="preserve"> --</v>
          </cell>
          <cell r="AR197">
            <v>9.4254471337579702</v>
          </cell>
          <cell r="AS197">
            <v>27.655449895689422</v>
          </cell>
          <cell r="AT197">
            <v>41.059860644000977</v>
          </cell>
          <cell r="AU197">
            <v>54.645676713273716</v>
          </cell>
          <cell r="BC197" t="str">
            <v xml:space="preserve"> --</v>
          </cell>
          <cell r="BD197">
            <v>250.87927191679049</v>
          </cell>
          <cell r="BE197">
            <v>44.045790293330157</v>
          </cell>
          <cell r="BF197" t="str">
            <v xml:space="preserve"> --</v>
          </cell>
          <cell r="BG197" t="str">
            <v xml:space="preserve"> --</v>
          </cell>
          <cell r="BH197" t="e">
            <v>#VALUE!</v>
          </cell>
          <cell r="BI197">
            <v>-0.33392949491466994</v>
          </cell>
        </row>
        <row r="198">
          <cell r="A198" t="str">
            <v xml:space="preserve">  Canada</v>
          </cell>
          <cell r="D198" t="str">
            <v xml:space="preserve"> --</v>
          </cell>
          <cell r="E198" t="str">
            <v xml:space="preserve"> --</v>
          </cell>
          <cell r="F198" t="str">
            <v xml:space="preserve"> --</v>
          </cell>
          <cell r="G198" t="str">
            <v xml:space="preserve"> --</v>
          </cell>
          <cell r="I198" t="str">
            <v xml:space="preserve"> --</v>
          </cell>
          <cell r="J198" t="str">
            <v xml:space="preserve"> --</v>
          </cell>
          <cell r="K198" t="str">
            <v xml:space="preserve"> --</v>
          </cell>
          <cell r="L198" t="str">
            <v xml:space="preserve"> --</v>
          </cell>
          <cell r="N198" t="str">
            <v xml:space="preserve"> --</v>
          </cell>
          <cell r="O198" t="str">
            <v xml:space="preserve"> --</v>
          </cell>
          <cell r="P198" t="str">
            <v xml:space="preserve"> --</v>
          </cell>
          <cell r="Q198" t="str">
            <v xml:space="preserve"> --</v>
          </cell>
          <cell r="S198">
            <v>58.594671375421072</v>
          </cell>
          <cell r="T198">
            <v>53.5503798716259</v>
          </cell>
          <cell r="U198">
            <v>47.429228670085166</v>
          </cell>
          <cell r="V198">
            <v>21.116130406989186</v>
          </cell>
          <cell r="X198" t="str">
            <v xml:space="preserve"> --</v>
          </cell>
          <cell r="Y198" t="str">
            <v xml:space="preserve"> --</v>
          </cell>
          <cell r="Z198">
            <v>39.167993371210549</v>
          </cell>
          <cell r="AA198">
            <v>43.483791287091009</v>
          </cell>
          <cell r="AC198" t="str">
            <v xml:space="preserve"> --</v>
          </cell>
          <cell r="AD198" t="str">
            <v xml:space="preserve"> --</v>
          </cell>
          <cell r="AE198" t="str">
            <v xml:space="preserve"> --</v>
          </cell>
          <cell r="AF198" t="str">
            <v xml:space="preserve"> --</v>
          </cell>
          <cell r="AH198" t="str">
            <v xml:space="preserve"> --</v>
          </cell>
          <cell r="AI198" t="str">
            <v xml:space="preserve"> --</v>
          </cell>
          <cell r="AJ198" t="str">
            <v xml:space="preserve"> --</v>
          </cell>
          <cell r="AK198" t="str">
            <v xml:space="preserve"> --</v>
          </cell>
          <cell r="AM198" t="str">
            <v xml:space="preserve"> --</v>
          </cell>
          <cell r="AN198" t="str">
            <v xml:space="preserve"> --</v>
          </cell>
          <cell r="AO198" t="str">
            <v xml:space="preserve"> --</v>
          </cell>
          <cell r="AP198" t="str">
            <v xml:space="preserve"> --</v>
          </cell>
          <cell r="AR198" t="str">
            <v xml:space="preserve"> --</v>
          </cell>
          <cell r="AS198" t="str">
            <v xml:space="preserve"> --</v>
          </cell>
          <cell r="AT198" t="str">
            <v xml:space="preserve"> --</v>
          </cell>
          <cell r="AU198" t="str">
            <v xml:space="preserve"> --</v>
          </cell>
          <cell r="BC198" t="str">
            <v xml:space="preserve"> --</v>
          </cell>
          <cell r="BD198">
            <v>22.033105828822475</v>
          </cell>
          <cell r="BE198">
            <v>43.162830524905573</v>
          </cell>
          <cell r="BF198" t="str">
            <v xml:space="preserve"> --</v>
          </cell>
          <cell r="BG198" t="str">
            <v xml:space="preserve"> --</v>
          </cell>
          <cell r="BH198" t="e">
            <v>#VALUE!</v>
          </cell>
          <cell r="BI198" t="e">
            <v>#VALUE!</v>
          </cell>
        </row>
        <row r="199">
          <cell r="A199" t="str">
            <v>Celestica Inc.</v>
          </cell>
          <cell r="D199" t="str">
            <v xml:space="preserve"> --</v>
          </cell>
          <cell r="E199" t="str">
            <v xml:space="preserve"> --</v>
          </cell>
          <cell r="F199" t="str">
            <v xml:space="preserve"> --</v>
          </cell>
          <cell r="G199" t="str">
            <v xml:space="preserve"> --</v>
          </cell>
          <cell r="I199" t="str">
            <v xml:space="preserve"> --</v>
          </cell>
          <cell r="J199" t="str">
            <v xml:space="preserve"> --</v>
          </cell>
          <cell r="K199" t="str">
            <v xml:space="preserve"> --</v>
          </cell>
          <cell r="L199" t="str">
            <v xml:space="preserve"> </v>
          </cell>
          <cell r="N199" t="str">
            <v xml:space="preserve"> --</v>
          </cell>
          <cell r="O199" t="str">
            <v xml:space="preserve"> --</v>
          </cell>
          <cell r="P199" t="str">
            <v xml:space="preserve"> --</v>
          </cell>
          <cell r="Q199" t="str">
            <v xml:space="preserve"> --</v>
          </cell>
          <cell r="S199">
            <v>62.23358205878715</v>
          </cell>
          <cell r="T199">
            <v>44.184137837348317</v>
          </cell>
          <cell r="U199">
            <v>33.916217803078652</v>
          </cell>
          <cell r="V199">
            <v>53.884016311829505</v>
          </cell>
          <cell r="X199">
            <v>47.330148485079505</v>
          </cell>
          <cell r="Y199">
            <v>106.09069103728217</v>
          </cell>
          <cell r="Z199">
            <v>191.3787910558722</v>
          </cell>
          <cell r="AA199">
            <v>233.68366861807925</v>
          </cell>
          <cell r="AC199">
            <v>160.11935390214248</v>
          </cell>
          <cell r="AD199">
            <v>59.819307746375586</v>
          </cell>
          <cell r="AE199">
            <v>-16.045465488726542</v>
          </cell>
          <cell r="AF199">
            <v>-48.083787607217353</v>
          </cell>
          <cell r="AH199">
            <v>-48.026544809561436</v>
          </cell>
          <cell r="AI199">
            <v>-42.71895459112465</v>
          </cell>
          <cell r="AJ199">
            <v>-40.418395956617481</v>
          </cell>
          <cell r="AK199">
            <v>-26.388437804481967</v>
          </cell>
          <cell r="AM199">
            <v>-28.47118860301936</v>
          </cell>
          <cell r="AN199">
            <v>-28.401997503121102</v>
          </cell>
          <cell r="AO199">
            <v>-15.720638242218154</v>
          </cell>
          <cell r="AP199">
            <v>-19.167741363335534</v>
          </cell>
          <cell r="AR199" t="str">
            <v xml:space="preserve"> --</v>
          </cell>
          <cell r="AS199" t="str">
            <v xml:space="preserve"> --</v>
          </cell>
          <cell r="AT199" t="str">
            <v xml:space="preserve"> --</v>
          </cell>
          <cell r="AU199" t="str">
            <v xml:space="preserve"> --</v>
          </cell>
          <cell r="BC199" t="str">
            <v xml:space="preserve"> --</v>
          </cell>
          <cell r="BD199">
            <v>61.955781688025027</v>
          </cell>
          <cell r="BE199">
            <v>47.95283083078543</v>
          </cell>
          <cell r="BF199">
            <v>154.66622768048421</v>
          </cell>
          <cell r="BG199">
            <v>6.3075485572039014</v>
          </cell>
          <cell r="BH199">
            <v>-0.4047672595004842</v>
          </cell>
          <cell r="BI199" t="e">
            <v>#VALUE!</v>
          </cell>
        </row>
        <row r="200">
          <cell r="A200" t="str">
            <v>Sales by Product Sector</v>
          </cell>
          <cell r="D200" t="str">
            <v xml:space="preserve"> --</v>
          </cell>
          <cell r="E200" t="str">
            <v xml:space="preserve"> --</v>
          </cell>
          <cell r="F200" t="str">
            <v xml:space="preserve"> --</v>
          </cell>
          <cell r="G200" t="str">
            <v xml:space="preserve"> --</v>
          </cell>
          <cell r="I200" t="str">
            <v xml:space="preserve"> --</v>
          </cell>
          <cell r="J200" t="str">
            <v xml:space="preserve"> --</v>
          </cell>
          <cell r="K200" t="str">
            <v xml:space="preserve"> --</v>
          </cell>
          <cell r="L200" t="str">
            <v xml:space="preserve"> --</v>
          </cell>
          <cell r="N200" t="str">
            <v xml:space="preserve"> --</v>
          </cell>
          <cell r="O200" t="str">
            <v xml:space="preserve"> --</v>
          </cell>
          <cell r="P200" t="str">
            <v xml:space="preserve"> --</v>
          </cell>
          <cell r="Q200" t="str">
            <v xml:space="preserve"> --</v>
          </cell>
          <cell r="S200" t="str">
            <v xml:space="preserve"> --</v>
          </cell>
          <cell r="T200" t="str">
            <v xml:space="preserve"> --</v>
          </cell>
          <cell r="U200" t="str">
            <v xml:space="preserve"> --</v>
          </cell>
          <cell r="V200" t="str">
            <v xml:space="preserve"> --</v>
          </cell>
          <cell r="X200">
            <v>9.3764816610171877</v>
          </cell>
          <cell r="Y200">
            <v>22.91951675369468</v>
          </cell>
          <cell r="Z200">
            <v>16.499549192645002</v>
          </cell>
          <cell r="AA200">
            <v>35.997671094194672</v>
          </cell>
          <cell r="AC200">
            <v>39.079069105401729</v>
          </cell>
          <cell r="AD200">
            <v>2.8821937277277776</v>
          </cell>
          <cell r="AE200">
            <v>-23.147748592870542</v>
          </cell>
          <cell r="AF200">
            <v>32.715654952076669</v>
          </cell>
          <cell r="AH200">
            <v>86.405039030154171</v>
          </cell>
          <cell r="AI200">
            <v>171.00326057146339</v>
          </cell>
          <cell r="AJ200">
            <v>263.38335906841058</v>
          </cell>
          <cell r="AK200">
            <v>39.672604718343777</v>
          </cell>
          <cell r="AM200">
            <v>31.170451709508363</v>
          </cell>
          <cell r="AN200">
            <v>0.84332833583209421</v>
          </cell>
          <cell r="AO200">
            <v>6.9868995633187714</v>
          </cell>
          <cell r="AP200">
            <v>8.2619673216132394</v>
          </cell>
          <cell r="AR200">
            <v>25.120387158145064</v>
          </cell>
          <cell r="AS200">
            <v>44.932807615809153</v>
          </cell>
          <cell r="AT200">
            <v>59.187868967842469</v>
          </cell>
          <cell r="AU200">
            <v>57.134611463778626</v>
          </cell>
          <cell r="BC200" t="str">
            <v xml:space="preserve"> --</v>
          </cell>
          <cell r="BD200" t="str">
            <v xml:space="preserve"> --</v>
          </cell>
          <cell r="BE200" t="str">
            <v xml:space="preserve"> --</v>
          </cell>
          <cell r="BF200">
            <v>22.808675179254379</v>
          </cell>
          <cell r="BG200">
            <v>13.640652966314004</v>
          </cell>
          <cell r="BH200">
            <v>1.1288274044529909</v>
          </cell>
          <cell r="BI200">
            <v>-0.21673663588021264</v>
          </cell>
        </row>
        <row r="201">
          <cell r="A201" t="str">
            <v>($ Millions)</v>
          </cell>
          <cell r="D201" t="str">
            <v xml:space="preserve"> --</v>
          </cell>
          <cell r="E201" t="str">
            <v xml:space="preserve"> --</v>
          </cell>
          <cell r="F201" t="str">
            <v xml:space="preserve"> --</v>
          </cell>
          <cell r="G201" t="str">
            <v xml:space="preserve"> --</v>
          </cell>
          <cell r="I201" t="str">
            <v xml:space="preserve"> --</v>
          </cell>
          <cell r="J201" t="str">
            <v xml:space="preserve"> --</v>
          </cell>
          <cell r="K201" t="str">
            <v xml:space="preserve"> --</v>
          </cell>
          <cell r="L201" t="str">
            <v xml:space="preserve"> --</v>
          </cell>
          <cell r="N201" t="str">
            <v xml:space="preserve"> --</v>
          </cell>
          <cell r="O201" t="str">
            <v xml:space="preserve"> --</v>
          </cell>
          <cell r="P201" t="str">
            <v xml:space="preserve"> --</v>
          </cell>
          <cell r="Q201" t="str">
            <v xml:space="preserve"> --</v>
          </cell>
          <cell r="S201" t="str">
            <v xml:space="preserve"> </v>
          </cell>
          <cell r="T201" t="str">
            <v xml:space="preserve"> </v>
          </cell>
          <cell r="U201" t="str">
            <v xml:space="preserve"> --</v>
          </cell>
          <cell r="V201" t="str">
            <v xml:space="preserve"> --</v>
          </cell>
          <cell r="X201">
            <v>9.3764816610171877</v>
          </cell>
          <cell r="Y201">
            <v>22.91951675369468</v>
          </cell>
          <cell r="Z201">
            <v>16.499549192645002</v>
          </cell>
          <cell r="AA201">
            <v>35.997671094194672</v>
          </cell>
          <cell r="AC201">
            <v>39.079069105401729</v>
          </cell>
          <cell r="AD201">
            <v>2.8821937277277776</v>
          </cell>
          <cell r="AE201">
            <v>-23.147748592870542</v>
          </cell>
          <cell r="AF201">
            <v>32.715654952076669</v>
          </cell>
          <cell r="AH201">
            <v>86.405039030154171</v>
          </cell>
          <cell r="AI201">
            <v>171.00326057146339</v>
          </cell>
          <cell r="AJ201">
            <v>263.38335906841058</v>
          </cell>
          <cell r="AK201">
            <v>39.672604718343777</v>
          </cell>
          <cell r="AM201">
            <v>31.170451709508363</v>
          </cell>
          <cell r="AN201">
            <v>0.84332833583209421</v>
          </cell>
          <cell r="AO201">
            <v>6.9868995633187714</v>
          </cell>
          <cell r="AP201">
            <v>33.540158566011691</v>
          </cell>
          <cell r="AR201">
            <v>52.534964992389654</v>
          </cell>
          <cell r="AS201">
            <v>73.144620766270066</v>
          </cell>
          <cell r="AT201">
            <v>50.423846622501436</v>
          </cell>
          <cell r="AU201">
            <v>50.264216558258632</v>
          </cell>
          <cell r="BC201" t="str">
            <v xml:space="preserve"> --</v>
          </cell>
          <cell r="BD201" t="str">
            <v xml:space="preserve"> --</v>
          </cell>
          <cell r="BE201" t="str">
            <v xml:space="preserve"> --</v>
          </cell>
          <cell r="BF201">
            <v>22.808675179254379</v>
          </cell>
          <cell r="BG201">
            <v>13.640652966314004</v>
          </cell>
          <cell r="BH201">
            <v>1.1288274044529909</v>
          </cell>
          <cell r="BI201">
            <v>0.17327835442438055</v>
          </cell>
        </row>
        <row r="202">
          <cell r="A202" t="str">
            <v>Revenue Growth (seq.)</v>
          </cell>
          <cell r="D202">
            <v>1996</v>
          </cell>
          <cell r="E202">
            <v>-0.26575164767874693</v>
          </cell>
          <cell r="F202">
            <v>-0.33442334527591389</v>
          </cell>
          <cell r="G202">
            <v>-6.844798118298745E-3</v>
          </cell>
          <cell r="I202">
            <v>1997</v>
          </cell>
          <cell r="J202">
            <v>-0.10948097601323414</v>
          </cell>
          <cell r="K202">
            <v>-5.0012190732721007E-2</v>
          </cell>
          <cell r="L202">
            <v>0.66990616376244438</v>
          </cell>
          <cell r="N202">
            <v>1998</v>
          </cell>
          <cell r="O202">
            <v>4.7273588736970185E-2</v>
          </cell>
          <cell r="P202">
            <v>4.9092514293174627E-2</v>
          </cell>
          <cell r="Q202">
            <v>0.14009117792015768</v>
          </cell>
          <cell r="S202">
            <v>1999</v>
          </cell>
          <cell r="T202">
            <v>0.15517866122400692</v>
          </cell>
          <cell r="U202">
            <v>8.5818196367128063E-2</v>
          </cell>
          <cell r="V202">
            <v>0.18556656965968465</v>
          </cell>
          <cell r="X202">
            <v>2000</v>
          </cell>
          <cell r="Y202">
            <v>0.29743419897874035</v>
          </cell>
          <cell r="Z202">
            <v>0.24297056766559133</v>
          </cell>
          <cell r="AA202">
            <v>0.32597016555589686</v>
          </cell>
          <cell r="AC202">
            <v>2001</v>
          </cell>
          <cell r="AD202">
            <v>-1.1835882008857546E-2</v>
          </cell>
          <cell r="AE202">
            <v>-0.17204305924818464</v>
          </cell>
          <cell r="AF202">
            <v>0.11132799201071286</v>
          </cell>
          <cell r="AH202" t="str">
            <v>2002E</v>
          </cell>
          <cell r="AI202">
            <v>4.5410178944922164E-2</v>
          </cell>
          <cell r="AJ202">
            <v>-0.12906811310688238</v>
          </cell>
          <cell r="AK202">
            <v>-2.3993057328092315E-2</v>
          </cell>
          <cell r="AM202" t="str">
            <v>2003E</v>
          </cell>
          <cell r="AN202">
            <v>6.9295703666372166E-3</v>
          </cell>
          <cell r="AO202">
            <v>2.2772772772772676E-2</v>
          </cell>
          <cell r="AP202">
            <v>6.7300000000000137E-2</v>
          </cell>
          <cell r="AR202" t="str">
            <v>2004E</v>
          </cell>
          <cell r="AV202" t="str">
            <v xml:space="preserve"> </v>
          </cell>
          <cell r="AZ202" t="str">
            <v xml:space="preserve"> </v>
          </cell>
          <cell r="BB202" t="str">
            <v xml:space="preserve"> --</v>
          </cell>
          <cell r="BC202" t="str">
            <v xml:space="preserve"> --</v>
          </cell>
          <cell r="BD202" t="str">
            <v xml:space="preserve"> --</v>
          </cell>
          <cell r="BE202" t="str">
            <v xml:space="preserve"> --</v>
          </cell>
          <cell r="BF202" t="str">
            <v xml:space="preserve"> --</v>
          </cell>
          <cell r="BG202" t="str">
            <v xml:space="preserve"> --</v>
          </cell>
          <cell r="BH202" t="str">
            <v xml:space="preserve"> --</v>
          </cell>
        </row>
        <row r="203">
          <cell r="A203" t="str">
            <v xml:space="preserve"> </v>
          </cell>
          <cell r="D203">
            <v>35125</v>
          </cell>
          <cell r="E203">
            <v>35217</v>
          </cell>
          <cell r="F203">
            <v>35309</v>
          </cell>
          <cell r="G203">
            <v>35400</v>
          </cell>
          <cell r="I203">
            <v>35490</v>
          </cell>
          <cell r="J203">
            <v>35582</v>
          </cell>
          <cell r="K203">
            <v>35674</v>
          </cell>
          <cell r="L203">
            <v>35765</v>
          </cell>
          <cell r="N203">
            <v>35855</v>
          </cell>
          <cell r="O203">
            <v>35947</v>
          </cell>
          <cell r="P203">
            <v>36039</v>
          </cell>
          <cell r="Q203">
            <v>36130</v>
          </cell>
          <cell r="S203">
            <v>36220</v>
          </cell>
          <cell r="T203">
            <v>36312</v>
          </cell>
          <cell r="U203">
            <v>36404</v>
          </cell>
          <cell r="V203">
            <v>36495</v>
          </cell>
          <cell r="X203">
            <v>36586</v>
          </cell>
          <cell r="Y203">
            <v>36678</v>
          </cell>
          <cell r="Z203">
            <v>36770</v>
          </cell>
          <cell r="AA203">
            <v>36861</v>
          </cell>
          <cell r="AC203">
            <v>36951</v>
          </cell>
          <cell r="AD203">
            <v>37043</v>
          </cell>
          <cell r="AE203">
            <v>37135</v>
          </cell>
          <cell r="AF203">
            <v>37226</v>
          </cell>
          <cell r="AH203" t="str">
            <v xml:space="preserve"> 3/02</v>
          </cell>
          <cell r="AI203" t="str">
            <v xml:space="preserve"> 6/02E</v>
          </cell>
          <cell r="AJ203" t="str">
            <v xml:space="preserve"> 9/02E</v>
          </cell>
          <cell r="AK203" t="str">
            <v>12/02E</v>
          </cell>
          <cell r="AM203" t="str">
            <v xml:space="preserve"> 3/03E</v>
          </cell>
          <cell r="AN203" t="str">
            <v xml:space="preserve"> 6/03E</v>
          </cell>
          <cell r="AO203" t="str">
            <v xml:space="preserve"> 9/03E</v>
          </cell>
          <cell r="AP203" t="str">
            <v>12/03E</v>
          </cell>
          <cell r="AR203" t="str">
            <v xml:space="preserve"> 3/04E</v>
          </cell>
          <cell r="AS203" t="str">
            <v xml:space="preserve"> 6/04E</v>
          </cell>
          <cell r="AT203" t="str">
            <v xml:space="preserve"> 9/04E</v>
          </cell>
          <cell r="AU203" t="str">
            <v>12/04E</v>
          </cell>
          <cell r="AW203">
            <v>1996</v>
          </cell>
          <cell r="AX203">
            <v>1997</v>
          </cell>
          <cell r="AY203">
            <v>1998</v>
          </cell>
          <cell r="AZ203">
            <v>1999</v>
          </cell>
          <cell r="BA203">
            <v>2000</v>
          </cell>
          <cell r="BB203">
            <v>2001</v>
          </cell>
          <cell r="BC203" t="str">
            <v>2002E</v>
          </cell>
          <cell r="BD203" t="str">
            <v>2003E</v>
          </cell>
          <cell r="BE203" t="str">
            <v>2004E</v>
          </cell>
          <cell r="BF203" t="str">
            <v xml:space="preserve"> --</v>
          </cell>
          <cell r="BG203">
            <v>2002</v>
          </cell>
          <cell r="BH203">
            <v>2003</v>
          </cell>
          <cell r="BI203">
            <v>2004</v>
          </cell>
          <cell r="BJ203">
            <v>2005</v>
          </cell>
          <cell r="BK203">
            <v>2006</v>
          </cell>
          <cell r="BL203">
            <v>2007</v>
          </cell>
          <cell r="BM203">
            <v>2008</v>
          </cell>
          <cell r="BN203">
            <v>2009</v>
          </cell>
          <cell r="BO203">
            <v>2010</v>
          </cell>
          <cell r="BP203">
            <v>2011</v>
          </cell>
          <cell r="BQ203">
            <v>2012</v>
          </cell>
          <cell r="BR203">
            <v>2013</v>
          </cell>
          <cell r="BS203">
            <v>2014</v>
          </cell>
          <cell r="BT203">
            <v>2015</v>
          </cell>
          <cell r="BU203">
            <v>2016</v>
          </cell>
        </row>
        <row r="204">
          <cell r="A204" t="str">
            <v xml:space="preserve">  U.S.</v>
          </cell>
          <cell r="D204" t="str">
            <v xml:space="preserve"> --</v>
          </cell>
          <cell r="E204" t="str">
            <v xml:space="preserve"> --</v>
          </cell>
          <cell r="F204" t="str">
            <v xml:space="preserve"> --</v>
          </cell>
          <cell r="G204" t="str">
            <v xml:space="preserve"> --</v>
          </cell>
          <cell r="I204" t="str">
            <v xml:space="preserve"> --</v>
          </cell>
          <cell r="J204" t="str">
            <v xml:space="preserve"> --</v>
          </cell>
          <cell r="K204" t="str">
            <v xml:space="preserve"> --</v>
          </cell>
          <cell r="L204">
            <v>1208.3333333333335</v>
          </cell>
          <cell r="N204">
            <v>82.301910828025456</v>
          </cell>
          <cell r="O204">
            <v>-21.853927480835999</v>
          </cell>
          <cell r="P204">
            <v>-6.2490778619810676</v>
          </cell>
          <cell r="Q204">
            <v>7.3022776696806346</v>
          </cell>
          <cell r="S204">
            <v>13.454666666666659</v>
          </cell>
          <cell r="T204">
            <v>10.305045970392523</v>
          </cell>
          <cell r="U204">
            <v>17.939903188803143</v>
          </cell>
          <cell r="V204">
            <v>48.049347473907879</v>
          </cell>
          <cell r="X204" t="str">
            <v xml:space="preserve"> --</v>
          </cell>
          <cell r="Y204" t="str">
            <v xml:space="preserve"> --</v>
          </cell>
          <cell r="Z204" t="str">
            <v xml:space="preserve"> --</v>
          </cell>
          <cell r="AA204">
            <v>50.229676847782741</v>
          </cell>
          <cell r="AC204" t="str">
            <v xml:space="preserve"> --</v>
          </cell>
          <cell r="AD204" t="str">
            <v xml:space="preserve"> --</v>
          </cell>
          <cell r="AE204" t="str">
            <v xml:space="preserve"> --</v>
          </cell>
          <cell r="AF204" t="str">
            <v xml:space="preserve"> --</v>
          </cell>
          <cell r="AH204" t="str">
            <v xml:space="preserve"> --</v>
          </cell>
          <cell r="AI204" t="str">
            <v xml:space="preserve"> --</v>
          </cell>
          <cell r="AJ204" t="str">
            <v xml:space="preserve"> --</v>
          </cell>
          <cell r="AK204" t="str">
            <v xml:space="preserve"> --</v>
          </cell>
          <cell r="AM204" t="str">
            <v xml:space="preserve"> --</v>
          </cell>
          <cell r="AN204" t="str">
            <v xml:space="preserve"> --</v>
          </cell>
          <cell r="AO204" t="str">
            <v xml:space="preserve"> --</v>
          </cell>
          <cell r="AP204" t="str">
            <v xml:space="preserve"> --</v>
          </cell>
          <cell r="AR204">
            <v>4.1199709090909087</v>
          </cell>
          <cell r="AS204">
            <v>16.142010015370122</v>
          </cell>
          <cell r="AT204">
            <v>2.8452236662166897</v>
          </cell>
          <cell r="AU204">
            <v>21.503576264837854</v>
          </cell>
          <cell r="BB204" t="str">
            <v xml:space="preserve"> --</v>
          </cell>
          <cell r="BC204" t="str">
            <v xml:space="preserve"> --</v>
          </cell>
          <cell r="BD204" t="str">
            <v xml:space="preserve"> --</v>
          </cell>
          <cell r="BE204" t="str">
            <v xml:space="preserve"> --</v>
          </cell>
          <cell r="BF204" t="str">
            <v xml:space="preserve"> --</v>
          </cell>
          <cell r="BG204" t="str">
            <v xml:space="preserve"> --</v>
          </cell>
          <cell r="BH204" t="str">
            <v xml:space="preserve"> --</v>
          </cell>
          <cell r="BI204" t="str">
            <v xml:space="preserve"> --</v>
          </cell>
        </row>
        <row r="205">
          <cell r="A205" t="str">
            <v>Revenues</v>
          </cell>
          <cell r="D205" t="str">
            <v xml:space="preserve"> --</v>
          </cell>
          <cell r="E205" t="str">
            <v xml:space="preserve"> --</v>
          </cell>
          <cell r="F205" t="str">
            <v xml:space="preserve"> --</v>
          </cell>
          <cell r="G205" t="str">
            <v xml:space="preserve"> --</v>
          </cell>
          <cell r="I205" t="str">
            <v xml:space="preserve"> --</v>
          </cell>
          <cell r="J205">
            <v>-11.209041262135933</v>
          </cell>
          <cell r="K205">
            <v>-2.9174283712904092</v>
          </cell>
          <cell r="L205">
            <v>29.589922461521123</v>
          </cell>
          <cell r="N205">
            <v>738.7</v>
          </cell>
          <cell r="O205">
            <v>773.62099999999998</v>
          </cell>
          <cell r="P205">
            <v>811.6</v>
          </cell>
          <cell r="Q205">
            <v>925.298</v>
          </cell>
          <cell r="S205">
            <v>1081.8240000000001</v>
          </cell>
          <cell r="T205">
            <v>1249.7</v>
          </cell>
          <cell r="U205">
            <v>1356.9469999999999</v>
          </cell>
          <cell r="V205">
            <v>1608.751</v>
          </cell>
          <cell r="X205">
            <v>1612.3230000000001</v>
          </cell>
          <cell r="Y205">
            <v>2091.8829999999998</v>
          </cell>
          <cell r="Z205">
            <v>2600.1489999999999</v>
          </cell>
          <cell r="AA205">
            <v>3447.72</v>
          </cell>
          <cell r="AC205">
            <v>2692.5749999999998</v>
          </cell>
          <cell r="AD205">
            <v>2660.7060000000001</v>
          </cell>
          <cell r="AE205">
            <v>2202.9499999999998</v>
          </cell>
          <cell r="AF205">
            <v>2448.1999999999998</v>
          </cell>
          <cell r="AH205">
            <v>2151.5</v>
          </cell>
          <cell r="AI205">
            <v>2222.4547500000003</v>
          </cell>
          <cell r="AJ205">
            <v>2256.4161775000002</v>
          </cell>
          <cell r="AK205">
            <v>2413.2769004750003</v>
          </cell>
          <cell r="AM205">
            <v>2364.3592608755002</v>
          </cell>
          <cell r="AN205">
            <v>2441.3815993963203</v>
          </cell>
          <cell r="AO205">
            <v>2559.3579410099655</v>
          </cell>
          <cell r="AP205">
            <v>2821.0346317032217</v>
          </cell>
          <cell r="AR205">
            <v>2678.1588244225709</v>
          </cell>
          <cell r="AS205">
            <v>2780.6536712795873</v>
          </cell>
          <cell r="AT205">
            <v>2934.0156920260183</v>
          </cell>
          <cell r="AU205">
            <v>3245.444759260004</v>
          </cell>
          <cell r="AX205">
            <v>2006.5590000000002</v>
          </cell>
          <cell r="AY205">
            <v>3249.2190000000001</v>
          </cell>
          <cell r="AZ205">
            <v>5297.2220000000007</v>
          </cell>
          <cell r="BA205">
            <v>9752.0749999999989</v>
          </cell>
          <cell r="BB205">
            <v>10004.431</v>
          </cell>
          <cell r="BC205">
            <v>9043.6478279750008</v>
          </cell>
          <cell r="BD205">
            <v>10186.233432985007</v>
          </cell>
          <cell r="BE205">
            <v>11638.272946988182</v>
          </cell>
          <cell r="BF205" t="str">
            <v xml:space="preserve"> --</v>
          </cell>
          <cell r="BG205" t="str">
            <v xml:space="preserve"> --</v>
          </cell>
          <cell r="BH205" t="str">
            <v xml:space="preserve"> --</v>
          </cell>
          <cell r="BI205" t="str">
            <v xml:space="preserve"> --</v>
          </cell>
        </row>
        <row r="206">
          <cell r="A206" t="str">
            <v>Servers</v>
          </cell>
          <cell r="D206" t="str">
            <v xml:space="preserve"> --</v>
          </cell>
          <cell r="E206" t="str">
            <v xml:space="preserve"> --</v>
          </cell>
          <cell r="F206" t="str">
            <v xml:space="preserve"> --</v>
          </cell>
          <cell r="G206" t="str">
            <v xml:space="preserve"> --</v>
          </cell>
          <cell r="I206" t="str">
            <v xml:space="preserve"> --</v>
          </cell>
          <cell r="J206">
            <v>-10.389610389610393</v>
          </cell>
          <cell r="K206">
            <v>-18.115942028985511</v>
          </cell>
          <cell r="L206">
            <v>39.823008849557517</v>
          </cell>
          <cell r="N206">
            <v>251.15800000000004</v>
          </cell>
          <cell r="O206">
            <v>201.14146</v>
          </cell>
          <cell r="P206">
            <v>259.71199999999999</v>
          </cell>
          <cell r="Q206">
            <v>360.86622</v>
          </cell>
          <cell r="S206">
            <v>292.09248000000002</v>
          </cell>
          <cell r="T206">
            <v>337.41900000000004</v>
          </cell>
          <cell r="U206">
            <v>366.37569000000002</v>
          </cell>
          <cell r="V206">
            <v>353.92522000000002</v>
          </cell>
          <cell r="X206">
            <v>370.83429000000001</v>
          </cell>
          <cell r="Y206">
            <v>648.48372999999992</v>
          </cell>
          <cell r="Z206">
            <v>858.04917</v>
          </cell>
          <cell r="AA206">
            <v>1310.1335999999999</v>
          </cell>
          <cell r="AC206">
            <v>861.62399999999991</v>
          </cell>
          <cell r="AD206">
            <v>878.03298000000007</v>
          </cell>
          <cell r="AE206">
            <v>660.88499999999988</v>
          </cell>
          <cell r="AF206">
            <v>661.01400000000001</v>
          </cell>
          <cell r="AH206">
            <v>602.42000000000007</v>
          </cell>
          <cell r="AI206">
            <v>602.42000000000007</v>
          </cell>
          <cell r="AJ206">
            <v>620.49260000000004</v>
          </cell>
          <cell r="AK206">
            <v>676.33693400000004</v>
          </cell>
          <cell r="AM206">
            <v>676.33693400000004</v>
          </cell>
          <cell r="AN206">
            <v>710.15378070000008</v>
          </cell>
          <cell r="AO206">
            <v>759.86454534900008</v>
          </cell>
          <cell r="AP206">
            <v>858.64693624437007</v>
          </cell>
          <cell r="AR206">
            <v>815.71458943215157</v>
          </cell>
          <cell r="AS206">
            <v>856.50031890375919</v>
          </cell>
          <cell r="AT206">
            <v>907.89033803798475</v>
          </cell>
          <cell r="AU206">
            <v>1016.837178602543</v>
          </cell>
          <cell r="AX206">
            <v>601.96770000000004</v>
          </cell>
          <cell r="AY206">
            <v>1072.8776800000001</v>
          </cell>
          <cell r="AZ206">
            <v>1349.8123900000003</v>
          </cell>
          <cell r="BA206">
            <v>3187.5007900000001</v>
          </cell>
          <cell r="BB206">
            <v>3061.5559800000001</v>
          </cell>
          <cell r="BC206">
            <v>2501.6695340000001</v>
          </cell>
          <cell r="BD206">
            <v>3005.0021962933702</v>
          </cell>
          <cell r="BE206">
            <v>3596.9424249764388</v>
          </cell>
          <cell r="BF206" t="str">
            <v xml:space="preserve"> --</v>
          </cell>
          <cell r="BG206" t="str">
            <v xml:space="preserve"> --</v>
          </cell>
          <cell r="BH206" t="str">
            <v xml:space="preserve"> --</v>
          </cell>
          <cell r="BI206" t="str">
            <v xml:space="preserve"> --</v>
          </cell>
        </row>
        <row r="207">
          <cell r="A207" t="str">
            <v>Communications</v>
          </cell>
          <cell r="D207" t="str">
            <v xml:space="preserve"> --</v>
          </cell>
          <cell r="E207" t="str">
            <v xml:space="preserve"> --</v>
          </cell>
          <cell r="F207" t="str">
            <v xml:space="preserve"> --</v>
          </cell>
          <cell r="G207" t="str">
            <v xml:space="preserve"> --</v>
          </cell>
          <cell r="I207" t="str">
            <v xml:space="preserve"> --</v>
          </cell>
          <cell r="J207" t="str">
            <v xml:space="preserve"> --</v>
          </cell>
          <cell r="K207" t="str">
            <v xml:space="preserve"> --</v>
          </cell>
          <cell r="L207" t="str">
            <v xml:space="preserve"> --</v>
          </cell>
          <cell r="N207">
            <v>103.41800000000002</v>
          </cell>
          <cell r="O207">
            <v>154.7242</v>
          </cell>
          <cell r="P207">
            <v>124.85599999999999</v>
          </cell>
          <cell r="Q207">
            <v>124.91523000000001</v>
          </cell>
          <cell r="S207">
            <v>230</v>
          </cell>
          <cell r="T207">
            <v>299.928</v>
          </cell>
          <cell r="U207">
            <v>325.66727999999995</v>
          </cell>
          <cell r="V207">
            <v>482.62529999999998</v>
          </cell>
          <cell r="X207">
            <v>499.82013000000001</v>
          </cell>
          <cell r="Y207">
            <v>585.72724000000005</v>
          </cell>
          <cell r="Z207">
            <v>832.04768000000001</v>
          </cell>
          <cell r="AA207">
            <v>1137.7475999999999</v>
          </cell>
          <cell r="AC207">
            <v>915.47550000000001</v>
          </cell>
          <cell r="AD207">
            <v>851.42592000000002</v>
          </cell>
          <cell r="AE207">
            <v>837.12099999999998</v>
          </cell>
          <cell r="AF207">
            <v>1101.69</v>
          </cell>
          <cell r="AH207">
            <v>989.69</v>
          </cell>
          <cell r="AI207">
            <v>1040.2055</v>
          </cell>
          <cell r="AJ207">
            <v>1040.2055</v>
          </cell>
          <cell r="AK207">
            <v>1092.2157750000001</v>
          </cell>
          <cell r="AM207">
            <v>1059.4493017500001</v>
          </cell>
          <cell r="AN207">
            <v>1080.6382877850001</v>
          </cell>
          <cell r="AO207">
            <v>1113.0574364185502</v>
          </cell>
          <cell r="AP207">
            <v>1202.1020313320344</v>
          </cell>
          <cell r="AR207">
            <v>1141.9969297654327</v>
          </cell>
          <cell r="AS207">
            <v>1176.2568376583956</v>
          </cell>
          <cell r="AT207">
            <v>1235.0696795413155</v>
          </cell>
          <cell r="AU207">
            <v>1346.225950700034</v>
          </cell>
          <cell r="AX207">
            <v>200.65590000000003</v>
          </cell>
          <cell r="AY207">
            <v>507.91343000000001</v>
          </cell>
          <cell r="AZ207">
            <v>1338.2205799999999</v>
          </cell>
          <cell r="BA207">
            <v>3055.3426499999996</v>
          </cell>
          <cell r="BB207">
            <v>3705.7124200000003</v>
          </cell>
          <cell r="BC207">
            <v>4162.3167750000002</v>
          </cell>
          <cell r="BD207">
            <v>4455.2470572855846</v>
          </cell>
          <cell r="BE207">
            <v>4899.5493976651778</v>
          </cell>
          <cell r="BF207" t="str">
            <v xml:space="preserve"> --</v>
          </cell>
          <cell r="BG207" t="str">
            <v xml:space="preserve"> --</v>
          </cell>
          <cell r="BH207" t="str">
            <v xml:space="preserve"> --</v>
          </cell>
          <cell r="BI207" t="str">
            <v xml:space="preserve"> --</v>
          </cell>
        </row>
        <row r="208">
          <cell r="A208" t="str">
            <v>Storage/Other</v>
          </cell>
          <cell r="D208" t="str">
            <v xml:space="preserve"> --</v>
          </cell>
          <cell r="E208" t="str">
            <v xml:space="preserve"> --</v>
          </cell>
          <cell r="F208" t="str">
            <v xml:space="preserve"> --</v>
          </cell>
          <cell r="G208" t="str">
            <v xml:space="preserve"> --</v>
          </cell>
          <cell r="I208" t="str">
            <v xml:space="preserve"> --</v>
          </cell>
          <cell r="J208" t="str">
            <v xml:space="preserve"> --</v>
          </cell>
          <cell r="K208" t="str">
            <v xml:space="preserve"> --</v>
          </cell>
          <cell r="L208" t="str">
            <v xml:space="preserve"> --</v>
          </cell>
          <cell r="N208">
            <v>73.87</v>
          </cell>
          <cell r="O208">
            <v>123.77936</v>
          </cell>
          <cell r="P208">
            <v>102.2616</v>
          </cell>
          <cell r="Q208">
            <v>41.63841</v>
          </cell>
          <cell r="S208">
            <v>183.91008000000002</v>
          </cell>
          <cell r="T208">
            <v>187.45500000000001</v>
          </cell>
          <cell r="U208">
            <v>203.54204999999985</v>
          </cell>
          <cell r="V208">
            <v>225.22514000000001</v>
          </cell>
          <cell r="X208">
            <v>257.97167999999999</v>
          </cell>
          <cell r="Y208">
            <v>313.78244999999998</v>
          </cell>
          <cell r="Z208">
            <v>312.01787999999999</v>
          </cell>
          <cell r="AA208">
            <v>448.20359999999999</v>
          </cell>
          <cell r="AC208">
            <v>457.73775000000001</v>
          </cell>
          <cell r="AD208">
            <v>478.92707999999999</v>
          </cell>
          <cell r="AE208">
            <v>396.53099999999995</v>
          </cell>
          <cell r="AF208">
            <v>440.67599999999993</v>
          </cell>
          <cell r="AH208">
            <v>408.78500000000003</v>
          </cell>
          <cell r="AI208">
            <v>429.22425000000004</v>
          </cell>
          <cell r="AJ208">
            <v>442.10097750000006</v>
          </cell>
          <cell r="AK208">
            <v>481.89006547500009</v>
          </cell>
          <cell r="AM208">
            <v>472.25226416550009</v>
          </cell>
          <cell r="AN208">
            <v>491.14235473212011</v>
          </cell>
          <cell r="AO208">
            <v>520.61089601604738</v>
          </cell>
          <cell r="AP208">
            <v>577.87809457781259</v>
          </cell>
          <cell r="AR208">
            <v>548.98418984892191</v>
          </cell>
          <cell r="AS208">
            <v>576.43339934136804</v>
          </cell>
          <cell r="AT208">
            <v>611.01940330185016</v>
          </cell>
          <cell r="AU208">
            <v>684.34173169807229</v>
          </cell>
          <cell r="AX208">
            <v>401.31180000000006</v>
          </cell>
          <cell r="AY208">
            <v>341.54937000000001</v>
          </cell>
          <cell r="AZ208">
            <v>800.13226999999983</v>
          </cell>
          <cell r="BA208">
            <v>1331.97561</v>
          </cell>
          <cell r="BB208">
            <v>1773.8718299999998</v>
          </cell>
          <cell r="BC208">
            <v>1762.0002929750001</v>
          </cell>
          <cell r="BD208">
            <v>2061.88360949148</v>
          </cell>
          <cell r="BE208">
            <v>2420.7787241902124</v>
          </cell>
          <cell r="BF208" t="str">
            <v xml:space="preserve"> --</v>
          </cell>
          <cell r="BG208" t="str">
            <v xml:space="preserve"> --</v>
          </cell>
          <cell r="BH208" t="str">
            <v xml:space="preserve"> --</v>
          </cell>
          <cell r="BI208" t="str">
            <v xml:space="preserve"> --</v>
          </cell>
        </row>
        <row r="209">
          <cell r="A209" t="str">
            <v>PCs/Workstations</v>
          </cell>
          <cell r="N209">
            <v>310.25400000000002</v>
          </cell>
          <cell r="O209">
            <v>293.97597999999999</v>
          </cell>
          <cell r="P209">
            <v>324.64</v>
          </cell>
          <cell r="Q209">
            <v>397.87814000000003</v>
          </cell>
          <cell r="S209">
            <v>375.82144000000005</v>
          </cell>
          <cell r="T209">
            <v>424.89800000000002</v>
          </cell>
          <cell r="U209">
            <v>461.36197999999996</v>
          </cell>
          <cell r="V209">
            <v>546.97533999999996</v>
          </cell>
          <cell r="X209">
            <v>483.69690000000003</v>
          </cell>
          <cell r="Y209">
            <v>543.88958000000002</v>
          </cell>
          <cell r="Z209">
            <v>598.03426999999999</v>
          </cell>
          <cell r="AA209">
            <v>551.63519999999994</v>
          </cell>
          <cell r="AC209">
            <v>457.73775000000001</v>
          </cell>
          <cell r="AD209">
            <v>452.32002</v>
          </cell>
          <cell r="AE209">
            <v>308.41300000000001</v>
          </cell>
          <cell r="AF209">
            <v>244.82</v>
          </cell>
          <cell r="AH209">
            <v>150.60500000000002</v>
          </cell>
          <cell r="AI209">
            <v>150.60500000000002</v>
          </cell>
          <cell r="AJ209">
            <v>153.61710000000002</v>
          </cell>
          <cell r="AK209">
            <v>162.83412600000003</v>
          </cell>
          <cell r="AM209">
            <v>156.32076096000003</v>
          </cell>
          <cell r="AN209">
            <v>159.44717617920003</v>
          </cell>
          <cell r="AO209">
            <v>165.82506322636803</v>
          </cell>
          <cell r="AP209">
            <v>182.40756954900485</v>
          </cell>
          <cell r="AR209">
            <v>171.46311537606454</v>
          </cell>
          <cell r="AS209">
            <v>171.46311537606454</v>
          </cell>
          <cell r="AT209">
            <v>180.03627114486778</v>
          </cell>
          <cell r="AU209">
            <v>198.03989825935457</v>
          </cell>
          <cell r="AX209">
            <v>802.62360000000012</v>
          </cell>
          <cell r="AY209">
            <v>1326.74812</v>
          </cell>
          <cell r="AZ209">
            <v>1809.0567600000002</v>
          </cell>
          <cell r="BA209">
            <v>2177.2559499999998</v>
          </cell>
          <cell r="BB209">
            <v>1463.2907700000001</v>
          </cell>
          <cell r="BC209">
            <v>617.66122600000017</v>
          </cell>
          <cell r="BD209">
            <v>664.00056991457291</v>
          </cell>
          <cell r="BE209">
            <v>721.00240015635143</v>
          </cell>
          <cell r="BF209">
            <v>361.94900000000001</v>
          </cell>
          <cell r="BG209">
            <v>371.06000000000006</v>
          </cell>
          <cell r="BH209">
            <v>257.29999999999995</v>
          </cell>
        </row>
        <row r="210">
          <cell r="A210" t="str">
            <v>PCs</v>
          </cell>
          <cell r="N210">
            <v>44.322000000000003</v>
          </cell>
          <cell r="O210">
            <v>61.889679999999998</v>
          </cell>
          <cell r="P210">
            <v>48.695999999999998</v>
          </cell>
          <cell r="Q210">
            <v>37.011920000000003</v>
          </cell>
          <cell r="S210">
            <v>83.728960000000001</v>
          </cell>
          <cell r="T210">
            <v>87.479000000000013</v>
          </cell>
          <cell r="U210">
            <v>122.12522999999999</v>
          </cell>
          <cell r="V210">
            <v>112.61257000000001</v>
          </cell>
          <cell r="X210">
            <v>145.10907</v>
          </cell>
          <cell r="Y210">
            <v>188.26946999999998</v>
          </cell>
          <cell r="Z210">
            <v>182.01043000000001</v>
          </cell>
          <cell r="AA210">
            <v>172.386</v>
          </cell>
          <cell r="AC210">
            <v>161.55449999999999</v>
          </cell>
          <cell r="AD210">
            <v>133.03530000000001</v>
          </cell>
          <cell r="AE210">
            <v>132.17699999999999</v>
          </cell>
          <cell r="AF210">
            <v>73.445999999999998</v>
          </cell>
          <cell r="AH210" t="str">
            <v>--</v>
          </cell>
          <cell r="AI210" t="str">
            <v>--</v>
          </cell>
          <cell r="AJ210" t="str">
            <v>--</v>
          </cell>
          <cell r="AK210" t="str">
            <v>--</v>
          </cell>
          <cell r="AM210" t="str">
            <v>--</v>
          </cell>
          <cell r="AN210" t="str">
            <v>--</v>
          </cell>
          <cell r="AO210" t="str">
            <v>--</v>
          </cell>
          <cell r="AP210" t="str">
            <v>--</v>
          </cell>
          <cell r="AR210" t="str">
            <v>--</v>
          </cell>
          <cell r="AS210" t="str">
            <v>--</v>
          </cell>
          <cell r="AT210" t="str">
            <v>--</v>
          </cell>
          <cell r="AU210" t="str">
            <v>--</v>
          </cell>
          <cell r="AX210">
            <v>200.65590000000003</v>
          </cell>
          <cell r="AY210">
            <v>191.9196</v>
          </cell>
          <cell r="AZ210">
            <v>405.94576000000001</v>
          </cell>
          <cell r="BA210">
            <v>687.77496999999994</v>
          </cell>
          <cell r="BB210">
            <v>500.21280000000002</v>
          </cell>
          <cell r="BC210" t="str">
            <v>--</v>
          </cell>
          <cell r="BD210" t="str">
            <v>--</v>
          </cell>
          <cell r="BE210" t="str">
            <v>--</v>
          </cell>
          <cell r="BF210">
            <v>201.376</v>
          </cell>
          <cell r="BG210">
            <v>192.77700000000002</v>
          </cell>
          <cell r="BH210">
            <v>157.69999999999999</v>
          </cell>
          <cell r="BI210">
            <v>-12.800000000000002</v>
          </cell>
        </row>
        <row r="211">
          <cell r="A211" t="str">
            <v>Workstations</v>
          </cell>
          <cell r="N211">
            <v>265.93200000000002</v>
          </cell>
          <cell r="O211">
            <v>232.08629999999999</v>
          </cell>
          <cell r="P211">
            <v>275.94400000000002</v>
          </cell>
          <cell r="Q211">
            <v>360.86622</v>
          </cell>
          <cell r="S211">
            <v>292.09248000000002</v>
          </cell>
          <cell r="T211">
            <v>337.41900000000004</v>
          </cell>
          <cell r="U211">
            <v>339.23674999999997</v>
          </cell>
          <cell r="V211">
            <v>434.36277000000001</v>
          </cell>
          <cell r="X211">
            <v>338.58783</v>
          </cell>
          <cell r="Y211">
            <v>355.62011000000001</v>
          </cell>
          <cell r="Z211">
            <v>416.02384000000001</v>
          </cell>
          <cell r="AA211">
            <v>379.24919999999997</v>
          </cell>
          <cell r="AC211">
            <v>296.18324999999999</v>
          </cell>
          <cell r="AD211">
            <v>319.28471999999999</v>
          </cell>
          <cell r="AE211">
            <v>176.23599999999999</v>
          </cell>
          <cell r="AF211">
            <v>171.374</v>
          </cell>
          <cell r="AH211" t="str">
            <v>--</v>
          </cell>
          <cell r="AI211" t="str">
            <v>--</v>
          </cell>
          <cell r="AJ211" t="str">
            <v>--</v>
          </cell>
          <cell r="AK211" t="str">
            <v>--</v>
          </cell>
          <cell r="AM211" t="str">
            <v>--</v>
          </cell>
          <cell r="AN211" t="str">
            <v>--</v>
          </cell>
          <cell r="AO211" t="str">
            <v>--</v>
          </cell>
          <cell r="AP211" t="str">
            <v>--</v>
          </cell>
          <cell r="AR211" t="str">
            <v>--</v>
          </cell>
          <cell r="AS211" t="str">
            <v>--</v>
          </cell>
          <cell r="AT211" t="str">
            <v>--</v>
          </cell>
          <cell r="AU211" t="str">
            <v>--</v>
          </cell>
          <cell r="AX211">
            <v>601.96770000000004</v>
          </cell>
          <cell r="AY211">
            <v>1134.82852</v>
          </cell>
          <cell r="AZ211">
            <v>1403.1110000000001</v>
          </cell>
          <cell r="BA211">
            <v>1489.48098</v>
          </cell>
          <cell r="BB211">
            <v>963.07796999999994</v>
          </cell>
          <cell r="BC211" t="str">
            <v>--</v>
          </cell>
          <cell r="BD211" t="str">
            <v>--</v>
          </cell>
          <cell r="BE211" t="str">
            <v>--</v>
          </cell>
          <cell r="BF211">
            <v>121.14400000000001</v>
          </cell>
          <cell r="BG211">
            <v>128.53</v>
          </cell>
          <cell r="BH211">
            <v>-11.499999999999996</v>
          </cell>
          <cell r="BI211">
            <v>14.400000000000002</v>
          </cell>
        </row>
        <row r="212">
          <cell r="A212" t="str">
            <v>Asia</v>
          </cell>
          <cell r="N212" t="str">
            <v xml:space="preserve"> --</v>
          </cell>
          <cell r="O212" t="str">
            <v xml:space="preserve"> --</v>
          </cell>
          <cell r="P212" t="str">
            <v xml:space="preserve"> --</v>
          </cell>
          <cell r="Q212" t="str">
            <v xml:space="preserve"> --</v>
          </cell>
          <cell r="S212">
            <v>3.3940000000000001</v>
          </cell>
          <cell r="T212">
            <v>4.24</v>
          </cell>
          <cell r="U212">
            <v>6.2880000000000003</v>
          </cell>
          <cell r="V212">
            <v>9.4139999999999997</v>
          </cell>
          <cell r="X212">
            <v>7.8659999999999997</v>
          </cell>
          <cell r="Y212">
            <v>8.077</v>
          </cell>
          <cell r="Z212">
            <v>9.2460000000000004</v>
          </cell>
          <cell r="AA212">
            <v>14.24</v>
          </cell>
          <cell r="AC212">
            <v>10.435</v>
          </cell>
          <cell r="AD212">
            <v>9.9930000000000003</v>
          </cell>
          <cell r="AE212">
            <v>8.125</v>
          </cell>
          <cell r="AF212">
            <v>21.2</v>
          </cell>
          <cell r="AH212">
            <v>19.7</v>
          </cell>
          <cell r="AI212">
            <v>26.1</v>
          </cell>
          <cell r="AJ212">
            <v>33.799999999999997</v>
          </cell>
          <cell r="AK212">
            <v>31.5</v>
          </cell>
          <cell r="AM212">
            <v>21.3</v>
          </cell>
          <cell r="AN212">
            <v>11.2</v>
          </cell>
          <cell r="AO212">
            <v>15.2</v>
          </cell>
          <cell r="AP212">
            <v>15.703398360000003</v>
          </cell>
          <cell r="AR212">
            <v>-17.257104278399996</v>
          </cell>
          <cell r="AS212">
            <v>0</v>
          </cell>
          <cell r="AT212">
            <v>3.5903231967007185</v>
          </cell>
          <cell r="AU212">
            <v>10.594329774110884</v>
          </cell>
          <cell r="BB212" t="str">
            <v xml:space="preserve"> --</v>
          </cell>
          <cell r="BC212" t="str">
            <v xml:space="preserve"> --</v>
          </cell>
          <cell r="BD212" t="str">
            <v xml:space="preserve"> --</v>
          </cell>
          <cell r="BE212">
            <v>24.536000000000001</v>
          </cell>
          <cell r="BF212">
            <v>39.429000000000002</v>
          </cell>
          <cell r="BG212">
            <v>49.753</v>
          </cell>
          <cell r="BH212">
            <v>111.1</v>
          </cell>
          <cell r="BI212">
            <v>-95.8</v>
          </cell>
        </row>
        <row r="213">
          <cell r="A213" t="str">
            <v>% Revenues</v>
          </cell>
          <cell r="N213" t="str">
            <v xml:space="preserve"> --</v>
          </cell>
          <cell r="O213" t="str">
            <v xml:space="preserve"> --</v>
          </cell>
          <cell r="P213" t="str">
            <v xml:space="preserve"> --</v>
          </cell>
          <cell r="Q213" t="str">
            <v xml:space="preserve"> --</v>
          </cell>
          <cell r="S213">
            <v>3.3940000000000001</v>
          </cell>
          <cell r="T213">
            <v>4.24</v>
          </cell>
          <cell r="U213">
            <v>6.2880000000000003</v>
          </cell>
          <cell r="V213">
            <v>9.4139999999999997</v>
          </cell>
          <cell r="X213">
            <v>7.8659999999999997</v>
          </cell>
          <cell r="Y213">
            <v>8.077</v>
          </cell>
          <cell r="Z213">
            <v>9.2460000000000004</v>
          </cell>
          <cell r="AA213">
            <v>14.24</v>
          </cell>
          <cell r="AC213">
            <v>10.435</v>
          </cell>
          <cell r="AD213">
            <v>9.9930000000000003</v>
          </cell>
          <cell r="AE213">
            <v>8.125</v>
          </cell>
          <cell r="AF213">
            <v>21.2</v>
          </cell>
          <cell r="AH213">
            <v>19.7</v>
          </cell>
          <cell r="AI213">
            <v>26.1</v>
          </cell>
          <cell r="AJ213">
            <v>33.799999999999997</v>
          </cell>
          <cell r="AK213">
            <v>31.5</v>
          </cell>
          <cell r="AM213">
            <v>21.3</v>
          </cell>
          <cell r="AN213">
            <v>11.2</v>
          </cell>
          <cell r="AO213">
            <v>-4.6999999999999993</v>
          </cell>
          <cell r="AP213">
            <v>-7.0037156685600035</v>
          </cell>
          <cell r="AQ213" t="str">
            <v>this is sum of ebita based on ebita margin below</v>
          </cell>
          <cell r="AR213">
            <v>20.043094400000001</v>
          </cell>
          <cell r="AS213">
            <v>32.609192152015474</v>
          </cell>
          <cell r="AT213">
            <v>37.369796216428028</v>
          </cell>
          <cell r="AU213">
            <v>52.391121745202447</v>
          </cell>
          <cell r="BB213" t="str">
            <v xml:space="preserve"> </v>
          </cell>
          <cell r="BC213" t="str">
            <v xml:space="preserve"> --</v>
          </cell>
          <cell r="BD213" t="str">
            <v xml:space="preserve"> --</v>
          </cell>
          <cell r="BE213">
            <v>24.536000000000001</v>
          </cell>
          <cell r="BF213">
            <v>39.429000000000002</v>
          </cell>
          <cell r="BG213">
            <v>49.753</v>
          </cell>
          <cell r="BH213">
            <v>111.1</v>
          </cell>
          <cell r="BI213">
            <v>68.599999999999994</v>
          </cell>
        </row>
        <row r="214">
          <cell r="A214" t="str">
            <v>Servers</v>
          </cell>
          <cell r="N214">
            <v>0.34</v>
          </cell>
          <cell r="O214">
            <v>0.26</v>
          </cell>
          <cell r="P214">
            <v>0.31999999999999995</v>
          </cell>
          <cell r="Q214">
            <v>0.39</v>
          </cell>
          <cell r="S214">
            <v>0.27</v>
          </cell>
          <cell r="T214">
            <v>0.27</v>
          </cell>
          <cell r="U214">
            <v>0.27</v>
          </cell>
          <cell r="V214">
            <v>0.22000000000000003</v>
          </cell>
          <cell r="X214">
            <v>0.22999999999999998</v>
          </cell>
          <cell r="Y214">
            <v>0.31</v>
          </cell>
          <cell r="Z214">
            <v>0.33</v>
          </cell>
          <cell r="AA214">
            <v>0.38</v>
          </cell>
          <cell r="AC214">
            <v>0.32</v>
          </cell>
          <cell r="AD214">
            <v>0.33</v>
          </cell>
          <cell r="AE214">
            <v>0.3</v>
          </cell>
          <cell r="AF214">
            <v>0.27</v>
          </cell>
          <cell r="AH214">
            <v>0.28000000000000003</v>
          </cell>
          <cell r="AI214">
            <v>0.27106063689260712</v>
          </cell>
          <cell r="AJ214">
            <v>0.27499031702896037</v>
          </cell>
          <cell r="AK214">
            <v>0.28025666423396256</v>
          </cell>
          <cell r="AM214">
            <v>0.28605506159396382</v>
          </cell>
          <cell r="AN214">
            <v>0.29088192557673065</v>
          </cell>
          <cell r="AO214">
            <v>0.29689655095650463</v>
          </cell>
          <cell r="AP214">
            <v>0.30437305752817195</v>
          </cell>
          <cell r="AR214">
            <v>0.30458036394015026</v>
          </cell>
          <cell r="AS214">
            <v>0.30802121377079628</v>
          </cell>
          <cell r="AT214">
            <v>0.30943608805686434</v>
          </cell>
          <cell r="AU214">
            <v>0.31331212022674904</v>
          </cell>
          <cell r="AV214" t="str">
            <v>this is sum of ebita based on ebita margin below</v>
          </cell>
          <cell r="AX214">
            <v>0.3</v>
          </cell>
          <cell r="AY214">
            <v>0.33019555776326559</v>
          </cell>
          <cell r="AZ214">
            <v>0.25481514461731075</v>
          </cell>
          <cell r="BA214">
            <v>0.32685359679863007</v>
          </cell>
          <cell r="BB214">
            <v>0.30602000053776174</v>
          </cell>
          <cell r="BC214">
            <v>0.2766217329097565</v>
          </cell>
          <cell r="BD214">
            <v>0.29500621756444223</v>
          </cell>
          <cell r="BE214">
            <v>0.30906152840377199</v>
          </cell>
          <cell r="BF214">
            <v>3.7115075509571042E-2</v>
          </cell>
          <cell r="BG214">
            <v>3.708956561347667E-2</v>
          </cell>
          <cell r="BH214">
            <v>3.1106812549114425E-2</v>
          </cell>
        </row>
        <row r="215">
          <cell r="A215" t="str">
            <v>Communications</v>
          </cell>
          <cell r="N215">
            <v>14.000000000000002</v>
          </cell>
          <cell r="O215">
            <v>20</v>
          </cell>
          <cell r="P215">
            <v>15.383932971907344</v>
          </cell>
          <cell r="Q215">
            <v>13.5</v>
          </cell>
          <cell r="S215">
            <v>21.260389860088146</v>
          </cell>
          <cell r="T215">
            <v>24</v>
          </cell>
          <cell r="U215">
            <v>24</v>
          </cell>
          <cell r="V215">
            <v>30</v>
          </cell>
          <cell r="X215">
            <v>31</v>
          </cell>
          <cell r="Y215">
            <v>28.000000000000004</v>
          </cell>
          <cell r="Z215">
            <v>32</v>
          </cell>
          <cell r="AA215">
            <v>33</v>
          </cell>
          <cell r="AC215">
            <v>34</v>
          </cell>
          <cell r="AD215">
            <v>32</v>
          </cell>
          <cell r="AE215">
            <v>38</v>
          </cell>
          <cell r="AF215">
            <v>45.000000000000007</v>
          </cell>
          <cell r="AH215">
            <v>46</v>
          </cell>
          <cell r="AI215">
            <v>46.804350009825839</v>
          </cell>
          <cell r="AJ215">
            <v>46.099895505646359</v>
          </cell>
          <cell r="AK215">
            <v>45.258618055185529</v>
          </cell>
          <cell r="AM215">
            <v>44.809150592355238</v>
          </cell>
          <cell r="AN215">
            <v>44.26339119014451</v>
          </cell>
          <cell r="AO215">
            <v>43.489713516950232</v>
          </cell>
          <cell r="AP215">
            <v>42.612097626261885</v>
          </cell>
          <cell r="AR215">
            <v>1.3999957148742652</v>
          </cell>
          <cell r="AS215">
            <v>1.3733291298290409</v>
          </cell>
          <cell r="AT215">
            <v>1.3603731946419746</v>
          </cell>
          <cell r="AU215">
            <v>1.3239346269283503</v>
          </cell>
          <cell r="AX215">
            <v>10</v>
          </cell>
          <cell r="AY215">
            <v>15.631861995144064</v>
          </cell>
          <cell r="AZ215">
            <v>25.262686366552124</v>
          </cell>
          <cell r="BA215">
            <v>31.330179987336027</v>
          </cell>
          <cell r="BB215">
            <v>37.040711460751737</v>
          </cell>
          <cell r="BC215">
            <v>46.024755211327168</v>
          </cell>
          <cell r="BD215">
            <v>43.737924195401092</v>
          </cell>
          <cell r="BE215">
            <v>42.098595040539166</v>
          </cell>
          <cell r="BF215">
            <v>3.0777446277097584</v>
          </cell>
          <cell r="BG215">
            <v>3.0432243082863564</v>
          </cell>
          <cell r="BH215">
            <v>3.3981210136183408</v>
          </cell>
          <cell r="BI215">
            <v>-1.9003785910474353E-3</v>
          </cell>
        </row>
        <row r="216">
          <cell r="A216" t="str">
            <v>Storage/Other</v>
          </cell>
          <cell r="N216">
            <v>10</v>
          </cell>
          <cell r="O216">
            <v>16</v>
          </cell>
          <cell r="P216">
            <v>12.6</v>
          </cell>
          <cell r="Q216">
            <v>4.5</v>
          </cell>
          <cell r="S216">
            <v>17</v>
          </cell>
          <cell r="T216">
            <v>15</v>
          </cell>
          <cell r="U216">
            <v>14.999999999999991</v>
          </cell>
          <cell r="V216">
            <v>14.000000000000002</v>
          </cell>
          <cell r="X216">
            <v>15.999999999999998</v>
          </cell>
          <cell r="Y216">
            <v>15</v>
          </cell>
          <cell r="Z216">
            <v>12</v>
          </cell>
          <cell r="AA216">
            <v>13</v>
          </cell>
          <cell r="AC216">
            <v>17</v>
          </cell>
          <cell r="AD216">
            <v>18</v>
          </cell>
          <cell r="AE216">
            <v>18</v>
          </cell>
          <cell r="AF216">
            <v>18</v>
          </cell>
          <cell r="AH216">
            <v>19</v>
          </cell>
          <cell r="AI216">
            <v>19.313070378598258</v>
          </cell>
          <cell r="AJ216">
            <v>19.593060088313429</v>
          </cell>
          <cell r="AK216">
            <v>19.968287326669834</v>
          </cell>
          <cell r="AM216">
            <v>19.97379467579853</v>
          </cell>
          <cell r="AN216">
            <v>20.117393972886692</v>
          </cell>
          <cell r="AO216">
            <v>20.341464852337364</v>
          </cell>
          <cell r="AP216">
            <v>20.484615399028765</v>
          </cell>
          <cell r="AR216">
            <v>0.48072299980848793</v>
          </cell>
          <cell r="AS216">
            <v>0.49005742698923532</v>
          </cell>
          <cell r="AT216">
            <v>0.49472464057960897</v>
          </cell>
          <cell r="AU216">
            <v>0.50834091509097445</v>
          </cell>
          <cell r="AX216">
            <v>20</v>
          </cell>
          <cell r="AY216">
            <v>10.51173743598077</v>
          </cell>
          <cell r="AZ216">
            <v>15.104752453267009</v>
          </cell>
          <cell r="BA216">
            <v>13.658381523932087</v>
          </cell>
          <cell r="BB216">
            <v>17.730861755156287</v>
          </cell>
          <cell r="BC216">
            <v>19.483291769992956</v>
          </cell>
          <cell r="BD216">
            <v>20.241864895955551</v>
          </cell>
          <cell r="BE216">
            <v>20.800154242959863</v>
          </cell>
          <cell r="BF216">
            <v>4.2909139337817033</v>
          </cell>
          <cell r="BG216">
            <v>4.2824105310049125</v>
          </cell>
          <cell r="BH216">
            <v>-0.64371676462356542</v>
          </cell>
          <cell r="BI216">
            <v>0.46585357963184637</v>
          </cell>
        </row>
        <row r="217">
          <cell r="A217" t="str">
            <v>PCs/Workstations</v>
          </cell>
          <cell r="N217">
            <v>42</v>
          </cell>
          <cell r="O217">
            <v>38</v>
          </cell>
          <cell r="P217">
            <v>40</v>
          </cell>
          <cell r="Q217">
            <v>43.000000000000007</v>
          </cell>
          <cell r="S217">
            <v>34.739610139911854</v>
          </cell>
          <cell r="T217">
            <v>34</v>
          </cell>
          <cell r="U217">
            <v>34</v>
          </cell>
          <cell r="V217">
            <v>34</v>
          </cell>
          <cell r="X217">
            <v>30</v>
          </cell>
          <cell r="Y217">
            <v>26</v>
          </cell>
          <cell r="Z217">
            <v>23</v>
          </cell>
          <cell r="AA217">
            <v>16</v>
          </cell>
          <cell r="AC217">
            <v>17</v>
          </cell>
          <cell r="AD217">
            <v>17</v>
          </cell>
          <cell r="AE217">
            <v>14.000000000000002</v>
          </cell>
          <cell r="AF217">
            <v>10</v>
          </cell>
          <cell r="AH217">
            <v>7.0000000000000009</v>
          </cell>
          <cell r="AI217">
            <v>6.7765159223151779</v>
          </cell>
          <cell r="AJ217">
            <v>6.8080127031441657</v>
          </cell>
          <cell r="AK217">
            <v>6.7474281947483821</v>
          </cell>
          <cell r="AM217">
            <v>6.6115485724498528</v>
          </cell>
          <cell r="AN217">
            <v>6.5310222792957271</v>
          </cell>
          <cell r="AO217">
            <v>6.4791665350619425</v>
          </cell>
          <cell r="AP217">
            <v>6.4659812218921555</v>
          </cell>
          <cell r="AR217">
            <v>0.3123279659897864</v>
          </cell>
          <cell r="AS217">
            <v>0.29745520570455847</v>
          </cell>
          <cell r="AT217">
            <v>0.29464902451866642</v>
          </cell>
          <cell r="AU217">
            <v>0.2893874347951188</v>
          </cell>
          <cell r="AX217">
            <v>40</v>
          </cell>
          <cell r="AY217">
            <v>40.832831520436145</v>
          </cell>
          <cell r="AZ217">
            <v>34.151046718449784</v>
          </cell>
          <cell r="BA217">
            <v>22.326078808868882</v>
          </cell>
          <cell r="BB217">
            <v>14.626426730315798</v>
          </cell>
          <cell r="BC217">
            <v>6.829779727704226</v>
          </cell>
          <cell r="BD217">
            <v>6.5186074350545491</v>
          </cell>
          <cell r="BE217">
            <v>6.1950978761237643</v>
          </cell>
          <cell r="BF217">
            <v>4.5209329204041087</v>
          </cell>
          <cell r="BG217">
            <v>5.019932217344409</v>
          </cell>
          <cell r="BH217">
            <v>5.2656524005877063</v>
          </cell>
          <cell r="BI217">
            <v>-6.8462802829986416</v>
          </cell>
        </row>
        <row r="218">
          <cell r="A218" t="str">
            <v>PCs</v>
          </cell>
          <cell r="N218">
            <v>6</v>
          </cell>
          <cell r="O218">
            <v>8</v>
          </cell>
          <cell r="P218">
            <v>6</v>
          </cell>
          <cell r="Q218">
            <v>4</v>
          </cell>
          <cell r="S218">
            <v>7.7396101399118526</v>
          </cell>
          <cell r="T218">
            <v>7.0000000000000009</v>
          </cell>
          <cell r="U218">
            <v>9</v>
          </cell>
          <cell r="V218">
            <v>7.0000000000000009</v>
          </cell>
          <cell r="X218">
            <v>9</v>
          </cell>
          <cell r="Y218">
            <v>9</v>
          </cell>
          <cell r="Z218">
            <v>7.0000000000000009</v>
          </cell>
          <cell r="AA218">
            <v>5</v>
          </cell>
          <cell r="AC218">
            <v>6</v>
          </cell>
          <cell r="AD218">
            <v>5</v>
          </cell>
          <cell r="AE218">
            <v>6.0000000000000009</v>
          </cell>
          <cell r="AF218">
            <v>3.0000000000000004</v>
          </cell>
          <cell r="AH218" t="str">
            <v>--</v>
          </cell>
          <cell r="AI218" t="str">
            <v>--</v>
          </cell>
          <cell r="AJ218" t="str">
            <v>--</v>
          </cell>
          <cell r="AK218" t="str">
            <v>--</v>
          </cell>
          <cell r="AM218" t="str">
            <v>--</v>
          </cell>
          <cell r="AN218" t="str">
            <v>--</v>
          </cell>
          <cell r="AO218" t="str">
            <v>--</v>
          </cell>
          <cell r="AP218" t="str">
            <v>--</v>
          </cell>
          <cell r="AR218">
            <v>2.5</v>
          </cell>
          <cell r="AS218">
            <v>3.5</v>
          </cell>
          <cell r="AT218">
            <v>3.9</v>
          </cell>
          <cell r="AU218">
            <v>4.5</v>
          </cell>
          <cell r="AX218">
            <v>10</v>
          </cell>
          <cell r="AY218">
            <v>5.9066378720547918</v>
          </cell>
          <cell r="AZ218">
            <v>7.6633707252593899</v>
          </cell>
          <cell r="BA218">
            <v>7.0526013181810026</v>
          </cell>
          <cell r="BB218">
            <v>4.9999125387540779</v>
          </cell>
          <cell r="BC218" t="str">
            <v>--</v>
          </cell>
          <cell r="BD218" t="str">
            <v>--</v>
          </cell>
          <cell r="BE218" t="str">
            <v>--</v>
          </cell>
          <cell r="BF218">
            <v>4.5209329204041087</v>
          </cell>
          <cell r="BG218">
            <v>5.019932217344409</v>
          </cell>
          <cell r="BH218">
            <v>5.2656524005877063</v>
          </cell>
          <cell r="BI218">
            <v>2.7711573419511208</v>
          </cell>
        </row>
        <row r="219">
          <cell r="A219" t="str">
            <v>Workstations</v>
          </cell>
          <cell r="N219">
            <v>36</v>
          </cell>
          <cell r="O219">
            <v>30</v>
          </cell>
          <cell r="P219">
            <v>34</v>
          </cell>
          <cell r="Q219">
            <v>39</v>
          </cell>
          <cell r="S219">
            <v>27</v>
          </cell>
          <cell r="T219">
            <v>27</v>
          </cell>
          <cell r="U219">
            <v>25</v>
          </cell>
          <cell r="V219">
            <v>27</v>
          </cell>
          <cell r="X219">
            <v>21</v>
          </cell>
          <cell r="Y219">
            <v>17</v>
          </cell>
          <cell r="Z219">
            <v>16</v>
          </cell>
          <cell r="AA219">
            <v>11</v>
          </cell>
          <cell r="AC219">
            <v>11</v>
          </cell>
          <cell r="AD219">
            <v>12</v>
          </cell>
          <cell r="AE219">
            <v>8</v>
          </cell>
          <cell r="AF219">
            <v>7.0000000000000009</v>
          </cell>
          <cell r="AH219" t="str">
            <v>--</v>
          </cell>
          <cell r="AI219" t="str">
            <v>--</v>
          </cell>
          <cell r="AJ219" t="str">
            <v>--</v>
          </cell>
          <cell r="AK219" t="str">
            <v>--</v>
          </cell>
          <cell r="AM219" t="str">
            <v>--</v>
          </cell>
          <cell r="AN219" t="str">
            <v>--</v>
          </cell>
          <cell r="AO219" t="str">
            <v>--</v>
          </cell>
          <cell r="AP219" t="str">
            <v>--</v>
          </cell>
          <cell r="AX219">
            <v>30</v>
          </cell>
          <cell r="AY219">
            <v>34.92619364838135</v>
          </cell>
          <cell r="AZ219">
            <v>26.48767599319039</v>
          </cell>
          <cell r="BA219">
            <v>15.273477490687881</v>
          </cell>
          <cell r="BB219">
            <v>9.6265141915617178</v>
          </cell>
          <cell r="BC219" t="str">
            <v>--</v>
          </cell>
          <cell r="BD219" t="str">
            <v>--</v>
          </cell>
          <cell r="BE219" t="str">
            <v>--</v>
          </cell>
        </row>
        <row r="220">
          <cell r="A220" t="str">
            <v>Celestica Inc.</v>
          </cell>
          <cell r="L220" t="str">
            <v xml:space="preserve"> </v>
          </cell>
          <cell r="AY220" t="str">
            <v xml:space="preserve"> </v>
          </cell>
        </row>
        <row r="221">
          <cell r="A221" t="str">
            <v>% Revenue Growth (yr-yr)</v>
          </cell>
          <cell r="L221" t="str">
            <v xml:space="preserve"> </v>
          </cell>
          <cell r="N221" t="str">
            <v xml:space="preserve"> --</v>
          </cell>
          <cell r="O221" t="str">
            <v xml:space="preserve"> --</v>
          </cell>
          <cell r="P221" t="str">
            <v xml:space="preserve"> --</v>
          </cell>
          <cell r="Q221" t="str">
            <v xml:space="preserve"> --</v>
          </cell>
          <cell r="S221">
            <v>0.46449708948152169</v>
          </cell>
          <cell r="T221">
            <v>0.61539048190263723</v>
          </cell>
          <cell r="U221">
            <v>0.67194061113849179</v>
          </cell>
          <cell r="V221">
            <v>0.73863014942213212</v>
          </cell>
          <cell r="X221">
            <v>0.49037458958203928</v>
          </cell>
          <cell r="Y221">
            <v>0.67390813795310844</v>
          </cell>
          <cell r="Z221">
            <v>0.91617579758089307</v>
          </cell>
          <cell r="AA221">
            <v>1.1431035629503881</v>
          </cell>
          <cell r="AC221">
            <v>0.66999726481604482</v>
          </cell>
          <cell r="AD221">
            <v>0.27191912740817736</v>
          </cell>
          <cell r="AE221">
            <v>-0.15276009182550698</v>
          </cell>
          <cell r="AF221">
            <v>-0.28990753309433481</v>
          </cell>
          <cell r="AH221">
            <v>-0.20095076274569879</v>
          </cell>
          <cell r="AI221">
            <v>-0.16471239212449618</v>
          </cell>
          <cell r="AJ221">
            <v>2.4270263737261599E-2</v>
          </cell>
          <cell r="AK221">
            <v>-1.4264806602810043E-2</v>
          </cell>
          <cell r="AM221">
            <v>9.8935282768068955E-2</v>
          </cell>
          <cell r="AN221">
            <v>9.8506774725703572E-2</v>
          </cell>
          <cell r="AO221">
            <v>0.13425792924672697</v>
          </cell>
          <cell r="AP221">
            <v>0.1689643368931113</v>
          </cell>
          <cell r="AR221">
            <v>0.13272076233916907</v>
          </cell>
          <cell r="AS221">
            <v>0.13896724377998049</v>
          </cell>
          <cell r="AT221">
            <v>0.14638739857864769</v>
          </cell>
          <cell r="AU221">
            <v>0.15044484842092887</v>
          </cell>
          <cell r="AY221">
            <v>0.6192990089003112</v>
          </cell>
          <cell r="AZ221">
            <v>0.63030623666795016</v>
          </cell>
          <cell r="BA221">
            <v>0.840979101876417</v>
          </cell>
          <cell r="BB221">
            <v>2.5877159476316747E-2</v>
          </cell>
          <cell r="BC221">
            <v>-9.6035763755579873E-2</v>
          </cell>
          <cell r="BD221">
            <v>0.12634123162952116</v>
          </cell>
          <cell r="BE221">
            <v>0.14254920855251441</v>
          </cell>
        </row>
        <row r="222">
          <cell r="A222" t="str">
            <v>Servers</v>
          </cell>
          <cell r="N222" t="str">
            <v xml:space="preserve"> --</v>
          </cell>
          <cell r="O222" t="str">
            <v xml:space="preserve"> --</v>
          </cell>
          <cell r="P222" t="str">
            <v xml:space="preserve"> --</v>
          </cell>
          <cell r="Q222" t="str">
            <v xml:space="preserve"> --</v>
          </cell>
          <cell r="S222">
            <v>0.16298298282356116</v>
          </cell>
          <cell r="T222">
            <v>0.67752088505273877</v>
          </cell>
          <cell r="U222">
            <v>0.41069989064810275</v>
          </cell>
          <cell r="V222">
            <v>-1.9234274684951091E-2</v>
          </cell>
          <cell r="X222">
            <v>0.2695783540884038</v>
          </cell>
          <cell r="Y222">
            <v>0.92189452876097633</v>
          </cell>
          <cell r="Z222">
            <v>1.3419926414877579</v>
          </cell>
          <cell r="AA222">
            <v>2.7017243360052157</v>
          </cell>
          <cell r="AC222">
            <v>1.3234744553962363</v>
          </cell>
          <cell r="AD222">
            <v>0.35397842595064044</v>
          </cell>
          <cell r="AE222">
            <v>-0.22978190165955192</v>
          </cell>
          <cell r="AF222">
            <v>-0.49546061561965893</v>
          </cell>
          <cell r="AH222">
            <v>-0.30083191740248627</v>
          </cell>
          <cell r="AI222">
            <v>-0.31389820915382927</v>
          </cell>
          <cell r="AJ222">
            <v>-6.1118651505178478E-2</v>
          </cell>
          <cell r="AK222">
            <v>2.318095229450523E-2</v>
          </cell>
          <cell r="AM222">
            <v>0.12270000000000003</v>
          </cell>
          <cell r="AN222">
            <v>0.17883500000000008</v>
          </cell>
          <cell r="AO222">
            <v>0.22461500000000001</v>
          </cell>
          <cell r="AP222">
            <v>0.26955499999999999</v>
          </cell>
          <cell r="AR222">
            <v>0.2060772500000001</v>
          </cell>
          <cell r="AS222">
            <v>0.2060772500000001</v>
          </cell>
          <cell r="AT222">
            <v>0.19480549999999996</v>
          </cell>
          <cell r="AU222">
            <v>0.18423200000000017</v>
          </cell>
          <cell r="AX222" t="str">
            <v xml:space="preserve"> --</v>
          </cell>
          <cell r="AY222">
            <v>0.78228446476447155</v>
          </cell>
          <cell r="AZ222">
            <v>0.25812328391434169</v>
          </cell>
          <cell r="BA222">
            <v>1.3614398664691465</v>
          </cell>
          <cell r="BB222">
            <v>-3.9512087462102219E-2</v>
          </cell>
          <cell r="BC222">
            <v>-0.18287643592262515</v>
          </cell>
          <cell r="BD222">
            <v>0.20119870168805831</v>
          </cell>
          <cell r="BE222">
            <v>0.19698495708695951</v>
          </cell>
        </row>
        <row r="223">
          <cell r="A223" t="str">
            <v>Communications</v>
          </cell>
          <cell r="D223">
            <v>1996</v>
          </cell>
          <cell r="I223">
            <v>1997</v>
          </cell>
          <cell r="N223" t="str">
            <v xml:space="preserve"> --</v>
          </cell>
          <cell r="O223" t="str">
            <v xml:space="preserve"> --</v>
          </cell>
          <cell r="P223" t="str">
            <v xml:space="preserve"> --</v>
          </cell>
          <cell r="Q223" t="str">
            <v xml:space="preserve"> --</v>
          </cell>
          <cell r="S223">
            <v>122.39842193815385</v>
          </cell>
          <cell r="T223">
            <v>93.846857828316459</v>
          </cell>
          <cell r="U223">
            <v>160.83430511949763</v>
          </cell>
          <cell r="V223">
            <v>286.36225542714044</v>
          </cell>
          <cell r="X223">
            <v>117.31310000000002</v>
          </cell>
          <cell r="Y223">
            <v>95.289282761196034</v>
          </cell>
          <cell r="Z223">
            <v>155.49010634411911</v>
          </cell>
          <cell r="AA223">
            <v>135.74139192454271</v>
          </cell>
          <cell r="AC223">
            <v>83.160990334662998</v>
          </cell>
          <cell r="AD223">
            <v>45.362185989505967</v>
          </cell>
          <cell r="AE223">
            <v>0.60973909572104024</v>
          </cell>
          <cell r="AF223">
            <v>-3.1692090583183674</v>
          </cell>
          <cell r="AH223">
            <v>8.1066615108760445</v>
          </cell>
          <cell r="AI223">
            <v>22.172167368360117</v>
          </cell>
          <cell r="AJ223">
            <v>0.24259874020601568</v>
          </cell>
          <cell r="AK223">
            <v>-0.85997195218254774</v>
          </cell>
          <cell r="AM223">
            <v>7.0486012539280107</v>
          </cell>
          <cell r="AN223">
            <v>3.886999999999996</v>
          </cell>
          <cell r="AO223">
            <v>7.0036100000000268</v>
          </cell>
          <cell r="AP223">
            <v>10.060856000000019</v>
          </cell>
          <cell r="AR223">
            <v>7.7915600000000307E-2</v>
          </cell>
          <cell r="AS223">
            <v>8.8483400000000323E-2</v>
          </cell>
          <cell r="AT223">
            <v>0.10961900000000013</v>
          </cell>
          <cell r="AU223">
            <v>0.11989325000000006</v>
          </cell>
          <cell r="AW223" t="str">
            <v>2005E</v>
          </cell>
          <cell r="AX223" t="str">
            <v xml:space="preserve"> --</v>
          </cell>
          <cell r="AY223">
            <v>153.12658636003223</v>
          </cell>
          <cell r="AZ223">
            <v>163.47414755305837</v>
          </cell>
          <cell r="BA223">
            <v>128.31382924928562</v>
          </cell>
          <cell r="BB223">
            <v>21.28631202788338</v>
          </cell>
          <cell r="BC223">
            <v>12.321634904416022</v>
          </cell>
          <cell r="BD223">
            <v>7.0376739234505825</v>
          </cell>
          <cell r="BE223">
            <v>9.9725634665541953</v>
          </cell>
        </row>
        <row r="224">
          <cell r="A224" t="str">
            <v>Storage/Other</v>
          </cell>
          <cell r="D224">
            <v>35125</v>
          </cell>
          <cell r="E224">
            <v>35217</v>
          </cell>
          <cell r="F224">
            <v>35309</v>
          </cell>
          <cell r="G224">
            <v>35400</v>
          </cell>
          <cell r="I224">
            <v>35490</v>
          </cell>
          <cell r="J224">
            <v>35582</v>
          </cell>
          <cell r="K224">
            <v>35674</v>
          </cell>
          <cell r="L224">
            <v>35765</v>
          </cell>
          <cell r="N224" t="str">
            <v xml:space="preserve"> --</v>
          </cell>
          <cell r="O224" t="str">
            <v xml:space="preserve"> --</v>
          </cell>
          <cell r="P224" t="str">
            <v xml:space="preserve"> --</v>
          </cell>
          <cell r="Q224" t="str">
            <v xml:space="preserve"> --</v>
          </cell>
          <cell r="S224">
            <v>148.96450521185866</v>
          </cell>
          <cell r="T224">
            <v>51.442857678372242</v>
          </cell>
          <cell r="U224">
            <v>99.040548945058404</v>
          </cell>
          <cell r="V224">
            <v>440.90715759799667</v>
          </cell>
          <cell r="X224">
            <v>40.270549607721321</v>
          </cell>
          <cell r="Y224">
            <v>67.390813795310848</v>
          </cell>
          <cell r="Z224">
            <v>53.294063806471549</v>
          </cell>
          <cell r="AA224">
            <v>99.002473702536037</v>
          </cell>
          <cell r="AC224">
            <v>77.437209386704779</v>
          </cell>
          <cell r="AD224">
            <v>52.630295288981266</v>
          </cell>
          <cell r="AE224">
            <v>27.085986226173951</v>
          </cell>
          <cell r="AF224">
            <v>-1.6795045822925236</v>
          </cell>
          <cell r="AH224">
            <v>-10.694497012754567</v>
          </cell>
          <cell r="AI224">
            <v>-10.377953570718933</v>
          </cell>
          <cell r="AJ224">
            <v>0.11492160133760065</v>
          </cell>
          <cell r="AK224">
            <v>9.3524642764752706</v>
          </cell>
          <cell r="AM224">
            <v>15.525830000000006</v>
          </cell>
          <cell r="AN224">
            <v>14.425584000000025</v>
          </cell>
          <cell r="AO224">
            <v>17.758368000000036</v>
          </cell>
          <cell r="AP224">
            <v>19.919072000000028</v>
          </cell>
          <cell r="AR224">
            <v>0.16248079999999998</v>
          </cell>
          <cell r="AS224">
            <v>0.17365850000000016</v>
          </cell>
          <cell r="AT224">
            <v>0.17365849999999994</v>
          </cell>
          <cell r="AU224">
            <v>0.18423200000000017</v>
          </cell>
          <cell r="AW224" t="str">
            <v xml:space="preserve"> 3/05E</v>
          </cell>
          <cell r="AX224" t="str">
            <v xml:space="preserve"> --</v>
          </cell>
          <cell r="AY224">
            <v>-14.891769940480204</v>
          </cell>
          <cell r="AZ224">
            <v>134.26547968746064</v>
          </cell>
          <cell r="BA224">
            <v>66.469427611012406</v>
          </cell>
          <cell r="BB224">
            <v>33.175999371339834</v>
          </cell>
          <cell r="BC224">
            <v>-0.66924435149295913</v>
          </cell>
          <cell r="BD224">
            <v>17.019481648902012</v>
          </cell>
          <cell r="BE224">
            <v>17.406177198685157</v>
          </cell>
          <cell r="BF224">
            <v>2000</v>
          </cell>
          <cell r="BG224">
            <v>2001</v>
          </cell>
          <cell r="BH224">
            <v>2002</v>
          </cell>
          <cell r="BI224" t="str">
            <v>2003E</v>
          </cell>
          <cell r="BJ224" t="str">
            <v>2004E</v>
          </cell>
          <cell r="BK224" t="str">
            <v>2005E</v>
          </cell>
          <cell r="BM224">
            <v>2002</v>
          </cell>
          <cell r="BN224">
            <v>2003</v>
          </cell>
          <cell r="BO224">
            <v>2004</v>
          </cell>
          <cell r="BP224">
            <v>2005</v>
          </cell>
          <cell r="BQ224">
            <v>2006</v>
          </cell>
          <cell r="BR224">
            <v>2007</v>
          </cell>
          <cell r="BS224">
            <v>2008</v>
          </cell>
          <cell r="BT224">
            <v>2009</v>
          </cell>
          <cell r="BU224">
            <v>2010</v>
          </cell>
          <cell r="BV224">
            <v>2011</v>
          </cell>
          <cell r="BW224">
            <v>2012</v>
          </cell>
          <cell r="BX224">
            <v>2013</v>
          </cell>
          <cell r="BY224">
            <v>2014</v>
          </cell>
          <cell r="BZ224">
            <v>2015</v>
          </cell>
          <cell r="CA224">
            <v>2016</v>
          </cell>
        </row>
        <row r="225">
          <cell r="A225" t="str">
            <v>PCs/Workstations</v>
          </cell>
          <cell r="D225">
            <v>35125</v>
          </cell>
          <cell r="E225">
            <v>35217</v>
          </cell>
          <cell r="F225">
            <v>35309</v>
          </cell>
          <cell r="G225">
            <v>35400</v>
          </cell>
          <cell r="I225">
            <v>35490</v>
          </cell>
          <cell r="J225">
            <v>35582</v>
          </cell>
          <cell r="K225">
            <v>35674</v>
          </cell>
          <cell r="L225">
            <v>35765</v>
          </cell>
          <cell r="N225" t="str">
            <v xml:space="preserve"> --</v>
          </cell>
          <cell r="O225" t="str">
            <v xml:space="preserve"> --</v>
          </cell>
          <cell r="P225" t="str">
            <v xml:space="preserve"> --</v>
          </cell>
          <cell r="Q225" t="str">
            <v xml:space="preserve"> --</v>
          </cell>
          <cell r="S225">
            <v>21.133471284818263</v>
          </cell>
          <cell r="T225">
            <v>44.53493785444649</v>
          </cell>
          <cell r="U225">
            <v>42.114951946771797</v>
          </cell>
          <cell r="V225">
            <v>37.473081582215073</v>
          </cell>
          <cell r="X225">
            <v>28.70391322006536</v>
          </cell>
          <cell r="Y225">
            <v>28.004739961120073</v>
          </cell>
          <cell r="Z225">
            <v>29.623656895178073</v>
          </cell>
          <cell r="AA225">
            <v>0.85193237413592193</v>
          </cell>
          <cell r="AC225">
            <v>-5.3668216604241259</v>
          </cell>
          <cell r="AD225">
            <v>-16.836057054080722</v>
          </cell>
          <cell r="AE225">
            <v>-48.428875154596071</v>
          </cell>
          <cell r="AF225">
            <v>-55.619220818395917</v>
          </cell>
          <cell r="AH225">
            <v>-67.097972583646424</v>
          </cell>
          <cell r="AI225">
            <v>-66.703883679524068</v>
          </cell>
          <cell r="AJ225">
            <v>-0.50191107378742128</v>
          </cell>
          <cell r="AK225">
            <v>-33.488225635160518</v>
          </cell>
          <cell r="AM225">
            <v>3.7951999999999986</v>
          </cell>
          <cell r="AN225">
            <v>5.8711040000000159</v>
          </cell>
          <cell r="AO225">
            <v>7.947008000000011</v>
          </cell>
          <cell r="AP225">
            <v>12.020480000000022</v>
          </cell>
          <cell r="AR225">
            <v>9.6867199999999931E-2</v>
          </cell>
          <cell r="AS225">
            <v>7.5359999999999872E-2</v>
          </cell>
          <cell r="AT225">
            <v>8.5700000000000109E-2</v>
          </cell>
          <cell r="AU225">
            <v>8.5700000000000109E-2</v>
          </cell>
          <cell r="AW225" t="str">
            <v xml:space="preserve"> 3/05E</v>
          </cell>
          <cell r="AX225" t="str">
            <v xml:space="preserve"> --</v>
          </cell>
          <cell r="AY225">
            <v>65.301409029089072</v>
          </cell>
          <cell r="AZ225">
            <v>36.352690667464472</v>
          </cell>
          <cell r="BA225">
            <v>20.353103238175873</v>
          </cell>
          <cell r="BB225">
            <v>-32.791972850045482</v>
          </cell>
          <cell r="BC225">
            <v>-57.789576845345636</v>
          </cell>
          <cell r="BD225">
            <v>7.5023883585291884</v>
          </cell>
          <cell r="BE225">
            <v>8.5846056200090448</v>
          </cell>
          <cell r="BF225">
            <v>2000</v>
          </cell>
          <cell r="BG225">
            <v>2001</v>
          </cell>
          <cell r="BH225">
            <v>2002</v>
          </cell>
          <cell r="BI225">
            <v>2003</v>
          </cell>
          <cell r="BJ225" t="str">
            <v>2004E</v>
          </cell>
          <cell r="BK225" t="str">
            <v>2005E</v>
          </cell>
          <cell r="BM225">
            <v>2002</v>
          </cell>
          <cell r="BN225">
            <v>2003</v>
          </cell>
          <cell r="BO225">
            <v>2004</v>
          </cell>
          <cell r="BP225">
            <v>2005</v>
          </cell>
          <cell r="BQ225">
            <v>2006</v>
          </cell>
          <cell r="BR225">
            <v>2007</v>
          </cell>
          <cell r="BS225">
            <v>2008</v>
          </cell>
          <cell r="BT225">
            <v>2009</v>
          </cell>
          <cell r="BU225">
            <v>2010</v>
          </cell>
          <cell r="BV225">
            <v>2011</v>
          </cell>
          <cell r="BW225">
            <v>2012</v>
          </cell>
          <cell r="BX225">
            <v>2013</v>
          </cell>
          <cell r="BY225">
            <v>2014</v>
          </cell>
          <cell r="BZ225">
            <v>2015</v>
          </cell>
          <cell r="CA225">
            <v>2016</v>
          </cell>
        </row>
        <row r="226">
          <cell r="A226" t="str">
            <v>PCs</v>
          </cell>
          <cell r="N226" t="str">
            <v xml:space="preserve"> --</v>
          </cell>
          <cell r="O226" t="str">
            <v xml:space="preserve"> --</v>
          </cell>
          <cell r="P226" t="str">
            <v xml:space="preserve"> --</v>
          </cell>
          <cell r="Q226" t="str">
            <v xml:space="preserve"> --</v>
          </cell>
          <cell r="S226">
            <v>88.910608727042998</v>
          </cell>
          <cell r="T226">
            <v>41.346667166480763</v>
          </cell>
          <cell r="U226">
            <v>150.79109167077377</v>
          </cell>
          <cell r="V226">
            <v>204.26027614887312</v>
          </cell>
          <cell r="X226">
            <v>73.308100327533026</v>
          </cell>
          <cell r="Y226">
            <v>115.21676059397107</v>
          </cell>
          <cell r="Z226">
            <v>49.035895367402802</v>
          </cell>
          <cell r="AA226">
            <v>53.078825925027729</v>
          </cell>
          <cell r="AC226">
            <v>11.333150987736328</v>
          </cell>
          <cell r="AD226">
            <v>-29.337826255101252</v>
          </cell>
          <cell r="AE226">
            <v>-27.379436442186321</v>
          </cell>
          <cell r="AF226">
            <v>-57.394451985660091</v>
          </cell>
          <cell r="AH226" t="str">
            <v>--</v>
          </cell>
          <cell r="AI226">
            <v>2249.1999999999998</v>
          </cell>
          <cell r="AJ226">
            <v>1958.9</v>
          </cell>
          <cell r="AK226">
            <v>1911.9</v>
          </cell>
          <cell r="AM226">
            <v>1587.4</v>
          </cell>
          <cell r="AN226">
            <v>1598.4</v>
          </cell>
          <cell r="AO226">
            <v>1634.8</v>
          </cell>
          <cell r="AP226">
            <v>1744.8220400000002</v>
          </cell>
          <cell r="AR226">
            <v>1665.4279780000002</v>
          </cell>
          <cell r="AS226">
            <v>1741.67276128</v>
          </cell>
          <cell r="AT226">
            <v>1799.4925442383999</v>
          </cell>
          <cell r="AU226">
            <v>1971.9901045041761</v>
          </cell>
          <cell r="AW226">
            <v>1879.7556005492872</v>
          </cell>
          <cell r="AX226" t="str">
            <v xml:space="preserve"> --</v>
          </cell>
          <cell r="AY226">
            <v>-4.3538714784863153</v>
          </cell>
          <cell r="AZ226">
            <v>111.51865677085615</v>
          </cell>
          <cell r="BA226">
            <v>69.425336527717391</v>
          </cell>
          <cell r="BB226">
            <v>-27.270863026608826</v>
          </cell>
          <cell r="BC226" t="str">
            <v>--</v>
          </cell>
          <cell r="BD226" t="str">
            <v>--</v>
          </cell>
          <cell r="BE226" t="str">
            <v>--</v>
          </cell>
          <cell r="BF226">
            <v>9752.0749999999989</v>
          </cell>
          <cell r="BG226">
            <v>10004.431</v>
          </cell>
          <cell r="BH226">
            <v>8271.5</v>
          </cell>
          <cell r="BI226">
            <v>6565.5220400000007</v>
          </cell>
          <cell r="BJ226">
            <v>7178.5833880225764</v>
          </cell>
          <cell r="BK226">
            <v>8306.197936945784</v>
          </cell>
        </row>
        <row r="227">
          <cell r="A227" t="str">
            <v>Workstations</v>
          </cell>
          <cell r="N227" t="str">
            <v xml:space="preserve"> --</v>
          </cell>
          <cell r="O227" t="str">
            <v xml:space="preserve"> --</v>
          </cell>
          <cell r="P227" t="str">
            <v xml:space="preserve"> --</v>
          </cell>
          <cell r="Q227" t="str">
            <v xml:space="preserve"> --</v>
          </cell>
          <cell r="S227">
            <v>9.837281711114132</v>
          </cell>
          <cell r="T227">
            <v>45.385143371237355</v>
          </cell>
          <cell r="U227">
            <v>22.936809642536147</v>
          </cell>
          <cell r="V227">
            <v>20.366702652301448</v>
          </cell>
          <cell r="X227">
            <v>15.918023634158596</v>
          </cell>
          <cell r="Y227">
            <v>5.3942160933438732</v>
          </cell>
          <cell r="Z227">
            <v>22.635251045177164</v>
          </cell>
          <cell r="AA227">
            <v>-12.688373361280492</v>
          </cell>
          <cell r="AC227">
            <v>-12.523952795350034</v>
          </cell>
          <cell r="AD227">
            <v>-10.21747335942279</v>
          </cell>
          <cell r="AE227">
            <v>-57.638004591275347</v>
          </cell>
          <cell r="AF227">
            <v>-54.812297560548572</v>
          </cell>
          <cell r="AH227" t="str">
            <v>--</v>
          </cell>
          <cell r="AI227">
            <v>607.28399999999999</v>
          </cell>
          <cell r="AJ227">
            <v>430.95800000000003</v>
          </cell>
          <cell r="AK227">
            <v>458.85599999999999</v>
          </cell>
          <cell r="AM227">
            <v>349.22800000000001</v>
          </cell>
          <cell r="AN227">
            <v>351.64800000000002</v>
          </cell>
          <cell r="AO227">
            <v>343.30799999999999</v>
          </cell>
          <cell r="AP227">
            <v>363.90647999999999</v>
          </cell>
          <cell r="AR227">
            <v>345.71115599999996</v>
          </cell>
          <cell r="AS227">
            <v>362.99671379999995</v>
          </cell>
          <cell r="AT227">
            <v>377.51658235199994</v>
          </cell>
          <cell r="AU227">
            <v>407.71790894015999</v>
          </cell>
          <cell r="AW227">
            <v>387.33201349315198</v>
          </cell>
          <cell r="AX227" t="str">
            <v xml:space="preserve"> --</v>
          </cell>
          <cell r="AY227">
            <v>88.519835864947567</v>
          </cell>
          <cell r="AZ227">
            <v>23.640794646225505</v>
          </cell>
          <cell r="BA227">
            <v>6.1556056505864376</v>
          </cell>
          <cell r="BB227">
            <v>-35.341371730708516</v>
          </cell>
          <cell r="BC227" t="str">
            <v>--</v>
          </cell>
          <cell r="BD227" t="str">
            <v>--</v>
          </cell>
          <cell r="BE227" t="str">
            <v>--</v>
          </cell>
          <cell r="BF227">
            <v>3187.5007900000001</v>
          </cell>
          <cell r="BG227">
            <v>3061.5559800000001</v>
          </cell>
          <cell r="BH227">
            <v>2099.518</v>
          </cell>
          <cell r="BI227">
            <v>1408.0904799999998</v>
          </cell>
          <cell r="BJ227">
            <v>1493.9423610921599</v>
          </cell>
          <cell r="BK227">
            <v>1724.332404309084</v>
          </cell>
        </row>
        <row r="228">
          <cell r="A228" t="str">
            <v>Communications</v>
          </cell>
          <cell r="N228">
            <v>103.41800000000002</v>
          </cell>
          <cell r="O228">
            <v>154.7242</v>
          </cell>
          <cell r="P228">
            <v>124.85599999999999</v>
          </cell>
          <cell r="Q228">
            <v>124.91523000000001</v>
          </cell>
          <cell r="S228">
            <v>230</v>
          </cell>
          <cell r="T228">
            <v>299.928</v>
          </cell>
          <cell r="U228">
            <v>325.66727999999995</v>
          </cell>
          <cell r="V228">
            <v>482.62529999999998</v>
          </cell>
          <cell r="X228">
            <v>499.82013000000001</v>
          </cell>
          <cell r="Y228">
            <v>585.72724000000005</v>
          </cell>
          <cell r="Z228">
            <v>832.04768000000001</v>
          </cell>
          <cell r="AA228">
            <v>1137.7475999999999</v>
          </cell>
          <cell r="AC228">
            <v>915.47550000000001</v>
          </cell>
          <cell r="AD228">
            <v>851.42592000000002</v>
          </cell>
          <cell r="AE228">
            <v>837.12099999999998</v>
          </cell>
          <cell r="AF228">
            <v>1101.69</v>
          </cell>
          <cell r="AH228">
            <v>989.69</v>
          </cell>
          <cell r="AI228">
            <v>1034.6320000000001</v>
          </cell>
          <cell r="AJ228">
            <v>901.09400000000005</v>
          </cell>
          <cell r="AK228">
            <v>860.35500000000002</v>
          </cell>
          <cell r="AM228">
            <v>746.07799999999997</v>
          </cell>
          <cell r="AN228">
            <v>767.23200000000008</v>
          </cell>
          <cell r="AO228">
            <v>801.05200000000002</v>
          </cell>
          <cell r="AP228">
            <v>852.87516000000005</v>
          </cell>
          <cell r="AR228">
            <v>810.231402</v>
          </cell>
          <cell r="AS228">
            <v>842.64065807999998</v>
          </cell>
          <cell r="AT228">
            <v>867.91987782239994</v>
          </cell>
          <cell r="AU228">
            <v>946.03266682641606</v>
          </cell>
          <cell r="AW228">
            <v>898.73103348509517</v>
          </cell>
          <cell r="AX228">
            <v>943.66758515934998</v>
          </cell>
          <cell r="AY228">
            <v>981.41428856572406</v>
          </cell>
          <cell r="AZ228">
            <v>1079.5557174222965</v>
          </cell>
          <cell r="BC228">
            <v>200.65590000000003</v>
          </cell>
          <cell r="BD228">
            <v>507.91343000000001</v>
          </cell>
          <cell r="BE228">
            <v>1338.2205799999999</v>
          </cell>
          <cell r="BF228">
            <v>3055.3426499999996</v>
          </cell>
          <cell r="BG228">
            <v>3705.7124200000003</v>
          </cell>
          <cell r="BH228">
            <v>3785.7710000000002</v>
          </cell>
          <cell r="BI228">
            <v>3167.2371600000001</v>
          </cell>
          <cell r="BJ228">
            <v>3466.8246047288158</v>
          </cell>
          <cell r="BK228">
            <v>3903.368624632466</v>
          </cell>
        </row>
        <row r="229">
          <cell r="A229" t="str">
            <v>% Revenue Growth (seq.)</v>
          </cell>
          <cell r="N229" t="str">
            <v xml:space="preserve"> --</v>
          </cell>
          <cell r="O229">
            <v>4.7273588736970185</v>
          </cell>
          <cell r="P229">
            <v>4.9092514293174627</v>
          </cell>
          <cell r="Q229">
            <v>14.009117792015768</v>
          </cell>
          <cell r="S229">
            <v>16.916279944407098</v>
          </cell>
          <cell r="T229">
            <v>15.517866122400692</v>
          </cell>
          <cell r="U229">
            <v>8.5818196367128063</v>
          </cell>
          <cell r="V229">
            <v>18.556656965968465</v>
          </cell>
          <cell r="X229">
            <v>0.22203560401827804</v>
          </cell>
          <cell r="Y229">
            <v>29.743419897874034</v>
          </cell>
          <cell r="Z229">
            <v>24.297056766559134</v>
          </cell>
          <cell r="AA229">
            <v>32.59701655558969</v>
          </cell>
          <cell r="AC229">
            <v>-21.902735720998223</v>
          </cell>
          <cell r="AD229">
            <v>-1.1835882008857546</v>
          </cell>
          <cell r="AE229">
            <v>-17.204305924818463</v>
          </cell>
          <cell r="AF229">
            <v>11.132799201071286</v>
          </cell>
          <cell r="AH229">
            <v>-12.119107916019923</v>
          </cell>
          <cell r="AI229">
            <v>3.2979200557750499</v>
          </cell>
          <cell r="AJ229">
            <v>1.5281043404820727</v>
          </cell>
          <cell r="AK229">
            <v>6.9517637986798109</v>
          </cell>
          <cell r="AM229">
            <v>-2.0270214159789024</v>
          </cell>
          <cell r="AN229">
            <v>3.2576410782978682</v>
          </cell>
          <cell r="AO229">
            <v>4.8323597442864852</v>
          </cell>
          <cell r="AP229">
            <v>10.224310031053886</v>
          </cell>
          <cell r="AR229">
            <v>-5.0646598122189079</v>
          </cell>
          <cell r="AS229">
            <v>3.8270637992918521</v>
          </cell>
          <cell r="AT229">
            <v>5.5153226139038614</v>
          </cell>
          <cell r="AU229">
            <v>10.614430866214475</v>
          </cell>
          <cell r="AW229">
            <v>423.9557357498216</v>
          </cell>
          <cell r="AX229">
            <v>445.15352253731271</v>
          </cell>
          <cell r="AY229">
            <v>462.95966343880525</v>
          </cell>
          <cell r="AZ229">
            <v>509.25562978268584</v>
          </cell>
          <cell r="BA229" t="str">
            <v xml:space="preserve"> --</v>
          </cell>
          <cell r="BB229" t="str">
            <v xml:space="preserve"> --</v>
          </cell>
          <cell r="BC229" t="str">
            <v xml:space="preserve"> --</v>
          </cell>
          <cell r="BD229" t="str">
            <v xml:space="preserve"> --</v>
          </cell>
          <cell r="BE229" t="str">
            <v xml:space="preserve"> --</v>
          </cell>
          <cell r="BF229">
            <v>3055.3426499999996</v>
          </cell>
          <cell r="BG229" t="str">
            <v>--</v>
          </cell>
          <cell r="BH229" t="str">
            <v>--</v>
          </cell>
          <cell r="BI229">
            <v>1495.0782799999999</v>
          </cell>
          <cell r="BJ229">
            <v>1635.3949304653279</v>
          </cell>
          <cell r="BK229">
            <v>1841.3245515086255</v>
          </cell>
        </row>
        <row r="230">
          <cell r="A230" t="str">
            <v>Servers</v>
          </cell>
          <cell r="N230" t="str">
            <v xml:space="preserve"> --</v>
          </cell>
          <cell r="O230">
            <v>-19.9143726259964</v>
          </cell>
          <cell r="P230">
            <v>29.119078682236864</v>
          </cell>
          <cell r="Q230">
            <v>38.948612309019225</v>
          </cell>
          <cell r="S230">
            <v>-19.057960038487387</v>
          </cell>
          <cell r="T230">
            <v>15.517866122400692</v>
          </cell>
          <cell r="U230">
            <v>8.5818196367128063</v>
          </cell>
          <cell r="V230">
            <v>-3.3982795092108886</v>
          </cell>
          <cell r="X230">
            <v>4.7775826769281826</v>
          </cell>
          <cell r="Y230">
            <v>74.87156594930849</v>
          </cell>
          <cell r="Z230">
            <v>32.316221719240382</v>
          </cell>
          <cell r="AA230">
            <v>52.687473609466906</v>
          </cell>
          <cell r="AC230">
            <v>-34.233882712419557</v>
          </cell>
          <cell r="AD230">
            <v>1.9044246678365795</v>
          </cell>
          <cell r="AE230">
            <v>-24.731187204380433</v>
          </cell>
          <cell r="AF230">
            <v>1.9519280964175323E-2</v>
          </cell>
          <cell r="AH230">
            <v>-8.8642600610576938</v>
          </cell>
          <cell r="AI230">
            <v>0</v>
          </cell>
          <cell r="AJ230">
            <v>3.0000000000000027</v>
          </cell>
          <cell r="AK230">
            <v>9.0000000000000071</v>
          </cell>
          <cell r="AM230">
            <v>0</v>
          </cell>
          <cell r="AN230">
            <v>5.0000000000000044</v>
          </cell>
          <cell r="AO230">
            <v>7.0000000000000062</v>
          </cell>
          <cell r="AP230">
            <v>12.999999999999989</v>
          </cell>
          <cell r="AR230">
            <v>-5.0000000000000044</v>
          </cell>
          <cell r="AS230">
            <v>5.0000000000000044</v>
          </cell>
          <cell r="AT230">
            <v>6.0000000000000053</v>
          </cell>
          <cell r="AU230">
            <v>12.000000000000011</v>
          </cell>
          <cell r="AW230" t="str">
            <v xml:space="preserve"> --</v>
          </cell>
          <cell r="AX230" t="str">
            <v xml:space="preserve"> --</v>
          </cell>
          <cell r="AY230" t="str">
            <v xml:space="preserve"> --</v>
          </cell>
          <cell r="AZ230" t="str">
            <v xml:space="preserve"> --</v>
          </cell>
          <cell r="BA230" t="str">
            <v xml:space="preserve"> --</v>
          </cell>
          <cell r="BB230" t="str">
            <v xml:space="preserve"> --</v>
          </cell>
          <cell r="BC230" t="str">
            <v xml:space="preserve"> --</v>
          </cell>
          <cell r="BD230" t="str">
            <v xml:space="preserve"> --</v>
          </cell>
          <cell r="BE230" t="str">
            <v xml:space="preserve"> --</v>
          </cell>
          <cell r="BG230" t="str">
            <v>--</v>
          </cell>
          <cell r="BH230" t="str">
            <v>--</v>
          </cell>
          <cell r="BI230">
            <v>1672.1588800000002</v>
          </cell>
          <cell r="BJ230">
            <v>1831.4296742634881</v>
          </cell>
          <cell r="BK230">
            <v>2062.0440731238405</v>
          </cell>
        </row>
        <row r="231">
          <cell r="A231" t="str">
            <v>Communications</v>
          </cell>
          <cell r="N231" t="str">
            <v xml:space="preserve"> --</v>
          </cell>
          <cell r="O231">
            <v>49.610512676710016</v>
          </cell>
          <cell r="P231">
            <v>-19.304155393920276</v>
          </cell>
          <cell r="Q231">
            <v>4.7438649324038629E-2</v>
          </cell>
          <cell r="S231">
            <v>84.124866119207397</v>
          </cell>
          <cell r="T231">
            <v>30.403478260869555</v>
          </cell>
          <cell r="U231">
            <v>8.5818196367127833</v>
          </cell>
          <cell r="V231">
            <v>48.195821207460597</v>
          </cell>
          <cell r="X231">
            <v>3.5627701241522258</v>
          </cell>
          <cell r="Y231">
            <v>17.187605069047549</v>
          </cell>
          <cell r="Z231">
            <v>42.053779161781854</v>
          </cell>
          <cell r="AA231">
            <v>36.740673322951857</v>
          </cell>
          <cell r="AC231">
            <v>-19.536151954967863</v>
          </cell>
          <cell r="AD231">
            <v>-6.9963183067160202</v>
          </cell>
          <cell r="AE231">
            <v>-1.6801132857219181</v>
          </cell>
          <cell r="AF231">
            <v>31.604630632847595</v>
          </cell>
          <cell r="AH231">
            <v>-10.166199203042602</v>
          </cell>
          <cell r="AI231">
            <v>5.1041740342935737</v>
          </cell>
          <cell r="AJ231">
            <v>0</v>
          </cell>
          <cell r="AK231">
            <v>5.0000000000000044</v>
          </cell>
          <cell r="AM231">
            <v>-3.0000000000000027</v>
          </cell>
          <cell r="AN231">
            <v>2.0000000000000018</v>
          </cell>
          <cell r="AO231">
            <v>3.0000000000000027</v>
          </cell>
          <cell r="AP231">
            <v>8.0000000000000071</v>
          </cell>
          <cell r="AR231">
            <v>-4.9999999999999929</v>
          </cell>
          <cell r="AS231">
            <v>3.0000000000000027</v>
          </cell>
          <cell r="AT231">
            <v>5.0000000000000044</v>
          </cell>
          <cell r="AU231">
            <v>9.0000000000000071</v>
          </cell>
          <cell r="AW231" t="str">
            <v xml:space="preserve"> --</v>
          </cell>
          <cell r="AX231" t="str">
            <v xml:space="preserve"> --</v>
          </cell>
          <cell r="AY231" t="str">
            <v xml:space="preserve"> --</v>
          </cell>
          <cell r="AZ231" t="str">
            <v xml:space="preserve"> --</v>
          </cell>
          <cell r="BA231" t="str">
            <v xml:space="preserve"> --</v>
          </cell>
          <cell r="BB231" t="str">
            <v xml:space="preserve"> --</v>
          </cell>
          <cell r="BC231" t="str">
            <v xml:space="preserve"> --</v>
          </cell>
          <cell r="BD231" t="str">
            <v xml:space="preserve"> --</v>
          </cell>
          <cell r="BE231" t="str">
            <v xml:space="preserve"> --</v>
          </cell>
          <cell r="BF231">
            <v>1331.97561</v>
          </cell>
          <cell r="BG231" t="str">
            <v>--</v>
          </cell>
          <cell r="BH231" t="str">
            <v>--</v>
          </cell>
          <cell r="BI231">
            <v>1719.4560000000001</v>
          </cell>
          <cell r="BJ231">
            <v>2298.59783069696</v>
          </cell>
          <cell r="BK231">
            <v>3054.6141225759434</v>
          </cell>
        </row>
        <row r="232">
          <cell r="A232" t="str">
            <v>Storage/Other</v>
          </cell>
          <cell r="N232" t="str">
            <v xml:space="preserve"> --</v>
          </cell>
          <cell r="O232">
            <v>67.563774197915237</v>
          </cell>
          <cell r="P232">
            <v>-17.383964499412496</v>
          </cell>
          <cell r="Q232">
            <v>-59.28245793142294</v>
          </cell>
          <cell r="S232">
            <v>341.68372423442685</v>
          </cell>
          <cell r="T232">
            <v>1.9275289315300093</v>
          </cell>
          <cell r="U232">
            <v>8.5818196367127175</v>
          </cell>
          <cell r="V232">
            <v>10.652879834903972</v>
          </cell>
          <cell r="X232">
            <v>14.53946926173515</v>
          </cell>
          <cell r="Y232">
            <v>21.63445615425692</v>
          </cell>
          <cell r="Z232">
            <v>-0.56235458675270023</v>
          </cell>
          <cell r="AA232">
            <v>43.646767935222172</v>
          </cell>
          <cell r="AC232">
            <v>2.1271917494638526</v>
          </cell>
          <cell r="AD232">
            <v>4.6291419049444782</v>
          </cell>
          <cell r="AE232">
            <v>-17.204305924818463</v>
          </cell>
          <cell r="AF232">
            <v>11.132799201071286</v>
          </cell>
          <cell r="AH232">
            <v>-7.2368361335765741</v>
          </cell>
          <cell r="AI232">
            <v>5.0000000000000044</v>
          </cell>
          <cell r="AJ232">
            <v>3.0000000000000027</v>
          </cell>
          <cell r="AK232">
            <v>9.0000000000000071</v>
          </cell>
          <cell r="AM232">
            <v>-2.0000000000000018</v>
          </cell>
          <cell r="AN232">
            <v>4.0000000000000036</v>
          </cell>
          <cell r="AO232">
            <v>6.0000000000000053</v>
          </cell>
          <cell r="AP232">
            <v>11.000000000000011</v>
          </cell>
          <cell r="AR232">
            <v>-5.0000000000000044</v>
          </cell>
          <cell r="AS232">
            <v>5.0000000000000044</v>
          </cell>
          <cell r="AT232">
            <v>6.0000000000000053</v>
          </cell>
          <cell r="AU232">
            <v>12.000000000000011</v>
          </cell>
          <cell r="AW232" t="str">
            <v xml:space="preserve"> --</v>
          </cell>
          <cell r="AX232" t="str">
            <v xml:space="preserve"> --</v>
          </cell>
          <cell r="AY232" t="str">
            <v xml:space="preserve"> --</v>
          </cell>
          <cell r="AZ232" t="str">
            <v xml:space="preserve"> --</v>
          </cell>
          <cell r="BA232" t="str">
            <v xml:space="preserve"> --</v>
          </cell>
          <cell r="BB232" t="str">
            <v xml:space="preserve"> --</v>
          </cell>
          <cell r="BC232" t="str">
            <v xml:space="preserve"> --</v>
          </cell>
          <cell r="BD232" t="str">
            <v xml:space="preserve"> --</v>
          </cell>
          <cell r="BE232" t="str">
            <v xml:space="preserve"> --</v>
          </cell>
          <cell r="BF232">
            <v>1331.97561</v>
          </cell>
          <cell r="BG232" t="str">
            <v>--</v>
          </cell>
          <cell r="BH232" t="str">
            <v>--</v>
          </cell>
          <cell r="BI232">
            <v>844.36040000000003</v>
          </cell>
          <cell r="BJ232">
            <v>969.42117020320006</v>
          </cell>
          <cell r="BK232">
            <v>1193.5004785596498</v>
          </cell>
        </row>
        <row r="233">
          <cell r="A233" t="str">
            <v>PCs/Workstations</v>
          </cell>
          <cell r="N233" t="str">
            <v xml:space="preserve"> --</v>
          </cell>
          <cell r="O233">
            <v>-5.2466753047503145</v>
          </cell>
          <cell r="P233">
            <v>10.430790978228899</v>
          </cell>
          <cell r="Q233">
            <v>22.559801626416977</v>
          </cell>
          <cell r="S233">
            <v>-5.5435817609884257</v>
          </cell>
          <cell r="T233">
            <v>13.05847798358708</v>
          </cell>
          <cell r="U233">
            <v>8.5818196367128063</v>
          </cell>
          <cell r="V233">
            <v>18.556656965968465</v>
          </cell>
          <cell r="X233">
            <v>-11.568792114101512</v>
          </cell>
          <cell r="Y233">
            <v>12.444297244824188</v>
          </cell>
          <cell r="Z233">
            <v>9.9550886781099912</v>
          </cell>
          <cell r="AA233">
            <v>-7.7585971787202173</v>
          </cell>
          <cell r="AC233">
            <v>-17.021656703560605</v>
          </cell>
          <cell r="AD233">
            <v>-1.1835882008857657</v>
          </cell>
          <cell r="AE233">
            <v>-31.815310761615191</v>
          </cell>
          <cell r="AF233">
            <v>-20.619429142091938</v>
          </cell>
          <cell r="AH233">
            <v>-38.483375541213945</v>
          </cell>
          <cell r="AI233">
            <v>0</v>
          </cell>
          <cell r="AJ233">
            <v>2.0000000000000018</v>
          </cell>
          <cell r="AK233">
            <v>6.0000000000000053</v>
          </cell>
          <cell r="AM233">
            <v>-3.9999999999999925</v>
          </cell>
          <cell r="AN233">
            <v>2.0000000000000018</v>
          </cell>
          <cell r="AO233">
            <v>4.0000000000000036</v>
          </cell>
          <cell r="AP233">
            <v>10.000000000000009</v>
          </cell>
          <cell r="AR233">
            <v>-6.000000000000016</v>
          </cell>
          <cell r="AS233">
            <v>0</v>
          </cell>
          <cell r="AT233">
            <v>5.0000000000000044</v>
          </cell>
          <cell r="AU233">
            <v>10.000000000000009</v>
          </cell>
          <cell r="AW233" t="str">
            <v xml:space="preserve"> --</v>
          </cell>
          <cell r="AX233" t="str">
            <v xml:space="preserve"> --</v>
          </cell>
          <cell r="AY233" t="str">
            <v xml:space="preserve"> --</v>
          </cell>
          <cell r="AZ233" t="str">
            <v xml:space="preserve"> --</v>
          </cell>
          <cell r="BA233" t="str">
            <v xml:space="preserve"> --</v>
          </cell>
          <cell r="BB233" t="str">
            <v xml:space="preserve"> --</v>
          </cell>
          <cell r="BC233" t="str">
            <v xml:space="preserve"> --</v>
          </cell>
          <cell r="BD233" t="str">
            <v xml:space="preserve"> --</v>
          </cell>
          <cell r="BE233" t="str">
            <v xml:space="preserve"> --</v>
          </cell>
          <cell r="BG233" t="str">
            <v>--</v>
          </cell>
          <cell r="BH233" t="str">
            <v>--</v>
          </cell>
          <cell r="BI233">
            <v>646.01400000000012</v>
          </cell>
          <cell r="BJ233">
            <v>784.95641312000021</v>
          </cell>
          <cell r="BK233">
            <v>956.43429142891091</v>
          </cell>
        </row>
        <row r="234">
          <cell r="A234" t="str">
            <v>PCs</v>
          </cell>
          <cell r="N234" t="str">
            <v xml:space="preserve"> --</v>
          </cell>
          <cell r="O234">
            <v>39.636478498262704</v>
          </cell>
          <cell r="P234">
            <v>-21.318061428011916</v>
          </cell>
          <cell r="Q234">
            <v>-23.993921471989477</v>
          </cell>
          <cell r="S234">
            <v>126.22160644462647</v>
          </cell>
          <cell r="T234">
            <v>4.4787848792102736</v>
          </cell>
          <cell r="U234">
            <v>39.605196675773577</v>
          </cell>
          <cell r="V234">
            <v>-7.7892668042467417</v>
          </cell>
          <cell r="X234">
            <v>28.856902919452065</v>
          </cell>
          <cell r="Y234">
            <v>29.743419897874055</v>
          </cell>
          <cell r="Z234">
            <v>-3.3245114037873336</v>
          </cell>
          <cell r="AA234">
            <v>-5.2878453174359352</v>
          </cell>
          <cell r="AC234">
            <v>-6.2832828651978705</v>
          </cell>
          <cell r="AD234">
            <v>-17.652990167404802</v>
          </cell>
          <cell r="AE234">
            <v>-0.64516710978215208</v>
          </cell>
          <cell r="AF234">
            <v>-44.433600399464353</v>
          </cell>
          <cell r="AH234" t="str">
            <v>--</v>
          </cell>
          <cell r="AI234" t="str">
            <v>--</v>
          </cell>
          <cell r="AJ234" t="str">
            <v>--</v>
          </cell>
          <cell r="AK234" t="str">
            <v>--</v>
          </cell>
          <cell r="AM234" t="str">
            <v>--</v>
          </cell>
          <cell r="AN234" t="str">
            <v>--</v>
          </cell>
          <cell r="AO234" t="str">
            <v>--</v>
          </cell>
          <cell r="AP234" t="str">
            <v>--</v>
          </cell>
          <cell r="AR234" t="str">
            <v>--</v>
          </cell>
          <cell r="AS234" t="str">
            <v>--</v>
          </cell>
          <cell r="AT234" t="str">
            <v>--</v>
          </cell>
          <cell r="AU234" t="str">
            <v>--</v>
          </cell>
          <cell r="AW234" t="str">
            <v xml:space="preserve"> --</v>
          </cell>
          <cell r="AX234" t="str">
            <v xml:space="preserve"> --</v>
          </cell>
          <cell r="AY234" t="str">
            <v xml:space="preserve"> --</v>
          </cell>
          <cell r="AZ234" t="str">
            <v xml:space="preserve"> --</v>
          </cell>
          <cell r="BA234" t="str">
            <v xml:space="preserve"> --</v>
          </cell>
          <cell r="BB234" t="str">
            <v xml:space="preserve"> --</v>
          </cell>
          <cell r="BC234" t="str">
            <v xml:space="preserve"> --</v>
          </cell>
          <cell r="BD234" t="str">
            <v xml:space="preserve"> --</v>
          </cell>
          <cell r="BE234" t="str">
            <v xml:space="preserve"> --</v>
          </cell>
          <cell r="BF234">
            <v>2177.2559499999998</v>
          </cell>
          <cell r="BG234" t="str">
            <v>--</v>
          </cell>
          <cell r="BH234" t="str">
            <v>--</v>
          </cell>
          <cell r="BI234">
            <v>638.51800000000003</v>
          </cell>
          <cell r="BJ234">
            <v>1852.0165913865001</v>
          </cell>
          <cell r="BK234">
            <v>2337.3632253324158</v>
          </cell>
        </row>
        <row r="235">
          <cell r="A235" t="str">
            <v>Workstations</v>
          </cell>
          <cell r="N235" t="str">
            <v xml:space="preserve"> --</v>
          </cell>
          <cell r="O235">
            <v>-12.727200938585813</v>
          </cell>
          <cell r="P235">
            <v>18.897151619893137</v>
          </cell>
          <cell r="Q235">
            <v>30.775164526135733</v>
          </cell>
          <cell r="S235">
            <v>-19.057960038487387</v>
          </cell>
          <cell r="T235">
            <v>15.517866122400692</v>
          </cell>
          <cell r="U235">
            <v>0.53872188584518366</v>
          </cell>
          <cell r="V235">
            <v>28.041189523245947</v>
          </cell>
          <cell r="X235">
            <v>-22.04952786354135</v>
          </cell>
          <cell r="Y235">
            <v>5.0303875363742367</v>
          </cell>
          <cell r="Z235">
            <v>16.985465192055639</v>
          </cell>
          <cell r="AA235">
            <v>-8.8395511180320856</v>
          </cell>
          <cell r="AC235">
            <v>-21.902735720998223</v>
          </cell>
          <cell r="AD235">
            <v>7.7997219626700698</v>
          </cell>
          <cell r="AE235">
            <v>-44.802870616545633</v>
          </cell>
          <cell r="AF235">
            <v>-2.7588006990626135</v>
          </cell>
          <cell r="AH235" t="str">
            <v>--</v>
          </cell>
          <cell r="AI235" t="str">
            <v>--</v>
          </cell>
          <cell r="AJ235" t="str">
            <v>--</v>
          </cell>
          <cell r="AK235" t="str">
            <v>--</v>
          </cell>
          <cell r="AM235" t="str">
            <v>--</v>
          </cell>
          <cell r="AN235" t="str">
            <v>--</v>
          </cell>
          <cell r="AO235" t="str">
            <v>--</v>
          </cell>
          <cell r="AP235" t="str">
            <v>--</v>
          </cell>
          <cell r="AR235" t="str">
            <v>--</v>
          </cell>
          <cell r="AS235" t="str">
            <v>--</v>
          </cell>
          <cell r="AT235" t="str">
            <v>--</v>
          </cell>
          <cell r="AU235" t="str">
            <v>--</v>
          </cell>
          <cell r="AW235" t="str">
            <v xml:space="preserve"> --</v>
          </cell>
          <cell r="AX235" t="str">
            <v xml:space="preserve"> --</v>
          </cell>
          <cell r="AY235" t="str">
            <v xml:space="preserve"> --</v>
          </cell>
          <cell r="AZ235" t="str">
            <v xml:space="preserve"> --</v>
          </cell>
          <cell r="BA235" t="str">
            <v xml:space="preserve"> --</v>
          </cell>
          <cell r="BB235" t="str">
            <v xml:space="preserve"> --</v>
          </cell>
          <cell r="BC235" t="str">
            <v xml:space="preserve"> --</v>
          </cell>
          <cell r="BD235" t="str">
            <v xml:space="preserve"> --</v>
          </cell>
          <cell r="BE235" t="str">
            <v xml:space="preserve"> --</v>
          </cell>
          <cell r="BF235">
            <v>687.77496999999994</v>
          </cell>
          <cell r="BG235">
            <v>500.21280000000002</v>
          </cell>
          <cell r="BH235" t="str">
            <v>--</v>
          </cell>
          <cell r="BI235" t="str">
            <v>--</v>
          </cell>
          <cell r="BJ235" t="str">
            <v>--</v>
          </cell>
          <cell r="BK235" t="str">
            <v>--</v>
          </cell>
        </row>
        <row r="236">
          <cell r="A236" t="str">
            <v>Workstations</v>
          </cell>
          <cell r="N236">
            <v>265.93200000000002</v>
          </cell>
          <cell r="O236">
            <v>232.08629999999999</v>
          </cell>
          <cell r="P236">
            <v>275.94400000000002</v>
          </cell>
          <cell r="Q236">
            <v>360.86622</v>
          </cell>
          <cell r="S236">
            <v>292.09248000000002</v>
          </cell>
          <cell r="T236">
            <v>337.41900000000004</v>
          </cell>
          <cell r="U236">
            <v>339.23674999999997</v>
          </cell>
          <cell r="V236">
            <v>434.36277000000001</v>
          </cell>
          <cell r="X236">
            <v>338.58783</v>
          </cell>
          <cell r="Y236">
            <v>355.62011000000001</v>
          </cell>
          <cell r="Z236">
            <v>416.02384000000001</v>
          </cell>
          <cell r="AA236">
            <v>379.24919999999997</v>
          </cell>
          <cell r="AC236">
            <v>296.18324999999999</v>
          </cell>
          <cell r="AD236">
            <v>319.28471999999999</v>
          </cell>
          <cell r="AE236">
            <v>176.23599999999999</v>
          </cell>
          <cell r="AF236">
            <v>171.374</v>
          </cell>
          <cell r="AH236" t="str">
            <v>--</v>
          </cell>
          <cell r="AI236" t="str">
            <v>--</v>
          </cell>
          <cell r="AJ236" t="str">
            <v>--</v>
          </cell>
          <cell r="AK236" t="str">
            <v>--</v>
          </cell>
          <cell r="AM236" t="str">
            <v>--</v>
          </cell>
          <cell r="AN236" t="str">
            <v>--</v>
          </cell>
          <cell r="AO236" t="str">
            <v>--</v>
          </cell>
          <cell r="AP236" t="str">
            <v>--</v>
          </cell>
          <cell r="AR236" t="str">
            <v>--</v>
          </cell>
          <cell r="AS236" t="str">
            <v>--</v>
          </cell>
          <cell r="AT236" t="str">
            <v>--</v>
          </cell>
          <cell r="AU236" t="str">
            <v>--</v>
          </cell>
          <cell r="AW236" t="str">
            <v>--</v>
          </cell>
          <cell r="AX236" t="str">
            <v>--</v>
          </cell>
          <cell r="AY236" t="str">
            <v>--</v>
          </cell>
          <cell r="AZ236" t="str">
            <v>--</v>
          </cell>
          <cell r="BC236">
            <v>601.96770000000004</v>
          </cell>
          <cell r="BD236">
            <v>1134.82852</v>
          </cell>
          <cell r="BE236">
            <v>1403.1110000000001</v>
          </cell>
          <cell r="BF236">
            <v>1489.48098</v>
          </cell>
          <cell r="BG236">
            <v>963.07796999999994</v>
          </cell>
          <cell r="BH236" t="str">
            <v>--</v>
          </cell>
          <cell r="BI236" t="str">
            <v>--</v>
          </cell>
          <cell r="BJ236" t="str">
            <v>--</v>
          </cell>
          <cell r="BK236" t="str">
            <v>--</v>
          </cell>
        </row>
        <row r="237">
          <cell r="A237" t="str">
            <v>Top 5 Customers</v>
          </cell>
          <cell r="N237">
            <v>0.75</v>
          </cell>
          <cell r="O237">
            <v>0.75</v>
          </cell>
          <cell r="P237">
            <v>0.7</v>
          </cell>
          <cell r="Q237">
            <v>0.77</v>
          </cell>
          <cell r="S237">
            <v>0.67</v>
          </cell>
          <cell r="T237">
            <v>0.69</v>
          </cell>
          <cell r="U237">
            <v>0.68</v>
          </cell>
          <cell r="V237">
            <v>0.68</v>
          </cell>
          <cell r="X237">
            <v>0.66</v>
          </cell>
          <cell r="Y237">
            <v>0.71</v>
          </cell>
          <cell r="Z237">
            <v>0.69</v>
          </cell>
          <cell r="AA237">
            <v>0.68</v>
          </cell>
          <cell r="AC237">
            <v>0.67</v>
          </cell>
          <cell r="AD237">
            <v>0.63</v>
          </cell>
          <cell r="AE237">
            <v>0.67</v>
          </cell>
          <cell r="AF237">
            <v>0.72</v>
          </cell>
          <cell r="AH237">
            <v>0.72</v>
          </cell>
          <cell r="AI237">
            <v>0.67</v>
          </cell>
          <cell r="AJ237" t="str">
            <v>--</v>
          </cell>
          <cell r="AK237" t="str">
            <v>--</v>
          </cell>
          <cell r="AM237" t="str">
            <v>--</v>
          </cell>
          <cell r="AN237" t="str">
            <v>--</v>
          </cell>
          <cell r="AO237" t="str">
            <v>--</v>
          </cell>
          <cell r="AP237" t="str">
            <v>--</v>
          </cell>
          <cell r="AR237" t="str">
            <v>--</v>
          </cell>
          <cell r="AS237" t="str">
            <v>--</v>
          </cell>
          <cell r="AT237" t="str">
            <v>--</v>
          </cell>
          <cell r="AU237" t="str">
            <v>--</v>
          </cell>
          <cell r="AW237">
            <v>0.90800000000000003</v>
          </cell>
          <cell r="AX237">
            <v>0.70399999999999996</v>
          </cell>
          <cell r="AY237">
            <v>0.71799999999999997</v>
          </cell>
          <cell r="AZ237">
            <v>0.67600000000000005</v>
          </cell>
          <cell r="BA237">
            <v>0.68500000000000005</v>
          </cell>
          <cell r="BB237">
            <v>0.67159746816185739</v>
          </cell>
          <cell r="BC237" t="str">
            <v xml:space="preserve"> --</v>
          </cell>
          <cell r="BD237" t="str">
            <v xml:space="preserve"> --</v>
          </cell>
          <cell r="BE237" t="str">
            <v xml:space="preserve"> --</v>
          </cell>
          <cell r="BF237">
            <v>1489.48098</v>
          </cell>
          <cell r="BG237">
            <v>963.07796999999994</v>
          </cell>
          <cell r="BH237" t="str">
            <v>--</v>
          </cell>
          <cell r="BI237" t="str">
            <v>--</v>
          </cell>
          <cell r="BJ237" t="str">
            <v>--</v>
          </cell>
          <cell r="BK237" t="str">
            <v>--</v>
          </cell>
        </row>
        <row r="238">
          <cell r="A238" t="str">
            <v>Top 10 Customers</v>
          </cell>
          <cell r="S238" t="str">
            <v>--</v>
          </cell>
          <cell r="T238" t="str">
            <v>--</v>
          </cell>
          <cell r="U238" t="str">
            <v>--</v>
          </cell>
          <cell r="V238" t="str">
            <v>--</v>
          </cell>
          <cell r="X238">
            <v>0.83</v>
          </cell>
          <cell r="Y238">
            <v>0.88</v>
          </cell>
          <cell r="Z238">
            <v>0.87</v>
          </cell>
          <cell r="AA238">
            <v>0.85</v>
          </cell>
          <cell r="AC238">
            <v>0.83</v>
          </cell>
          <cell r="AD238">
            <v>0.83</v>
          </cell>
          <cell r="AE238">
            <v>0.86</v>
          </cell>
          <cell r="AF238">
            <v>0.86</v>
          </cell>
          <cell r="AH238">
            <v>0.88</v>
          </cell>
          <cell r="AI238" t="str">
            <v>--</v>
          </cell>
          <cell r="AW238" t="str">
            <v xml:space="preserve"> --</v>
          </cell>
          <cell r="AX238" t="str">
            <v xml:space="preserve"> --</v>
          </cell>
          <cell r="AY238" t="str">
            <v xml:space="preserve"> --</v>
          </cell>
          <cell r="AZ238" t="str">
            <v xml:space="preserve"> --</v>
          </cell>
          <cell r="BA238">
            <v>0.85</v>
          </cell>
          <cell r="BB238">
            <v>0.8439472699646785</v>
          </cell>
          <cell r="BC238" t="str">
            <v xml:space="preserve"> --</v>
          </cell>
          <cell r="BD238" t="str">
            <v xml:space="preserve"> --</v>
          </cell>
          <cell r="BE238" t="str">
            <v xml:space="preserve"> --</v>
          </cell>
        </row>
        <row r="239">
          <cell r="A239" t="str">
            <v>Servers</v>
          </cell>
          <cell r="N239">
            <v>0.34</v>
          </cell>
          <cell r="O239">
            <v>0.26</v>
          </cell>
          <cell r="P239">
            <v>0.31999999999999995</v>
          </cell>
          <cell r="Q239">
            <v>0.39</v>
          </cell>
          <cell r="S239">
            <v>0.27</v>
          </cell>
          <cell r="T239">
            <v>0.27</v>
          </cell>
          <cell r="U239">
            <v>0.27</v>
          </cell>
          <cell r="V239">
            <v>0.22000000000000003</v>
          </cell>
          <cell r="X239">
            <v>0.22999999999999998</v>
          </cell>
          <cell r="Y239">
            <v>0.31</v>
          </cell>
          <cell r="Z239">
            <v>0.33</v>
          </cell>
          <cell r="AA239">
            <v>0.38</v>
          </cell>
          <cell r="AC239">
            <v>0.32</v>
          </cell>
          <cell r="AD239">
            <v>0.33</v>
          </cell>
          <cell r="AE239">
            <v>0.3</v>
          </cell>
          <cell r="AF239">
            <v>0.27</v>
          </cell>
          <cell r="AH239">
            <v>0.28000000000000003</v>
          </cell>
          <cell r="AI239">
            <v>0.27</v>
          </cell>
          <cell r="AJ239">
            <v>0.22</v>
          </cell>
          <cell r="AK239">
            <v>0.24</v>
          </cell>
          <cell r="AM239">
            <v>0.22</v>
          </cell>
          <cell r="AN239">
            <v>0.22</v>
          </cell>
          <cell r="AO239">
            <v>0.21</v>
          </cell>
          <cell r="AP239">
            <v>0.20856366532371401</v>
          </cell>
          <cell r="AR239">
            <v>0.20758097051735727</v>
          </cell>
          <cell r="AS239">
            <v>0.20841843649964667</v>
          </cell>
          <cell r="AT239">
            <v>0.20979057877218185</v>
          </cell>
          <cell r="AU239">
            <v>0.20675454101361926</v>
          </cell>
          <cell r="AW239">
            <v>0.20605445377046297</v>
          </cell>
          <cell r="AX239">
            <v>0.2072950978489573</v>
          </cell>
          <cell r="AY239">
            <v>0.20890379173158216</v>
          </cell>
          <cell r="AZ239">
            <v>0.20791785449758057</v>
          </cell>
          <cell r="BC239">
            <v>0.3</v>
          </cell>
          <cell r="BD239">
            <v>0.33019555776326559</v>
          </cell>
          <cell r="BE239">
            <v>0.25481514461731075</v>
          </cell>
          <cell r="BF239">
            <v>0.32685359679863007</v>
          </cell>
          <cell r="BG239">
            <v>0.30602000053776174</v>
          </cell>
          <cell r="BH239">
            <v>0.25382554554796594</v>
          </cell>
          <cell r="BI239">
            <v>0.21446740585459975</v>
          </cell>
          <cell r="BJ239">
            <v>0.2081110269729253</v>
          </cell>
          <cell r="BK239">
            <v>0.20759587207033578</v>
          </cell>
        </row>
        <row r="240">
          <cell r="A240" t="str">
            <v>Customers &gt; 10% of Sales</v>
          </cell>
          <cell r="N240">
            <v>14.000000000000002</v>
          </cell>
          <cell r="O240">
            <v>20</v>
          </cell>
          <cell r="P240">
            <v>15.383932971907344</v>
          </cell>
          <cell r="Q240">
            <v>13.5</v>
          </cell>
          <cell r="S240">
            <v>21.260389860088146</v>
          </cell>
          <cell r="T240">
            <v>24</v>
          </cell>
          <cell r="U240">
            <v>24</v>
          </cell>
          <cell r="V240">
            <v>30</v>
          </cell>
          <cell r="X240">
            <v>31</v>
          </cell>
          <cell r="Y240">
            <v>28.000000000000004</v>
          </cell>
          <cell r="Z240">
            <v>32</v>
          </cell>
          <cell r="AA240">
            <v>33</v>
          </cell>
          <cell r="AC240">
            <v>34</v>
          </cell>
          <cell r="AD240">
            <v>32</v>
          </cell>
          <cell r="AE240">
            <v>38</v>
          </cell>
          <cell r="AF240">
            <v>45.000000000000007</v>
          </cell>
          <cell r="AH240">
            <v>46</v>
          </cell>
          <cell r="AI240">
            <v>46.000000000000007</v>
          </cell>
          <cell r="AJ240">
            <v>46</v>
          </cell>
          <cell r="AK240">
            <v>45</v>
          </cell>
          <cell r="AM240">
            <v>47</v>
          </cell>
          <cell r="AN240">
            <v>48.000000000000007</v>
          </cell>
          <cell r="AO240">
            <v>49.000000000000007</v>
          </cell>
          <cell r="AP240">
            <v>48.880352290827318</v>
          </cell>
          <cell r="AR240">
            <v>48.650041473003277</v>
          </cell>
          <cell r="AS240">
            <v>48.381112503632529</v>
          </cell>
          <cell r="AT240">
            <v>48.231368371116538</v>
          </cell>
          <cell r="AU240">
            <v>47.973499697873997</v>
          </cell>
          <cell r="AW240">
            <v>47.811057630176769</v>
          </cell>
          <cell r="AX240">
            <v>47.199880396245469</v>
          </cell>
          <cell r="AY240">
            <v>46.668695660421797</v>
          </cell>
          <cell r="AZ240">
            <v>46.44843922403782</v>
          </cell>
          <cell r="BC240">
            <v>10</v>
          </cell>
          <cell r="BD240">
            <v>15.631861995144064</v>
          </cell>
          <cell r="BE240">
            <v>25.262686366552124</v>
          </cell>
          <cell r="BF240">
            <v>31.330179987336027</v>
          </cell>
          <cell r="BG240">
            <v>37.040711460751737</v>
          </cell>
          <cell r="BH240">
            <v>45.768856918334038</v>
          </cell>
          <cell r="BI240">
            <v>48.240446695690324</v>
          </cell>
          <cell r="BJ240">
            <v>48.293993638260048</v>
          </cell>
          <cell r="BK240">
            <v>46.993445789082017</v>
          </cell>
        </row>
        <row r="241">
          <cell r="A241" t="str">
            <v>Sun Microsystems</v>
          </cell>
          <cell r="N241" t="str">
            <v xml:space="preserve"> --</v>
          </cell>
          <cell r="O241" t="str">
            <v>X</v>
          </cell>
          <cell r="P241" t="str">
            <v>X</v>
          </cell>
          <cell r="Q241" t="str">
            <v>X</v>
          </cell>
          <cell r="S241" t="str">
            <v>X</v>
          </cell>
          <cell r="T241" t="str">
            <v>X</v>
          </cell>
          <cell r="U241" t="str">
            <v>X</v>
          </cell>
          <cell r="V241" t="str">
            <v>X</v>
          </cell>
          <cell r="X241" t="str">
            <v>X</v>
          </cell>
          <cell r="Y241" t="str">
            <v>X</v>
          </cell>
          <cell r="Z241" t="str">
            <v>X</v>
          </cell>
          <cell r="AA241" t="str">
            <v>X</v>
          </cell>
          <cell r="AC241" t="str">
            <v>X</v>
          </cell>
          <cell r="AD241" t="str">
            <v>X</v>
          </cell>
          <cell r="AE241" t="str">
            <v>X</v>
          </cell>
          <cell r="AF241" t="str">
            <v>X</v>
          </cell>
          <cell r="AH241" t="str">
            <v>X</v>
          </cell>
          <cell r="AI241" t="str">
            <v>X</v>
          </cell>
          <cell r="AJ241" t="str">
            <v>--</v>
          </cell>
          <cell r="AK241" t="str">
            <v>--</v>
          </cell>
          <cell r="AM241">
            <v>23</v>
          </cell>
          <cell r="AN241">
            <v>22</v>
          </cell>
          <cell r="AO241">
            <v>23</v>
          </cell>
          <cell r="AP241">
            <v>23.058184203129393</v>
          </cell>
          <cell r="AR241">
            <v>22.949540361330474</v>
          </cell>
          <cell r="AS241">
            <v>22.822679292972907</v>
          </cell>
          <cell r="AT241">
            <v>22.75204093565609</v>
          </cell>
          <cell r="AU241">
            <v>22.630397308121125</v>
          </cell>
          <cell r="AW241" t="str">
            <v xml:space="preserve"> --</v>
          </cell>
          <cell r="AX241">
            <v>0.27</v>
          </cell>
          <cell r="AY241">
            <v>0.19</v>
          </cell>
          <cell r="AZ241">
            <v>0.25</v>
          </cell>
          <cell r="BA241">
            <v>0.25</v>
          </cell>
          <cell r="BB241">
            <v>0.21</v>
          </cell>
          <cell r="BC241" t="str">
            <v xml:space="preserve"> --</v>
          </cell>
          <cell r="BD241" t="str">
            <v xml:space="preserve"> --</v>
          </cell>
          <cell r="BE241" t="str">
            <v xml:space="preserve"> --</v>
          </cell>
          <cell r="BF241">
            <v>31.330179987336027</v>
          </cell>
          <cell r="BG241" t="str">
            <v xml:space="preserve"> --</v>
          </cell>
          <cell r="BH241" t="str">
            <v xml:space="preserve"> --</v>
          </cell>
          <cell r="BI241">
            <v>22.77165883978968</v>
          </cell>
          <cell r="BJ241">
            <v>22.781582967942875</v>
          </cell>
          <cell r="BK241">
            <v>22.168079372614695</v>
          </cell>
        </row>
        <row r="242">
          <cell r="A242" t="str">
            <v>Hewlett-Packard</v>
          </cell>
          <cell r="N242" t="str">
            <v>X</v>
          </cell>
          <cell r="O242" t="str">
            <v>X</v>
          </cell>
          <cell r="P242" t="str">
            <v>X</v>
          </cell>
          <cell r="Q242" t="str">
            <v>X</v>
          </cell>
          <cell r="S242" t="str">
            <v>X</v>
          </cell>
          <cell r="T242" t="str">
            <v>X</v>
          </cell>
          <cell r="U242" t="str">
            <v>X</v>
          </cell>
          <cell r="V242" t="str">
            <v>X</v>
          </cell>
          <cell r="X242" t="str">
            <v>X</v>
          </cell>
          <cell r="Y242" t="str">
            <v>X</v>
          </cell>
          <cell r="Z242" t="str">
            <v xml:space="preserve"> --</v>
          </cell>
          <cell r="AA242" t="str">
            <v xml:space="preserve"> --</v>
          </cell>
          <cell r="AC242" t="str">
            <v xml:space="preserve"> --</v>
          </cell>
          <cell r="AD242" t="str">
            <v xml:space="preserve"> --</v>
          </cell>
          <cell r="AE242" t="str">
            <v xml:space="preserve"> --</v>
          </cell>
          <cell r="AF242" t="str">
            <v>X</v>
          </cell>
          <cell r="AH242" t="str">
            <v>X</v>
          </cell>
          <cell r="AI242" t="str">
            <v>--</v>
          </cell>
          <cell r="AJ242" t="str">
            <v>--</v>
          </cell>
          <cell r="AK242" t="str">
            <v>--</v>
          </cell>
          <cell r="AM242">
            <v>24</v>
          </cell>
          <cell r="AN242">
            <v>26</v>
          </cell>
          <cell r="AO242">
            <v>26</v>
          </cell>
          <cell r="AP242">
            <v>25.822168087697928</v>
          </cell>
          <cell r="AR242">
            <v>25.700501111672807</v>
          </cell>
          <cell r="AS242">
            <v>25.558433210659619</v>
          </cell>
          <cell r="AT242">
            <v>25.479327435460451</v>
          </cell>
          <cell r="AU242">
            <v>25.343102389752875</v>
          </cell>
          <cell r="AW242" t="str">
            <v xml:space="preserve"> --</v>
          </cell>
          <cell r="AX242" t="str">
            <v xml:space="preserve"> --</v>
          </cell>
          <cell r="AY242">
            <v>0.27</v>
          </cell>
          <cell r="AZ242">
            <v>0.18</v>
          </cell>
          <cell r="BA242" t="str">
            <v xml:space="preserve"> --</v>
          </cell>
          <cell r="BB242" t="str">
            <v xml:space="preserve"> --</v>
          </cell>
          <cell r="BC242" t="str">
            <v xml:space="preserve"> --</v>
          </cell>
          <cell r="BD242" t="str">
            <v xml:space="preserve"> --</v>
          </cell>
          <cell r="BE242" t="str">
            <v xml:space="preserve"> --</v>
          </cell>
          <cell r="BG242" t="str">
            <v xml:space="preserve"> --</v>
          </cell>
          <cell r="BH242" t="str">
            <v xml:space="preserve"> --</v>
          </cell>
          <cell r="BI242">
            <v>25.468787855900644</v>
          </cell>
          <cell r="BJ242">
            <v>25.512410670317177</v>
          </cell>
          <cell r="BK242">
            <v>24.825366416467325</v>
          </cell>
        </row>
        <row r="243">
          <cell r="A243" t="str">
            <v>Lucent</v>
          </cell>
          <cell r="N243" t="str">
            <v xml:space="preserve"> --</v>
          </cell>
          <cell r="O243" t="str">
            <v xml:space="preserve"> --</v>
          </cell>
          <cell r="P243" t="str">
            <v xml:space="preserve"> --</v>
          </cell>
          <cell r="Q243" t="str">
            <v xml:space="preserve"> --</v>
          </cell>
          <cell r="S243" t="str">
            <v xml:space="preserve"> --</v>
          </cell>
          <cell r="T243" t="str">
            <v xml:space="preserve"> --</v>
          </cell>
          <cell r="U243" t="str">
            <v xml:space="preserve"> --</v>
          </cell>
          <cell r="V243" t="str">
            <v xml:space="preserve"> --</v>
          </cell>
          <cell r="X243" t="str">
            <v xml:space="preserve"> --</v>
          </cell>
          <cell r="Y243" t="str">
            <v xml:space="preserve"> --</v>
          </cell>
          <cell r="Z243" t="str">
            <v xml:space="preserve"> --</v>
          </cell>
          <cell r="AA243" t="str">
            <v xml:space="preserve"> --</v>
          </cell>
          <cell r="AC243" t="str">
            <v xml:space="preserve"> --</v>
          </cell>
          <cell r="AD243" t="str">
            <v xml:space="preserve"> --</v>
          </cell>
          <cell r="AE243" t="str">
            <v>X</v>
          </cell>
          <cell r="AF243" t="str">
            <v>X</v>
          </cell>
          <cell r="AH243" t="str">
            <v>X</v>
          </cell>
          <cell r="AI243" t="str">
            <v>X</v>
          </cell>
          <cell r="AJ243">
            <v>26</v>
          </cell>
          <cell r="AK243">
            <v>25</v>
          </cell>
          <cell r="AM243">
            <v>23</v>
          </cell>
          <cell r="AN243">
            <v>21.000000000000004</v>
          </cell>
          <cell r="AO243">
            <v>23</v>
          </cell>
          <cell r="AP243">
            <v>23.704675349011524</v>
          </cell>
          <cell r="AR243">
            <v>24.132870668034375</v>
          </cell>
          <cell r="AS243">
            <v>24.230232474316995</v>
          </cell>
          <cell r="AT243">
            <v>24.38975447635169</v>
          </cell>
          <cell r="AU243">
            <v>24.927043489743795</v>
          </cell>
          <cell r="AW243" t="str">
            <v xml:space="preserve"> --</v>
          </cell>
          <cell r="AX243" t="str">
            <v xml:space="preserve"> --</v>
          </cell>
          <cell r="AY243" t="str">
            <v xml:space="preserve"> --</v>
          </cell>
          <cell r="AZ243" t="str">
            <v xml:space="preserve"> --</v>
          </cell>
          <cell r="BA243" t="str">
            <v xml:space="preserve"> --</v>
          </cell>
          <cell r="BB243">
            <v>0.11</v>
          </cell>
          <cell r="BC243" t="str">
            <v xml:space="preserve"> --</v>
          </cell>
          <cell r="BD243" t="str">
            <v xml:space="preserve"> --</v>
          </cell>
          <cell r="BE243" t="str">
            <v xml:space="preserve"> --</v>
          </cell>
          <cell r="BF243">
            <v>13.658381523932087</v>
          </cell>
          <cell r="BG243" t="str">
            <v xml:space="preserve"> --</v>
          </cell>
          <cell r="BH243" t="str">
            <v xml:space="preserve"> --</v>
          </cell>
          <cell r="BI243">
            <v>25.528260708187954</v>
          </cell>
          <cell r="BJ243">
            <v>23.940858024152266</v>
          </cell>
          <cell r="BK243">
            <v>25.022235323713044</v>
          </cell>
        </row>
        <row r="244">
          <cell r="A244" t="str">
            <v>Cisco</v>
          </cell>
          <cell r="N244" t="str">
            <v>X</v>
          </cell>
          <cell r="O244" t="str">
            <v xml:space="preserve"> --</v>
          </cell>
          <cell r="P244" t="str">
            <v xml:space="preserve"> --</v>
          </cell>
          <cell r="Q244" t="str">
            <v>X</v>
          </cell>
          <cell r="S244" t="str">
            <v>X</v>
          </cell>
          <cell r="T244" t="str">
            <v>X</v>
          </cell>
          <cell r="U244" t="str">
            <v>X</v>
          </cell>
          <cell r="V244" t="str">
            <v>X</v>
          </cell>
          <cell r="X244" t="str">
            <v>X</v>
          </cell>
          <cell r="Y244" t="str">
            <v xml:space="preserve"> --</v>
          </cell>
          <cell r="Z244" t="str">
            <v xml:space="preserve"> --</v>
          </cell>
          <cell r="AA244" t="str">
            <v xml:space="preserve"> --</v>
          </cell>
          <cell r="AC244" t="str">
            <v xml:space="preserve"> --</v>
          </cell>
          <cell r="AD244" t="str">
            <v xml:space="preserve"> --</v>
          </cell>
          <cell r="AE244" t="str">
            <v xml:space="preserve"> --</v>
          </cell>
          <cell r="AF244" t="str">
            <v xml:space="preserve"> --</v>
          </cell>
          <cell r="AH244" t="str">
            <v xml:space="preserve"> --</v>
          </cell>
          <cell r="AI244" t="str">
            <v>--</v>
          </cell>
          <cell r="AJ244" t="str">
            <v>--</v>
          </cell>
          <cell r="AK244" t="str">
            <v>--</v>
          </cell>
          <cell r="AM244">
            <v>14.000000000000002</v>
          </cell>
          <cell r="AN244">
            <v>11</v>
          </cell>
          <cell r="AO244">
            <v>13</v>
          </cell>
          <cell r="AP244">
            <v>13.398294762484774</v>
          </cell>
          <cell r="AR244">
            <v>13.335165671150987</v>
          </cell>
          <cell r="AS244">
            <v>13.388965148000665</v>
          </cell>
          <cell r="AT244">
            <v>13.477112652480688</v>
          </cell>
          <cell r="AU244">
            <v>13.774003897017268</v>
          </cell>
          <cell r="AW244" t="str">
            <v xml:space="preserve"> --</v>
          </cell>
          <cell r="AX244">
            <v>0.11</v>
          </cell>
          <cell r="AY244" t="str">
            <v xml:space="preserve"> --</v>
          </cell>
          <cell r="AZ244">
            <v>0.12</v>
          </cell>
          <cell r="BA244" t="str">
            <v xml:space="preserve"> --</v>
          </cell>
          <cell r="BB244" t="str">
            <v xml:space="preserve"> --</v>
          </cell>
          <cell r="BC244" t="str">
            <v xml:space="preserve"> --</v>
          </cell>
          <cell r="BD244" t="str">
            <v xml:space="preserve"> --</v>
          </cell>
          <cell r="BE244" t="str">
            <v xml:space="preserve"> --</v>
          </cell>
          <cell r="BF244">
            <v>13.658381523932087</v>
          </cell>
          <cell r="BG244" t="str">
            <v xml:space="preserve"> --</v>
          </cell>
          <cell r="BH244" t="str">
            <v xml:space="preserve"> --</v>
          </cell>
          <cell r="BI244">
            <v>12.860521902992501</v>
          </cell>
          <cell r="BJ244">
            <v>13.504352012134783</v>
          </cell>
          <cell r="BK244">
            <v>14.368794093516435</v>
          </cell>
        </row>
        <row r="245">
          <cell r="A245" t="str">
            <v>IBM</v>
          </cell>
          <cell r="N245" t="str">
            <v>X</v>
          </cell>
          <cell r="O245" t="str">
            <v>X</v>
          </cell>
          <cell r="P245" t="str">
            <v>X</v>
          </cell>
          <cell r="Q245" t="str">
            <v>X</v>
          </cell>
          <cell r="S245" t="str">
            <v xml:space="preserve"> --</v>
          </cell>
          <cell r="T245" t="str">
            <v xml:space="preserve"> --</v>
          </cell>
          <cell r="U245" t="str">
            <v xml:space="preserve"> --</v>
          </cell>
          <cell r="V245" t="str">
            <v xml:space="preserve"> --</v>
          </cell>
          <cell r="X245" t="str">
            <v xml:space="preserve"> --</v>
          </cell>
          <cell r="Y245" t="str">
            <v>X</v>
          </cell>
          <cell r="Z245" t="str">
            <v>X</v>
          </cell>
          <cell r="AA245" t="str">
            <v>X</v>
          </cell>
          <cell r="AC245" t="str">
            <v>X</v>
          </cell>
          <cell r="AD245" t="str">
            <v>X</v>
          </cell>
          <cell r="AE245" t="str">
            <v>X</v>
          </cell>
          <cell r="AF245" t="str">
            <v>X</v>
          </cell>
          <cell r="AH245" t="str">
            <v>X</v>
          </cell>
          <cell r="AI245" t="str">
            <v>X</v>
          </cell>
          <cell r="AJ245" t="str">
            <v>--</v>
          </cell>
          <cell r="AK245" t="str">
            <v>--</v>
          </cell>
          <cell r="AM245">
            <v>9</v>
          </cell>
          <cell r="AN245">
            <v>10</v>
          </cell>
          <cell r="AO245">
            <v>10.000000000000002</v>
          </cell>
          <cell r="AP245">
            <v>10.30638058652675</v>
          </cell>
          <cell r="AR245">
            <v>10.797704996883391</v>
          </cell>
          <cell r="AS245">
            <v>10.841267326316329</v>
          </cell>
          <cell r="AT245">
            <v>10.912641823871002</v>
          </cell>
          <cell r="AU245">
            <v>11.153039592726529</v>
          </cell>
          <cell r="AW245" t="str">
            <v xml:space="preserve"> --</v>
          </cell>
          <cell r="AX245">
            <v>0.13</v>
          </cell>
          <cell r="AY245">
            <v>0.11</v>
          </cell>
          <cell r="AZ245" t="str">
            <v xml:space="preserve"> --</v>
          </cell>
          <cell r="BA245">
            <v>0.21</v>
          </cell>
          <cell r="BB245">
            <v>0.23</v>
          </cell>
          <cell r="BC245" t="str">
            <v xml:space="preserve"> --</v>
          </cell>
          <cell r="BD245" t="str">
            <v xml:space="preserve"> --</v>
          </cell>
          <cell r="BE245" t="str">
            <v xml:space="preserve"> --</v>
          </cell>
          <cell r="BG245" t="str">
            <v xml:space="preserve"> --</v>
          </cell>
          <cell r="BH245" t="str">
            <v xml:space="preserve"> --</v>
          </cell>
          <cell r="BI245">
            <v>9.8394917580689452</v>
          </cell>
          <cell r="BJ245">
            <v>10.934697985534239</v>
          </cell>
          <cell r="BK245">
            <v>11.514706231291605</v>
          </cell>
        </row>
        <row r="246">
          <cell r="A246" t="str">
            <v>Silicon Graphics</v>
          </cell>
          <cell r="N246" t="str">
            <v xml:space="preserve"> --</v>
          </cell>
          <cell r="O246" t="str">
            <v xml:space="preserve"> --</v>
          </cell>
          <cell r="P246" t="str">
            <v>X</v>
          </cell>
          <cell r="Q246" t="str">
            <v xml:space="preserve"> --</v>
          </cell>
          <cell r="S246" t="str">
            <v xml:space="preserve"> --</v>
          </cell>
          <cell r="T246" t="str">
            <v xml:space="preserve"> --</v>
          </cell>
          <cell r="U246" t="str">
            <v xml:space="preserve"> --</v>
          </cell>
          <cell r="V246" t="str">
            <v xml:space="preserve"> --</v>
          </cell>
          <cell r="X246" t="str">
            <v xml:space="preserve"> --</v>
          </cell>
          <cell r="Y246" t="str">
            <v xml:space="preserve"> --</v>
          </cell>
          <cell r="Z246" t="str">
            <v xml:space="preserve"> --</v>
          </cell>
          <cell r="AA246" t="str">
            <v xml:space="preserve"> --</v>
          </cell>
          <cell r="AC246" t="str">
            <v xml:space="preserve"> --</v>
          </cell>
          <cell r="AD246" t="str">
            <v xml:space="preserve"> --</v>
          </cell>
          <cell r="AE246" t="str">
            <v xml:space="preserve"> --</v>
          </cell>
          <cell r="AF246" t="str">
            <v xml:space="preserve"> --</v>
          </cell>
          <cell r="AH246" t="str">
            <v xml:space="preserve"> --</v>
          </cell>
          <cell r="AI246" t="str">
            <v>--</v>
          </cell>
          <cell r="AJ246">
            <v>6</v>
          </cell>
          <cell r="AK246">
            <v>6</v>
          </cell>
          <cell r="AM246">
            <v>8</v>
          </cell>
          <cell r="AN246">
            <v>9</v>
          </cell>
          <cell r="AO246">
            <v>7.0000000000000009</v>
          </cell>
          <cell r="AP246">
            <v>6.5586058277897497</v>
          </cell>
          <cell r="AR246">
            <v>6.4589908072266082</v>
          </cell>
          <cell r="AS246">
            <v>6.5468113720858101</v>
          </cell>
          <cell r="AT246">
            <v>6.3998192753135879</v>
          </cell>
          <cell r="AU246">
            <v>6.4240027110202851</v>
          </cell>
          <cell r="AW246" t="str">
            <v xml:space="preserve"> --</v>
          </cell>
          <cell r="AX246" t="str">
            <v>&gt; 10%</v>
          </cell>
          <cell r="AY246" t="str">
            <v xml:space="preserve"> --</v>
          </cell>
          <cell r="AZ246" t="str">
            <v xml:space="preserve"> --</v>
          </cell>
          <cell r="BA246" t="str">
            <v xml:space="preserve"> --</v>
          </cell>
          <cell r="BB246" t="str">
            <v xml:space="preserve"> --</v>
          </cell>
          <cell r="BC246" t="str">
            <v xml:space="preserve"> --</v>
          </cell>
          <cell r="BD246" t="str">
            <v xml:space="preserve"> --</v>
          </cell>
          <cell r="BE246" t="str">
            <v xml:space="preserve"> --</v>
          </cell>
          <cell r="BF246">
            <v>22.326078808868882</v>
          </cell>
          <cell r="BG246" t="str">
            <v xml:space="preserve"> --</v>
          </cell>
          <cell r="BH246" t="str">
            <v xml:space="preserve"> --</v>
          </cell>
          <cell r="BI246">
            <v>9.4798901343627051</v>
          </cell>
          <cell r="BJ246">
            <v>19.289527589658686</v>
          </cell>
          <cell r="BK246">
            <v>19.146789189837037</v>
          </cell>
        </row>
        <row r="247">
          <cell r="A247" t="str">
            <v>PCs</v>
          </cell>
          <cell r="N247">
            <v>6</v>
          </cell>
          <cell r="O247">
            <v>8</v>
          </cell>
          <cell r="P247">
            <v>6</v>
          </cell>
          <cell r="Q247">
            <v>4</v>
          </cell>
          <cell r="S247">
            <v>7.7396101399118526</v>
          </cell>
          <cell r="T247">
            <v>7.0000000000000009</v>
          </cell>
          <cell r="U247">
            <v>9</v>
          </cell>
          <cell r="V247">
            <v>7.0000000000000009</v>
          </cell>
          <cell r="X247">
            <v>9</v>
          </cell>
          <cell r="Y247">
            <v>9</v>
          </cell>
          <cell r="Z247">
            <v>7.0000000000000009</v>
          </cell>
          <cell r="AA247">
            <v>5</v>
          </cell>
          <cell r="AC247">
            <v>6</v>
          </cell>
          <cell r="AD247">
            <v>5</v>
          </cell>
          <cell r="AE247">
            <v>6.0000000000000009</v>
          </cell>
          <cell r="AF247">
            <v>3.0000000000000004</v>
          </cell>
          <cell r="AH247" t="str">
            <v>--</v>
          </cell>
          <cell r="AI247" t="str">
            <v>--</v>
          </cell>
          <cell r="AJ247" t="str">
            <v>--</v>
          </cell>
          <cell r="AK247" t="str">
            <v>--</v>
          </cell>
          <cell r="AM247" t="str">
            <v>--</v>
          </cell>
          <cell r="AN247" t="str">
            <v>--</v>
          </cell>
          <cell r="AO247" t="str">
            <v>--</v>
          </cell>
          <cell r="AP247" t="str">
            <v>--</v>
          </cell>
          <cell r="AR247">
            <v>5.6174080585081709</v>
          </cell>
          <cell r="AS247">
            <v>5.0485846598956554</v>
          </cell>
          <cell r="AT247">
            <v>4.96085440740843</v>
          </cell>
          <cell r="AU247">
            <v>4.2915593500961684</v>
          </cell>
          <cell r="AW247">
            <v>4.3883199875911352</v>
          </cell>
          <cell r="AX247">
            <v>4.3709623931123254</v>
          </cell>
          <cell r="AY247">
            <v>4.1442238977744452</v>
          </cell>
          <cell r="AZ247">
            <v>3.8298836378188832</v>
          </cell>
          <cell r="BC247">
            <v>10</v>
          </cell>
          <cell r="BD247">
            <v>5.9066378720547918</v>
          </cell>
          <cell r="BE247">
            <v>7.6633707252593899</v>
          </cell>
          <cell r="BF247">
            <v>7.0526013181810026</v>
          </cell>
          <cell r="BG247">
            <v>4.9999125387540779</v>
          </cell>
          <cell r="BH247" t="str">
            <v>--</v>
          </cell>
          <cell r="BI247" t="str">
            <v>--</v>
          </cell>
          <cell r="BJ247" t="str">
            <v>--</v>
          </cell>
          <cell r="BK247" t="str">
            <v>--</v>
          </cell>
        </row>
        <row r="248">
          <cell r="A248" t="str">
            <v>Revenues</v>
          </cell>
          <cell r="N248">
            <v>36</v>
          </cell>
          <cell r="O248">
            <v>30</v>
          </cell>
          <cell r="P248">
            <v>34</v>
          </cell>
          <cell r="Q248">
            <v>39</v>
          </cell>
          <cell r="S248">
            <v>27</v>
          </cell>
          <cell r="T248">
            <v>27</v>
          </cell>
          <cell r="U248">
            <v>25</v>
          </cell>
          <cell r="V248">
            <v>27</v>
          </cell>
          <cell r="X248">
            <v>21</v>
          </cell>
          <cell r="Y248">
            <v>17</v>
          </cell>
          <cell r="Z248">
            <v>16</v>
          </cell>
          <cell r="AA248">
            <v>11</v>
          </cell>
          <cell r="AC248">
            <v>11</v>
          </cell>
          <cell r="AD248">
            <v>12</v>
          </cell>
          <cell r="AE248">
            <v>8</v>
          </cell>
          <cell r="AF248">
            <v>7.0000000000000009</v>
          </cell>
          <cell r="AH248" t="str">
            <v>--</v>
          </cell>
          <cell r="AI248" t="str">
            <v>--</v>
          </cell>
          <cell r="AJ248" t="str">
            <v>--</v>
          </cell>
          <cell r="AK248" t="str">
            <v>--</v>
          </cell>
          <cell r="AM248" t="str">
            <v>--</v>
          </cell>
          <cell r="AN248" t="str">
            <v>--</v>
          </cell>
          <cell r="AO248" t="str">
            <v>--</v>
          </cell>
          <cell r="AP248" t="str">
            <v>--</v>
          </cell>
          <cell r="BC248">
            <v>30</v>
          </cell>
          <cell r="BD248">
            <v>34.92619364838135</v>
          </cell>
          <cell r="BE248">
            <v>26.48767599319039</v>
          </cell>
          <cell r="BF248">
            <v>15.273477490687881</v>
          </cell>
          <cell r="BG248">
            <v>9.6265141915617178</v>
          </cell>
          <cell r="BH248" t="str">
            <v>--</v>
          </cell>
          <cell r="BI248" t="str">
            <v>--</v>
          </cell>
          <cell r="BJ248" t="str">
            <v>--</v>
          </cell>
          <cell r="BK248" t="str">
            <v>--</v>
          </cell>
        </row>
        <row r="249">
          <cell r="A249" t="str">
            <v>Sun Microsystems</v>
          </cell>
          <cell r="N249">
            <v>36</v>
          </cell>
          <cell r="O249">
            <v>30</v>
          </cell>
          <cell r="P249">
            <v>34</v>
          </cell>
          <cell r="Q249">
            <v>39</v>
          </cell>
          <cell r="S249">
            <v>27</v>
          </cell>
          <cell r="T249">
            <v>27</v>
          </cell>
          <cell r="U249">
            <v>25</v>
          </cell>
          <cell r="V249">
            <v>27</v>
          </cell>
          <cell r="X249">
            <v>21</v>
          </cell>
          <cell r="Y249">
            <v>17</v>
          </cell>
          <cell r="Z249">
            <v>16</v>
          </cell>
          <cell r="AA249">
            <v>11</v>
          </cell>
          <cell r="AC249">
            <v>11</v>
          </cell>
          <cell r="AD249">
            <v>12</v>
          </cell>
          <cell r="AE249">
            <v>8</v>
          </cell>
          <cell r="AF249">
            <v>7.0000000000000009</v>
          </cell>
          <cell r="AH249" t="str">
            <v>--</v>
          </cell>
          <cell r="AI249" t="str">
            <v>--</v>
          </cell>
          <cell r="AJ249" t="str">
            <v>--</v>
          </cell>
          <cell r="AK249" t="str">
            <v>--</v>
          </cell>
          <cell r="AM249" t="str">
            <v>--</v>
          </cell>
          <cell r="AN249" t="str">
            <v>--</v>
          </cell>
          <cell r="AO249" t="str">
            <v>--</v>
          </cell>
          <cell r="AP249" t="str">
            <v>--</v>
          </cell>
          <cell r="AW249" t="str">
            <v xml:space="preserve"> --</v>
          </cell>
          <cell r="AX249">
            <v>541.77093000000013</v>
          </cell>
          <cell r="AY249">
            <v>617.35161000000005</v>
          </cell>
          <cell r="AZ249">
            <v>1324.3055000000002</v>
          </cell>
          <cell r="BA249">
            <v>2438.0187499999997</v>
          </cell>
          <cell r="BB249">
            <v>2100.9305100000001</v>
          </cell>
          <cell r="BC249" t="str">
            <v xml:space="preserve"> --</v>
          </cell>
          <cell r="BD249" t="str">
            <v xml:space="preserve"> --</v>
          </cell>
          <cell r="BE249" t="str">
            <v xml:space="preserve"> --</v>
          </cell>
          <cell r="BF249">
            <v>15.273477490687881</v>
          </cell>
          <cell r="BG249">
            <v>9.6265141915617178</v>
          </cell>
          <cell r="BH249" t="str">
            <v>--</v>
          </cell>
          <cell r="BI249" t="str">
            <v>--</v>
          </cell>
          <cell r="BJ249" t="str">
            <v>--</v>
          </cell>
          <cell r="BK249" t="str">
            <v>--</v>
          </cell>
        </row>
        <row r="250">
          <cell r="A250" t="str">
            <v>% change</v>
          </cell>
          <cell r="N250" t="str">
            <v xml:space="preserve"> --</v>
          </cell>
          <cell r="O250" t="str">
            <v xml:space="preserve"> --</v>
          </cell>
          <cell r="P250" t="str">
            <v xml:space="preserve"> --</v>
          </cell>
          <cell r="Q250" t="str">
            <v xml:space="preserve"> --</v>
          </cell>
          <cell r="S250">
            <v>0.46449708948152169</v>
          </cell>
          <cell r="T250">
            <v>0.61539048190263723</v>
          </cell>
          <cell r="U250">
            <v>0.67194061113849179</v>
          </cell>
          <cell r="V250">
            <v>0.73863014942213212</v>
          </cell>
          <cell r="X250">
            <v>0.49037458958203928</v>
          </cell>
          <cell r="Y250">
            <v>0.67390813795310844</v>
          </cell>
          <cell r="Z250">
            <v>0.91617579758089307</v>
          </cell>
          <cell r="AA250">
            <v>1.1431035629503881</v>
          </cell>
          <cell r="AC250">
            <v>0.66999726481604482</v>
          </cell>
          <cell r="AD250">
            <v>0.27191912740817736</v>
          </cell>
          <cell r="AE250">
            <v>-0.15276009182550698</v>
          </cell>
          <cell r="AF250">
            <v>-0.28990753309433481</v>
          </cell>
          <cell r="AH250">
            <v>-0.20095076274569879</v>
          </cell>
          <cell r="AI250">
            <v>-0.15466045478155055</v>
          </cell>
          <cell r="AJ250">
            <v>-0.11078326789078274</v>
          </cell>
          <cell r="AK250">
            <v>-0.21905890041663256</v>
          </cell>
          <cell r="AM250">
            <v>-0.26218917034626998</v>
          </cell>
          <cell r="AN250">
            <v>-0.28934732349279735</v>
          </cell>
          <cell r="AO250">
            <v>-0.16544999744754718</v>
          </cell>
          <cell r="AP250">
            <v>-8.7388440818034319E-2</v>
          </cell>
          <cell r="AR250">
            <v>4.9154578556129591E-2</v>
          </cell>
          <cell r="AS250">
            <v>8.9635110910910809E-2</v>
          </cell>
          <cell r="AT250">
            <v>0.10074170799999993</v>
          </cell>
          <cell r="AU250">
            <v>0.1301955496299072</v>
          </cell>
          <cell r="AW250" t="str">
            <v xml:space="preserve"> --</v>
          </cell>
          <cell r="AX250" t="str">
            <v xml:space="preserve"> --</v>
          </cell>
          <cell r="AY250">
            <v>0.13950670996688563</v>
          </cell>
          <cell r="AZ250">
            <v>1.1451397850894081</v>
          </cell>
          <cell r="BA250">
            <v>0.840979101876417</v>
          </cell>
          <cell r="BB250">
            <v>-0.13826318603989396</v>
          </cell>
          <cell r="BC250" t="str">
            <v xml:space="preserve"> --</v>
          </cell>
          <cell r="BD250" t="str">
            <v xml:space="preserve"> --</v>
          </cell>
          <cell r="BE250" t="str">
            <v xml:space="preserve"> --</v>
          </cell>
          <cell r="BF250">
            <v>0.840979101876417</v>
          </cell>
          <cell r="BG250">
            <v>2.5877159476316747E-2</v>
          </cell>
          <cell r="BH250">
            <v>-0.17321634783627382</v>
          </cell>
          <cell r="BI250">
            <v>-0.20624771323218272</v>
          </cell>
          <cell r="BJ250">
            <v>9.3375872365904833E-2</v>
          </cell>
          <cell r="BK250">
            <v>0.1570803719860141</v>
          </cell>
        </row>
        <row r="251">
          <cell r="A251" t="str">
            <v>Hewlett-Packard</v>
          </cell>
          <cell r="N251" t="str">
            <v xml:space="preserve"> --</v>
          </cell>
          <cell r="O251" t="str">
            <v xml:space="preserve"> --</v>
          </cell>
          <cell r="P251" t="str">
            <v xml:space="preserve"> --</v>
          </cell>
          <cell r="Q251" t="str">
            <v xml:space="preserve"> --</v>
          </cell>
          <cell r="S251">
            <v>16.298298282356114</v>
          </cell>
          <cell r="T251">
            <v>67.752088505273875</v>
          </cell>
          <cell r="U251">
            <v>41.069989064810272</v>
          </cell>
          <cell r="V251">
            <v>-1.9234274684951091</v>
          </cell>
          <cell r="X251">
            <v>26.957835408840381</v>
          </cell>
          <cell r="Y251">
            <v>92.189452876097633</v>
          </cell>
          <cell r="Z251">
            <v>134.1992641487758</v>
          </cell>
          <cell r="AA251">
            <v>270.17243360052157</v>
          </cell>
          <cell r="AC251">
            <v>132.34744553962364</v>
          </cell>
          <cell r="AD251">
            <v>35.397842595064041</v>
          </cell>
          <cell r="AE251">
            <v>-22.978190165955191</v>
          </cell>
          <cell r="AF251">
            <v>-49.546061561965892</v>
          </cell>
          <cell r="AH251">
            <v>-30.083191740248626</v>
          </cell>
          <cell r="AI251">
            <v>-30.83585539121777</v>
          </cell>
          <cell r="AJ251">
            <v>-34.790772978657394</v>
          </cell>
          <cell r="AK251">
            <v>-30.58301337036735</v>
          </cell>
          <cell r="AM251">
            <v>-42.029149098635507</v>
          </cell>
          <cell r="AN251">
            <v>-42.094967099413118</v>
          </cell>
          <cell r="AO251">
            <v>-20.338408847265864</v>
          </cell>
          <cell r="AP251">
            <v>-20.692661750091535</v>
          </cell>
          <cell r="AR251">
            <v>-1.0070338002680312E-2</v>
          </cell>
          <cell r="AS251">
            <v>3.2272937141686997E-2</v>
          </cell>
          <cell r="AT251">
            <v>9.9643999999999844E-2</v>
          </cell>
          <cell r="AU251">
            <v>0.12039200000000005</v>
          </cell>
          <cell r="AW251" t="str">
            <v xml:space="preserve"> --</v>
          </cell>
          <cell r="AX251" t="str">
            <v xml:space="preserve"> --</v>
          </cell>
          <cell r="AY251">
            <v>877.28913000000011</v>
          </cell>
          <cell r="AZ251">
            <v>953.4999600000001</v>
          </cell>
          <cell r="BA251" t="str">
            <v xml:space="preserve"> --</v>
          </cell>
          <cell r="BB251" t="str">
            <v xml:space="preserve"> --</v>
          </cell>
          <cell r="BC251" t="str">
            <v xml:space="preserve"> --</v>
          </cell>
          <cell r="BD251" t="str">
            <v xml:space="preserve"> --</v>
          </cell>
          <cell r="BE251" t="str">
            <v xml:space="preserve"> --</v>
          </cell>
          <cell r="BF251">
            <v>136.14398664691464</v>
          </cell>
          <cell r="BG251">
            <v>-3.9512087462102219</v>
          </cell>
          <cell r="BH251">
            <v>-31.423171298667551</v>
          </cell>
          <cell r="BI251">
            <v>-32.932678833903793</v>
          </cell>
          <cell r="BJ251">
            <v>6.0970429323661035</v>
          </cell>
          <cell r="BK251">
            <v>15.421615265564558</v>
          </cell>
        </row>
        <row r="252">
          <cell r="A252" t="str">
            <v>% change</v>
          </cell>
          <cell r="N252" t="str">
            <v xml:space="preserve"> --</v>
          </cell>
          <cell r="O252" t="str">
            <v xml:space="preserve"> --</v>
          </cell>
          <cell r="P252" t="str">
            <v xml:space="preserve"> --</v>
          </cell>
          <cell r="Q252" t="str">
            <v xml:space="preserve"> --</v>
          </cell>
          <cell r="S252">
            <v>122.39842193815385</v>
          </cell>
          <cell r="T252">
            <v>93.846857828316459</v>
          </cell>
          <cell r="U252">
            <v>160.83430511949763</v>
          </cell>
          <cell r="V252">
            <v>286.36225542714044</v>
          </cell>
          <cell r="X252">
            <v>117.31310000000002</v>
          </cell>
          <cell r="Y252">
            <v>95.289282761196034</v>
          </cell>
          <cell r="Z252">
            <v>155.49010634411911</v>
          </cell>
          <cell r="AA252">
            <v>135.74139192454271</v>
          </cell>
          <cell r="AC252">
            <v>83.160990334662998</v>
          </cell>
          <cell r="AD252">
            <v>45.362185989505967</v>
          </cell>
          <cell r="AE252">
            <v>0.60973909572104024</v>
          </cell>
          <cell r="AF252">
            <v>-3.1692090583183674</v>
          </cell>
          <cell r="AH252">
            <v>8.1066615108760445</v>
          </cell>
          <cell r="AI252">
            <v>21.517559625152117</v>
          </cell>
          <cell r="AJ252">
            <v>7.6420254658526199</v>
          </cell>
          <cell r="AK252">
            <v>-21.905890041663266</v>
          </cell>
          <cell r="AM252">
            <v>-24.614980448423253</v>
          </cell>
          <cell r="AN252">
            <v>-25.844938103596249</v>
          </cell>
          <cell r="AO252">
            <v>-11.102282336803937</v>
          </cell>
          <cell r="AP252">
            <v>-0.86938996112069233</v>
          </cell>
          <cell r="AR252">
            <v>8.5987526773340095E-2</v>
          </cell>
          <cell r="AS252">
            <v>9.8286643518518346E-2</v>
          </cell>
          <cell r="AT252">
            <v>8.3475077551020238E-2</v>
          </cell>
          <cell r="AU252">
            <v>0.10922760000000009</v>
          </cell>
          <cell r="AW252" t="str">
            <v xml:space="preserve"> --</v>
          </cell>
          <cell r="AX252" t="str">
            <v xml:space="preserve"> --</v>
          </cell>
          <cell r="AY252" t="str">
            <v xml:space="preserve"> --</v>
          </cell>
          <cell r="AZ252">
            <v>8.6870824445300032E-2</v>
          </cell>
          <cell r="BA252" t="str">
            <v xml:space="preserve"> --</v>
          </cell>
          <cell r="BB252" t="str">
            <v xml:space="preserve"> --</v>
          </cell>
          <cell r="BC252" t="str">
            <v xml:space="preserve"> --</v>
          </cell>
          <cell r="BD252" t="str">
            <v xml:space="preserve"> --</v>
          </cell>
          <cell r="BE252" t="str">
            <v xml:space="preserve"> --</v>
          </cell>
          <cell r="BF252">
            <v>128.31382924928562</v>
          </cell>
          <cell r="BG252">
            <v>21.28631202788338</v>
          </cell>
          <cell r="BH252">
            <v>2.1604099543158783</v>
          </cell>
          <cell r="BI252">
            <v>-16.338384968345942</v>
          </cell>
          <cell r="BJ252">
            <v>9.4589520643542748</v>
          </cell>
          <cell r="BK252">
            <v>12.59204227719497</v>
          </cell>
        </row>
        <row r="253">
          <cell r="A253" t="str">
            <v>IBM</v>
          </cell>
          <cell r="N253" t="str">
            <v xml:space="preserve"> --</v>
          </cell>
          <cell r="O253" t="str">
            <v xml:space="preserve"> --</v>
          </cell>
          <cell r="P253" t="str">
            <v xml:space="preserve"> --</v>
          </cell>
          <cell r="Q253" t="str">
            <v xml:space="preserve"> --</v>
          </cell>
          <cell r="S253">
            <v>122.39842193815385</v>
          </cell>
          <cell r="T253">
            <v>93.846857828316459</v>
          </cell>
          <cell r="U253">
            <v>160.83430511949763</v>
          </cell>
          <cell r="V253">
            <v>286.36225542714044</v>
          </cell>
          <cell r="X253">
            <v>117.31310000000002</v>
          </cell>
          <cell r="Y253">
            <v>95.289282761196034</v>
          </cell>
          <cell r="Z253">
            <v>155.49010634411911</v>
          </cell>
          <cell r="AA253">
            <v>135.74139192454271</v>
          </cell>
          <cell r="AC253">
            <v>83.160990334662998</v>
          </cell>
          <cell r="AD253">
            <v>45.362185989505967</v>
          </cell>
          <cell r="AE253">
            <v>0.60973909572104024</v>
          </cell>
          <cell r="AF253">
            <v>-3.1692090583183674</v>
          </cell>
          <cell r="AH253" t="str">
            <v>--</v>
          </cell>
          <cell r="AI253" t="str">
            <v>--</v>
          </cell>
          <cell r="AJ253" t="str">
            <v>--</v>
          </cell>
          <cell r="AK253" t="str">
            <v>--</v>
          </cell>
          <cell r="AM253" t="str">
            <v>--</v>
          </cell>
          <cell r="AN253" t="str">
            <v>--</v>
          </cell>
          <cell r="AO253" t="str">
            <v>--</v>
          </cell>
          <cell r="AP253" t="str">
            <v>--</v>
          </cell>
          <cell r="AR253">
            <v>4.6852841123850242E-2</v>
          </cell>
          <cell r="AS253">
            <v>0.13038148557648555</v>
          </cell>
          <cell r="AT253">
            <v>8.8874799999999921E-2</v>
          </cell>
          <cell r="AU253">
            <v>0.10922760000000009</v>
          </cell>
          <cell r="AW253" t="str">
            <v xml:space="preserve"> --</v>
          </cell>
          <cell r="AX253">
            <v>260.85267000000005</v>
          </cell>
          <cell r="AY253">
            <v>357.41408999999999</v>
          </cell>
          <cell r="AZ253" t="str">
            <v xml:space="preserve"> --</v>
          </cell>
          <cell r="BA253">
            <v>2047.9357499999996</v>
          </cell>
          <cell r="BB253">
            <v>2301.0191300000001</v>
          </cell>
          <cell r="BC253" t="str">
            <v xml:space="preserve"> --</v>
          </cell>
          <cell r="BD253" t="str">
            <v xml:space="preserve"> --</v>
          </cell>
          <cell r="BE253" t="str">
            <v xml:space="preserve"> --</v>
          </cell>
          <cell r="BF253">
            <v>128.31382924928562</v>
          </cell>
          <cell r="BG253" t="str">
            <v xml:space="preserve"> --</v>
          </cell>
          <cell r="BH253" t="str">
            <v xml:space="preserve"> --</v>
          </cell>
          <cell r="BI253" t="str">
            <v xml:space="preserve"> --</v>
          </cell>
          <cell r="BJ253">
            <v>9.3852377057693559</v>
          </cell>
          <cell r="BK253">
            <v>12.592042277194992</v>
          </cell>
        </row>
        <row r="254">
          <cell r="A254" t="str">
            <v>% change</v>
          </cell>
          <cell r="AH254" t="str">
            <v>--</v>
          </cell>
          <cell r="AI254" t="str">
            <v>--</v>
          </cell>
          <cell r="AJ254" t="str">
            <v>--</v>
          </cell>
          <cell r="AK254" t="str">
            <v>--</v>
          </cell>
          <cell r="AM254" t="str">
            <v>--</v>
          </cell>
          <cell r="AN254" t="str">
            <v>--</v>
          </cell>
          <cell r="AO254" t="str">
            <v>--</v>
          </cell>
          <cell r="AP254" t="str">
            <v>--</v>
          </cell>
          <cell r="AR254">
            <v>0.12349160052076757</v>
          </cell>
          <cell r="AS254">
            <v>7.1129469469469297E-2</v>
          </cell>
          <cell r="AT254">
            <v>7.8698399999999946E-2</v>
          </cell>
          <cell r="AU254">
            <v>0.10922760000000009</v>
          </cell>
          <cell r="AW254" t="str">
            <v xml:space="preserve"> --</v>
          </cell>
          <cell r="AX254">
            <v>0.11989325000000006</v>
          </cell>
          <cell r="AY254">
            <v>0.37017608445410932</v>
          </cell>
          <cell r="AZ254" t="str">
            <v xml:space="preserve"> --</v>
          </cell>
          <cell r="BA254" t="str">
            <v xml:space="preserve"> --</v>
          </cell>
          <cell r="BB254">
            <v>0.12357974609310896</v>
          </cell>
          <cell r="BC254" t="str">
            <v xml:space="preserve"> --</v>
          </cell>
          <cell r="BD254" t="str">
            <v xml:space="preserve"> --</v>
          </cell>
          <cell r="BE254" t="str">
            <v xml:space="preserve"> --</v>
          </cell>
          <cell r="BG254" t="str">
            <v xml:space="preserve"> --</v>
          </cell>
          <cell r="BH254" t="str">
            <v xml:space="preserve"> --</v>
          </cell>
          <cell r="BI254" t="str">
            <v xml:space="preserve"> --</v>
          </cell>
          <cell r="BJ254">
            <v>9.5248601175677692</v>
          </cell>
          <cell r="BK254">
            <v>12.59204227719497</v>
          </cell>
        </row>
        <row r="255">
          <cell r="A255" t="str">
            <v>Storage/Other</v>
          </cell>
          <cell r="N255" t="str">
            <v xml:space="preserve"> --</v>
          </cell>
          <cell r="O255" t="str">
            <v xml:space="preserve"> --</v>
          </cell>
          <cell r="P255" t="str">
            <v xml:space="preserve"> --</v>
          </cell>
          <cell r="Q255" t="str">
            <v xml:space="preserve"> --</v>
          </cell>
          <cell r="S255">
            <v>148.96450521185866</v>
          </cell>
          <cell r="T255">
            <v>51.442857678372242</v>
          </cell>
          <cell r="U255">
            <v>99.040548945058404</v>
          </cell>
          <cell r="V255">
            <v>440.90715759799667</v>
          </cell>
          <cell r="X255">
            <v>40.270549607721321</v>
          </cell>
          <cell r="Y255">
            <v>67.390813795310848</v>
          </cell>
          <cell r="Z255">
            <v>53.294063806471549</v>
          </cell>
          <cell r="AA255">
            <v>99.002473702536037</v>
          </cell>
          <cell r="AC255">
            <v>77.437209386704779</v>
          </cell>
          <cell r="AD255">
            <v>52.630295288981266</v>
          </cell>
          <cell r="AE255">
            <v>27.085986226173951</v>
          </cell>
          <cell r="AF255">
            <v>-1.6795045822925236</v>
          </cell>
          <cell r="AH255">
            <v>-10.694497012754567</v>
          </cell>
          <cell r="AI255">
            <v>-6.0733838646167211</v>
          </cell>
          <cell r="AJ255">
            <v>28.442416860220288</v>
          </cell>
          <cell r="AK255">
            <v>8.4640416088010539</v>
          </cell>
          <cell r="AM255">
            <v>-10.686057462969533</v>
          </cell>
          <cell r="AN255">
            <v>-25.381468966743714</v>
          </cell>
          <cell r="AO255">
            <v>-26.174422851129165</v>
          </cell>
          <cell r="AP255">
            <v>-13.467357079345144</v>
          </cell>
          <cell r="AR255">
            <v>0.10083094587266017</v>
          </cell>
          <cell r="AS255">
            <v>0.25724343093093105</v>
          </cell>
          <cell r="AT255">
            <v>0.16725304347826109</v>
          </cell>
          <cell r="AU255">
            <v>0.18847582608695657</v>
          </cell>
          <cell r="AW255">
            <v>0.18087658523489947</v>
          </cell>
          <cell r="AX255">
            <v>0.2146159162416108</v>
          </cell>
          <cell r="AY255">
            <v>0.2496529138255037</v>
          </cell>
          <cell r="AZ255">
            <v>0.24965291382550348</v>
          </cell>
          <cell r="BC255" t="str">
            <v xml:space="preserve"> --</v>
          </cell>
          <cell r="BD255">
            <v>-14.891769940480204</v>
          </cell>
          <cell r="BE255">
            <v>134.26547968746064</v>
          </cell>
          <cell r="BF255">
            <v>66.469427611012406</v>
          </cell>
          <cell r="BG255" t="str">
            <v xml:space="preserve"> --</v>
          </cell>
          <cell r="BH255" t="str">
            <v xml:space="preserve"> --</v>
          </cell>
          <cell r="BI255" t="str">
            <v xml:space="preserve"> --</v>
          </cell>
          <cell r="BJ255">
            <v>33.681689481845424</v>
          </cell>
          <cell r="BK255">
            <v>32.890324778987143</v>
          </cell>
        </row>
        <row r="256">
          <cell r="A256" t="str">
            <v>% System Build (Est.)</v>
          </cell>
          <cell r="N256">
            <v>0.3</v>
          </cell>
          <cell r="O256">
            <v>0.3</v>
          </cell>
          <cell r="P256">
            <v>0.3</v>
          </cell>
          <cell r="Q256">
            <v>0.3</v>
          </cell>
          <cell r="S256" t="str">
            <v>20-25%</v>
          </cell>
          <cell r="T256" t="str">
            <v>20-25%</v>
          </cell>
          <cell r="U256" t="str">
            <v>20-25%</v>
          </cell>
          <cell r="V256" t="str">
            <v>20-25%</v>
          </cell>
          <cell r="X256" t="str">
            <v>20-25%</v>
          </cell>
          <cell r="Y256" t="str">
            <v>20-25%</v>
          </cell>
          <cell r="Z256" t="str">
            <v>20-25%</v>
          </cell>
          <cell r="AA256" t="str">
            <v>20-25%</v>
          </cell>
          <cell r="AC256" t="str">
            <v>20-25%</v>
          </cell>
          <cell r="AD256" t="str">
            <v>20-30%</v>
          </cell>
          <cell r="AE256" t="str">
            <v>20-30%</v>
          </cell>
          <cell r="AF256">
            <v>0.3</v>
          </cell>
          <cell r="AH256">
            <v>0.3</v>
          </cell>
          <cell r="AI256" t="str">
            <v>30-35%</v>
          </cell>
          <cell r="AJ256" t="str">
            <v>--</v>
          </cell>
          <cell r="AK256" t="str">
            <v>--</v>
          </cell>
          <cell r="AM256" t="str">
            <v>--</v>
          </cell>
          <cell r="AN256" t="str">
            <v>--</v>
          </cell>
          <cell r="AO256" t="str">
            <v>--</v>
          </cell>
          <cell r="AP256" t="str">
            <v>--</v>
          </cell>
          <cell r="AR256">
            <v>-6.678485933874212E-4</v>
          </cell>
          <cell r="AS256">
            <v>0.32628059309309321</v>
          </cell>
          <cell r="AT256">
            <v>0.14114000000000027</v>
          </cell>
          <cell r="AU256">
            <v>0.16188800000000025</v>
          </cell>
          <cell r="AW256" t="str">
            <v xml:space="preserve"> --</v>
          </cell>
          <cell r="AX256" t="str">
            <v xml:space="preserve"> --</v>
          </cell>
          <cell r="AY256">
            <v>0.27</v>
          </cell>
          <cell r="AZ256" t="str">
            <v xml:space="preserve"> --</v>
          </cell>
          <cell r="BA256" t="str">
            <v xml:space="preserve"> --</v>
          </cell>
          <cell r="BB256" t="str">
            <v xml:space="preserve"> --</v>
          </cell>
          <cell r="BC256" t="str">
            <v xml:space="preserve"> --</v>
          </cell>
          <cell r="BD256" t="str">
            <v xml:space="preserve"> --</v>
          </cell>
          <cell r="BE256" t="str">
            <v xml:space="preserve"> --</v>
          </cell>
          <cell r="BF256">
            <v>66.469427611012406</v>
          </cell>
          <cell r="BG256" t="str">
            <v xml:space="preserve"> --</v>
          </cell>
          <cell r="BH256" t="str">
            <v xml:space="preserve"> --</v>
          </cell>
          <cell r="BI256" t="str">
            <v xml:space="preserve"> --</v>
          </cell>
          <cell r="BJ256">
            <v>14.811302164715446</v>
          </cell>
          <cell r="BK256">
            <v>23.114752931327097</v>
          </cell>
        </row>
        <row r="257">
          <cell r="A257" t="str">
            <v xml:space="preserve">Other </v>
          </cell>
          <cell r="AH257" t="str">
            <v>--</v>
          </cell>
          <cell r="AI257" t="str">
            <v>--</v>
          </cell>
          <cell r="AJ257" t="str">
            <v>--</v>
          </cell>
          <cell r="AK257" t="str">
            <v>--</v>
          </cell>
          <cell r="AM257" t="str">
            <v>--</v>
          </cell>
          <cell r="AN257" t="str">
            <v>--</v>
          </cell>
          <cell r="AO257" t="str">
            <v>--</v>
          </cell>
          <cell r="AP257" t="str">
            <v>--</v>
          </cell>
          <cell r="AR257">
            <v>0.25871795948651188</v>
          </cell>
          <cell r="AS257">
            <v>0.18130255255255268</v>
          </cell>
          <cell r="AT257">
            <v>0.20120000000000005</v>
          </cell>
          <cell r="AU257">
            <v>0.22303999999999991</v>
          </cell>
          <cell r="AW257">
            <v>0.17411840000000001</v>
          </cell>
          <cell r="AX257">
            <v>0.20766463999999996</v>
          </cell>
          <cell r="AY257">
            <v>0.24250112000000024</v>
          </cell>
          <cell r="AZ257">
            <v>0.24250112000000024</v>
          </cell>
          <cell r="BG257" t="str">
            <v xml:space="preserve"> --</v>
          </cell>
          <cell r="BH257" t="str">
            <v xml:space="preserve"> --</v>
          </cell>
          <cell r="BI257" t="str">
            <v xml:space="preserve"> --</v>
          </cell>
          <cell r="BJ257">
            <v>21.507647376063076</v>
          </cell>
          <cell r="BK257">
            <v>21.845528674303093</v>
          </cell>
        </row>
        <row r="258">
          <cell r="A258" t="str">
            <v>Capacity Utilization</v>
          </cell>
          <cell r="N258" t="str">
            <v xml:space="preserve"> --</v>
          </cell>
          <cell r="O258" t="str">
            <v xml:space="preserve"> --</v>
          </cell>
          <cell r="P258" t="str">
            <v xml:space="preserve"> --</v>
          </cell>
          <cell r="Q258" t="str">
            <v xml:space="preserve"> --</v>
          </cell>
          <cell r="S258">
            <v>21.133471284818263</v>
          </cell>
          <cell r="T258">
            <v>44.53493785444649</v>
          </cell>
          <cell r="U258">
            <v>42.114951946771797</v>
          </cell>
          <cell r="V258">
            <v>37.473081582215073</v>
          </cell>
          <cell r="X258">
            <v>28.70391322006536</v>
          </cell>
          <cell r="Y258">
            <v>28.004739961120073</v>
          </cell>
          <cell r="Z258">
            <v>29.623656895178073</v>
          </cell>
          <cell r="AA258">
            <v>0.7</v>
          </cell>
          <cell r="AC258">
            <v>0.5</v>
          </cell>
          <cell r="AD258">
            <v>0.5</v>
          </cell>
          <cell r="AE258">
            <v>0.47499999999999998</v>
          </cell>
          <cell r="AF258">
            <v>0.47499999999999998</v>
          </cell>
          <cell r="AH258">
            <v>0.42499999999999999</v>
          </cell>
          <cell r="AI258">
            <v>0.43051197299453065</v>
          </cell>
          <cell r="AJ258">
            <v>0.43709064514015505</v>
          </cell>
          <cell r="AK258">
            <v>0.46747615437642442</v>
          </cell>
          <cell r="AM258">
            <v>0.4580003126126197</v>
          </cell>
          <cell r="AN258">
            <v>0.47292031893502107</v>
          </cell>
          <cell r="AO258">
            <v>0.49577353004978825</v>
          </cell>
          <cell r="AP258">
            <v>0.54646295281397872</v>
          </cell>
          <cell r="AR258">
            <v>-0.15294002771828152</v>
          </cell>
          <cell r="AS258">
            <v>-0.20737382938494042</v>
          </cell>
          <cell r="AT258">
            <v>6.3640000000000363E-3</v>
          </cell>
          <cell r="AU258">
            <v>0.1070004</v>
          </cell>
          <cell r="AW258">
            <v>0.1070004</v>
          </cell>
          <cell r="AX258">
            <v>0.1278872000000002</v>
          </cell>
          <cell r="AY258">
            <v>0.16138880000000033</v>
          </cell>
          <cell r="AZ258">
            <v>0.16138880000000011</v>
          </cell>
          <cell r="BC258" t="str">
            <v xml:space="preserve"> --</v>
          </cell>
          <cell r="BD258">
            <v>65.301409029089072</v>
          </cell>
          <cell r="BE258">
            <v>36.352690667464472</v>
          </cell>
          <cell r="BF258">
            <v>20.353103238175873</v>
          </cell>
          <cell r="BG258" t="str">
            <v xml:space="preserve"> --</v>
          </cell>
          <cell r="BH258" t="str">
            <v xml:space="preserve"> --</v>
          </cell>
          <cell r="BI258" t="str">
            <v xml:space="preserve"> --</v>
          </cell>
          <cell r="BJ258">
            <v>190.04923767012048</v>
          </cell>
          <cell r="BK258">
            <v>26.206386929966108</v>
          </cell>
        </row>
        <row r="259">
          <cell r="A259" t="str">
            <v>North America</v>
          </cell>
          <cell r="N259" t="str">
            <v xml:space="preserve"> --</v>
          </cell>
          <cell r="O259" t="str">
            <v xml:space="preserve"> --</v>
          </cell>
          <cell r="P259" t="str">
            <v xml:space="preserve"> --</v>
          </cell>
          <cell r="Q259" t="str">
            <v xml:space="preserve"> --</v>
          </cell>
          <cell r="S259">
            <v>88.910608727042998</v>
          </cell>
          <cell r="T259">
            <v>41.346667166480763</v>
          </cell>
          <cell r="U259">
            <v>150.79109167077377</v>
          </cell>
          <cell r="V259">
            <v>204.26027614887312</v>
          </cell>
          <cell r="X259">
            <v>73.308100327533026</v>
          </cell>
          <cell r="Y259">
            <v>115.21676059397107</v>
          </cell>
          <cell r="Z259">
            <v>49.035895367402802</v>
          </cell>
          <cell r="AA259" t="str">
            <v>--</v>
          </cell>
          <cell r="AC259" t="str">
            <v>--</v>
          </cell>
          <cell r="AD259" t="str">
            <v>--</v>
          </cell>
          <cell r="AE259" t="str">
            <v>--</v>
          </cell>
          <cell r="AF259" t="str">
            <v>--</v>
          </cell>
          <cell r="AH259" t="str">
            <v>&lt; 50%</v>
          </cell>
          <cell r="AI259" t="str">
            <v>&lt; 50%</v>
          </cell>
          <cell r="AJ259">
            <v>-61.890711481033556</v>
          </cell>
          <cell r="AK259">
            <v>-53.143534024997962</v>
          </cell>
          <cell r="AM259">
            <v>-15.678762325288009</v>
          </cell>
          <cell r="AN259">
            <v>-8.6303701633596681</v>
          </cell>
          <cell r="AO259">
            <v>-2.6358330355471637</v>
          </cell>
          <cell r="AP259">
            <v>0.15168157330402998</v>
          </cell>
          <cell r="AR259">
            <v>-0.1134068287766159</v>
          </cell>
          <cell r="AS259">
            <v>-0.18603430096763429</v>
          </cell>
          <cell r="AT259">
            <v>3.3457898703205258E-2</v>
          </cell>
          <cell r="AU259">
            <v>8.08616000000002E-2</v>
          </cell>
          <cell r="AW259">
            <v>0.12497840000000027</v>
          </cell>
          <cell r="AX259">
            <v>0.1357955000000004</v>
          </cell>
          <cell r="AY259">
            <v>4.5831500000000247E-2</v>
          </cell>
          <cell r="AZ259">
            <v>1.5950600000000037E-2</v>
          </cell>
          <cell r="BC259" t="str">
            <v xml:space="preserve"> --</v>
          </cell>
          <cell r="BD259">
            <v>-4.3538714784863153</v>
          </cell>
          <cell r="BE259">
            <v>111.51865677085615</v>
          </cell>
          <cell r="BF259">
            <v>69.425336527717391</v>
          </cell>
          <cell r="BG259">
            <v>-27.270863026608826</v>
          </cell>
          <cell r="BH259" t="str">
            <v>--</v>
          </cell>
          <cell r="BI259" t="str">
            <v>--</v>
          </cell>
          <cell r="BJ259" t="str">
            <v>--</v>
          </cell>
          <cell r="BK259" t="str">
            <v>--</v>
          </cell>
        </row>
        <row r="260">
          <cell r="A260" t="str">
            <v>Europe</v>
          </cell>
          <cell r="N260" t="str">
            <v xml:space="preserve"> --</v>
          </cell>
          <cell r="O260" t="str">
            <v xml:space="preserve"> --</v>
          </cell>
          <cell r="P260" t="str">
            <v xml:space="preserve"> --</v>
          </cell>
          <cell r="Q260" t="str">
            <v xml:space="preserve"> --</v>
          </cell>
          <cell r="S260">
            <v>9.837281711114132</v>
          </cell>
          <cell r="T260">
            <v>45.385143371237355</v>
          </cell>
          <cell r="U260">
            <v>22.936809642536147</v>
          </cell>
          <cell r="V260">
            <v>20.366702652301448</v>
          </cell>
          <cell r="X260">
            <v>15.918023634158596</v>
          </cell>
          <cell r="Y260">
            <v>5.3942160933438732</v>
          </cell>
          <cell r="Z260">
            <v>22.635251045177164</v>
          </cell>
          <cell r="AA260" t="str">
            <v>--</v>
          </cell>
          <cell r="AC260" t="str">
            <v>--</v>
          </cell>
          <cell r="AD260" t="str">
            <v>--</v>
          </cell>
          <cell r="AE260" t="str">
            <v>--</v>
          </cell>
          <cell r="AF260" t="str">
            <v>--</v>
          </cell>
          <cell r="AH260" t="str">
            <v>&lt;&lt; 50%</v>
          </cell>
          <cell r="AI260" t="str">
            <v>&lt;&lt; 50%</v>
          </cell>
          <cell r="BC260" t="str">
            <v xml:space="preserve"> --</v>
          </cell>
          <cell r="BD260">
            <v>88.519835864947567</v>
          </cell>
          <cell r="BE260">
            <v>23.640794646225505</v>
          </cell>
          <cell r="BF260">
            <v>6.1556056505864376</v>
          </cell>
          <cell r="BG260">
            <v>-35.341371730708516</v>
          </cell>
          <cell r="BH260" t="str">
            <v>--</v>
          </cell>
          <cell r="BI260" t="str">
            <v>--</v>
          </cell>
          <cell r="BJ260" t="str">
            <v>--</v>
          </cell>
          <cell r="BK260" t="str">
            <v>--</v>
          </cell>
        </row>
        <row r="261">
          <cell r="A261" t="str">
            <v>Asia</v>
          </cell>
          <cell r="N261" t="str">
            <v xml:space="preserve"> --</v>
          </cell>
          <cell r="O261" t="str">
            <v xml:space="preserve"> --</v>
          </cell>
          <cell r="P261" t="str">
            <v xml:space="preserve"> --</v>
          </cell>
          <cell r="Q261" t="str">
            <v xml:space="preserve"> --</v>
          </cell>
          <cell r="S261">
            <v>9.837281711114132</v>
          </cell>
          <cell r="T261">
            <v>45.385143371237355</v>
          </cell>
          <cell r="U261">
            <v>22.936809642536147</v>
          </cell>
          <cell r="V261">
            <v>20.366702652301448</v>
          </cell>
          <cell r="X261">
            <v>15.918023634158596</v>
          </cell>
          <cell r="Y261">
            <v>5.3942160933438732</v>
          </cell>
          <cell r="Z261">
            <v>22.635251045177164</v>
          </cell>
          <cell r="AA261" t="str">
            <v>--</v>
          </cell>
          <cell r="AC261" t="str">
            <v>--</v>
          </cell>
          <cell r="AD261" t="str">
            <v>--</v>
          </cell>
          <cell r="AE261" t="str">
            <v>--</v>
          </cell>
          <cell r="AF261" t="str">
            <v>--</v>
          </cell>
          <cell r="AH261" t="str">
            <v>&gt; 50%</v>
          </cell>
          <cell r="AI261" t="str">
            <v>&gt; 50%</v>
          </cell>
          <cell r="BC261" t="str">
            <v xml:space="preserve"> --</v>
          </cell>
          <cell r="BD261">
            <v>88.519835864947567</v>
          </cell>
          <cell r="BE261">
            <v>23.640794646225505</v>
          </cell>
          <cell r="BF261">
            <v>6.1556056505864376</v>
          </cell>
          <cell r="BG261">
            <v>-35.341371730708516</v>
          </cell>
          <cell r="BH261" t="str">
            <v>--</v>
          </cell>
          <cell r="BI261" t="str">
            <v>--</v>
          </cell>
          <cell r="BJ261" t="str">
            <v>--</v>
          </cell>
          <cell r="BK261" t="str">
            <v>--</v>
          </cell>
        </row>
        <row r="262">
          <cell r="A262" t="str">
            <v>Implied Revenue Capacity</v>
          </cell>
          <cell r="N262" t="str">
            <v xml:space="preserve"> --</v>
          </cell>
          <cell r="O262">
            <v>4.7273588736970185E-2</v>
          </cell>
          <cell r="P262">
            <v>4.9092514293174627E-2</v>
          </cell>
          <cell r="Q262">
            <v>0.14009117792015768</v>
          </cell>
          <cell r="S262">
            <v>0.16916279944407098</v>
          </cell>
          <cell r="T262">
            <v>0.15517866122400692</v>
          </cell>
          <cell r="U262">
            <v>8.5818196367128063E-2</v>
          </cell>
          <cell r="V262">
            <v>0.18556656965968465</v>
          </cell>
          <cell r="X262">
            <v>2.2203560401827804E-3</v>
          </cell>
          <cell r="Y262">
            <v>0.29743419897874035</v>
          </cell>
          <cell r="Z262">
            <v>0.24297056766559133</v>
          </cell>
          <cell r="AA262">
            <v>4925.3142857142857</v>
          </cell>
          <cell r="AC262">
            <v>5385.15</v>
          </cell>
          <cell r="AD262">
            <v>5321.4120000000003</v>
          </cell>
          <cell r="AE262">
            <v>4637.78947368421</v>
          </cell>
          <cell r="AF262">
            <v>5154.105263157895</v>
          </cell>
          <cell r="AH262">
            <v>5062.3529411764703</v>
          </cell>
          <cell r="AI262">
            <v>5162.3529411764703</v>
          </cell>
          <cell r="AJ262">
            <v>5162.3529411764703</v>
          </cell>
          <cell r="AK262">
            <v>5162.3529411764703</v>
          </cell>
          <cell r="AM262">
            <v>5162.3529411764703</v>
          </cell>
          <cell r="AN262">
            <v>5162.3529411764703</v>
          </cell>
          <cell r="AO262">
            <v>5162.3529411764703</v>
          </cell>
          <cell r="AP262">
            <v>5162.3529411764703</v>
          </cell>
          <cell r="AR262">
            <v>-4.5502670289515601E-2</v>
          </cell>
          <cell r="AS262">
            <v>4.5780894933422189E-2</v>
          </cell>
          <cell r="AT262">
            <v>3.3197845338010845E-2</v>
          </cell>
          <cell r="AU262">
            <v>9.5859002482715061E-2</v>
          </cell>
          <cell r="AW262">
            <v>-4.67722955324259E-2</v>
          </cell>
          <cell r="AX262">
            <v>6.3596138173242389E-2</v>
          </cell>
          <cell r="AY262">
            <v>5.1837316587468596E-2</v>
          </cell>
          <cell r="AZ262">
            <v>0.1052161511574965</v>
          </cell>
          <cell r="BF262" t="str">
            <v xml:space="preserve"> --</v>
          </cell>
          <cell r="BG262" t="str">
            <v xml:space="preserve"> --</v>
          </cell>
          <cell r="BH262" t="str">
            <v xml:space="preserve"> --</v>
          </cell>
          <cell r="BI262" t="str">
            <v xml:space="preserve"> --</v>
          </cell>
          <cell r="BJ262" t="str">
            <v xml:space="preserve"> --</v>
          </cell>
          <cell r="BK262" t="str">
            <v xml:space="preserve"> --</v>
          </cell>
        </row>
        <row r="263">
          <cell r="A263" t="str">
            <v>Servers</v>
          </cell>
          <cell r="N263" t="str">
            <v xml:space="preserve"> --</v>
          </cell>
          <cell r="O263">
            <v>-19.9143726259964</v>
          </cell>
          <cell r="P263">
            <v>29.119078682236864</v>
          </cell>
          <cell r="Q263">
            <v>38.948612309019225</v>
          </cell>
          <cell r="S263">
            <v>-19.057960038487387</v>
          </cell>
          <cell r="T263">
            <v>15.517866122400692</v>
          </cell>
          <cell r="U263">
            <v>8.5818196367128063</v>
          </cell>
          <cell r="V263">
            <v>-3.3982795092108886</v>
          </cell>
          <cell r="X263">
            <v>4.7775826769281826</v>
          </cell>
          <cell r="Y263">
            <v>74.87156594930849</v>
          </cell>
          <cell r="Z263">
            <v>32.316221719240382</v>
          </cell>
          <cell r="AA263">
            <v>52.687473609466906</v>
          </cell>
          <cell r="AC263">
            <v>-34.233882712419557</v>
          </cell>
          <cell r="AD263">
            <v>1.9044246678365795</v>
          </cell>
          <cell r="AE263">
            <v>-24.731187204380433</v>
          </cell>
          <cell r="AF263">
            <v>1.9519280964175323E-2</v>
          </cell>
          <cell r="AH263">
            <v>-8.8642600610576938</v>
          </cell>
          <cell r="AI263">
            <v>0.80741011254605866</v>
          </cell>
          <cell r="AJ263">
            <v>-29.035179586486713</v>
          </cell>
          <cell r="AK263">
            <v>6.4734846551171898</v>
          </cell>
          <cell r="AM263">
            <v>-23.891591261746605</v>
          </cell>
          <cell r="AN263">
            <v>0.69295703666372166</v>
          </cell>
          <cell r="AO263">
            <v>-2.371689871689886</v>
          </cell>
          <cell r="AP263">
            <v>6.0000000000000053</v>
          </cell>
          <cell r="AR263">
            <v>-5.0000000000000044</v>
          </cell>
          <cell r="AS263">
            <v>5.0000000000000044</v>
          </cell>
          <cell r="AT263">
            <v>4.0000000000000036</v>
          </cell>
          <cell r="AU263">
            <v>8.0000000000000071</v>
          </cell>
          <cell r="AW263">
            <v>-5.0000000000000044</v>
          </cell>
          <cell r="AX263">
            <v>7.0000000000000062</v>
          </cell>
          <cell r="AY263">
            <v>6.0000000000000053</v>
          </cell>
          <cell r="AZ263">
            <v>10.000000000000009</v>
          </cell>
          <cell r="BB263" t="str">
            <v xml:space="preserve"> --</v>
          </cell>
          <cell r="BC263" t="str">
            <v xml:space="preserve"> --</v>
          </cell>
          <cell r="BD263" t="str">
            <v xml:space="preserve"> --</v>
          </cell>
          <cell r="BE263" t="str">
            <v xml:space="preserve"> --</v>
          </cell>
          <cell r="BF263" t="str">
            <v xml:space="preserve"> --</v>
          </cell>
          <cell r="BG263" t="str">
            <v xml:space="preserve"> --</v>
          </cell>
          <cell r="BH263" t="str">
            <v xml:space="preserve"> --</v>
          </cell>
          <cell r="BI263" t="str">
            <v xml:space="preserve"> --</v>
          </cell>
          <cell r="BJ263" t="str">
            <v xml:space="preserve"> --</v>
          </cell>
          <cell r="BK263" t="str">
            <v xml:space="preserve"> --</v>
          </cell>
        </row>
        <row r="264">
          <cell r="A264" t="str">
            <v xml:space="preserve">  EMS</v>
          </cell>
          <cell r="D264">
            <v>275.68399999999997</v>
          </cell>
          <cell r="E264">
            <v>227.78300000000002</v>
          </cell>
          <cell r="F264">
            <v>195.92599999999999</v>
          </cell>
          <cell r="G264">
            <v>197.435</v>
          </cell>
          <cell r="I264">
            <v>347.6</v>
          </cell>
          <cell r="J264">
            <v>320.65499999999997</v>
          </cell>
          <cell r="K264">
            <v>298.11700000000002</v>
          </cell>
          <cell r="L264">
            <v>556.18700000000001</v>
          </cell>
          <cell r="N264">
            <v>658</v>
          </cell>
          <cell r="O264">
            <v>703.62099999999998</v>
          </cell>
          <cell r="P264">
            <v>738.55600000000004</v>
          </cell>
          <cell r="Q264">
            <v>831.298</v>
          </cell>
          <cell r="S264">
            <v>984.4598400000001</v>
          </cell>
          <cell r="T264">
            <v>1139.7</v>
          </cell>
          <cell r="U264">
            <v>1248.3912399999999</v>
          </cell>
          <cell r="V264" t="str">
            <v>--</v>
          </cell>
          <cell r="X264">
            <v>1492.3230000000001</v>
          </cell>
          <cell r="Y264">
            <v>1924.5323599999997</v>
          </cell>
          <cell r="Z264">
            <v>2460.1489999999999</v>
          </cell>
          <cell r="AA264">
            <v>3292.72</v>
          </cell>
          <cell r="AC264">
            <v>2540.5749999999998</v>
          </cell>
          <cell r="AD264">
            <v>2512.7060000000001</v>
          </cell>
          <cell r="AE264">
            <v>2044.95</v>
          </cell>
          <cell r="AF264">
            <v>2263.1999999999998</v>
          </cell>
          <cell r="AH264">
            <v>-10.166199203042602</v>
          </cell>
          <cell r="AI264">
            <v>4.5410178944922164</v>
          </cell>
          <cell r="AJ264">
            <v>-12.906811310688248</v>
          </cell>
          <cell r="AK264">
            <v>-4.521059956009033</v>
          </cell>
          <cell r="AM264">
            <v>-13.282540346717353</v>
          </cell>
          <cell r="AN264">
            <v>2.8353603778693559</v>
          </cell>
          <cell r="AO264">
            <v>4.4080538872205421</v>
          </cell>
          <cell r="AP264">
            <v>6.4693877551020407</v>
          </cell>
          <cell r="AR264">
            <v>-5.0000000000000044</v>
          </cell>
          <cell r="AS264">
            <v>4.0000000000000036</v>
          </cell>
          <cell r="AT264">
            <v>3.0000000000000027</v>
          </cell>
          <cell r="AU264">
            <v>9.0000000000000071</v>
          </cell>
          <cell r="AW264">
            <v>896.82799999999997</v>
          </cell>
          <cell r="AX264">
            <v>1522.5590000000002</v>
          </cell>
          <cell r="AY264">
            <v>2931.4750000000004</v>
          </cell>
          <cell r="AZ264">
            <v>3372.5510800000002</v>
          </cell>
          <cell r="BA264">
            <v>9169.7243599999983</v>
          </cell>
          <cell r="BB264">
            <v>9361.4310000000005</v>
          </cell>
          <cell r="BC264" t="str">
            <v xml:space="preserve"> --</v>
          </cell>
          <cell r="BD264" t="str">
            <v xml:space="preserve"> --</v>
          </cell>
          <cell r="BE264" t="str">
            <v xml:space="preserve"> --</v>
          </cell>
          <cell r="BF264" t="str">
            <v xml:space="preserve"> --</v>
          </cell>
          <cell r="BG264" t="str">
            <v xml:space="preserve"> --</v>
          </cell>
          <cell r="BH264" t="str">
            <v xml:space="preserve"> --</v>
          </cell>
          <cell r="BI264" t="str">
            <v xml:space="preserve"> --</v>
          </cell>
          <cell r="BJ264" t="str">
            <v xml:space="preserve"> --</v>
          </cell>
          <cell r="BK264" t="str">
            <v xml:space="preserve"> --</v>
          </cell>
        </row>
        <row r="265">
          <cell r="A265" t="str">
            <v xml:space="preserve">  Memory/Power</v>
          </cell>
          <cell r="D265">
            <v>469</v>
          </cell>
          <cell r="E265">
            <v>319</v>
          </cell>
          <cell r="F265">
            <v>168</v>
          </cell>
          <cell r="G265">
            <v>164</v>
          </cell>
          <cell r="I265">
            <v>136</v>
          </cell>
          <cell r="J265">
            <v>110</v>
          </cell>
          <cell r="K265">
            <v>111</v>
          </cell>
          <cell r="L265">
            <v>127</v>
          </cell>
          <cell r="N265">
            <v>80.7</v>
          </cell>
          <cell r="O265">
            <v>70</v>
          </cell>
          <cell r="P265">
            <v>73.043999999999983</v>
          </cell>
          <cell r="Q265">
            <v>94</v>
          </cell>
          <cell r="S265">
            <v>97.36415999999997</v>
          </cell>
          <cell r="T265">
            <v>110</v>
          </cell>
          <cell r="U265">
            <v>108.55575999999999</v>
          </cell>
          <cell r="V265" t="str">
            <v>--</v>
          </cell>
          <cell r="X265">
            <v>120</v>
          </cell>
          <cell r="Y265">
            <v>167.35064</v>
          </cell>
          <cell r="Z265">
            <v>140</v>
          </cell>
          <cell r="AA265">
            <v>155</v>
          </cell>
          <cell r="AC265">
            <v>152</v>
          </cell>
          <cell r="AD265">
            <v>148</v>
          </cell>
          <cell r="AE265">
            <v>158</v>
          </cell>
          <cell r="AF265">
            <v>185</v>
          </cell>
          <cell r="AH265" t="str">
            <v>--</v>
          </cell>
          <cell r="AI265" t="str">
            <v>--</v>
          </cell>
          <cell r="AJ265" t="str">
            <v>--</v>
          </cell>
          <cell r="AK265" t="str">
            <v>--</v>
          </cell>
          <cell r="AM265" t="str">
            <v>--</v>
          </cell>
          <cell r="AN265">
            <v>-3.6849976171042576</v>
          </cell>
          <cell r="AO265">
            <v>6.9262444262444323</v>
          </cell>
          <cell r="AP265">
            <v>7.0000000000000062</v>
          </cell>
          <cell r="AR265">
            <v>-5.0000000000000044</v>
          </cell>
          <cell r="AS265">
            <v>4.0000000000000036</v>
          </cell>
          <cell r="AT265">
            <v>3.0000000000000027</v>
          </cell>
          <cell r="AU265">
            <v>9.0000000000000071</v>
          </cell>
          <cell r="AW265">
            <v>1120</v>
          </cell>
          <cell r="AX265">
            <v>484</v>
          </cell>
          <cell r="AY265">
            <v>317.74399999999969</v>
          </cell>
          <cell r="AZ265">
            <v>315.91991999999993</v>
          </cell>
          <cell r="BA265">
            <v>582.35064</v>
          </cell>
          <cell r="BB265">
            <v>643</v>
          </cell>
          <cell r="BC265" t="str">
            <v xml:space="preserve"> --</v>
          </cell>
          <cell r="BD265" t="str">
            <v xml:space="preserve"> --</v>
          </cell>
          <cell r="BE265" t="str">
            <v xml:space="preserve"> --</v>
          </cell>
          <cell r="BF265" t="str">
            <v xml:space="preserve"> --</v>
          </cell>
          <cell r="BG265" t="str">
            <v xml:space="preserve"> --</v>
          </cell>
          <cell r="BH265" t="str">
            <v xml:space="preserve"> --</v>
          </cell>
          <cell r="BI265" t="str">
            <v xml:space="preserve"> --</v>
          </cell>
          <cell r="BJ265" t="str">
            <v xml:space="preserve"> --</v>
          </cell>
          <cell r="BK265" t="str">
            <v xml:space="preserve"> --</v>
          </cell>
        </row>
        <row r="266">
          <cell r="A266" t="str">
            <v>Enterprise Communications</v>
          </cell>
          <cell r="AH266" t="str">
            <v>--</v>
          </cell>
          <cell r="AI266" t="str">
            <v>--</v>
          </cell>
          <cell r="AJ266" t="str">
            <v>--</v>
          </cell>
          <cell r="AK266" t="str">
            <v>--</v>
          </cell>
          <cell r="AM266" t="str">
            <v>--</v>
          </cell>
          <cell r="AN266">
            <v>9.0840367897190522</v>
          </cell>
          <cell r="AO266">
            <v>2.2772772772772676</v>
          </cell>
          <cell r="AP266">
            <v>6.0000000000000053</v>
          </cell>
          <cell r="AR266">
            <v>-5.0000000000000044</v>
          </cell>
          <cell r="AS266">
            <v>4.0000000000000036</v>
          </cell>
          <cell r="AT266">
            <v>3.0000000000000027</v>
          </cell>
          <cell r="AU266">
            <v>9.0000000000000071</v>
          </cell>
          <cell r="AW266">
            <v>-5.0000000000000044</v>
          </cell>
          <cell r="AX266">
            <v>5.0000000000000044</v>
          </cell>
          <cell r="AY266">
            <v>4.0000000000000036</v>
          </cell>
          <cell r="AZ266">
            <v>10.000000000000009</v>
          </cell>
          <cell r="BG266" t="str">
            <v xml:space="preserve"> --</v>
          </cell>
          <cell r="BH266" t="str">
            <v xml:space="preserve"> --</v>
          </cell>
          <cell r="BI266" t="str">
            <v xml:space="preserve"> --</v>
          </cell>
          <cell r="BJ266" t="str">
            <v xml:space="preserve"> --</v>
          </cell>
          <cell r="BK266" t="str">
            <v xml:space="preserve"> --</v>
          </cell>
        </row>
        <row r="267">
          <cell r="A267" t="str">
            <v>Celestica Inc.</v>
          </cell>
          <cell r="L267" t="str">
            <v xml:space="preserve"> </v>
          </cell>
          <cell r="N267" t="str">
            <v xml:space="preserve"> --</v>
          </cell>
          <cell r="O267">
            <v>67.563774197915237</v>
          </cell>
          <cell r="P267">
            <v>-17.383964499412496</v>
          </cell>
          <cell r="Q267">
            <v>-59.28245793142294</v>
          </cell>
          <cell r="S267">
            <v>341.68372423442685</v>
          </cell>
          <cell r="T267">
            <v>1.9275289315300093</v>
          </cell>
          <cell r="U267">
            <v>8.5818196367127175</v>
          </cell>
          <cell r="V267">
            <v>10.652879834903972</v>
          </cell>
          <cell r="X267">
            <v>14.53946926173515</v>
          </cell>
          <cell r="Y267">
            <v>21.63445615425692</v>
          </cell>
          <cell r="Z267">
            <v>-0.56235458675270023</v>
          </cell>
          <cell r="AA267">
            <v>43.646767935222172</v>
          </cell>
          <cell r="AC267">
            <v>2.1271917494638526</v>
          </cell>
          <cell r="AD267">
            <v>4.6291419049444782</v>
          </cell>
          <cell r="AE267">
            <v>-17.204305924818463</v>
          </cell>
          <cell r="AF267">
            <v>11.132799201071286</v>
          </cell>
          <cell r="AH267">
            <v>-7.2368361335765741</v>
          </cell>
          <cell r="AI267">
            <v>10.043176731044422</v>
          </cell>
          <cell r="AJ267">
            <v>13.221145296105297</v>
          </cell>
          <cell r="AK267">
            <v>-6.1531785892396389</v>
          </cell>
          <cell r="AM267">
            <v>-23.614833411789316</v>
          </cell>
          <cell r="AN267">
            <v>-8.0629522708722483</v>
          </cell>
          <cell r="AO267">
            <v>12.017970351303674</v>
          </cell>
          <cell r="AP267">
            <v>10.000000000000009</v>
          </cell>
          <cell r="AR267">
            <v>-2.826086956521745</v>
          </cell>
          <cell r="AS267">
            <v>5.0000000000000044</v>
          </cell>
          <cell r="AT267">
            <v>4.0000000000000036</v>
          </cell>
          <cell r="AU267">
            <v>12.000000000000011</v>
          </cell>
          <cell r="AW267">
            <v>-3.4474272930648753</v>
          </cell>
          <cell r="AX267">
            <v>8.0000000000000071</v>
          </cell>
          <cell r="AY267">
            <v>7.0000000000000062</v>
          </cell>
          <cell r="AZ267">
            <v>11.999999999999989</v>
          </cell>
          <cell r="BB267" t="str">
            <v xml:space="preserve"> --</v>
          </cell>
          <cell r="BC267" t="str">
            <v xml:space="preserve"> --</v>
          </cell>
          <cell r="BD267" t="str">
            <v xml:space="preserve"> --</v>
          </cell>
          <cell r="BE267" t="str">
            <v xml:space="preserve"> --</v>
          </cell>
          <cell r="BF267" t="str">
            <v xml:space="preserve"> --</v>
          </cell>
          <cell r="BG267" t="str">
            <v xml:space="preserve"> --</v>
          </cell>
          <cell r="BH267" t="str">
            <v xml:space="preserve"> --</v>
          </cell>
          <cell r="BI267" t="str">
            <v xml:space="preserve"> --</v>
          </cell>
          <cell r="BJ267" t="str">
            <v xml:space="preserve"> --</v>
          </cell>
          <cell r="BK267" t="str">
            <v xml:space="preserve"> --</v>
          </cell>
        </row>
        <row r="268">
          <cell r="A268" t="str">
            <v>Acquisition Waterfall</v>
          </cell>
          <cell r="N268" t="str">
            <v xml:space="preserve"> --</v>
          </cell>
          <cell r="O268">
            <v>67.563774197915237</v>
          </cell>
          <cell r="P268">
            <v>-17.383964499412496</v>
          </cell>
          <cell r="Q268">
            <v>-59.28245793142294</v>
          </cell>
          <cell r="S268">
            <v>341.68372423442685</v>
          </cell>
          <cell r="T268">
            <v>1.9275289315300093</v>
          </cell>
          <cell r="U268">
            <v>8.5818196367127175</v>
          </cell>
          <cell r="V268">
            <v>10.652879834903972</v>
          </cell>
          <cell r="X268">
            <v>14.53946926173515</v>
          </cell>
          <cell r="Y268">
            <v>21.63445615425692</v>
          </cell>
          <cell r="Z268">
            <v>-0.56235458675270023</v>
          </cell>
          <cell r="AA268">
            <v>43.646767935222172</v>
          </cell>
          <cell r="AC268">
            <v>2.1271917494638526</v>
          </cell>
          <cell r="AD268">
            <v>4.6291419049444782</v>
          </cell>
          <cell r="AE268">
            <v>-17.204305924818463</v>
          </cell>
          <cell r="AF268">
            <v>11.132799201071286</v>
          </cell>
          <cell r="AH268" t="str">
            <v>--</v>
          </cell>
          <cell r="AI268" t="str">
            <v>--</v>
          </cell>
          <cell r="AJ268" t="str">
            <v>--</v>
          </cell>
          <cell r="AK268" t="str">
            <v>--</v>
          </cell>
          <cell r="AM268" t="str">
            <v>--</v>
          </cell>
          <cell r="AN268">
            <v>-20.884105185478507</v>
          </cell>
          <cell r="AO268">
            <v>20.873145873145859</v>
          </cell>
          <cell r="AP268">
            <v>10.000000000000009</v>
          </cell>
          <cell r="AR268">
            <v>-5.0000000000000044</v>
          </cell>
          <cell r="AS268">
            <v>5.0000000000000044</v>
          </cell>
          <cell r="AT268">
            <v>4.0000000000000036</v>
          </cell>
          <cell r="AU268">
            <v>12.000000000000011</v>
          </cell>
          <cell r="AW268">
            <v>-3.0000000000000027</v>
          </cell>
          <cell r="AX268">
            <v>8.0000000000000071</v>
          </cell>
          <cell r="AY268">
            <v>7.0000000000000062</v>
          </cell>
          <cell r="AZ268">
            <v>12.000000000000011</v>
          </cell>
          <cell r="BB268" t="str">
            <v xml:space="preserve"> --</v>
          </cell>
          <cell r="BC268" t="str">
            <v xml:space="preserve"> --</v>
          </cell>
          <cell r="BD268" t="str">
            <v xml:space="preserve"> --</v>
          </cell>
          <cell r="BE268" t="str">
            <v xml:space="preserve"> --</v>
          </cell>
          <cell r="BF268" t="str">
            <v xml:space="preserve"> --</v>
          </cell>
          <cell r="BG268" t="str">
            <v xml:space="preserve"> --</v>
          </cell>
          <cell r="BH268" t="str">
            <v xml:space="preserve"> --</v>
          </cell>
          <cell r="BI268" t="str">
            <v xml:space="preserve"> --</v>
          </cell>
          <cell r="BJ268" t="str">
            <v xml:space="preserve"> --</v>
          </cell>
          <cell r="BK268" t="str">
            <v xml:space="preserve"> --</v>
          </cell>
        </row>
        <row r="269">
          <cell r="A269" t="str">
            <v>($ Millions)</v>
          </cell>
          <cell r="S269" t="str">
            <v xml:space="preserve"> </v>
          </cell>
          <cell r="T269" t="str">
            <v xml:space="preserve"> </v>
          </cell>
          <cell r="AH269" t="str">
            <v>--</v>
          </cell>
          <cell r="AI269" t="str">
            <v>--</v>
          </cell>
          <cell r="AJ269" t="str">
            <v>--</v>
          </cell>
          <cell r="AK269" t="str">
            <v>--</v>
          </cell>
          <cell r="AM269" t="str">
            <v>--</v>
          </cell>
          <cell r="AN269">
            <v>11.881063374070798</v>
          </cell>
          <cell r="AO269">
            <v>2.2772772772772898</v>
          </cell>
          <cell r="AP269">
            <v>10.000000000000009</v>
          </cell>
          <cell r="AR269">
            <v>0</v>
          </cell>
          <cell r="AS269">
            <v>5.0000000000000044</v>
          </cell>
          <cell r="AT269">
            <v>4.0000000000000036</v>
          </cell>
          <cell r="AU269">
            <v>12.000000000000011</v>
          </cell>
          <cell r="AW269">
            <v>-4.0000000000000036</v>
          </cell>
          <cell r="AX269">
            <v>8.0000000000000071</v>
          </cell>
          <cell r="AY269">
            <v>7.0000000000000062</v>
          </cell>
          <cell r="AZ269">
            <v>12.000000000000011</v>
          </cell>
          <cell r="BG269" t="str">
            <v xml:space="preserve"> --</v>
          </cell>
          <cell r="BH269" t="str">
            <v xml:space="preserve"> --</v>
          </cell>
          <cell r="BI269" t="str">
            <v xml:space="preserve"> --</v>
          </cell>
          <cell r="BJ269" t="str">
            <v xml:space="preserve"> --</v>
          </cell>
          <cell r="BK269" t="str">
            <v xml:space="preserve"> --</v>
          </cell>
        </row>
        <row r="270">
          <cell r="A270" t="str">
            <v>PCs/Workstations</v>
          </cell>
          <cell r="D270">
            <v>1996</v>
          </cell>
          <cell r="I270">
            <v>1997</v>
          </cell>
          <cell r="N270">
            <v>1998</v>
          </cell>
          <cell r="O270">
            <v>-5.2466753047503145</v>
          </cell>
          <cell r="P270">
            <v>10.430790978228899</v>
          </cell>
          <cell r="Q270">
            <v>22.559801626416977</v>
          </cell>
          <cell r="S270">
            <v>1999</v>
          </cell>
          <cell r="T270">
            <v>13.05847798358708</v>
          </cell>
          <cell r="U270">
            <v>8.5818196367128063</v>
          </cell>
          <cell r="V270">
            <v>18.556656965968465</v>
          </cell>
          <cell r="X270">
            <v>2000</v>
          </cell>
          <cell r="Y270">
            <v>12.444297244824188</v>
          </cell>
          <cell r="Z270">
            <v>9.9550886781099912</v>
          </cell>
          <cell r="AA270">
            <v>-7.7585971787202173</v>
          </cell>
          <cell r="AC270">
            <v>2001</v>
          </cell>
          <cell r="AD270">
            <v>-1.1835882008857657</v>
          </cell>
          <cell r="AE270">
            <v>-31.815310761615191</v>
          </cell>
          <cell r="AF270">
            <v>-20.619429142091938</v>
          </cell>
          <cell r="AH270" t="str">
            <v>2002E</v>
          </cell>
          <cell r="AI270">
            <v>4.5410178944921942</v>
          </cell>
          <cell r="AJ270">
            <v>-25.348695409161348</v>
          </cell>
          <cell r="AK270">
            <v>-2.3993057328092315</v>
          </cell>
          <cell r="AM270" t="str">
            <v>2003E</v>
          </cell>
          <cell r="AN270">
            <v>13.279576666246683</v>
          </cell>
          <cell r="AO270">
            <v>-20.451006562117669</v>
          </cell>
          <cell r="AP270">
            <v>0</v>
          </cell>
          <cell r="AR270" t="str">
            <v>2004E</v>
          </cell>
          <cell r="AS270">
            <v>6.0000000000000053</v>
          </cell>
          <cell r="AT270">
            <v>1.0000000000000009</v>
          </cell>
          <cell r="AU270">
            <v>10.000000000000009</v>
          </cell>
          <cell r="AV270" t="str">
            <v xml:space="preserve"> </v>
          </cell>
          <cell r="AW270">
            <v>-6.0000000000000053</v>
          </cell>
          <cell r="AX270">
            <v>8.0000000000000071</v>
          </cell>
          <cell r="AY270">
            <v>4.0000000000000036</v>
          </cell>
          <cell r="AZ270" t="str">
            <v xml:space="preserve"> </v>
          </cell>
          <cell r="BB270" t="str">
            <v xml:space="preserve"> --</v>
          </cell>
          <cell r="BC270" t="str">
            <v xml:space="preserve"> --</v>
          </cell>
          <cell r="BD270" t="str">
            <v xml:space="preserve"> --</v>
          </cell>
          <cell r="BE270" t="str">
            <v xml:space="preserve"> --</v>
          </cell>
          <cell r="BF270" t="str">
            <v xml:space="preserve"> --</v>
          </cell>
          <cell r="BG270" t="str">
            <v xml:space="preserve"> --</v>
          </cell>
          <cell r="BH270" t="str">
            <v xml:space="preserve"> --</v>
          </cell>
          <cell r="BI270" t="str">
            <v xml:space="preserve"> --</v>
          </cell>
          <cell r="BJ270" t="str">
            <v xml:space="preserve"> --</v>
          </cell>
          <cell r="BK270" t="str">
            <v xml:space="preserve"> --</v>
          </cell>
        </row>
        <row r="271">
          <cell r="A271" t="str">
            <v xml:space="preserve"> </v>
          </cell>
          <cell r="D271">
            <v>35125</v>
          </cell>
          <cell r="E271">
            <v>35217</v>
          </cell>
          <cell r="F271">
            <v>35309</v>
          </cell>
          <cell r="G271">
            <v>35400</v>
          </cell>
          <cell r="I271">
            <v>35490</v>
          </cell>
          <cell r="J271">
            <v>35582</v>
          </cell>
          <cell r="K271">
            <v>35674</v>
          </cell>
          <cell r="L271">
            <v>35765</v>
          </cell>
          <cell r="N271">
            <v>35855</v>
          </cell>
          <cell r="O271">
            <v>35947</v>
          </cell>
          <cell r="P271">
            <v>36039</v>
          </cell>
          <cell r="Q271">
            <v>36130</v>
          </cell>
          <cell r="S271">
            <v>36220</v>
          </cell>
          <cell r="T271">
            <v>36312</v>
          </cell>
          <cell r="U271">
            <v>36404</v>
          </cell>
          <cell r="V271">
            <v>36495</v>
          </cell>
          <cell r="X271">
            <v>36586</v>
          </cell>
          <cell r="Y271">
            <v>36678</v>
          </cell>
          <cell r="Z271">
            <v>36770</v>
          </cell>
          <cell r="AA271">
            <v>36861</v>
          </cell>
          <cell r="AC271">
            <v>36951</v>
          </cell>
          <cell r="AD271">
            <v>37043</v>
          </cell>
          <cell r="AE271">
            <v>37135</v>
          </cell>
          <cell r="AF271">
            <v>37226</v>
          </cell>
          <cell r="AH271" t="str">
            <v xml:space="preserve"> 3/02</v>
          </cell>
          <cell r="AI271" t="str">
            <v xml:space="preserve"> 6/02E</v>
          </cell>
          <cell r="AJ271" t="str">
            <v xml:space="preserve"> 9/02E</v>
          </cell>
          <cell r="AK271" t="str">
            <v>12/02E</v>
          </cell>
          <cell r="AM271" t="str">
            <v xml:space="preserve"> 3/03E</v>
          </cell>
          <cell r="AN271" t="str">
            <v xml:space="preserve"> 6/03E</v>
          </cell>
          <cell r="AO271" t="str">
            <v xml:space="preserve"> 9/03E</v>
          </cell>
          <cell r="AP271" t="str">
            <v>12/03E</v>
          </cell>
          <cell r="AR271" t="str">
            <v xml:space="preserve"> 3/04E</v>
          </cell>
          <cell r="AS271" t="str">
            <v xml:space="preserve"> 6/04E</v>
          </cell>
          <cell r="AT271" t="str">
            <v xml:space="preserve"> 9/04E</v>
          </cell>
          <cell r="AU271" t="str">
            <v>12/04E</v>
          </cell>
          <cell r="AW271">
            <v>1996</v>
          </cell>
          <cell r="AX271">
            <v>1997</v>
          </cell>
          <cell r="AY271">
            <v>1998</v>
          </cell>
          <cell r="AZ271">
            <v>1999</v>
          </cell>
          <cell r="BA271">
            <v>2000</v>
          </cell>
          <cell r="BB271">
            <v>2001</v>
          </cell>
          <cell r="BC271" t="str">
            <v>2002E</v>
          </cell>
          <cell r="BD271" t="str">
            <v>2003E</v>
          </cell>
          <cell r="BE271" t="str">
            <v>2004E</v>
          </cell>
          <cell r="BF271" t="str">
            <v xml:space="preserve"> --</v>
          </cell>
          <cell r="BG271">
            <v>2002</v>
          </cell>
          <cell r="BH271">
            <v>2003</v>
          </cell>
          <cell r="BI271">
            <v>2004</v>
          </cell>
          <cell r="BJ271">
            <v>2005</v>
          </cell>
          <cell r="BK271">
            <v>2006</v>
          </cell>
          <cell r="BL271">
            <v>2007</v>
          </cell>
          <cell r="BM271">
            <v>2008</v>
          </cell>
          <cell r="BN271">
            <v>2009</v>
          </cell>
          <cell r="BO271">
            <v>2010</v>
          </cell>
          <cell r="BP271">
            <v>2011</v>
          </cell>
          <cell r="BQ271">
            <v>2012</v>
          </cell>
          <cell r="BR271">
            <v>2013</v>
          </cell>
          <cell r="BS271">
            <v>2014</v>
          </cell>
          <cell r="BT271">
            <v>2015</v>
          </cell>
          <cell r="BU271">
            <v>2016</v>
          </cell>
        </row>
        <row r="272">
          <cell r="A272" t="str">
            <v>Workstations</v>
          </cell>
          <cell r="N272" t="str">
            <v xml:space="preserve"> --</v>
          </cell>
          <cell r="O272">
            <v>-12.727200938585813</v>
          </cell>
          <cell r="P272">
            <v>18.897151619893137</v>
          </cell>
          <cell r="Q272">
            <v>30.775164526135733</v>
          </cell>
          <cell r="S272">
            <v>-19.057960038487387</v>
          </cell>
          <cell r="T272">
            <v>15.517866122400692</v>
          </cell>
          <cell r="U272">
            <v>0.53872188584518366</v>
          </cell>
          <cell r="V272">
            <v>28.041189523245947</v>
          </cell>
          <cell r="X272">
            <v>-22.04952786354135</v>
          </cell>
          <cell r="Y272">
            <v>5.0303875363742367</v>
          </cell>
          <cell r="Z272">
            <v>16.985465192055639</v>
          </cell>
          <cell r="AA272">
            <v>-8.8395511180320856</v>
          </cell>
          <cell r="AC272">
            <v>-21.902735720998223</v>
          </cell>
          <cell r="AD272">
            <v>7.7997219626700698</v>
          </cell>
          <cell r="AE272">
            <v>-44.802870616545633</v>
          </cell>
          <cell r="AF272">
            <v>-2.7588006990626135</v>
          </cell>
          <cell r="AH272" t="str">
            <v>--</v>
          </cell>
          <cell r="AI272" t="str">
            <v>--</v>
          </cell>
          <cell r="AJ272" t="str">
            <v>--</v>
          </cell>
          <cell r="AK272" t="str">
            <v>--</v>
          </cell>
          <cell r="AM272" t="str">
            <v>--</v>
          </cell>
          <cell r="AN272" t="str">
            <v>--</v>
          </cell>
          <cell r="AO272" t="str">
            <v>--</v>
          </cell>
          <cell r="AP272" t="str">
            <v>--</v>
          </cell>
          <cell r="AR272" t="str">
            <v>--</v>
          </cell>
          <cell r="AS272" t="str">
            <v>--</v>
          </cell>
          <cell r="AT272" t="str">
            <v>--</v>
          </cell>
          <cell r="AU272" t="str">
            <v>--</v>
          </cell>
          <cell r="AW272" t="str">
            <v>--</v>
          </cell>
          <cell r="AX272" t="str">
            <v>--</v>
          </cell>
          <cell r="AY272" t="str">
            <v>--</v>
          </cell>
          <cell r="AZ272" t="str">
            <v>--</v>
          </cell>
          <cell r="BB272" t="str">
            <v xml:space="preserve"> --</v>
          </cell>
          <cell r="BC272" t="str">
            <v xml:space="preserve"> --</v>
          </cell>
          <cell r="BD272" t="str">
            <v xml:space="preserve"> --</v>
          </cell>
          <cell r="BE272" t="str">
            <v xml:space="preserve"> --</v>
          </cell>
          <cell r="BF272" t="str">
            <v xml:space="preserve"> --</v>
          </cell>
          <cell r="BG272" t="str">
            <v xml:space="preserve"> --</v>
          </cell>
          <cell r="BH272" t="str">
            <v xml:space="preserve"> --</v>
          </cell>
          <cell r="BI272" t="str">
            <v xml:space="preserve"> --</v>
          </cell>
          <cell r="BJ272" t="str">
            <v xml:space="preserve"> --</v>
          </cell>
          <cell r="BK272" t="str">
            <v xml:space="preserve"> --</v>
          </cell>
        </row>
        <row r="273">
          <cell r="A273" t="str">
            <v>Revenue</v>
          </cell>
          <cell r="D273">
            <v>744.68399999999997</v>
          </cell>
          <cell r="E273">
            <v>546.78300000000002</v>
          </cell>
          <cell r="F273">
            <v>363.92599999999999</v>
          </cell>
          <cell r="G273">
            <v>361.435</v>
          </cell>
          <cell r="I273">
            <v>483.6</v>
          </cell>
          <cell r="J273">
            <v>430.65499999999997</v>
          </cell>
          <cell r="K273">
            <v>409.11700000000002</v>
          </cell>
          <cell r="L273">
            <v>683.18700000000001</v>
          </cell>
          <cell r="N273">
            <v>738.7</v>
          </cell>
          <cell r="O273">
            <v>773.62099999999998</v>
          </cell>
          <cell r="P273">
            <v>811.6</v>
          </cell>
          <cell r="Q273">
            <v>925.298</v>
          </cell>
          <cell r="S273">
            <v>1081.8240000000001</v>
          </cell>
          <cell r="T273">
            <v>1249.7</v>
          </cell>
          <cell r="U273">
            <v>1356.9469999999999</v>
          </cell>
          <cell r="V273">
            <v>1608.751</v>
          </cell>
          <cell r="X273">
            <v>1612.3230000000001</v>
          </cell>
          <cell r="Y273">
            <v>2091.8829999999998</v>
          </cell>
          <cell r="Z273">
            <v>2600.1489999999999</v>
          </cell>
          <cell r="AA273">
            <v>3447.72</v>
          </cell>
          <cell r="AC273">
            <v>2692.5749999999998</v>
          </cell>
          <cell r="AD273">
            <v>2660.7060000000001</v>
          </cell>
          <cell r="AE273">
            <v>2202.9499999999998</v>
          </cell>
          <cell r="AF273">
            <v>2448.1999999999998</v>
          </cell>
          <cell r="AH273">
            <v>2151.5</v>
          </cell>
          <cell r="AI273">
            <v>2222.4547500000003</v>
          </cell>
          <cell r="AJ273">
            <v>2256.4161775000002</v>
          </cell>
          <cell r="AK273">
            <v>2413.2769004750003</v>
          </cell>
          <cell r="AM273">
            <v>2364.3592608755002</v>
          </cell>
          <cell r="AN273">
            <v>2441.3815993963203</v>
          </cell>
          <cell r="AO273">
            <v>2559.3579410099655</v>
          </cell>
          <cell r="AP273">
            <v>2821.0346317032217</v>
          </cell>
          <cell r="AR273">
            <v>2678.1588244225709</v>
          </cell>
          <cell r="AS273">
            <v>2780.6536712795873</v>
          </cell>
          <cell r="AT273">
            <v>2934.0156920260183</v>
          </cell>
          <cell r="AU273">
            <v>3245.444759260004</v>
          </cell>
          <cell r="AW273">
            <v>2016.828</v>
          </cell>
          <cell r="AX273">
            <v>2006.5590000000002</v>
          </cell>
          <cell r="AY273">
            <v>3249.2190000000001</v>
          </cell>
          <cell r="AZ273">
            <v>5297.2220000000007</v>
          </cell>
          <cell r="BA273">
            <v>9752.0749999999989</v>
          </cell>
          <cell r="BB273">
            <v>10004.431</v>
          </cell>
          <cell r="BC273">
            <v>9043.6478279750008</v>
          </cell>
          <cell r="BD273">
            <v>10186.233432985007</v>
          </cell>
          <cell r="BE273">
            <v>11638.272946988182</v>
          </cell>
          <cell r="BF273" t="str">
            <v xml:space="preserve"> --</v>
          </cell>
          <cell r="BG273" t="str">
            <v xml:space="preserve"> --</v>
          </cell>
          <cell r="BH273" t="str">
            <v xml:space="preserve"> --</v>
          </cell>
          <cell r="BI273" t="str">
            <v xml:space="preserve"> --</v>
          </cell>
          <cell r="BJ273" t="str">
            <v xml:space="preserve"> --</v>
          </cell>
          <cell r="BK273" t="str">
            <v xml:space="preserve"> --</v>
          </cell>
        </row>
        <row r="274">
          <cell r="A274" t="str">
            <v>Revenue Growth (Yr-Yr)</v>
          </cell>
          <cell r="D274" t="str">
            <v>--</v>
          </cell>
          <cell r="E274" t="str">
            <v>--</v>
          </cell>
          <cell r="F274" t="str">
            <v>--</v>
          </cell>
          <cell r="G274" t="str">
            <v>--</v>
          </cell>
          <cell r="I274">
            <v>-0.35059703176112278</v>
          </cell>
          <cell r="J274">
            <v>-0.21238407192615727</v>
          </cell>
          <cell r="K274">
            <v>0.12417634354236862</v>
          </cell>
          <cell r="L274">
            <v>0.89020709117822028</v>
          </cell>
          <cell r="N274">
            <v>0.52750206782464848</v>
          </cell>
          <cell r="O274">
            <v>0.79638225493724679</v>
          </cell>
          <cell r="P274">
            <v>0.98378458973838767</v>
          </cell>
          <cell r="Q274">
            <v>0.35438467066849921</v>
          </cell>
          <cell r="S274">
            <v>0.46449708948152169</v>
          </cell>
          <cell r="T274">
            <v>0.61539048190263723</v>
          </cell>
          <cell r="U274">
            <v>0.67194061113849179</v>
          </cell>
          <cell r="V274">
            <v>0.73863014942213212</v>
          </cell>
          <cell r="X274">
            <v>0.49037458958203928</v>
          </cell>
          <cell r="Y274">
            <v>0.67390813795310844</v>
          </cell>
          <cell r="Z274">
            <v>0.91617579758089307</v>
          </cell>
          <cell r="AA274">
            <v>1.1431035629503881</v>
          </cell>
          <cell r="AC274">
            <v>0.66999726481604482</v>
          </cell>
          <cell r="AD274">
            <v>0.27191912740817736</v>
          </cell>
          <cell r="AE274">
            <v>-0.15276009182550698</v>
          </cell>
          <cell r="AF274">
            <v>-0.28990753309433481</v>
          </cell>
          <cell r="AH274">
            <v>-0.20095076274569879</v>
          </cell>
          <cell r="AI274">
            <v>-0.16471239212449618</v>
          </cell>
          <cell r="AJ274">
            <v>2.4270263737261599E-2</v>
          </cell>
          <cell r="AK274">
            <v>-1.4264806602810043E-2</v>
          </cell>
          <cell r="AM274">
            <v>9.8935282768068955E-2</v>
          </cell>
          <cell r="AN274">
            <v>9.8506774725703572E-2</v>
          </cell>
          <cell r="AO274">
            <v>0.13425792924672697</v>
          </cell>
          <cell r="AP274">
            <v>0.1689643368931113</v>
          </cell>
          <cell r="AR274">
            <v>0.13272076233916907</v>
          </cell>
          <cell r="AS274">
            <v>0.13896724377998049</v>
          </cell>
          <cell r="AT274">
            <v>0.14638739857864769</v>
          </cell>
          <cell r="AU274">
            <v>0.15044484842092887</v>
          </cell>
          <cell r="AW274" t="str">
            <v xml:space="preserve"> --</v>
          </cell>
          <cell r="AX274">
            <v>-5.091658782999775E-3</v>
          </cell>
          <cell r="AY274">
            <v>0.6192990089003112</v>
          </cell>
          <cell r="AZ274">
            <v>0.63030623666795016</v>
          </cell>
          <cell r="BA274">
            <v>0.840979101876417</v>
          </cell>
          <cell r="BB274">
            <v>2.5877159476316747E-2</v>
          </cell>
          <cell r="BC274">
            <v>-9.6035763755579873E-2</v>
          </cell>
          <cell r="BD274">
            <v>0.12634123162952116</v>
          </cell>
          <cell r="BE274">
            <v>0.14254920855251441</v>
          </cell>
        </row>
        <row r="275">
          <cell r="A275" t="str">
            <v>Top 10 Customers Revenue</v>
          </cell>
          <cell r="N275">
            <v>554.02500000000009</v>
          </cell>
          <cell r="O275">
            <v>580.21574999999996</v>
          </cell>
          <cell r="P275">
            <v>568.12</v>
          </cell>
          <cell r="Q275">
            <v>712.47946000000002</v>
          </cell>
          <cell r="S275">
            <v>724.82208000000014</v>
          </cell>
          <cell r="T275">
            <v>862.29300000000001</v>
          </cell>
          <cell r="U275">
            <v>922.72396000000003</v>
          </cell>
          <cell r="V275">
            <v>1093.9506800000001</v>
          </cell>
          <cell r="X275">
            <v>1338.2280900000001</v>
          </cell>
          <cell r="Y275" t="str">
            <v xml:space="preserve"> </v>
          </cell>
          <cell r="Z275">
            <v>2262.1296299999999</v>
          </cell>
          <cell r="AA275" t="str">
            <v xml:space="preserve"> </v>
          </cell>
          <cell r="AC275">
            <v>2234.8372499999996</v>
          </cell>
          <cell r="AD275">
            <v>2208.38598</v>
          </cell>
          <cell r="AE275">
            <v>1894.5369999999998</v>
          </cell>
          <cell r="AF275">
            <v>2105.4519999999998</v>
          </cell>
          <cell r="AH275">
            <v>1893.32</v>
          </cell>
          <cell r="AI275">
            <v>1911.8199999999997</v>
          </cell>
          <cell r="AJ275">
            <v>1665.0650000000001</v>
          </cell>
          <cell r="AK275">
            <v>1548.6390000000001</v>
          </cell>
          <cell r="AM275">
            <v>1238.172</v>
          </cell>
          <cell r="AN275">
            <v>1230.768</v>
          </cell>
          <cell r="AO275">
            <v>1209.752</v>
          </cell>
          <cell r="AP275">
            <v>957.4</v>
          </cell>
          <cell r="AR275">
            <v>947.94299999999998</v>
          </cell>
        </row>
        <row r="276">
          <cell r="A276" t="str">
            <v>Incremental Revenue from Acqs. (Yr-Yr)</v>
          </cell>
          <cell r="D276">
            <v>0</v>
          </cell>
          <cell r="E276">
            <v>0</v>
          </cell>
          <cell r="F276">
            <v>0</v>
          </cell>
          <cell r="G276">
            <v>0</v>
          </cell>
          <cell r="I276">
            <v>70</v>
          </cell>
          <cell r="J276">
            <v>140</v>
          </cell>
          <cell r="K276">
            <v>223.25</v>
          </cell>
          <cell r="L276">
            <v>390</v>
          </cell>
          <cell r="N276">
            <v>332.5</v>
          </cell>
          <cell r="O276">
            <v>276.5</v>
          </cell>
          <cell r="P276">
            <v>207.5</v>
          </cell>
          <cell r="Q276">
            <v>83.5</v>
          </cell>
          <cell r="S276">
            <v>172</v>
          </cell>
          <cell r="T276">
            <v>181.03333333333333</v>
          </cell>
          <cell r="U276">
            <v>200.255</v>
          </cell>
          <cell r="V276">
            <v>237.08333333333331</v>
          </cell>
          <cell r="X276">
            <v>128.75</v>
          </cell>
          <cell r="Y276">
            <v>311.25</v>
          </cell>
          <cell r="Z276">
            <v>585.83333333333326</v>
          </cell>
          <cell r="AA276">
            <v>899</v>
          </cell>
          <cell r="AC276">
            <v>590</v>
          </cell>
          <cell r="AD276">
            <v>460</v>
          </cell>
          <cell r="AE276">
            <v>390</v>
          </cell>
          <cell r="AF276">
            <v>765</v>
          </cell>
          <cell r="AH276">
            <v>745</v>
          </cell>
          <cell r="AI276">
            <v>755</v>
          </cell>
          <cell r="AJ276">
            <v>480</v>
          </cell>
          <cell r="AK276">
            <v>100</v>
          </cell>
          <cell r="AM276">
            <v>100</v>
          </cell>
          <cell r="AN276">
            <v>0</v>
          </cell>
          <cell r="AO276">
            <v>0</v>
          </cell>
          <cell r="AP276">
            <v>0</v>
          </cell>
          <cell r="AR276">
            <v>0</v>
          </cell>
          <cell r="AS276">
            <v>0</v>
          </cell>
          <cell r="AT276">
            <v>0</v>
          </cell>
          <cell r="AU276">
            <v>0</v>
          </cell>
          <cell r="AW276" t="str">
            <v xml:space="preserve"> </v>
          </cell>
          <cell r="AX276">
            <v>823.25</v>
          </cell>
          <cell r="AY276">
            <v>900</v>
          </cell>
          <cell r="AZ276">
            <v>790.37166666666656</v>
          </cell>
          <cell r="BA276">
            <v>1924.8333333333335</v>
          </cell>
          <cell r="BB276">
            <v>2205</v>
          </cell>
          <cell r="BC276">
            <v>2080</v>
          </cell>
          <cell r="BD276">
            <v>100</v>
          </cell>
          <cell r="BE276">
            <v>0</v>
          </cell>
        </row>
        <row r="277">
          <cell r="A277" t="str">
            <v>Organic Revenue Growth (Yr-Yr)</v>
          </cell>
          <cell r="D277" t="str">
            <v>--</v>
          </cell>
          <cell r="E277" t="str">
            <v>--</v>
          </cell>
          <cell r="F277" t="str">
            <v>--</v>
          </cell>
          <cell r="G277" t="str">
            <v>--</v>
          </cell>
          <cell r="I277">
            <v>-0.44459663427708929</v>
          </cell>
          <cell r="J277">
            <v>-0.4684271456866802</v>
          </cell>
          <cell r="K277">
            <v>-0.48927254441837065</v>
          </cell>
          <cell r="L277">
            <v>-0.18882509994881513</v>
          </cell>
          <cell r="N277">
            <v>-0.16004962779156318</v>
          </cell>
          <cell r="O277">
            <v>0.15433699829329739</v>
          </cell>
          <cell r="P277">
            <v>0.4765947149592904</v>
          </cell>
          <cell r="Q277">
            <v>0.23216337547406485</v>
          </cell>
          <cell r="S277">
            <v>0.23165561120888056</v>
          </cell>
          <cell r="T277">
            <v>0.38138270117624362</v>
          </cell>
          <cell r="U277">
            <v>0.42519960571710191</v>
          </cell>
          <cell r="V277">
            <v>0.48240638871657215</v>
          </cell>
          <cell r="X277">
            <v>0.37136262460437197</v>
          </cell>
          <cell r="Y277">
            <v>0.42484836360726552</v>
          </cell>
          <cell r="Z277">
            <v>0.4844468256067973</v>
          </cell>
          <cell r="AA277">
            <v>0.58428495149342563</v>
          </cell>
          <cell r="AC277">
            <v>0.30406562456778174</v>
          </cell>
          <cell r="AD277">
            <v>5.2021551874555261E-2</v>
          </cell>
          <cell r="AE277">
            <v>-0.30275149616425834</v>
          </cell>
          <cell r="AF277">
            <v>-0.5117933010801341</v>
          </cell>
          <cell r="AH277">
            <v>-0.47763757741195689</v>
          </cell>
          <cell r="AI277">
            <v>-0.44847166503927893</v>
          </cell>
          <cell r="AJ277">
            <v>-0.19361938423477587</v>
          </cell>
          <cell r="AK277">
            <v>-5.5111142686463332E-2</v>
          </cell>
          <cell r="AM277">
            <v>5.2456082210318389E-2</v>
          </cell>
          <cell r="AN277">
            <v>9.8506774725703572E-2</v>
          </cell>
          <cell r="AO277">
            <v>0.13425792924672697</v>
          </cell>
          <cell r="AP277">
            <v>0.1689643368931113</v>
          </cell>
          <cell r="AR277">
            <v>0.13272076233916907</v>
          </cell>
          <cell r="AS277">
            <v>0.13896724377998049</v>
          </cell>
          <cell r="AT277">
            <v>0.14638739857864769</v>
          </cell>
          <cell r="AU277">
            <v>0.15044484842092887</v>
          </cell>
          <cell r="AW277" t="str">
            <v xml:space="preserve"> --</v>
          </cell>
          <cell r="AX277">
            <v>-0.41328214404004693</v>
          </cell>
          <cell r="AY277">
            <v>0.17076995991645383</v>
          </cell>
          <cell r="AZ277">
            <v>0.38705649983375512</v>
          </cell>
          <cell r="BA277">
            <v>0.47761254232249728</v>
          </cell>
          <cell r="BB277">
            <v>-0.20022856674092426</v>
          </cell>
          <cell r="BC277">
            <v>-0.30394363977571537</v>
          </cell>
          <cell r="BD277">
            <v>0.11528374665198071</v>
          </cell>
          <cell r="BE277">
            <v>0.14254920855251441</v>
          </cell>
        </row>
        <row r="278">
          <cell r="A278" t="str">
            <v>Top 5 Customers % of Sales</v>
          </cell>
          <cell r="N278">
            <v>0.75</v>
          </cell>
          <cell r="O278">
            <v>0.75</v>
          </cell>
          <cell r="P278">
            <v>0.7</v>
          </cell>
          <cell r="Q278">
            <v>0.77</v>
          </cell>
          <cell r="S278">
            <v>0.67</v>
          </cell>
          <cell r="T278">
            <v>0.69</v>
          </cell>
          <cell r="U278">
            <v>0.68</v>
          </cell>
          <cell r="V278">
            <v>0.68</v>
          </cell>
          <cell r="X278">
            <v>0.66</v>
          </cell>
          <cell r="Y278">
            <v>0.71</v>
          </cell>
          <cell r="Z278">
            <v>0.69</v>
          </cell>
          <cell r="AA278">
            <v>0.68</v>
          </cell>
          <cell r="AC278">
            <v>0.67</v>
          </cell>
          <cell r="AD278">
            <v>0.63</v>
          </cell>
          <cell r="AE278">
            <v>0.67</v>
          </cell>
          <cell r="AF278">
            <v>0.72</v>
          </cell>
          <cell r="AH278">
            <v>0.72</v>
          </cell>
          <cell r="AI278">
            <v>0.67</v>
          </cell>
          <cell r="AJ278">
            <v>0.62</v>
          </cell>
          <cell r="AK278">
            <v>0.61</v>
          </cell>
          <cell r="AM278">
            <v>0.53</v>
          </cell>
          <cell r="AN278">
            <v>0.54</v>
          </cell>
          <cell r="AO278">
            <v>0.5</v>
          </cell>
          <cell r="BB278">
            <v>0.90800000000000003</v>
          </cell>
          <cell r="BC278">
            <v>0.70399999999999996</v>
          </cell>
          <cell r="BD278">
            <v>0.71799999999999997</v>
          </cell>
          <cell r="BE278">
            <v>0.67600000000000005</v>
          </cell>
          <cell r="BF278">
            <v>0.68500000000000005</v>
          </cell>
          <cell r="BG278">
            <v>0.67159746816185739</v>
          </cell>
          <cell r="BH278" t="str">
            <v xml:space="preserve"> --</v>
          </cell>
          <cell r="BI278" t="str">
            <v xml:space="preserve"> --</v>
          </cell>
          <cell r="BJ278" t="str">
            <v xml:space="preserve"> --</v>
          </cell>
          <cell r="BK278" t="str">
            <v xml:space="preserve"> --</v>
          </cell>
        </row>
        <row r="279">
          <cell r="A279" t="str">
            <v>Incremental Revenue from Acqs. (Seq.)</v>
          </cell>
          <cell r="D279" t="str">
            <v>--</v>
          </cell>
          <cell r="E279" t="str">
            <v>--</v>
          </cell>
          <cell r="F279" t="str">
            <v>--</v>
          </cell>
          <cell r="G279" t="str">
            <v>--</v>
          </cell>
          <cell r="I279">
            <v>70</v>
          </cell>
          <cell r="J279">
            <v>70</v>
          </cell>
          <cell r="K279">
            <v>83</v>
          </cell>
          <cell r="L279">
            <v>167</v>
          </cell>
          <cell r="N279">
            <v>6</v>
          </cell>
          <cell r="O279">
            <v>7</v>
          </cell>
          <cell r="P279">
            <v>14</v>
          </cell>
          <cell r="Q279">
            <v>42</v>
          </cell>
          <cell r="S279">
            <v>120</v>
          </cell>
          <cell r="T279">
            <v>13</v>
          </cell>
          <cell r="U279">
            <v>15</v>
          </cell>
          <cell r="V279">
            <v>28</v>
          </cell>
          <cell r="X279">
            <v>82</v>
          </cell>
          <cell r="Y279">
            <v>195</v>
          </cell>
          <cell r="Z279">
            <v>47</v>
          </cell>
          <cell r="AA279">
            <v>3</v>
          </cell>
          <cell r="AC279">
            <v>20</v>
          </cell>
          <cell r="AD279">
            <v>90</v>
          </cell>
          <cell r="AE279">
            <v>260</v>
          </cell>
          <cell r="AF279">
            <v>380</v>
          </cell>
          <cell r="AH279">
            <v>0</v>
          </cell>
          <cell r="AI279">
            <v>100</v>
          </cell>
          <cell r="AJ279">
            <v>0</v>
          </cell>
          <cell r="AK279">
            <v>0</v>
          </cell>
          <cell r="AM279">
            <v>0</v>
          </cell>
          <cell r="AN279">
            <v>0</v>
          </cell>
          <cell r="AO279">
            <v>0</v>
          </cell>
          <cell r="AP279">
            <v>0</v>
          </cell>
          <cell r="AR279">
            <v>0</v>
          </cell>
          <cell r="AS279">
            <v>0</v>
          </cell>
          <cell r="AT279">
            <v>0</v>
          </cell>
          <cell r="AU279">
            <v>0</v>
          </cell>
          <cell r="AW279" t="str">
            <v>--</v>
          </cell>
          <cell r="AX279" t="str">
            <v>--</v>
          </cell>
          <cell r="AY279" t="str">
            <v>--</v>
          </cell>
          <cell r="AZ279" t="str">
            <v>--</v>
          </cell>
          <cell r="BA279" t="str">
            <v>--</v>
          </cell>
          <cell r="BB279" t="str">
            <v>--</v>
          </cell>
          <cell r="BC279" t="str">
            <v>--</v>
          </cell>
          <cell r="BD279" t="str">
            <v>--</v>
          </cell>
          <cell r="BE279" t="str">
            <v>--</v>
          </cell>
          <cell r="BF279">
            <v>0.85</v>
          </cell>
          <cell r="BG279">
            <v>0.8439472699646785</v>
          </cell>
          <cell r="BH279" t="str">
            <v xml:space="preserve"> --</v>
          </cell>
          <cell r="BI279" t="str">
            <v xml:space="preserve"> --</v>
          </cell>
          <cell r="BJ279" t="str">
            <v xml:space="preserve"> --</v>
          </cell>
          <cell r="BK279" t="str">
            <v xml:space="preserve"> --</v>
          </cell>
        </row>
        <row r="280">
          <cell r="A280" t="str">
            <v>Organic Revenue Growth (Seq.)</v>
          </cell>
          <cell r="D280" t="str">
            <v>--</v>
          </cell>
          <cell r="E280" t="str">
            <v>--</v>
          </cell>
          <cell r="F280" t="str">
            <v>--</v>
          </cell>
          <cell r="G280" t="str">
            <v>--</v>
          </cell>
          <cell r="I280">
            <v>0.1443274724362611</v>
          </cell>
          <cell r="J280">
            <v>-0.25422870140612086</v>
          </cell>
          <cell r="K280">
            <v>-0.24274186994229707</v>
          </cell>
          <cell r="L280">
            <v>0.26170997538601415</v>
          </cell>
          <cell r="N280">
            <v>7.2473568730084148E-2</v>
          </cell>
          <cell r="O280">
            <v>3.7797482063083754E-2</v>
          </cell>
          <cell r="P280">
            <v>3.0995797683878834E-2</v>
          </cell>
          <cell r="Q280">
            <v>8.83415475603746E-2</v>
          </cell>
          <cell r="S280">
            <v>3.9474850264455519E-2</v>
          </cell>
          <cell r="T280">
            <v>0.14316191912917442</v>
          </cell>
          <cell r="U280">
            <v>7.3815315675762161E-2</v>
          </cell>
          <cell r="V280">
            <v>0.1649320128199554</v>
          </cell>
          <cell r="X280">
            <v>-4.8750863247326581E-2</v>
          </cell>
          <cell r="Y280">
            <v>0.17649069076109414</v>
          </cell>
          <cell r="Z280">
            <v>0.22050277190454737</v>
          </cell>
          <cell r="AA280">
            <v>0.3248163855225219</v>
          </cell>
          <cell r="AC280">
            <v>-0.2248282923207221</v>
          </cell>
          <cell r="AD280">
            <v>-4.5261134787331736E-2</v>
          </cell>
          <cell r="AE280">
            <v>-0.26976148435791114</v>
          </cell>
          <cell r="AF280">
            <v>-6.1167979300483455E-2</v>
          </cell>
          <cell r="AH280">
            <v>-0.12119107916019922</v>
          </cell>
          <cell r="AI280">
            <v>-1.3499999999999845E-2</v>
          </cell>
          <cell r="AJ280">
            <v>1.5281043404820727E-2</v>
          </cell>
          <cell r="AK280">
            <v>6.9517637986798109E-2</v>
          </cell>
          <cell r="AM280">
            <v>-2.0270214159789024E-2</v>
          </cell>
          <cell r="AN280">
            <v>3.2576410782978682E-2</v>
          </cell>
          <cell r="AO280">
            <v>4.8323597442864852E-2</v>
          </cell>
          <cell r="AP280">
            <v>0.10224310031053885</v>
          </cell>
          <cell r="AR280">
            <v>-5.0646598122189079E-2</v>
          </cell>
          <cell r="AS280">
            <v>3.8270637992918521E-2</v>
          </cell>
          <cell r="AT280">
            <v>5.5153226139038614E-2</v>
          </cell>
          <cell r="AU280">
            <v>0.10614430866214475</v>
          </cell>
          <cell r="AW280" t="str">
            <v>--</v>
          </cell>
          <cell r="AX280" t="str">
            <v>--</v>
          </cell>
          <cell r="AY280" t="str">
            <v>--</v>
          </cell>
          <cell r="AZ280" t="str">
            <v>--</v>
          </cell>
          <cell r="BA280" t="str">
            <v>--</v>
          </cell>
          <cell r="BB280" t="str">
            <v>--</v>
          </cell>
          <cell r="BC280" t="str">
            <v>--</v>
          </cell>
          <cell r="BD280" t="str">
            <v>--</v>
          </cell>
          <cell r="BE280" t="str">
            <v>--</v>
          </cell>
          <cell r="BF280">
            <v>0.85</v>
          </cell>
          <cell r="BG280">
            <v>0.8439472699646785</v>
          </cell>
          <cell r="BH280" t="str">
            <v xml:space="preserve"> --</v>
          </cell>
          <cell r="BI280" t="str">
            <v xml:space="preserve"> --</v>
          </cell>
          <cell r="BJ280" t="str">
            <v xml:space="preserve"> --</v>
          </cell>
          <cell r="BK280" t="str">
            <v xml:space="preserve"> --</v>
          </cell>
        </row>
        <row r="281">
          <cell r="A281" t="str">
            <v>Non-top 10 Customers % of Sales</v>
          </cell>
          <cell r="X281">
            <v>0.17</v>
          </cell>
          <cell r="Y281">
            <v>0.11999999999999998</v>
          </cell>
          <cell r="Z281">
            <v>0.13</v>
          </cell>
          <cell r="AA281">
            <v>0.14999999999999997</v>
          </cell>
          <cell r="AC281">
            <v>0.1700000000000001</v>
          </cell>
          <cell r="AD281">
            <v>0.17000000000000004</v>
          </cell>
          <cell r="AE281">
            <v>0.14000000000000001</v>
          </cell>
          <cell r="AF281">
            <v>0.14000000000000004</v>
          </cell>
          <cell r="AH281">
            <v>0.12000000000000002</v>
          </cell>
          <cell r="AI281">
            <v>0.15000000000000005</v>
          </cell>
          <cell r="AJ281">
            <v>0.15000000000000002</v>
          </cell>
          <cell r="AK281">
            <v>0.18999999999999997</v>
          </cell>
          <cell r="AM281">
            <v>0.22000000000000003</v>
          </cell>
          <cell r="AN281">
            <v>0.23000000000000004</v>
          </cell>
          <cell r="AO281">
            <v>0.26</v>
          </cell>
          <cell r="AP281">
            <v>0.31999999999999995</v>
          </cell>
          <cell r="AR281">
            <v>0.33999999999999991</v>
          </cell>
        </row>
        <row r="282">
          <cell r="A282" t="str">
            <v>Acquisitions:</v>
          </cell>
        </row>
        <row r="283">
          <cell r="A283" t="str">
            <v>NEC assets (3/02)</v>
          </cell>
          <cell r="S283">
            <v>1.7323474840944986E-2</v>
          </cell>
          <cell r="T283">
            <v>0.18966160633517104</v>
          </cell>
          <cell r="U283">
            <v>7.0081700767604449E-2</v>
          </cell>
          <cell r="V283">
            <v>0.18556656965968465</v>
          </cell>
          <cell r="X283">
            <v>-2.7256713255116916E-2</v>
          </cell>
          <cell r="Y283">
            <v>0.39572466859834199</v>
          </cell>
          <cell r="Z283">
            <v>0.20795731223839153</v>
          </cell>
          <cell r="AA283">
            <v>0.3067532066347971</v>
          </cell>
          <cell r="AC283">
            <v>-0.23051224901571776</v>
          </cell>
          <cell r="AD283">
            <v>-7.0830754724746758E-2</v>
          </cell>
          <cell r="AE283">
            <v>-0.11947436459727556</v>
          </cell>
          <cell r="AF283">
            <v>0.19426291678763152</v>
          </cell>
          <cell r="AH283">
            <v>-0.12119107916019922</v>
          </cell>
          <cell r="AI283">
            <v>100</v>
          </cell>
          <cell r="AJ283">
            <v>100</v>
          </cell>
          <cell r="AK283">
            <v>100</v>
          </cell>
          <cell r="AM283">
            <v>100</v>
          </cell>
          <cell r="AN283">
            <v>2.5928241505630334E-2</v>
          </cell>
          <cell r="AO283">
            <v>-5.2988173358543889E-2</v>
          </cell>
          <cell r="AX283">
            <v>0</v>
          </cell>
          <cell r="AY283">
            <v>0</v>
          </cell>
          <cell r="AZ283">
            <v>0</v>
          </cell>
          <cell r="BA283">
            <v>0</v>
          </cell>
          <cell r="BB283">
            <v>0</v>
          </cell>
          <cell r="BC283">
            <v>300</v>
          </cell>
          <cell r="BD283">
            <v>100</v>
          </cell>
          <cell r="BE283">
            <v>0</v>
          </cell>
        </row>
        <row r="284">
          <cell r="A284" t="str">
            <v>Omni (10/01)</v>
          </cell>
          <cell r="S284">
            <v>1.7323474840944986E-2</v>
          </cell>
          <cell r="T284">
            <v>0.18966160633517104</v>
          </cell>
          <cell r="U284">
            <v>7.0081700767604449E-2</v>
          </cell>
          <cell r="V284">
            <v>0.18556656965968465</v>
          </cell>
          <cell r="X284" t="str">
            <v>--</v>
          </cell>
          <cell r="Y284">
            <v>37.559288566420676</v>
          </cell>
          <cell r="Z284">
            <v>22.884590212393686</v>
          </cell>
          <cell r="AA284">
            <v>29.548809278449717</v>
          </cell>
          <cell r="AC284">
            <v>-23.740318409915929</v>
          </cell>
          <cell r="AD284">
            <v>-1.1835882008857546</v>
          </cell>
          <cell r="AE284">
            <v>-14.211690476317917</v>
          </cell>
          <cell r="AF284">
            <v>200</v>
          </cell>
          <cell r="AH284">
            <v>200</v>
          </cell>
          <cell r="AI284">
            <v>200</v>
          </cell>
          <cell r="AJ284">
            <v>200</v>
          </cell>
          <cell r="AK284">
            <v>100</v>
          </cell>
          <cell r="AM284">
            <v>100</v>
          </cell>
          <cell r="AN284">
            <v>-0.59797830996016765</v>
          </cell>
          <cell r="AO284">
            <v>-1.7075517075517133</v>
          </cell>
          <cell r="AP284">
            <v>0.17127477367262056</v>
          </cell>
          <cell r="AR284">
            <v>-9.8777940254857199E-3</v>
          </cell>
          <cell r="AX284">
            <v>0</v>
          </cell>
          <cell r="AY284">
            <v>0</v>
          </cell>
          <cell r="AZ284">
            <v>0</v>
          </cell>
          <cell r="BA284">
            <v>0</v>
          </cell>
          <cell r="BB284">
            <v>200</v>
          </cell>
          <cell r="BC284">
            <v>600</v>
          </cell>
          <cell r="BD284">
            <v>0</v>
          </cell>
          <cell r="BE284">
            <v>0</v>
          </cell>
        </row>
        <row r="285">
          <cell r="A285" t="str">
            <v>Lucent (9/01)</v>
          </cell>
          <cell r="X285" t="str">
            <v>--</v>
          </cell>
          <cell r="Y285">
            <v>-8.4164094838536379</v>
          </cell>
          <cell r="Z285">
            <v>34.655144830439077</v>
          </cell>
          <cell r="AA285">
            <v>52.996557564141945</v>
          </cell>
          <cell r="AC285">
            <v>-11.489767150464591</v>
          </cell>
          <cell r="AD285">
            <v>-1.183588200885799</v>
          </cell>
          <cell r="AE285">
            <v>100</v>
          </cell>
          <cell r="AF285">
            <v>280</v>
          </cell>
          <cell r="AH285">
            <v>280</v>
          </cell>
          <cell r="AI285">
            <v>280</v>
          </cell>
          <cell r="AJ285">
            <v>180</v>
          </cell>
          <cell r="AK285">
            <v>23.627546071774951</v>
          </cell>
          <cell r="AM285">
            <v>-3.8630626464167372</v>
          </cell>
          <cell r="AN285">
            <v>5.2699096292393444</v>
          </cell>
          <cell r="AO285">
            <v>15.617791704748218</v>
          </cell>
          <cell r="AP285">
            <v>7.6306548780245897</v>
          </cell>
          <cell r="AR285">
            <v>2.2341451725875316</v>
          </cell>
          <cell r="AX285">
            <v>0</v>
          </cell>
          <cell r="AY285">
            <v>0</v>
          </cell>
          <cell r="AZ285">
            <v>0</v>
          </cell>
          <cell r="BA285">
            <v>0</v>
          </cell>
          <cell r="BB285">
            <v>380</v>
          </cell>
          <cell r="BC285">
            <v>740</v>
          </cell>
          <cell r="BD285">
            <v>0</v>
          </cell>
          <cell r="BE285">
            <v>0</v>
          </cell>
        </row>
        <row r="286">
          <cell r="A286" t="str">
            <v>Primetech (8/01)</v>
          </cell>
          <cell r="X286" t="str">
            <v>--</v>
          </cell>
          <cell r="Y286">
            <v>-8.4164094838536379</v>
          </cell>
          <cell r="Z286">
            <v>34.655144830439077</v>
          </cell>
          <cell r="AA286">
            <v>52.996557564141945</v>
          </cell>
          <cell r="AC286">
            <v>-11.489767150464591</v>
          </cell>
          <cell r="AD286">
            <v>-1.183588200885799</v>
          </cell>
          <cell r="AE286">
            <v>30</v>
          </cell>
          <cell r="AF286">
            <v>30</v>
          </cell>
          <cell r="AH286">
            <v>30</v>
          </cell>
          <cell r="AI286">
            <v>30</v>
          </cell>
          <cell r="AJ286">
            <v>180</v>
          </cell>
          <cell r="AK286">
            <v>23.627546071774951</v>
          </cell>
          <cell r="AM286">
            <v>-3.8630626464167372</v>
          </cell>
          <cell r="AN286">
            <v>5.2699096292393444</v>
          </cell>
          <cell r="AO286">
            <v>15.617791704748218</v>
          </cell>
          <cell r="AP286">
            <v>44.156895221245577</v>
          </cell>
          <cell r="AR286">
            <v>11.915408919991656</v>
          </cell>
          <cell r="AX286">
            <v>0</v>
          </cell>
          <cell r="AY286">
            <v>0</v>
          </cell>
          <cell r="AZ286">
            <v>0</v>
          </cell>
          <cell r="BA286">
            <v>0</v>
          </cell>
          <cell r="BB286">
            <v>60</v>
          </cell>
          <cell r="BC286">
            <v>60</v>
          </cell>
          <cell r="BD286">
            <v>0</v>
          </cell>
          <cell r="BE286">
            <v>0</v>
          </cell>
        </row>
        <row r="287">
          <cell r="A287" t="str">
            <v>Sagem (6/01)</v>
          </cell>
          <cell r="AE287">
            <v>40</v>
          </cell>
          <cell r="AF287">
            <v>35</v>
          </cell>
          <cell r="AH287">
            <v>35</v>
          </cell>
          <cell r="AI287">
            <v>35</v>
          </cell>
          <cell r="AX287">
            <v>0</v>
          </cell>
          <cell r="AY287">
            <v>0</v>
          </cell>
          <cell r="AZ287">
            <v>0</v>
          </cell>
          <cell r="BA287">
            <v>0</v>
          </cell>
          <cell r="BB287">
            <v>75</v>
          </cell>
          <cell r="BC287">
            <v>70</v>
          </cell>
          <cell r="BD287">
            <v>0</v>
          </cell>
          <cell r="BE287">
            <v>0</v>
          </cell>
        </row>
        <row r="288">
          <cell r="A288" t="str">
            <v>Avaya assets (5/01)</v>
          </cell>
          <cell r="N288" t="str">
            <v xml:space="preserve"> --</v>
          </cell>
          <cell r="O288" t="str">
            <v>X</v>
          </cell>
          <cell r="P288" t="str">
            <v>X</v>
          </cell>
          <cell r="Q288" t="str">
            <v>X</v>
          </cell>
          <cell r="S288" t="str">
            <v>X</v>
          </cell>
          <cell r="T288" t="str">
            <v>X</v>
          </cell>
          <cell r="U288" t="str">
            <v>X</v>
          </cell>
          <cell r="V288" t="str">
            <v>X</v>
          </cell>
          <cell r="X288" t="str">
            <v>X</v>
          </cell>
          <cell r="Y288" t="str">
            <v>X</v>
          </cell>
          <cell r="Z288" t="str">
            <v>X</v>
          </cell>
          <cell r="AA288" t="str">
            <v>X</v>
          </cell>
          <cell r="AC288" t="str">
            <v>X</v>
          </cell>
          <cell r="AD288">
            <v>40</v>
          </cell>
          <cell r="AE288">
            <v>150</v>
          </cell>
          <cell r="AF288">
            <v>150</v>
          </cell>
          <cell r="AH288">
            <v>150</v>
          </cell>
          <cell r="AI288">
            <v>110</v>
          </cell>
          <cell r="AJ288" t="str">
            <v>X</v>
          </cell>
          <cell r="AK288" t="str">
            <v>X</v>
          </cell>
          <cell r="AM288" t="str">
            <v>X</v>
          </cell>
          <cell r="AN288" t="str">
            <v>X</v>
          </cell>
          <cell r="AO288" t="str">
            <v>X</v>
          </cell>
          <cell r="AX288">
            <v>0</v>
          </cell>
          <cell r="AY288">
            <v>0</v>
          </cell>
          <cell r="AZ288">
            <v>0</v>
          </cell>
          <cell r="BA288">
            <v>0</v>
          </cell>
          <cell r="BB288">
            <v>340</v>
          </cell>
          <cell r="BC288">
            <v>260</v>
          </cell>
          <cell r="BD288">
            <v>0</v>
          </cell>
          <cell r="BE288">
            <v>0</v>
          </cell>
          <cell r="BF288">
            <v>0.25</v>
          </cell>
          <cell r="BG288">
            <v>0.21</v>
          </cell>
          <cell r="BH288" t="str">
            <v xml:space="preserve"> --</v>
          </cell>
          <cell r="BI288" t="str">
            <v xml:space="preserve"> --</v>
          </cell>
          <cell r="BJ288" t="str">
            <v xml:space="preserve"> --</v>
          </cell>
          <cell r="BK288" t="str">
            <v xml:space="preserve"> --</v>
          </cell>
        </row>
        <row r="289">
          <cell r="A289" t="str">
            <v>Motorola assets (2/01)</v>
          </cell>
          <cell r="N289" t="str">
            <v>X</v>
          </cell>
          <cell r="O289" t="str">
            <v>X</v>
          </cell>
          <cell r="P289" t="str">
            <v>X</v>
          </cell>
          <cell r="Q289" t="str">
            <v>X</v>
          </cell>
          <cell r="S289" t="str">
            <v>X</v>
          </cell>
          <cell r="T289" t="str">
            <v>X</v>
          </cell>
          <cell r="U289" t="str">
            <v>X</v>
          </cell>
          <cell r="V289" t="str">
            <v>X</v>
          </cell>
          <cell r="X289" t="str">
            <v>X</v>
          </cell>
          <cell r="Y289" t="str">
            <v>X</v>
          </cell>
          <cell r="Z289" t="str">
            <v xml:space="preserve"> --</v>
          </cell>
          <cell r="AA289" t="str">
            <v xml:space="preserve"> --</v>
          </cell>
          <cell r="AC289">
            <v>20</v>
          </cell>
          <cell r="AD289">
            <v>70</v>
          </cell>
          <cell r="AE289">
            <v>70</v>
          </cell>
          <cell r="AF289">
            <v>70</v>
          </cell>
          <cell r="AH289">
            <v>50</v>
          </cell>
          <cell r="AI289">
            <v>110</v>
          </cell>
          <cell r="AJ289" t="str">
            <v>X</v>
          </cell>
          <cell r="AK289" t="str">
            <v>--</v>
          </cell>
          <cell r="AM289" t="str">
            <v>--</v>
          </cell>
          <cell r="AN289" t="str">
            <v>X</v>
          </cell>
          <cell r="AO289" t="str">
            <v>X</v>
          </cell>
          <cell r="AX289">
            <v>0</v>
          </cell>
          <cell r="AY289">
            <v>0</v>
          </cell>
          <cell r="AZ289">
            <v>0</v>
          </cell>
          <cell r="BA289">
            <v>0</v>
          </cell>
          <cell r="BB289">
            <v>230</v>
          </cell>
          <cell r="BC289">
            <v>50</v>
          </cell>
          <cell r="BD289">
            <v>0</v>
          </cell>
          <cell r="BE289">
            <v>0</v>
          </cell>
          <cell r="BF289" t="str">
            <v xml:space="preserve"> --</v>
          </cell>
          <cell r="BG289" t="str">
            <v xml:space="preserve"> --</v>
          </cell>
          <cell r="BH289" t="str">
            <v xml:space="preserve"> --</v>
          </cell>
          <cell r="BI289" t="str">
            <v xml:space="preserve"> --</v>
          </cell>
          <cell r="BJ289" t="str">
            <v xml:space="preserve"> --</v>
          </cell>
          <cell r="BK289" t="str">
            <v xml:space="preserve"> --</v>
          </cell>
        </row>
        <row r="290">
          <cell r="A290" t="str">
            <v>Bull Electronics Inc. (8/00)</v>
          </cell>
          <cell r="N290" t="str">
            <v xml:space="preserve"> --</v>
          </cell>
          <cell r="O290" t="str">
            <v xml:space="preserve"> --</v>
          </cell>
          <cell r="P290" t="str">
            <v xml:space="preserve"> --</v>
          </cell>
          <cell r="Q290" t="str">
            <v xml:space="preserve"> --</v>
          </cell>
          <cell r="S290" t="str">
            <v xml:space="preserve"> --</v>
          </cell>
          <cell r="T290" t="str">
            <v xml:space="preserve"> --</v>
          </cell>
          <cell r="U290" t="str">
            <v xml:space="preserve"> --</v>
          </cell>
          <cell r="V290" t="str">
            <v xml:space="preserve"> --</v>
          </cell>
          <cell r="X290" t="str">
            <v xml:space="preserve"> --</v>
          </cell>
          <cell r="Y290" t="str">
            <v xml:space="preserve"> --</v>
          </cell>
          <cell r="Z290">
            <v>6.666666666666667</v>
          </cell>
          <cell r="AA290">
            <v>10</v>
          </cell>
          <cell r="AC290">
            <v>10</v>
          </cell>
          <cell r="AD290">
            <v>10</v>
          </cell>
          <cell r="AE290">
            <v>70</v>
          </cell>
          <cell r="AF290">
            <v>70</v>
          </cell>
          <cell r="AH290">
            <v>50</v>
          </cell>
          <cell r="AI290" t="str">
            <v>X</v>
          </cell>
          <cell r="AJ290" t="str">
            <v>X</v>
          </cell>
          <cell r="AK290" t="str">
            <v>X</v>
          </cell>
          <cell r="AM290" t="str">
            <v>X</v>
          </cell>
          <cell r="AN290" t="str">
            <v>X</v>
          </cell>
          <cell r="AX290">
            <v>0</v>
          </cell>
          <cell r="AY290">
            <v>0</v>
          </cell>
          <cell r="AZ290">
            <v>0</v>
          </cell>
          <cell r="BA290">
            <v>16.666666666666668</v>
          </cell>
          <cell r="BB290">
            <v>20</v>
          </cell>
          <cell r="BC290">
            <v>0</v>
          </cell>
          <cell r="BD290">
            <v>0</v>
          </cell>
          <cell r="BE290">
            <v>0</v>
          </cell>
          <cell r="BF290" t="str">
            <v xml:space="preserve"> --</v>
          </cell>
          <cell r="BG290">
            <v>0.11</v>
          </cell>
          <cell r="BH290" t="str">
            <v xml:space="preserve"> --</v>
          </cell>
          <cell r="BI290" t="str">
            <v xml:space="preserve"> --</v>
          </cell>
          <cell r="BJ290" t="str">
            <v xml:space="preserve"> --</v>
          </cell>
          <cell r="BK290" t="str">
            <v xml:space="preserve"> --</v>
          </cell>
        </row>
        <row r="291">
          <cell r="A291" t="str">
            <v>NEC (6/00)</v>
          </cell>
          <cell r="N291" t="str">
            <v>X</v>
          </cell>
          <cell r="O291" t="str">
            <v xml:space="preserve"> --</v>
          </cell>
          <cell r="P291" t="str">
            <v xml:space="preserve"> --</v>
          </cell>
          <cell r="Q291" t="str">
            <v>X</v>
          </cell>
          <cell r="S291" t="str">
            <v>X</v>
          </cell>
          <cell r="T291" t="str">
            <v>X</v>
          </cell>
          <cell r="U291" t="str">
            <v>X</v>
          </cell>
          <cell r="V291" t="str">
            <v>X</v>
          </cell>
          <cell r="X291" t="str">
            <v>X</v>
          </cell>
          <cell r="Y291">
            <v>20</v>
          </cell>
          <cell r="Z291">
            <v>60</v>
          </cell>
          <cell r="AA291">
            <v>60</v>
          </cell>
          <cell r="AC291">
            <v>60</v>
          </cell>
          <cell r="AD291">
            <v>40</v>
          </cell>
          <cell r="AE291" t="str">
            <v xml:space="preserve"> --</v>
          </cell>
          <cell r="AF291" t="str">
            <v xml:space="preserve"> --</v>
          </cell>
          <cell r="AH291" t="str">
            <v xml:space="preserve"> --</v>
          </cell>
          <cell r="AI291" t="str">
            <v>--</v>
          </cell>
          <cell r="AJ291" t="str">
            <v>--</v>
          </cell>
          <cell r="AK291" t="str">
            <v>--</v>
          </cell>
          <cell r="AM291" t="str">
            <v>--</v>
          </cell>
          <cell r="AN291" t="str">
            <v>X</v>
          </cell>
          <cell r="AO291" t="str">
            <v>X</v>
          </cell>
          <cell r="AP291" t="str">
            <v>X</v>
          </cell>
          <cell r="AR291" t="str">
            <v>X</v>
          </cell>
          <cell r="AX291">
            <v>0</v>
          </cell>
          <cell r="AY291">
            <v>0</v>
          </cell>
          <cell r="AZ291">
            <v>0</v>
          </cell>
          <cell r="BA291">
            <v>140</v>
          </cell>
          <cell r="BB291">
            <v>100</v>
          </cell>
          <cell r="BC291">
            <v>0</v>
          </cell>
          <cell r="BD291">
            <v>0</v>
          </cell>
          <cell r="BE291">
            <v>0</v>
          </cell>
          <cell r="BF291" t="str">
            <v xml:space="preserve"> --</v>
          </cell>
          <cell r="BG291" t="str">
            <v xml:space="preserve"> --</v>
          </cell>
          <cell r="BH291" t="str">
            <v xml:space="preserve"> --</v>
          </cell>
          <cell r="BI291" t="str">
            <v xml:space="preserve"> --</v>
          </cell>
          <cell r="BJ291" t="str">
            <v xml:space="preserve"> --</v>
          </cell>
          <cell r="BK291" t="str">
            <v xml:space="preserve"> --</v>
          </cell>
        </row>
        <row r="292">
          <cell r="A292" t="str">
            <v>IBM (2/00 &amp; 5/00)</v>
          </cell>
          <cell r="N292" t="str">
            <v>X</v>
          </cell>
          <cell r="O292" t="str">
            <v>X</v>
          </cell>
          <cell r="P292" t="str">
            <v>X</v>
          </cell>
          <cell r="Q292" t="str">
            <v>X</v>
          </cell>
          <cell r="S292" t="str">
            <v xml:space="preserve"> --</v>
          </cell>
          <cell r="T292" t="str">
            <v xml:space="preserve"> --</v>
          </cell>
          <cell r="U292" t="str">
            <v xml:space="preserve"> --</v>
          </cell>
          <cell r="V292" t="str">
            <v xml:space="preserve"> --</v>
          </cell>
          <cell r="X292">
            <v>75</v>
          </cell>
          <cell r="Y292">
            <v>250</v>
          </cell>
          <cell r="Z292">
            <v>480</v>
          </cell>
          <cell r="AA292">
            <v>820</v>
          </cell>
          <cell r="AC292">
            <v>500</v>
          </cell>
          <cell r="AD292">
            <v>300</v>
          </cell>
          <cell r="AE292" t="str">
            <v>X</v>
          </cell>
          <cell r="AF292" t="str">
            <v>X</v>
          </cell>
          <cell r="AH292" t="str">
            <v>X</v>
          </cell>
          <cell r="AI292" t="str">
            <v>X</v>
          </cell>
          <cell r="AJ292" t="str">
            <v>X</v>
          </cell>
          <cell r="AK292" t="str">
            <v>X</v>
          </cell>
          <cell r="AM292" t="str">
            <v>X</v>
          </cell>
          <cell r="AN292" t="str">
            <v>X</v>
          </cell>
          <cell r="AO292" t="str">
            <v>X</v>
          </cell>
          <cell r="AR292" t="str">
            <v>X</v>
          </cell>
          <cell r="AX292">
            <v>0</v>
          </cell>
          <cell r="AY292">
            <v>0</v>
          </cell>
          <cell r="AZ292">
            <v>0</v>
          </cell>
          <cell r="BA292">
            <v>1625</v>
          </cell>
          <cell r="BB292">
            <v>800</v>
          </cell>
          <cell r="BC292">
            <v>0</v>
          </cell>
          <cell r="BD292">
            <v>0</v>
          </cell>
          <cell r="BE292">
            <v>0</v>
          </cell>
          <cell r="BF292">
            <v>0.21</v>
          </cell>
          <cell r="BG292">
            <v>0.23</v>
          </cell>
          <cell r="BH292" t="str">
            <v xml:space="preserve"> --</v>
          </cell>
          <cell r="BI292" t="str">
            <v xml:space="preserve"> --</v>
          </cell>
          <cell r="BJ292" t="str">
            <v xml:space="preserve"> --</v>
          </cell>
          <cell r="BK292" t="str">
            <v xml:space="preserve"> --</v>
          </cell>
        </row>
        <row r="293">
          <cell r="A293" t="str">
            <v>EPS Wireless and ICL (12/99)</v>
          </cell>
          <cell r="N293" t="str">
            <v xml:space="preserve"> --</v>
          </cell>
          <cell r="O293" t="str">
            <v xml:space="preserve"> --</v>
          </cell>
          <cell r="P293" t="str">
            <v>X</v>
          </cell>
          <cell r="Q293" t="str">
            <v xml:space="preserve"> --</v>
          </cell>
          <cell r="S293" t="str">
            <v xml:space="preserve"> --</v>
          </cell>
          <cell r="T293" t="str">
            <v xml:space="preserve"> --</v>
          </cell>
          <cell r="U293" t="str">
            <v xml:space="preserve"> --</v>
          </cell>
          <cell r="V293">
            <v>3.3333333333333335</v>
          </cell>
          <cell r="X293">
            <v>10</v>
          </cell>
          <cell r="Y293">
            <v>10</v>
          </cell>
          <cell r="Z293">
            <v>10</v>
          </cell>
          <cell r="AA293">
            <v>9</v>
          </cell>
          <cell r="AC293">
            <v>500</v>
          </cell>
          <cell r="AD293">
            <v>300</v>
          </cell>
          <cell r="AE293" t="str">
            <v xml:space="preserve"> --</v>
          </cell>
          <cell r="AF293" t="str">
            <v xml:space="preserve"> --</v>
          </cell>
          <cell r="AH293" t="str">
            <v xml:space="preserve"> --</v>
          </cell>
          <cell r="AI293" t="str">
            <v>--</v>
          </cell>
          <cell r="AJ293" t="str">
            <v>--</v>
          </cell>
          <cell r="AK293" t="str">
            <v>--</v>
          </cell>
          <cell r="AM293" t="str">
            <v>--</v>
          </cell>
          <cell r="AN293" t="str">
            <v>X</v>
          </cell>
          <cell r="AO293" t="str">
            <v>X</v>
          </cell>
          <cell r="AP293" t="str">
            <v>X</v>
          </cell>
          <cell r="AR293" t="str">
            <v>X</v>
          </cell>
          <cell r="AX293">
            <v>0</v>
          </cell>
          <cell r="AY293">
            <v>0</v>
          </cell>
          <cell r="AZ293">
            <v>3.3333333333333335</v>
          </cell>
          <cell r="BA293">
            <v>39</v>
          </cell>
          <cell r="BB293">
            <v>0</v>
          </cell>
          <cell r="BC293">
            <v>0</v>
          </cell>
          <cell r="BD293">
            <v>0</v>
          </cell>
          <cell r="BE293">
            <v>0</v>
          </cell>
          <cell r="BF293" t="str">
            <v xml:space="preserve"> --</v>
          </cell>
          <cell r="BG293" t="str">
            <v xml:space="preserve"> --</v>
          </cell>
          <cell r="BH293" t="str">
            <v xml:space="preserve"> --</v>
          </cell>
          <cell r="BI293" t="str">
            <v xml:space="preserve"> --</v>
          </cell>
          <cell r="BJ293" t="str">
            <v xml:space="preserve"> --</v>
          </cell>
          <cell r="BK293" t="str">
            <v xml:space="preserve"> --</v>
          </cell>
        </row>
        <row r="294">
          <cell r="A294" t="str">
            <v>HP's Healthcare Grp. (10/99)</v>
          </cell>
          <cell r="N294" t="str">
            <v xml:space="preserve"> --</v>
          </cell>
          <cell r="O294" t="str">
            <v xml:space="preserve"> --</v>
          </cell>
          <cell r="P294" t="str">
            <v>X</v>
          </cell>
          <cell r="Q294" t="str">
            <v xml:space="preserve"> --</v>
          </cell>
          <cell r="S294" t="str">
            <v xml:space="preserve"> --</v>
          </cell>
          <cell r="T294" t="str">
            <v xml:space="preserve"> --</v>
          </cell>
          <cell r="U294" t="str">
            <v xml:space="preserve"> --</v>
          </cell>
          <cell r="V294">
            <v>25</v>
          </cell>
          <cell r="X294">
            <v>25</v>
          </cell>
          <cell r="Y294">
            <v>25</v>
          </cell>
          <cell r="Z294">
            <v>25</v>
          </cell>
          <cell r="AA294" t="str">
            <v xml:space="preserve"> </v>
          </cell>
          <cell r="AC294" t="str">
            <v xml:space="preserve"> --</v>
          </cell>
          <cell r="AD294" t="str">
            <v xml:space="preserve"> --</v>
          </cell>
          <cell r="AE294" t="str">
            <v xml:space="preserve"> --</v>
          </cell>
          <cell r="AF294" t="str">
            <v xml:space="preserve"> --</v>
          </cell>
          <cell r="AH294" t="str">
            <v xml:space="preserve"> --</v>
          </cell>
          <cell r="AI294" t="str">
            <v>--</v>
          </cell>
          <cell r="AJ294" t="str">
            <v>--</v>
          </cell>
          <cell r="AK294" t="str">
            <v>--</v>
          </cell>
          <cell r="AM294" t="str">
            <v>--</v>
          </cell>
          <cell r="AX294">
            <v>0</v>
          </cell>
          <cell r="AY294">
            <v>0</v>
          </cell>
          <cell r="AZ294">
            <v>25</v>
          </cell>
          <cell r="BA294">
            <v>75</v>
          </cell>
          <cell r="BB294">
            <v>0</v>
          </cell>
          <cell r="BC294">
            <v>0</v>
          </cell>
          <cell r="BD294">
            <v>0</v>
          </cell>
          <cell r="BE294">
            <v>0</v>
          </cell>
          <cell r="BF294" t="str">
            <v xml:space="preserve"> --</v>
          </cell>
          <cell r="BG294" t="str">
            <v xml:space="preserve"> --</v>
          </cell>
          <cell r="BH294" t="str">
            <v xml:space="preserve"> --</v>
          </cell>
          <cell r="BI294" t="str">
            <v xml:space="preserve"> --</v>
          </cell>
          <cell r="BJ294" t="str">
            <v xml:space="preserve"> --</v>
          </cell>
          <cell r="BK294" t="str">
            <v xml:space="preserve"> --</v>
          </cell>
        </row>
        <row r="295">
          <cell r="A295" t="str">
            <v>VXI Electronics (9/99)</v>
          </cell>
          <cell r="U295">
            <v>2.0833333333333335</v>
          </cell>
          <cell r="V295">
            <v>6.25</v>
          </cell>
          <cell r="X295">
            <v>6.25</v>
          </cell>
          <cell r="Y295">
            <v>6.25</v>
          </cell>
          <cell r="Z295">
            <v>4.166666666666667</v>
          </cell>
          <cell r="AA295" t="str">
            <v xml:space="preserve"> </v>
          </cell>
          <cell r="AX295">
            <v>0</v>
          </cell>
          <cell r="AY295">
            <v>0</v>
          </cell>
          <cell r="AZ295">
            <v>8.3333333333333339</v>
          </cell>
          <cell r="BA295">
            <v>16.666666666666668</v>
          </cell>
          <cell r="BB295">
            <v>0</v>
          </cell>
          <cell r="BC295">
            <v>0</v>
          </cell>
          <cell r="BD295">
            <v>0</v>
          </cell>
          <cell r="BE295">
            <v>0</v>
          </cell>
        </row>
        <row r="296">
          <cell r="A296" t="str">
            <v>Gossen-Metrowatt (4/99)</v>
          </cell>
          <cell r="T296">
            <v>12.5</v>
          </cell>
          <cell r="U296">
            <v>12.5</v>
          </cell>
          <cell r="V296">
            <v>12.5</v>
          </cell>
          <cell r="X296">
            <v>12.5</v>
          </cell>
          <cell r="Y296">
            <v>6.25</v>
          </cell>
          <cell r="Z296">
            <v>4.166666666666667</v>
          </cell>
          <cell r="AX296">
            <v>0</v>
          </cell>
          <cell r="AY296">
            <v>0</v>
          </cell>
          <cell r="AZ296">
            <v>37.5</v>
          </cell>
          <cell r="BA296">
            <v>12.5</v>
          </cell>
          <cell r="BB296">
            <v>0</v>
          </cell>
          <cell r="BC296">
            <v>0</v>
          </cell>
          <cell r="BD296">
            <v>0</v>
          </cell>
          <cell r="BE296">
            <v>0</v>
          </cell>
          <cell r="BF296">
            <v>2438.0187499999997</v>
          </cell>
          <cell r="BG296">
            <v>2100.9305100000001</v>
          </cell>
          <cell r="BH296" t="str">
            <v xml:space="preserve"> --</v>
          </cell>
          <cell r="BI296" t="str">
            <v xml:space="preserve"> --</v>
          </cell>
          <cell r="BJ296" t="str">
            <v xml:space="preserve"> --</v>
          </cell>
          <cell r="BK296" t="str">
            <v xml:space="preserve"> --</v>
          </cell>
        </row>
        <row r="297">
          <cell r="A297" t="str">
            <v>IMS (11/98)</v>
          </cell>
          <cell r="Q297">
            <v>40</v>
          </cell>
          <cell r="S297">
            <v>141</v>
          </cell>
          <cell r="T297">
            <v>155.69999999999999</v>
          </cell>
          <cell r="U297">
            <v>183.005</v>
          </cell>
          <cell r="V297">
            <v>190</v>
          </cell>
          <cell r="X297">
            <v>12.5</v>
          </cell>
          <cell r="AX297">
            <v>0</v>
          </cell>
          <cell r="AY297">
            <v>40</v>
          </cell>
          <cell r="AZ297">
            <v>669.70499999999993</v>
          </cell>
          <cell r="BA297">
            <v>0</v>
          </cell>
          <cell r="BB297">
            <v>0</v>
          </cell>
          <cell r="BC297">
            <v>0</v>
          </cell>
          <cell r="BD297">
            <v>0</v>
          </cell>
          <cell r="BE297">
            <v>0</v>
          </cell>
          <cell r="BF297">
            <v>0.840979101876417</v>
          </cell>
          <cell r="BG297">
            <v>-0.13826318603989396</v>
          </cell>
          <cell r="BH297" t="str">
            <v xml:space="preserve"> --</v>
          </cell>
          <cell r="BI297" t="str">
            <v xml:space="preserve"> --</v>
          </cell>
          <cell r="BJ297" t="str">
            <v xml:space="preserve"> --</v>
          </cell>
          <cell r="BK297" t="str">
            <v xml:space="preserve"> --</v>
          </cell>
        </row>
        <row r="298">
          <cell r="A298" t="str">
            <v>Accu-Tronics (9/98)</v>
          </cell>
          <cell r="Q298">
            <v>2</v>
          </cell>
          <cell r="S298">
            <v>2.5</v>
          </cell>
          <cell r="T298">
            <v>2.5</v>
          </cell>
          <cell r="U298">
            <v>1.6666666666666667</v>
          </cell>
          <cell r="V298">
            <v>190</v>
          </cell>
          <cell r="AX298">
            <v>0</v>
          </cell>
          <cell r="AY298">
            <v>2</v>
          </cell>
          <cell r="AZ298">
            <v>6.666666666666667</v>
          </cell>
          <cell r="BA298">
            <v>0</v>
          </cell>
          <cell r="BB298">
            <v>0</v>
          </cell>
          <cell r="BC298">
            <v>0</v>
          </cell>
          <cell r="BD298">
            <v>0</v>
          </cell>
          <cell r="BE298">
            <v>0</v>
          </cell>
          <cell r="BF298" t="str">
            <v xml:space="preserve"> --</v>
          </cell>
          <cell r="BG298" t="str">
            <v xml:space="preserve"> --</v>
          </cell>
          <cell r="BH298" t="str">
            <v xml:space="preserve"> --</v>
          </cell>
          <cell r="BI298" t="str">
            <v xml:space="preserve"> --</v>
          </cell>
          <cell r="BJ298" t="str">
            <v xml:space="preserve"> --</v>
          </cell>
          <cell r="BK298" t="str">
            <v xml:space="preserve"> --</v>
          </cell>
        </row>
        <row r="299">
          <cell r="A299" t="str">
            <v>Silicon Graphics (6/98)</v>
          </cell>
          <cell r="P299">
            <v>13</v>
          </cell>
          <cell r="Q299">
            <v>13</v>
          </cell>
          <cell r="S299">
            <v>12.5</v>
          </cell>
          <cell r="T299">
            <v>8.3333333333333339</v>
          </cell>
          <cell r="U299">
            <v>1.6666666666666667</v>
          </cell>
          <cell r="AX299">
            <v>0</v>
          </cell>
          <cell r="AY299">
            <v>26</v>
          </cell>
          <cell r="AZ299">
            <v>20.833333333333336</v>
          </cell>
          <cell r="BA299">
            <v>0</v>
          </cell>
          <cell r="BB299">
            <v>0</v>
          </cell>
          <cell r="BC299">
            <v>0</v>
          </cell>
          <cell r="BD299">
            <v>0</v>
          </cell>
          <cell r="BE299">
            <v>0</v>
          </cell>
          <cell r="BF299" t="str">
            <v xml:space="preserve"> --</v>
          </cell>
          <cell r="BG299" t="str">
            <v xml:space="preserve"> --</v>
          </cell>
          <cell r="BH299" t="str">
            <v xml:space="preserve"> --</v>
          </cell>
          <cell r="BI299" t="str">
            <v xml:space="preserve"> --</v>
          </cell>
          <cell r="BJ299" t="str">
            <v xml:space="preserve"> --</v>
          </cell>
          <cell r="BK299" t="str">
            <v xml:space="preserve"> --</v>
          </cell>
        </row>
        <row r="300">
          <cell r="A300" t="str">
            <v>Analytic Design (5/98)</v>
          </cell>
          <cell r="P300">
            <v>1</v>
          </cell>
          <cell r="Q300">
            <v>2</v>
          </cell>
          <cell r="S300">
            <v>2</v>
          </cell>
          <cell r="T300">
            <v>2</v>
          </cell>
          <cell r="U300">
            <v>1</v>
          </cell>
          <cell r="AX300">
            <v>0</v>
          </cell>
          <cell r="AY300">
            <v>3</v>
          </cell>
          <cell r="AZ300">
            <v>5</v>
          </cell>
          <cell r="BA300">
            <v>0</v>
          </cell>
          <cell r="BB300">
            <v>0</v>
          </cell>
          <cell r="BC300">
            <v>0</v>
          </cell>
          <cell r="BD300">
            <v>0</v>
          </cell>
          <cell r="BE300">
            <v>0</v>
          </cell>
          <cell r="BF300">
            <v>2047.9357499999996</v>
          </cell>
          <cell r="BG300">
            <v>2301.0191300000001</v>
          </cell>
          <cell r="BH300" t="str">
            <v xml:space="preserve"> --</v>
          </cell>
          <cell r="BI300" t="str">
            <v xml:space="preserve"> --</v>
          </cell>
          <cell r="BJ300" t="str">
            <v xml:space="preserve"> --</v>
          </cell>
          <cell r="BK300" t="str">
            <v xml:space="preserve"> --</v>
          </cell>
        </row>
        <row r="301">
          <cell r="A301" t="str">
            <v>Hewlett-Packard (2/98 &amp; 3/98)</v>
          </cell>
          <cell r="O301">
            <v>2</v>
          </cell>
          <cell r="P301">
            <v>2</v>
          </cell>
          <cell r="Q301">
            <v>2</v>
          </cell>
          <cell r="S301">
            <v>2</v>
          </cell>
          <cell r="T301">
            <v>2</v>
          </cell>
          <cell r="U301">
            <v>1</v>
          </cell>
          <cell r="AX301">
            <v>0</v>
          </cell>
          <cell r="AY301">
            <v>6</v>
          </cell>
          <cell r="AZ301">
            <v>2</v>
          </cell>
          <cell r="BA301">
            <v>0</v>
          </cell>
          <cell r="BB301">
            <v>0</v>
          </cell>
          <cell r="BC301">
            <v>0</v>
          </cell>
          <cell r="BD301">
            <v>0</v>
          </cell>
          <cell r="BE301">
            <v>0</v>
          </cell>
          <cell r="BF301" t="str">
            <v xml:space="preserve"> --</v>
          </cell>
          <cell r="BG301">
            <v>0.12357974609310896</v>
          </cell>
          <cell r="BH301" t="str">
            <v xml:space="preserve"> --</v>
          </cell>
          <cell r="BI301" t="str">
            <v xml:space="preserve"> --</v>
          </cell>
          <cell r="BJ301" t="str">
            <v xml:space="preserve"> --</v>
          </cell>
          <cell r="BK301" t="str">
            <v xml:space="preserve"> --</v>
          </cell>
        </row>
        <row r="302">
          <cell r="A302" t="str">
            <v>Madge Networks (2/98)</v>
          </cell>
          <cell r="N302">
            <v>6.25</v>
          </cell>
          <cell r="O302">
            <v>12</v>
          </cell>
          <cell r="P302">
            <v>12</v>
          </cell>
          <cell r="Q302">
            <v>12</v>
          </cell>
          <cell r="S302">
            <v>6</v>
          </cell>
          <cell r="AX302">
            <v>0</v>
          </cell>
          <cell r="AY302">
            <v>42.25</v>
          </cell>
          <cell r="AZ302">
            <v>6</v>
          </cell>
          <cell r="BA302">
            <v>0</v>
          </cell>
          <cell r="BB302">
            <v>0</v>
          </cell>
          <cell r="BC302">
            <v>0</v>
          </cell>
          <cell r="BD302">
            <v>0</v>
          </cell>
          <cell r="BE302">
            <v>0</v>
          </cell>
          <cell r="BF302" t="str">
            <v xml:space="preserve"> --</v>
          </cell>
          <cell r="BG302">
            <v>0.12357974609310896</v>
          </cell>
          <cell r="BH302" t="str">
            <v xml:space="preserve"> --</v>
          </cell>
          <cell r="BI302" t="str">
            <v xml:space="preserve"> --</v>
          </cell>
          <cell r="BJ302" t="str">
            <v xml:space="preserve"> --</v>
          </cell>
          <cell r="BK302" t="str">
            <v xml:space="preserve"> --</v>
          </cell>
        </row>
        <row r="303">
          <cell r="A303" t="str">
            <v>Ascent (10/97)</v>
          </cell>
          <cell r="N303">
            <v>6.25</v>
          </cell>
          <cell r="O303">
            <v>12.5</v>
          </cell>
          <cell r="P303">
            <v>12.5</v>
          </cell>
          <cell r="Q303">
            <v>12.5</v>
          </cell>
          <cell r="S303">
            <v>6</v>
          </cell>
          <cell r="AA303">
            <v>0.7</v>
          </cell>
          <cell r="AC303">
            <v>0.5</v>
          </cell>
          <cell r="AD303">
            <v>0.5</v>
          </cell>
          <cell r="AE303">
            <v>0.47499999999999998</v>
          </cell>
          <cell r="AF303">
            <v>0.47499999999999998</v>
          </cell>
          <cell r="AH303">
            <v>0.42499999999999999</v>
          </cell>
          <cell r="AI303">
            <v>0.45</v>
          </cell>
          <cell r="AJ303">
            <v>0.4</v>
          </cell>
          <cell r="AK303">
            <v>0.5</v>
          </cell>
          <cell r="AM303">
            <v>0.47499999999999998</v>
          </cell>
          <cell r="AN303">
            <v>0.47829154592415268</v>
          </cell>
          <cell r="AO303">
            <v>0.48918357061862161</v>
          </cell>
          <cell r="AP303">
            <v>0.5221056249212549</v>
          </cell>
          <cell r="AX303">
            <v>0</v>
          </cell>
          <cell r="AY303">
            <v>43.75</v>
          </cell>
          <cell r="AZ303">
            <v>6</v>
          </cell>
          <cell r="BA303">
            <v>0</v>
          </cell>
          <cell r="BB303">
            <v>0</v>
          </cell>
          <cell r="BC303">
            <v>0</v>
          </cell>
          <cell r="BD303">
            <v>0</v>
          </cell>
          <cell r="BE303">
            <v>0</v>
          </cell>
        </row>
        <row r="304">
          <cell r="A304" t="str">
            <v>Hewlett-Packard (7/97 &amp; 8/97)</v>
          </cell>
          <cell r="K304">
            <v>83.25</v>
          </cell>
          <cell r="L304">
            <v>250</v>
          </cell>
          <cell r="N304">
            <v>250</v>
          </cell>
          <cell r="O304">
            <v>250</v>
          </cell>
          <cell r="P304">
            <v>167</v>
          </cell>
          <cell r="Q304">
            <v>12.5</v>
          </cell>
          <cell r="S304" t="str">
            <v xml:space="preserve"> </v>
          </cell>
          <cell r="AA304" t="str">
            <v>--</v>
          </cell>
          <cell r="AC304" t="str">
            <v>--</v>
          </cell>
          <cell r="AD304" t="str">
            <v>--</v>
          </cell>
          <cell r="AE304" t="str">
            <v>--</v>
          </cell>
          <cell r="AF304" t="str">
            <v>--</v>
          </cell>
          <cell r="AH304" t="str">
            <v>&lt; 50%</v>
          </cell>
          <cell r="AI304" t="str">
            <v>&lt; 50%</v>
          </cell>
          <cell r="AJ304" t="str">
            <v>&lt; 50%</v>
          </cell>
          <cell r="AK304" t="str">
            <v>&lt; 50%</v>
          </cell>
          <cell r="AM304">
            <v>0.47499999999999998</v>
          </cell>
          <cell r="AN304">
            <v>0.47829154592415268</v>
          </cell>
          <cell r="AO304">
            <v>0.48918357061862161</v>
          </cell>
          <cell r="AP304">
            <v>0.57296837596069039</v>
          </cell>
          <cell r="AX304">
            <v>333.25</v>
          </cell>
          <cell r="AY304">
            <v>667</v>
          </cell>
          <cell r="AZ304">
            <v>0</v>
          </cell>
          <cell r="BA304">
            <v>0</v>
          </cell>
          <cell r="BB304">
            <v>0</v>
          </cell>
          <cell r="BC304">
            <v>0</v>
          </cell>
          <cell r="BD304">
            <v>0</v>
          </cell>
          <cell r="BE304">
            <v>0</v>
          </cell>
        </row>
        <row r="305">
          <cell r="A305" t="str">
            <v>ICL (1/97)</v>
          </cell>
          <cell r="I305">
            <v>70</v>
          </cell>
          <cell r="J305">
            <v>140</v>
          </cell>
          <cell r="K305">
            <v>140</v>
          </cell>
          <cell r="L305">
            <v>140</v>
          </cell>
          <cell r="N305">
            <v>70</v>
          </cell>
          <cell r="O305">
            <v>250</v>
          </cell>
          <cell r="P305">
            <v>167</v>
          </cell>
          <cell r="S305" t="str">
            <v xml:space="preserve"> </v>
          </cell>
          <cell r="AA305" t="str">
            <v>--</v>
          </cell>
          <cell r="AC305" t="str">
            <v>--</v>
          </cell>
          <cell r="AD305" t="str">
            <v>--</v>
          </cell>
          <cell r="AE305" t="str">
            <v>--</v>
          </cell>
          <cell r="AF305" t="str">
            <v>--</v>
          </cell>
          <cell r="AH305" t="str">
            <v>&lt;&lt; 50%</v>
          </cell>
          <cell r="AI305" t="str">
            <v>&lt;&lt; 50%</v>
          </cell>
          <cell r="AJ305" t="str">
            <v>&lt;&lt; 50%</v>
          </cell>
          <cell r="AK305" t="str">
            <v>&lt;&lt; 50%</v>
          </cell>
          <cell r="AX305">
            <v>490</v>
          </cell>
          <cell r="AY305">
            <v>70</v>
          </cell>
          <cell r="AZ305">
            <v>0</v>
          </cell>
          <cell r="BA305">
            <v>0</v>
          </cell>
          <cell r="BB305">
            <v>0</v>
          </cell>
          <cell r="BC305">
            <v>0</v>
          </cell>
          <cell r="BD305">
            <v>0</v>
          </cell>
          <cell r="BE305">
            <v>0</v>
          </cell>
        </row>
        <row r="306">
          <cell r="A306" t="str">
            <v>ICL (1/97)</v>
          </cell>
          <cell r="I306">
            <v>70</v>
          </cell>
          <cell r="J306">
            <v>140</v>
          </cell>
          <cell r="K306">
            <v>140</v>
          </cell>
          <cell r="L306">
            <v>140</v>
          </cell>
          <cell r="N306">
            <v>70</v>
          </cell>
          <cell r="AA306" t="str">
            <v>--</v>
          </cell>
          <cell r="AC306" t="str">
            <v>--</v>
          </cell>
          <cell r="AD306" t="str">
            <v>--</v>
          </cell>
          <cell r="AE306" t="str">
            <v>--</v>
          </cell>
          <cell r="AF306" t="str">
            <v>--</v>
          </cell>
          <cell r="AH306" t="str">
            <v>&gt; 50%</v>
          </cell>
          <cell r="AI306" t="str">
            <v>&gt; 50%</v>
          </cell>
          <cell r="AJ306" t="str">
            <v>&gt; 50%</v>
          </cell>
          <cell r="AK306" t="str">
            <v>&gt; 50%</v>
          </cell>
          <cell r="AX306">
            <v>490</v>
          </cell>
          <cell r="AY306">
            <v>70</v>
          </cell>
          <cell r="AZ306">
            <v>0</v>
          </cell>
          <cell r="BA306">
            <v>0</v>
          </cell>
          <cell r="BB306">
            <v>0</v>
          </cell>
          <cell r="BC306">
            <v>0</v>
          </cell>
          <cell r="BD306">
            <v>0</v>
          </cell>
          <cell r="BE306">
            <v>0</v>
          </cell>
        </row>
        <row r="307">
          <cell r="A307" t="str">
            <v>Implied Revenue Capacity</v>
          </cell>
          <cell r="AA307">
            <v>4925.3142857142857</v>
          </cell>
          <cell r="AC307">
            <v>5385.15</v>
          </cell>
          <cell r="AD307">
            <v>5321.4120000000003</v>
          </cell>
          <cell r="AE307">
            <v>4637.78947368421</v>
          </cell>
          <cell r="AF307">
            <v>5154.105263157895</v>
          </cell>
          <cell r="AH307">
            <v>5062.3529411764703</v>
          </cell>
          <cell r="AI307">
            <v>4998.2222222222217</v>
          </cell>
          <cell r="AJ307">
            <v>4897.25</v>
          </cell>
          <cell r="AK307">
            <v>3823.8</v>
          </cell>
          <cell r="AM307">
            <v>3341.8947368421054</v>
          </cell>
          <cell r="AN307">
            <v>3341.8947368421054</v>
          </cell>
          <cell r="AO307">
            <v>3341.8947368421054</v>
          </cell>
          <cell r="AP307">
            <v>3341.8947368421054</v>
          </cell>
        </row>
        <row r="308">
          <cell r="A308" t="str">
            <v>Celestica Inc.</v>
          </cell>
          <cell r="L308" t="str">
            <v xml:space="preserve"> </v>
          </cell>
          <cell r="AA308">
            <v>4925.3142857142857</v>
          </cell>
          <cell r="AC308">
            <v>5385.15</v>
          </cell>
          <cell r="AD308">
            <v>5321.4120000000003</v>
          </cell>
          <cell r="AE308">
            <v>4637.78947368421</v>
          </cell>
          <cell r="AF308">
            <v>5154.105263157895</v>
          </cell>
          <cell r="AH308">
            <v>5062.3529411764703</v>
          </cell>
          <cell r="AI308">
            <v>4998.2222222222217</v>
          </cell>
          <cell r="AJ308">
            <v>4897.25</v>
          </cell>
          <cell r="AK308">
            <v>3823.8</v>
          </cell>
          <cell r="AM308">
            <v>3341.8947368421054</v>
          </cell>
          <cell r="AN308">
            <v>3341.8947368421054</v>
          </cell>
          <cell r="AO308">
            <v>3341.8947368421054</v>
          </cell>
          <cell r="AP308">
            <v>3341.8947368421054</v>
          </cell>
        </row>
        <row r="309">
          <cell r="A309" t="str">
            <v>Balance Sheet</v>
          </cell>
          <cell r="L309" t="str">
            <v xml:space="preserve"> </v>
          </cell>
          <cell r="N309">
            <v>0.3</v>
          </cell>
          <cell r="O309">
            <v>0.3</v>
          </cell>
          <cell r="P309">
            <v>0.3</v>
          </cell>
          <cell r="Q309">
            <v>0.3</v>
          </cell>
          <cell r="S309" t="str">
            <v>20-25%</v>
          </cell>
          <cell r="T309" t="str">
            <v>20-25%</v>
          </cell>
          <cell r="U309" t="str">
            <v>20-25%</v>
          </cell>
          <cell r="V309" t="str">
            <v>20-25%</v>
          </cell>
          <cell r="X309" t="str">
            <v>20-25%</v>
          </cell>
          <cell r="Y309" t="str">
            <v>20-25%</v>
          </cell>
          <cell r="Z309" t="str">
            <v>20-25%</v>
          </cell>
          <cell r="AA309" t="str">
            <v>20-25%</v>
          </cell>
          <cell r="AC309" t="str">
            <v>20-25%</v>
          </cell>
          <cell r="AD309" t="str">
            <v>20-30%</v>
          </cell>
          <cell r="AE309" t="str">
            <v>20-30%</v>
          </cell>
          <cell r="AF309">
            <v>0.3</v>
          </cell>
          <cell r="AH309">
            <v>0.3</v>
          </cell>
          <cell r="AI309" t="str">
            <v>30-35%</v>
          </cell>
          <cell r="AJ309" t="str">
            <v>30-35%</v>
          </cell>
          <cell r="AK309" t="str">
            <v>30-35%</v>
          </cell>
          <cell r="BB309" t="str">
            <v xml:space="preserve"> --</v>
          </cell>
          <cell r="BC309" t="str">
            <v xml:space="preserve"> --</v>
          </cell>
          <cell r="BD309">
            <v>0.27</v>
          </cell>
          <cell r="BE309" t="str">
            <v xml:space="preserve"> --</v>
          </cell>
          <cell r="BF309" t="str">
            <v xml:space="preserve"> --</v>
          </cell>
          <cell r="BG309" t="str">
            <v xml:space="preserve"> --</v>
          </cell>
          <cell r="BH309" t="str">
            <v xml:space="preserve"> --</v>
          </cell>
          <cell r="BI309" t="str">
            <v xml:space="preserve"> --</v>
          </cell>
          <cell r="BJ309" t="str">
            <v xml:space="preserve"> --</v>
          </cell>
          <cell r="BK309" t="str">
            <v xml:space="preserve"> --</v>
          </cell>
        </row>
        <row r="310">
          <cell r="A310" t="str">
            <v>($ Millions Except per Share Data)</v>
          </cell>
          <cell r="N310">
            <v>0.3</v>
          </cell>
          <cell r="O310">
            <v>0.3</v>
          </cell>
          <cell r="P310">
            <v>0.3</v>
          </cell>
          <cell r="Q310">
            <v>0.3</v>
          </cell>
          <cell r="S310" t="str">
            <v>20-25%</v>
          </cell>
          <cell r="T310" t="str">
            <v>20-25%</v>
          </cell>
          <cell r="U310" t="str">
            <v>20-25%</v>
          </cell>
          <cell r="V310" t="str">
            <v>20-25%</v>
          </cell>
          <cell r="X310" t="str">
            <v>20-25%</v>
          </cell>
          <cell r="Y310" t="str">
            <v>20-25%</v>
          </cell>
          <cell r="Z310" t="str">
            <v>20-25%</v>
          </cell>
          <cell r="AA310" t="str">
            <v>20-25%</v>
          </cell>
          <cell r="AC310" t="str">
            <v>20-25%</v>
          </cell>
          <cell r="AD310" t="str">
            <v>20-30%</v>
          </cell>
          <cell r="AE310" t="str">
            <v>20-30%</v>
          </cell>
          <cell r="AF310">
            <v>0.3</v>
          </cell>
          <cell r="AH310">
            <v>0.3</v>
          </cell>
          <cell r="AI310" t="str">
            <v>30-35%</v>
          </cell>
          <cell r="AJ310" t="str">
            <v>30-35%</v>
          </cell>
          <cell r="AK310" t="str">
            <v>30-35%</v>
          </cell>
          <cell r="BB310" t="str">
            <v xml:space="preserve"> --</v>
          </cell>
          <cell r="BC310" t="str">
            <v xml:space="preserve"> --</v>
          </cell>
          <cell r="BD310">
            <v>0.27</v>
          </cell>
          <cell r="BE310" t="str">
            <v xml:space="preserve"> --</v>
          </cell>
          <cell r="BF310" t="str">
            <v xml:space="preserve"> --</v>
          </cell>
          <cell r="BG310" t="str">
            <v xml:space="preserve"> --</v>
          </cell>
          <cell r="BH310" t="str">
            <v xml:space="preserve"> --</v>
          </cell>
          <cell r="BI310" t="str">
            <v xml:space="preserve"> --</v>
          </cell>
          <cell r="BJ310" t="str">
            <v xml:space="preserve"> --</v>
          </cell>
          <cell r="BK310" t="str">
            <v xml:space="preserve"> --</v>
          </cell>
        </row>
        <row r="311">
          <cell r="A311" t="str">
            <v xml:space="preserve">              </v>
          </cell>
          <cell r="D311">
            <v>275.68399999999997</v>
          </cell>
          <cell r="E311">
            <v>227.78300000000002</v>
          </cell>
          <cell r="F311">
            <v>195.92599999999999</v>
          </cell>
          <cell r="G311">
            <v>197.435</v>
          </cell>
          <cell r="I311">
            <v>347.6</v>
          </cell>
          <cell r="J311">
            <v>320.65499999999997</v>
          </cell>
          <cell r="K311">
            <v>298.11700000000002</v>
          </cell>
          <cell r="L311">
            <v>556.18700000000001</v>
          </cell>
          <cell r="N311">
            <v>658</v>
          </cell>
          <cell r="O311">
            <v>703.62099999999998</v>
          </cell>
          <cell r="P311">
            <v>738.55600000000004</v>
          </cell>
          <cell r="Q311">
            <v>831.298</v>
          </cell>
          <cell r="S311" t="str">
            <v xml:space="preserve"> </v>
          </cell>
          <cell r="T311">
            <v>1139.7</v>
          </cell>
          <cell r="U311">
            <v>1248.3912399999999</v>
          </cell>
          <cell r="V311" t="str">
            <v>--</v>
          </cell>
          <cell r="X311">
            <v>1492.3230000000001</v>
          </cell>
          <cell r="Y311">
            <v>1924.5323599999997</v>
          </cell>
          <cell r="Z311">
            <v>2460.1489999999999</v>
          </cell>
          <cell r="AA311">
            <v>3292.72</v>
          </cell>
          <cell r="AC311">
            <v>2540.5749999999998</v>
          </cell>
          <cell r="AD311">
            <v>2512.7060000000001</v>
          </cell>
          <cell r="AE311">
            <v>2044.95</v>
          </cell>
          <cell r="AF311">
            <v>2263.1999999999998</v>
          </cell>
          <cell r="BB311">
            <v>896.82799999999997</v>
          </cell>
          <cell r="BC311">
            <v>1522.5590000000002</v>
          </cell>
          <cell r="BD311">
            <v>2931.4750000000004</v>
          </cell>
          <cell r="BE311">
            <v>3372.5510800000002</v>
          </cell>
          <cell r="BF311">
            <v>9169.7243599999983</v>
          </cell>
          <cell r="BG311">
            <v>9361.4310000000005</v>
          </cell>
          <cell r="BH311" t="str">
            <v xml:space="preserve"> --</v>
          </cell>
          <cell r="BI311" t="str">
            <v xml:space="preserve"> --</v>
          </cell>
          <cell r="BJ311" t="str">
            <v xml:space="preserve"> --</v>
          </cell>
          <cell r="BK311" t="str">
            <v xml:space="preserve"> --</v>
          </cell>
        </row>
        <row r="312">
          <cell r="A312" t="str">
            <v xml:space="preserve">              </v>
          </cell>
          <cell r="D312">
            <v>1996</v>
          </cell>
          <cell r="E312">
            <v>319</v>
          </cell>
          <cell r="F312">
            <v>168</v>
          </cell>
          <cell r="G312">
            <v>164</v>
          </cell>
          <cell r="I312">
            <v>1997</v>
          </cell>
          <cell r="J312">
            <v>110</v>
          </cell>
          <cell r="K312">
            <v>111</v>
          </cell>
          <cell r="L312">
            <v>127</v>
          </cell>
          <cell r="N312">
            <v>1998</v>
          </cell>
          <cell r="O312">
            <v>70</v>
          </cell>
          <cell r="P312">
            <v>73.043999999999983</v>
          </cell>
          <cell r="Q312">
            <v>94</v>
          </cell>
          <cell r="S312">
            <v>1999</v>
          </cell>
          <cell r="T312">
            <v>110</v>
          </cell>
          <cell r="U312">
            <v>108.55575999999999</v>
          </cell>
          <cell r="V312" t="str">
            <v>--</v>
          </cell>
          <cell r="X312">
            <v>2000</v>
          </cell>
          <cell r="Y312">
            <v>167.35064</v>
          </cell>
          <cell r="Z312">
            <v>140</v>
          </cell>
          <cell r="AA312">
            <v>155</v>
          </cell>
          <cell r="AC312">
            <v>2001</v>
          </cell>
          <cell r="AD312">
            <v>148</v>
          </cell>
          <cell r="AE312">
            <v>158</v>
          </cell>
          <cell r="AF312">
            <v>185</v>
          </cell>
          <cell r="AH312" t="str">
            <v>2002E</v>
          </cell>
          <cell r="AM312" t="str">
            <v>2003E</v>
          </cell>
          <cell r="AR312" t="str">
            <v>2004E</v>
          </cell>
          <cell r="AV312" t="str">
            <v xml:space="preserve"> </v>
          </cell>
          <cell r="AZ312" t="str">
            <v xml:space="preserve"> </v>
          </cell>
          <cell r="BB312">
            <v>1120</v>
          </cell>
          <cell r="BC312">
            <v>484</v>
          </cell>
          <cell r="BD312">
            <v>317.74399999999969</v>
          </cell>
          <cell r="BE312">
            <v>315.91991999999993</v>
          </cell>
          <cell r="BF312">
            <v>582.35064</v>
          </cell>
          <cell r="BG312">
            <v>643</v>
          </cell>
          <cell r="BH312" t="str">
            <v xml:space="preserve"> --</v>
          </cell>
          <cell r="BI312" t="str">
            <v xml:space="preserve"> --</v>
          </cell>
          <cell r="BJ312" t="str">
            <v xml:space="preserve"> --</v>
          </cell>
          <cell r="BK312" t="str">
            <v xml:space="preserve"> --</v>
          </cell>
        </row>
        <row r="313">
          <cell r="A313" t="str">
            <v xml:space="preserve"> </v>
          </cell>
          <cell r="D313">
            <v>35125</v>
          </cell>
          <cell r="E313">
            <v>35217</v>
          </cell>
          <cell r="F313">
            <v>35309</v>
          </cell>
          <cell r="G313">
            <v>35400</v>
          </cell>
          <cell r="I313">
            <v>35490</v>
          </cell>
          <cell r="J313">
            <v>35582</v>
          </cell>
          <cell r="K313">
            <v>35674</v>
          </cell>
          <cell r="L313">
            <v>35765</v>
          </cell>
          <cell r="N313">
            <v>35855</v>
          </cell>
          <cell r="O313">
            <v>35947</v>
          </cell>
          <cell r="P313">
            <v>36039</v>
          </cell>
          <cell r="Q313">
            <v>36130</v>
          </cell>
          <cell r="S313">
            <v>36220</v>
          </cell>
          <cell r="T313">
            <v>36312</v>
          </cell>
          <cell r="U313">
            <v>36404</v>
          </cell>
          <cell r="V313">
            <v>36495</v>
          </cell>
          <cell r="X313">
            <v>36586</v>
          </cell>
          <cell r="Y313">
            <v>36678</v>
          </cell>
          <cell r="Z313">
            <v>36770</v>
          </cell>
          <cell r="AA313">
            <v>36861</v>
          </cell>
          <cell r="AC313">
            <v>36951</v>
          </cell>
          <cell r="AD313">
            <v>37043</v>
          </cell>
          <cell r="AE313">
            <v>37135</v>
          </cell>
          <cell r="AF313">
            <v>37226</v>
          </cell>
          <cell r="AH313" t="str">
            <v xml:space="preserve"> 3/02</v>
          </cell>
          <cell r="AI313" t="str">
            <v xml:space="preserve"> 6/02E</v>
          </cell>
          <cell r="AJ313" t="str">
            <v xml:space="preserve"> 9/02E</v>
          </cell>
          <cell r="AK313" t="str">
            <v>12/02E</v>
          </cell>
          <cell r="AM313" t="str">
            <v xml:space="preserve"> 3/03E</v>
          </cell>
          <cell r="AN313" t="str">
            <v xml:space="preserve"> 6/03E</v>
          </cell>
          <cell r="AO313" t="str">
            <v xml:space="preserve"> 9/03E</v>
          </cell>
          <cell r="AP313" t="str">
            <v>12/03E</v>
          </cell>
          <cell r="AR313" t="str">
            <v xml:space="preserve"> 3/04E</v>
          </cell>
          <cell r="AS313" t="str">
            <v xml:space="preserve"> 6/04E</v>
          </cell>
          <cell r="AT313" t="str">
            <v xml:space="preserve"> 9/04E</v>
          </cell>
          <cell r="AU313" t="str">
            <v>12/04E</v>
          </cell>
          <cell r="AV313" t="str">
            <v xml:space="preserve"> </v>
          </cell>
          <cell r="AW313">
            <v>1996</v>
          </cell>
          <cell r="AX313">
            <v>1997</v>
          </cell>
          <cell r="AY313">
            <v>1998</v>
          </cell>
          <cell r="AZ313">
            <v>1999</v>
          </cell>
          <cell r="BA313">
            <v>2000</v>
          </cell>
          <cell r="BB313">
            <v>2001</v>
          </cell>
          <cell r="BC313" t="str">
            <v>2002E</v>
          </cell>
          <cell r="BD313" t="str">
            <v>2003E</v>
          </cell>
          <cell r="BE313" t="str">
            <v>2004E</v>
          </cell>
          <cell r="BF313">
            <v>582.35064</v>
          </cell>
          <cell r="BG313">
            <v>2002</v>
          </cell>
          <cell r="BH313">
            <v>2003</v>
          </cell>
          <cell r="BI313">
            <v>2004</v>
          </cell>
          <cell r="BJ313">
            <v>2005</v>
          </cell>
          <cell r="BK313">
            <v>2006</v>
          </cell>
          <cell r="BL313">
            <v>2007</v>
          </cell>
          <cell r="BM313">
            <v>2008</v>
          </cell>
          <cell r="BN313">
            <v>2009</v>
          </cell>
          <cell r="BO313">
            <v>2010</v>
          </cell>
          <cell r="BP313">
            <v>2011</v>
          </cell>
          <cell r="BQ313">
            <v>2012</v>
          </cell>
          <cell r="BR313">
            <v>2013</v>
          </cell>
          <cell r="BS313">
            <v>2014</v>
          </cell>
          <cell r="BT313">
            <v>2015</v>
          </cell>
          <cell r="BU313">
            <v>2016</v>
          </cell>
        </row>
        <row r="314">
          <cell r="A314" t="str">
            <v xml:space="preserve"> </v>
          </cell>
          <cell r="D314">
            <v>35125</v>
          </cell>
          <cell r="E314">
            <v>35217</v>
          </cell>
          <cell r="F314">
            <v>35309</v>
          </cell>
          <cell r="G314">
            <v>35400</v>
          </cell>
          <cell r="I314">
            <v>35490</v>
          </cell>
          <cell r="J314">
            <v>35582</v>
          </cell>
          <cell r="K314">
            <v>35674</v>
          </cell>
          <cell r="L314">
            <v>35765</v>
          </cell>
          <cell r="N314">
            <v>35855</v>
          </cell>
          <cell r="O314">
            <v>35947</v>
          </cell>
          <cell r="P314">
            <v>36039</v>
          </cell>
          <cell r="Q314">
            <v>36130</v>
          </cell>
          <cell r="S314">
            <v>36220</v>
          </cell>
          <cell r="T314">
            <v>36312</v>
          </cell>
          <cell r="U314">
            <v>36404</v>
          </cell>
          <cell r="V314">
            <v>36495</v>
          </cell>
          <cell r="X314">
            <v>36586</v>
          </cell>
          <cell r="Y314">
            <v>36678</v>
          </cell>
          <cell r="Z314">
            <v>36770</v>
          </cell>
          <cell r="AA314">
            <v>36861</v>
          </cell>
          <cell r="AC314">
            <v>36951</v>
          </cell>
          <cell r="AD314">
            <v>37043</v>
          </cell>
          <cell r="AE314">
            <v>37135</v>
          </cell>
          <cell r="AF314">
            <v>37226</v>
          </cell>
          <cell r="AH314" t="str">
            <v xml:space="preserve"> 3/02</v>
          </cell>
          <cell r="AI314" t="str">
            <v xml:space="preserve"> 6/02</v>
          </cell>
          <cell r="AJ314" t="str">
            <v xml:space="preserve"> 9/02E</v>
          </cell>
          <cell r="AK314" t="str">
            <v>12/02E</v>
          </cell>
          <cell r="AM314" t="str">
            <v xml:space="preserve"> 3/03E</v>
          </cell>
          <cell r="AN314" t="str">
            <v xml:space="preserve"> 6/03E</v>
          </cell>
          <cell r="AO314" t="str">
            <v xml:space="preserve"> 9/03E</v>
          </cell>
          <cell r="AP314" t="str">
            <v>12/03E</v>
          </cell>
          <cell r="AR314" t="str">
            <v xml:space="preserve"> 3/04E</v>
          </cell>
          <cell r="AS314" t="str">
            <v xml:space="preserve"> 6/04E</v>
          </cell>
          <cell r="AT314" t="str">
            <v xml:space="preserve"> 9/04E</v>
          </cell>
          <cell r="AU314" t="str">
            <v>12/04E</v>
          </cell>
          <cell r="AW314">
            <v>1996</v>
          </cell>
          <cell r="AX314">
            <v>1997</v>
          </cell>
          <cell r="AY314">
            <v>1998</v>
          </cell>
          <cell r="AZ314">
            <v>1999</v>
          </cell>
          <cell r="BA314">
            <v>2000</v>
          </cell>
          <cell r="BB314">
            <v>2001</v>
          </cell>
          <cell r="BC314" t="str">
            <v>2002E</v>
          </cell>
          <cell r="BD314" t="str">
            <v>2003E</v>
          </cell>
          <cell r="BE314" t="str">
            <v>2004E</v>
          </cell>
          <cell r="BG314">
            <v>2002</v>
          </cell>
          <cell r="BH314">
            <v>2003</v>
          </cell>
          <cell r="BI314">
            <v>2004</v>
          </cell>
          <cell r="BJ314">
            <v>2005</v>
          </cell>
          <cell r="BK314">
            <v>2006</v>
          </cell>
          <cell r="BL314">
            <v>2007</v>
          </cell>
          <cell r="BM314">
            <v>2008</v>
          </cell>
          <cell r="BN314">
            <v>2009</v>
          </cell>
          <cell r="BO314">
            <v>2010</v>
          </cell>
          <cell r="BP314">
            <v>2011</v>
          </cell>
          <cell r="BQ314">
            <v>2012</v>
          </cell>
          <cell r="BR314">
            <v>2013</v>
          </cell>
          <cell r="BS314">
            <v>2014</v>
          </cell>
          <cell r="BT314">
            <v>2015</v>
          </cell>
          <cell r="BU314">
            <v>2016</v>
          </cell>
        </row>
        <row r="315">
          <cell r="A315" t="str">
            <v>Total Assets</v>
          </cell>
          <cell r="B315" t="str">
            <v>ta</v>
          </cell>
          <cell r="D315">
            <v>733</v>
          </cell>
          <cell r="E315">
            <v>499</v>
          </cell>
          <cell r="F315">
            <v>432.33100000000002</v>
          </cell>
          <cell r="G315">
            <v>658.21500000000003</v>
          </cell>
          <cell r="I315">
            <v>1006.0359999999999</v>
          </cell>
          <cell r="J315">
            <v>1005.3919999999999</v>
          </cell>
          <cell r="K315">
            <v>1090.652</v>
          </cell>
          <cell r="L315">
            <v>1347.307</v>
          </cell>
          <cell r="N315">
            <v>1395.3</v>
          </cell>
          <cell r="O315">
            <v>1420.8410000000001</v>
          </cell>
          <cell r="P315">
            <v>1395.8709999999999</v>
          </cell>
          <cell r="Q315">
            <v>1636.4250000000002</v>
          </cell>
          <cell r="S315">
            <v>1981.3029999999999</v>
          </cell>
          <cell r="T315">
            <v>2072.6190000000001</v>
          </cell>
          <cell r="U315">
            <v>2273.0769999999998</v>
          </cell>
          <cell r="V315">
            <v>2655.59</v>
          </cell>
          <cell r="X315">
            <v>3636.0140000000001</v>
          </cell>
          <cell r="Y315">
            <v>3997.3040000000001</v>
          </cell>
          <cell r="Z315">
            <v>5473.5970000000007</v>
          </cell>
          <cell r="AA315">
            <v>5937.9849999999997</v>
          </cell>
          <cell r="AC315">
            <v>5398.8510000000006</v>
          </cell>
          <cell r="AD315">
            <v>6001.5800000000008</v>
          </cell>
          <cell r="AE315">
            <v>5937.5919999999996</v>
          </cell>
          <cell r="AF315">
            <v>6632.9</v>
          </cell>
          <cell r="AH315">
            <v>6743.8</v>
          </cell>
          <cell r="AI315">
            <v>6900.0732551118717</v>
          </cell>
          <cell r="AJ315">
            <v>7029.2266697877239</v>
          </cell>
          <cell r="AK315">
            <v>7274.5590730003751</v>
          </cell>
          <cell r="AM315">
            <v>7368.8220449402124</v>
          </cell>
          <cell r="AN315">
            <v>7531.7112600791388</v>
          </cell>
          <cell r="AO315">
            <v>7707.2106033736345</v>
          </cell>
          <cell r="AP315">
            <v>8066.3297310264352</v>
          </cell>
          <cell r="AR315">
            <v>8125.7146408020963</v>
          </cell>
          <cell r="AS315">
            <v>8307.3840718495503</v>
          </cell>
          <cell r="AT315">
            <v>8596.0075958458347</v>
          </cell>
          <cell r="AU315">
            <v>9030.9717216094505</v>
          </cell>
          <cell r="AW315">
            <v>658.21500000000003</v>
          </cell>
          <cell r="AX315">
            <v>1347.307</v>
          </cell>
          <cell r="AY315">
            <v>1636.4250000000002</v>
          </cell>
          <cell r="AZ315">
            <v>2655.59</v>
          </cell>
          <cell r="BA315">
            <v>5937.9849999999997</v>
          </cell>
          <cell r="BB315">
            <v>6632.9</v>
          </cell>
          <cell r="BC315">
            <v>7274.5590730003751</v>
          </cell>
          <cell r="BD315">
            <v>8066.3297310264352</v>
          </cell>
          <cell r="BE315">
            <v>9030.9717216094505</v>
          </cell>
          <cell r="BG315">
            <v>7198.9748556474497</v>
          </cell>
          <cell r="BH315">
            <v>8307.9893759867136</v>
          </cell>
          <cell r="BI315">
            <v>9430.7298958773317</v>
          </cell>
          <cell r="BJ315">
            <v>9682.3515476943103</v>
          </cell>
          <cell r="BK315">
            <v>11012.637381771556</v>
          </cell>
          <cell r="BL315">
            <v>12850.639899047577</v>
          </cell>
          <cell r="BM315">
            <v>15063.194589948473</v>
          </cell>
          <cell r="BN315">
            <v>17763.091573768641</v>
          </cell>
          <cell r="BO315">
            <v>20550.839332735461</v>
          </cell>
          <cell r="BP315">
            <v>23498.697753610722</v>
          </cell>
          <cell r="BQ315">
            <v>26363.740441649625</v>
          </cell>
          <cell r="BR315">
            <v>29344.007950677624</v>
          </cell>
          <cell r="BS315">
            <v>31079.495361384073</v>
          </cell>
          <cell r="BT315">
            <v>32895.185105153745</v>
          </cell>
          <cell r="BU315">
            <v>34691.643144486647</v>
          </cell>
        </row>
        <row r="316">
          <cell r="A316" t="str">
            <v>Total Assets</v>
          </cell>
          <cell r="B316" t="str">
            <v>ta</v>
          </cell>
          <cell r="D316">
            <v>733</v>
          </cell>
          <cell r="E316">
            <v>499</v>
          </cell>
          <cell r="F316">
            <v>432.33100000000002</v>
          </cell>
          <cell r="G316">
            <v>658.21500000000003</v>
          </cell>
          <cell r="I316">
            <v>1006.0359999999999</v>
          </cell>
          <cell r="J316">
            <v>1005.3919999999999</v>
          </cell>
          <cell r="K316">
            <v>1090.652</v>
          </cell>
          <cell r="L316">
            <v>1347.307</v>
          </cell>
          <cell r="N316">
            <v>1395.3</v>
          </cell>
          <cell r="O316">
            <v>1420.8410000000001</v>
          </cell>
          <cell r="P316">
            <v>1395.8709999999999</v>
          </cell>
          <cell r="Q316">
            <v>1636.4250000000002</v>
          </cell>
          <cell r="S316">
            <v>1981.3029999999999</v>
          </cell>
          <cell r="T316">
            <v>2072.6190000000001</v>
          </cell>
          <cell r="U316">
            <v>2273.0769999999998</v>
          </cell>
          <cell r="V316">
            <v>2655.59</v>
          </cell>
          <cell r="X316">
            <v>3636.0140000000001</v>
          </cell>
          <cell r="Y316">
            <v>3997.3040000000001</v>
          </cell>
          <cell r="Z316">
            <v>5473.5970000000007</v>
          </cell>
          <cell r="AA316">
            <v>5937.9849999999997</v>
          </cell>
          <cell r="AC316">
            <v>5398.8510000000006</v>
          </cell>
          <cell r="AD316">
            <v>6001.5800000000008</v>
          </cell>
          <cell r="AE316">
            <v>5937.5919999999996</v>
          </cell>
          <cell r="AF316">
            <v>6632.9</v>
          </cell>
          <cell r="AH316">
            <v>6743.8</v>
          </cell>
          <cell r="AI316">
            <v>6821.5999999999995</v>
          </cell>
          <cell r="AJ316">
            <v>6859.7973120698998</v>
          </cell>
          <cell r="AK316">
            <v>7034.1416577470936</v>
          </cell>
          <cell r="AM316">
            <v>7193.4103224658566</v>
          </cell>
          <cell r="AN316">
            <v>7356.1881001445836</v>
          </cell>
          <cell r="AO316">
            <v>7533.3418251956273</v>
          </cell>
          <cell r="AP316">
            <v>7895.2865033868729</v>
          </cell>
          <cell r="AR316">
            <v>7956.9416616074832</v>
          </cell>
          <cell r="AS316">
            <v>8141.6639602623818</v>
          </cell>
          <cell r="AT316">
            <v>8434.4850484361996</v>
          </cell>
          <cell r="AU316">
            <v>8875.3065046549036</v>
          </cell>
          <cell r="AW316">
            <v>658.21500000000003</v>
          </cell>
          <cell r="AX316">
            <v>1347.307</v>
          </cell>
          <cell r="AY316">
            <v>1636.4250000000002</v>
          </cell>
          <cell r="AZ316">
            <v>2655.59</v>
          </cell>
          <cell r="BA316">
            <v>5937.9849999999997</v>
          </cell>
          <cell r="BB316">
            <v>6632.9</v>
          </cell>
          <cell r="BC316">
            <v>7034.1416577470936</v>
          </cell>
          <cell r="BD316">
            <v>7895.2865033868729</v>
          </cell>
          <cell r="BE316">
            <v>8875.3065046549036</v>
          </cell>
          <cell r="BG316">
            <v>7138.0633293913561</v>
          </cell>
          <cell r="BH316">
            <v>8313.5976218831129</v>
          </cell>
          <cell r="BI316">
            <v>9432.2687527974504</v>
          </cell>
          <cell r="BJ316">
            <v>9896.7301750127008</v>
          </cell>
          <cell r="BK316">
            <v>11257.138050613716</v>
          </cell>
          <cell r="BL316">
            <v>13140.010768527774</v>
          </cell>
          <cell r="BM316">
            <v>15408.348253630584</v>
          </cell>
          <cell r="BN316">
            <v>18178.038020237658</v>
          </cell>
          <cell r="BO316">
            <v>21038.326644031102</v>
          </cell>
          <cell r="BP316">
            <v>24063.524777014194</v>
          </cell>
          <cell r="BQ316">
            <v>27003.922060706034</v>
          </cell>
          <cell r="BR316">
            <v>30063.196268039224</v>
          </cell>
          <cell r="BS316">
            <v>32132.15484607832</v>
          </cell>
          <cell r="BT316">
            <v>34000.772495667581</v>
          </cell>
          <cell r="BU316">
            <v>35850.036481317853</v>
          </cell>
        </row>
        <row r="317">
          <cell r="A317" t="str">
            <v>Current Assets</v>
          </cell>
          <cell r="B317" t="str">
            <v>ca</v>
          </cell>
          <cell r="D317">
            <v>686</v>
          </cell>
          <cell r="E317">
            <v>446</v>
          </cell>
          <cell r="F317">
            <v>373.84499999999997</v>
          </cell>
          <cell r="G317">
            <v>330.36500000000001</v>
          </cell>
          <cell r="I317">
            <v>636.17999999999995</v>
          </cell>
          <cell r="J317">
            <v>612.21899999999994</v>
          </cell>
          <cell r="K317">
            <v>597.17400000000009</v>
          </cell>
          <cell r="L317">
            <v>831.702</v>
          </cell>
          <cell r="N317">
            <v>889.1</v>
          </cell>
          <cell r="O317">
            <v>890.93299999999988</v>
          </cell>
          <cell r="P317">
            <v>855.78099999999995</v>
          </cell>
          <cell r="Q317">
            <v>982.92500000000007</v>
          </cell>
          <cell r="S317">
            <v>1300.6099999999999</v>
          </cell>
          <cell r="T317">
            <v>1369.395</v>
          </cell>
          <cell r="U317">
            <v>1512.1499999999999</v>
          </cell>
          <cell r="V317">
            <v>1851.3130000000001</v>
          </cell>
          <cell r="X317">
            <v>2717.8760000000002</v>
          </cell>
          <cell r="Y317">
            <v>2802.0139999999997</v>
          </cell>
          <cell r="Z317">
            <v>4237.3670000000002</v>
          </cell>
          <cell r="AA317">
            <v>4520.9639999999999</v>
          </cell>
          <cell r="AC317">
            <v>3931.3370000000004</v>
          </cell>
          <cell r="AD317">
            <v>4539.3620000000001</v>
          </cell>
          <cell r="AE317">
            <v>4114.5450000000001</v>
          </cell>
          <cell r="AF317">
            <v>3996.5999999999995</v>
          </cell>
          <cell r="AH317">
            <v>4021.2999999999997</v>
          </cell>
          <cell r="AI317">
            <v>4169.0018775734679</v>
          </cell>
          <cell r="AJ317">
            <v>4285.5244464540274</v>
          </cell>
          <cell r="AK317">
            <v>4513.0746863822669</v>
          </cell>
          <cell r="AM317">
            <v>4583.1133776557454</v>
          </cell>
          <cell r="AN317">
            <v>4717.475415461513</v>
          </cell>
          <cell r="AO317">
            <v>4861.2459753934863</v>
          </cell>
          <cell r="AP317">
            <v>5180.501873585019</v>
          </cell>
          <cell r="AR317">
            <v>5184.3069162042066</v>
          </cell>
          <cell r="AS317">
            <v>5302.4939211823921</v>
          </cell>
          <cell r="AT317">
            <v>5522.0957316561626</v>
          </cell>
          <cell r="AU317">
            <v>5875.8408769881444</v>
          </cell>
          <cell r="AW317">
            <v>330.36500000000001</v>
          </cell>
          <cell r="AX317">
            <v>831.702</v>
          </cell>
          <cell r="AY317">
            <v>982.92500000000007</v>
          </cell>
          <cell r="AZ317">
            <v>1851.3130000000001</v>
          </cell>
          <cell r="BA317">
            <v>4520.9639999999999</v>
          </cell>
          <cell r="BB317">
            <v>3996.5999999999995</v>
          </cell>
          <cell r="BC317">
            <v>4513.0746863822669</v>
          </cell>
          <cell r="BD317">
            <v>5180.501873585019</v>
          </cell>
          <cell r="BE317">
            <v>5875.8408769881444</v>
          </cell>
          <cell r="BG317">
            <v>4377.1206267547013</v>
          </cell>
          <cell r="BH317">
            <v>4755.3446377520931</v>
          </cell>
          <cell r="BI317">
            <v>5215.1954553288751</v>
          </cell>
          <cell r="BJ317">
            <v>4827.3074456548493</v>
          </cell>
          <cell r="BK317">
            <v>5757.8769028861689</v>
          </cell>
          <cell r="BL317">
            <v>6828.6914341155225</v>
          </cell>
          <cell r="BM317">
            <v>8085.0572165597887</v>
          </cell>
          <cell r="BN317">
            <v>9954.7258965244928</v>
          </cell>
          <cell r="BO317">
            <v>12063.386378566925</v>
          </cell>
          <cell r="BP317">
            <v>14379.042815821631</v>
          </cell>
          <cell r="BQ317">
            <v>16731.304480121344</v>
          </cell>
          <cell r="BR317">
            <v>19371.940089770978</v>
          </cell>
          <cell r="BS317">
            <v>21013.718655362194</v>
          </cell>
          <cell r="BT317">
            <v>22911.654791621288</v>
          </cell>
          <cell r="BU317">
            <v>25078.643429996435</v>
          </cell>
        </row>
        <row r="318">
          <cell r="A318" t="str">
            <v>Cash &amp; Equivalents</v>
          </cell>
          <cell r="B318" t="str">
            <v>cash</v>
          </cell>
          <cell r="D318">
            <v>10</v>
          </cell>
          <cell r="E318">
            <v>0</v>
          </cell>
          <cell r="F318">
            <v>3.9540000000000002</v>
          </cell>
          <cell r="G318">
            <v>23.126999999999999</v>
          </cell>
          <cell r="I318">
            <v>182.708</v>
          </cell>
          <cell r="J318">
            <v>147.13300000000001</v>
          </cell>
          <cell r="K318">
            <v>129.959</v>
          </cell>
          <cell r="L318">
            <v>106.05200000000001</v>
          </cell>
          <cell r="N318">
            <v>101.1</v>
          </cell>
          <cell r="O318">
            <v>113.244</v>
          </cell>
          <cell r="P318">
            <v>70.319000000000003</v>
          </cell>
          <cell r="Q318">
            <v>31.721</v>
          </cell>
          <cell r="S318">
            <v>208.73500000000001</v>
          </cell>
          <cell r="T318">
            <v>93.935000000000002</v>
          </cell>
          <cell r="U318">
            <v>73.447000000000003</v>
          </cell>
          <cell r="V318">
            <v>371.52199999999999</v>
          </cell>
          <cell r="X318">
            <v>930.38900000000001</v>
          </cell>
          <cell r="Y318">
            <v>283.64800000000002</v>
          </cell>
          <cell r="Z318">
            <v>942.49400000000003</v>
          </cell>
          <cell r="AA318">
            <v>883.75699999999995</v>
          </cell>
          <cell r="AC318">
            <v>482.86</v>
          </cell>
          <cell r="AD318">
            <v>1261.259</v>
          </cell>
          <cell r="AE318">
            <v>965.899</v>
          </cell>
          <cell r="AF318">
            <v>1342.8</v>
          </cell>
          <cell r="AH318">
            <v>1482.8</v>
          </cell>
          <cell r="AI318">
            <v>1597.0900553421141</v>
          </cell>
          <cell r="AJ318">
            <v>1674.3111280337841</v>
          </cell>
          <cell r="AK318">
            <v>1808.9605858813961</v>
          </cell>
          <cell r="AM318">
            <v>1868.2430040836002</v>
          </cell>
          <cell r="AN318">
            <v>1962.5965952083093</v>
          </cell>
          <cell r="AO318">
            <v>2023.3668053104959</v>
          </cell>
          <cell r="AP318">
            <v>2077.3035886472903</v>
          </cell>
          <cell r="AR318">
            <v>2165.3971397989867</v>
          </cell>
          <cell r="AS318">
            <v>2274.6117061886562</v>
          </cell>
          <cell r="AT318">
            <v>2350.6645558643258</v>
          </cell>
          <cell r="AU318">
            <v>2462.8825287995278</v>
          </cell>
          <cell r="AW318">
            <v>23.126999999999999</v>
          </cell>
          <cell r="AX318">
            <v>106.05200000000001</v>
          </cell>
          <cell r="AY318">
            <v>31.721</v>
          </cell>
          <cell r="AZ318">
            <v>371.52199999999999</v>
          </cell>
          <cell r="BA318">
            <v>883.75699999999995</v>
          </cell>
          <cell r="BB318">
            <v>1342.8</v>
          </cell>
          <cell r="BC318">
            <v>1808.9605858813961</v>
          </cell>
          <cell r="BD318">
            <v>2077.3035886472903</v>
          </cell>
          <cell r="BE318">
            <v>2462.8825287995278</v>
          </cell>
          <cell r="BF318">
            <v>2000</v>
          </cell>
          <cell r="BG318">
            <v>1550.06759914132</v>
          </cell>
          <cell r="BH318">
            <v>1020.5064443350013</v>
          </cell>
          <cell r="BI318">
            <v>740.14726973116922</v>
          </cell>
          <cell r="BJ318">
            <v>-329.88225328256158</v>
          </cell>
          <cell r="BK318">
            <v>-130.36959831021056</v>
          </cell>
          <cell r="BL318">
            <v>62.27903302157813</v>
          </cell>
          <cell r="BM318">
            <v>-316.6572635520107</v>
          </cell>
          <cell r="BN318">
            <v>-623.23042872593658</v>
          </cell>
          <cell r="BO318">
            <v>-817.81760519411102</v>
          </cell>
          <cell r="BP318">
            <v>-408.82175952123055</v>
          </cell>
          <cell r="BQ318">
            <v>464.65344724419163</v>
          </cell>
          <cell r="BR318">
            <v>1803.9569742636545</v>
          </cell>
          <cell r="BS318">
            <v>2391.6565529244285</v>
          </cell>
          <cell r="BT318">
            <v>3544.7102050860126</v>
          </cell>
          <cell r="BU318">
            <v>2010</v>
          </cell>
          <cell r="BV318">
            <v>2011</v>
          </cell>
          <cell r="BW318">
            <v>2012</v>
          </cell>
          <cell r="BX318">
            <v>2013</v>
          </cell>
          <cell r="BY318">
            <v>2014</v>
          </cell>
          <cell r="BZ318">
            <v>2015</v>
          </cell>
          <cell r="CA318">
            <v>2016</v>
          </cell>
        </row>
        <row r="319">
          <cell r="A319" t="str">
            <v>Accounts Receivable</v>
          </cell>
          <cell r="B319" t="str">
            <v>ar</v>
          </cell>
          <cell r="D319">
            <v>357</v>
          </cell>
          <cell r="E319">
            <v>241</v>
          </cell>
          <cell r="F319">
            <v>194.41200000000001</v>
          </cell>
          <cell r="G319">
            <v>132.30099999999999</v>
          </cell>
          <cell r="I319">
            <v>242.51900000000001</v>
          </cell>
          <cell r="J319">
            <v>219.01499999999999</v>
          </cell>
          <cell r="K319">
            <v>227.65899999999999</v>
          </cell>
          <cell r="L319">
            <v>372.14600000000002</v>
          </cell>
          <cell r="N319">
            <v>382.5</v>
          </cell>
          <cell r="O319">
            <v>342.33</v>
          </cell>
          <cell r="P319">
            <v>371.315</v>
          </cell>
          <cell r="Q319">
            <v>462.995</v>
          </cell>
          <cell r="S319">
            <v>491.58499999999998</v>
          </cell>
          <cell r="T319">
            <v>575.28499999999997</v>
          </cell>
          <cell r="U319">
            <v>595.32500000000005</v>
          </cell>
          <cell r="V319">
            <v>700.77499999999998</v>
          </cell>
          <cell r="X319">
            <v>797.66600000000005</v>
          </cell>
          <cell r="Y319">
            <v>1110.079</v>
          </cell>
          <cell r="Z319">
            <v>1501.027</v>
          </cell>
          <cell r="AA319">
            <v>1785.7159999999999</v>
          </cell>
          <cell r="AC319">
            <v>1485.4570000000001</v>
          </cell>
          <cell r="AD319">
            <v>1615.9670000000001</v>
          </cell>
          <cell r="AE319">
            <v>1313.473</v>
          </cell>
          <cell r="AF319">
            <v>1054.0999999999999</v>
          </cell>
          <cell r="AH319">
            <v>1072.3</v>
          </cell>
          <cell r="AI319">
            <v>1086.5334333333335</v>
          </cell>
          <cell r="AJ319">
            <v>1103.1367978888891</v>
          </cell>
          <cell r="AK319">
            <v>1153.010074671389</v>
          </cell>
          <cell r="AM319">
            <v>1155.9089719835779</v>
          </cell>
          <cell r="AN319">
            <v>1166.4378752671307</v>
          </cell>
          <cell r="AO319">
            <v>1194.367039137984</v>
          </cell>
          <cell r="AP319">
            <v>1316.4828281281702</v>
          </cell>
          <cell r="AR319">
            <v>1279.5647716685617</v>
          </cell>
          <cell r="AS319">
            <v>1266.7422280273674</v>
          </cell>
          <cell r="AT319">
            <v>1336.6071485896305</v>
          </cell>
          <cell r="AU319">
            <v>1478.4803903295574</v>
          </cell>
          <cell r="AW319">
            <v>132.30099999999999</v>
          </cell>
          <cell r="AX319">
            <v>372.14600000000002</v>
          </cell>
          <cell r="AY319">
            <v>462.995</v>
          </cell>
          <cell r="AZ319">
            <v>700.77499999999998</v>
          </cell>
          <cell r="BA319">
            <v>1785.7159999999999</v>
          </cell>
          <cell r="BB319">
            <v>1054.0999999999999</v>
          </cell>
          <cell r="BC319">
            <v>1153.010074671389</v>
          </cell>
          <cell r="BD319">
            <v>1316.4828281281702</v>
          </cell>
          <cell r="BE319">
            <v>1478.4803903295574</v>
          </cell>
          <cell r="BF319">
            <v>2000</v>
          </cell>
          <cell r="BG319">
            <v>1153.010074671389</v>
          </cell>
          <cell r="BH319">
            <v>1523.2690301981349</v>
          </cell>
          <cell r="BI319">
            <v>1863.1555950199881</v>
          </cell>
          <cell r="BJ319">
            <v>2181.877818530746</v>
          </cell>
          <cell r="BK319">
            <v>2476.1776173093117</v>
          </cell>
          <cell r="BL319">
            <v>2863.0803700138913</v>
          </cell>
          <cell r="BM319">
            <v>3385.399086165075</v>
          </cell>
          <cell r="BN319">
            <v>4330.4090596460119</v>
          </cell>
          <cell r="BO319">
            <v>5271.9804349122851</v>
          </cell>
          <cell r="BP319">
            <v>6189.4419651437729</v>
          </cell>
          <cell r="BQ319">
            <v>6808.3861616581526</v>
          </cell>
          <cell r="BR319">
            <v>7353.0570545908067</v>
          </cell>
          <cell r="BS319">
            <v>7794.240477866254</v>
          </cell>
          <cell r="BT319">
            <v>8106.0100969809046</v>
          </cell>
          <cell r="BU319">
            <v>8349.1903998903326</v>
          </cell>
          <cell r="BV319">
            <v>2011</v>
          </cell>
          <cell r="BW319">
            <v>2012</v>
          </cell>
          <cell r="BX319">
            <v>1683.7</v>
          </cell>
          <cell r="BY319">
            <v>1597.0900553421141</v>
          </cell>
          <cell r="BZ319">
            <v>86.60994465788599</v>
          </cell>
          <cell r="CA319">
            <v>2016</v>
          </cell>
        </row>
        <row r="320">
          <cell r="A320" t="str">
            <v>Inventories</v>
          </cell>
          <cell r="B320" t="str">
            <v>inv</v>
          </cell>
          <cell r="D320">
            <v>317</v>
          </cell>
          <cell r="E320">
            <v>203</v>
          </cell>
          <cell r="F320">
            <v>163.25</v>
          </cell>
          <cell r="G320">
            <v>142.97499999999999</v>
          </cell>
          <cell r="I320">
            <v>194.82499999999999</v>
          </cell>
          <cell r="J320">
            <v>207.43899999999999</v>
          </cell>
          <cell r="K320">
            <v>217.62</v>
          </cell>
          <cell r="L320">
            <v>312.92599999999999</v>
          </cell>
          <cell r="N320">
            <v>347.6</v>
          </cell>
          <cell r="O320">
            <v>378.70299999999997</v>
          </cell>
          <cell r="P320">
            <v>350.51299999999998</v>
          </cell>
          <cell r="Q320">
            <v>430.93200000000002</v>
          </cell>
          <cell r="S320">
            <v>537.17700000000002</v>
          </cell>
          <cell r="T320">
            <v>642.78899999999999</v>
          </cell>
          <cell r="U320">
            <v>785.44200000000001</v>
          </cell>
          <cell r="V320">
            <v>722.33299999999997</v>
          </cell>
          <cell r="X320">
            <v>910.94799999999998</v>
          </cell>
          <cell r="Y320">
            <v>1290.665</v>
          </cell>
          <cell r="Z320">
            <v>1621.268</v>
          </cell>
          <cell r="AA320">
            <v>1664.3040000000001</v>
          </cell>
          <cell r="AC320">
            <v>1721.4480000000001</v>
          </cell>
          <cell r="AD320">
            <v>1517.0889999999999</v>
          </cell>
          <cell r="AE320">
            <v>1671.1369999999999</v>
          </cell>
          <cell r="AF320">
            <v>1372.7</v>
          </cell>
          <cell r="AH320">
            <v>1238.3</v>
          </cell>
          <cell r="AI320">
            <v>1249.9624290909092</v>
          </cell>
          <cell r="AJ320">
            <v>1269.0631592242426</v>
          </cell>
          <cell r="AK320">
            <v>1295.4750201970146</v>
          </cell>
          <cell r="AM320">
            <v>1308.5140506457246</v>
          </cell>
          <cell r="AN320">
            <v>1329.8349182594075</v>
          </cell>
          <cell r="AO320">
            <v>1372.4093306865032</v>
          </cell>
          <cell r="AP320">
            <v>1487.8942657497562</v>
          </cell>
          <cell r="AR320">
            <v>1455.6580904508562</v>
          </cell>
          <cell r="AS320">
            <v>1466.5961934806053</v>
          </cell>
          <cell r="AT320">
            <v>1524.0351932664728</v>
          </cell>
          <cell r="AU320">
            <v>1590.7006580053032</v>
          </cell>
          <cell r="AW320">
            <v>142.97499999999999</v>
          </cell>
          <cell r="AX320">
            <v>312.92599999999999</v>
          </cell>
          <cell r="AY320">
            <v>430.93200000000002</v>
          </cell>
          <cell r="AZ320">
            <v>722.33299999999997</v>
          </cell>
          <cell r="BA320">
            <v>1664.3040000000001</v>
          </cell>
          <cell r="BB320">
            <v>1372.7</v>
          </cell>
          <cell r="BC320">
            <v>1295.4750201970146</v>
          </cell>
          <cell r="BD320">
            <v>1487.8942657497562</v>
          </cell>
          <cell r="BE320">
            <v>1590.7006580053032</v>
          </cell>
          <cell r="BF320">
            <v>9752.0749999999989</v>
          </cell>
          <cell r="BG320">
            <v>1295.4750201970146</v>
          </cell>
          <cell r="BH320">
            <v>1721.6231442362932</v>
          </cell>
          <cell r="BI320">
            <v>2004.5736489639446</v>
          </cell>
          <cell r="BJ320">
            <v>2258.675529302413</v>
          </cell>
          <cell r="BK320">
            <v>2537.7725355398811</v>
          </cell>
          <cell r="BL320">
            <v>2810.4615956460689</v>
          </cell>
          <cell r="BM320">
            <v>3650.2273496542443</v>
          </cell>
          <cell r="BN320">
            <v>4594.5807320105168</v>
          </cell>
          <cell r="BO320">
            <v>5675.2527045438874</v>
          </cell>
          <cell r="BP320">
            <v>6413.0355561345923</v>
          </cell>
          <cell r="BQ320">
            <v>7054.3391117480533</v>
          </cell>
          <cell r="BR320">
            <v>7618.686240687899</v>
          </cell>
          <cell r="BS320">
            <v>8075.8074151291721</v>
          </cell>
          <cell r="BT320">
            <v>8398.8397117343393</v>
          </cell>
          <cell r="BU320">
            <v>14098.440677303883</v>
          </cell>
          <cell r="BV320">
            <v>17341.082033083774</v>
          </cell>
          <cell r="BW320">
            <v>19768.833517715506</v>
          </cell>
          <cell r="BX320">
            <v>1101.5</v>
          </cell>
          <cell r="BY320">
            <v>1086.5334333333335</v>
          </cell>
          <cell r="BZ320">
            <v>14.966566666666495</v>
          </cell>
          <cell r="CA320">
            <v>20953.302946762949</v>
          </cell>
          <cell r="CB320">
            <v>22629.567182503986</v>
          </cell>
          <cell r="CC320">
            <v>24213.636885279266</v>
          </cell>
          <cell r="CD320">
            <v>25666.455098396022</v>
          </cell>
          <cell r="CE320">
            <v>26949.777853315823</v>
          </cell>
          <cell r="CF320">
            <v>28297.266745981615</v>
          </cell>
          <cell r="CG320">
            <v>29712.130083280696</v>
          </cell>
          <cell r="CH320">
            <v>31197.736587444731</v>
          </cell>
          <cell r="CI320">
            <v>32757.623416816969</v>
          </cell>
          <cell r="CJ320">
            <v>34395.504587657815</v>
          </cell>
          <cell r="CN320">
            <v>1604.3140800000001</v>
          </cell>
          <cell r="CO320">
            <v>1634.8</v>
          </cell>
        </row>
        <row r="321">
          <cell r="A321" t="str">
            <v xml:space="preserve">  Raw Materials</v>
          </cell>
          <cell r="B321" t="str">
            <v>inv</v>
          </cell>
          <cell r="D321">
            <v>317</v>
          </cell>
          <cell r="E321">
            <v>203</v>
          </cell>
          <cell r="F321">
            <v>163.25</v>
          </cell>
          <cell r="G321">
            <v>142.97499999999999</v>
          </cell>
          <cell r="I321">
            <v>194.82499999999999</v>
          </cell>
          <cell r="J321">
            <v>207.43899999999999</v>
          </cell>
          <cell r="K321">
            <v>217.62</v>
          </cell>
          <cell r="L321">
            <v>312.92599999999999</v>
          </cell>
          <cell r="N321">
            <v>347.6</v>
          </cell>
          <cell r="O321">
            <v>378.70299999999997</v>
          </cell>
          <cell r="P321">
            <v>350.51299999999998</v>
          </cell>
          <cell r="Q321">
            <v>430.93200000000002</v>
          </cell>
          <cell r="S321">
            <v>537.17700000000002</v>
          </cell>
          <cell r="T321">
            <v>642.78899999999999</v>
          </cell>
          <cell r="U321">
            <v>785.44200000000001</v>
          </cell>
          <cell r="V321">
            <v>722.33299999999997</v>
          </cell>
          <cell r="X321">
            <v>910.94799999999998</v>
          </cell>
          <cell r="Y321">
            <v>1290.665</v>
          </cell>
          <cell r="Z321">
            <v>1621.268</v>
          </cell>
          <cell r="AA321">
            <v>1298.4690000000001</v>
          </cell>
          <cell r="AC321">
            <v>1721.4480000000001</v>
          </cell>
          <cell r="AD321">
            <v>1517.0889999999999</v>
          </cell>
          <cell r="AE321">
            <v>1671.1369999999999</v>
          </cell>
          <cell r="AF321">
            <v>1372.7</v>
          </cell>
          <cell r="AH321">
            <v>1238.3</v>
          </cell>
          <cell r="AI321">
            <v>1116.9000000000001</v>
          </cell>
          <cell r="AJ321">
            <v>1117.2115879253333</v>
          </cell>
          <cell r="AK321">
            <v>1053.5424797647058</v>
          </cell>
          <cell r="AM321">
            <v>1156.3390267435834</v>
          </cell>
          <cell r="AN321">
            <v>1161.7012826411431</v>
          </cell>
          <cell r="AO321">
            <v>1186.4309137762289</v>
          </cell>
          <cell r="AP321">
            <v>1160.2353281665823</v>
          </cell>
          <cell r="AR321">
            <v>1210.2063954390835</v>
          </cell>
          <cell r="AS321">
            <v>1225.3812194357918</v>
          </cell>
          <cell r="AT321">
            <v>1276.4749946308957</v>
          </cell>
          <cell r="AU321">
            <v>1259.5561524800205</v>
          </cell>
          <cell r="AW321">
            <v>142.97499999999999</v>
          </cell>
          <cell r="AX321">
            <v>312.92599999999999</v>
          </cell>
          <cell r="AY321">
            <v>430.93200000000002</v>
          </cell>
          <cell r="AZ321">
            <v>503.50900000000001</v>
          </cell>
          <cell r="BA321">
            <v>1298.4690000000001</v>
          </cell>
          <cell r="BB321">
            <v>1372.7</v>
          </cell>
          <cell r="BC321">
            <v>0</v>
          </cell>
          <cell r="BD321">
            <v>0</v>
          </cell>
          <cell r="BE321">
            <v>0</v>
          </cell>
          <cell r="BF321">
            <v>0.840979101876417</v>
          </cell>
          <cell r="BG321">
            <v>1053.5424797647058</v>
          </cell>
          <cell r="BH321">
            <v>1342.2870014515127</v>
          </cell>
          <cell r="BI321">
            <v>1586.8340368798247</v>
          </cell>
          <cell r="BJ321">
            <v>2322.2634526007701</v>
          </cell>
          <cell r="BK321">
            <v>2609.2178065604717</v>
          </cell>
          <cell r="BL321">
            <v>2889.5838130953875</v>
          </cell>
          <cell r="BM321">
            <v>3752.99128086975</v>
          </cell>
          <cell r="BN321">
            <v>4723.9308061512793</v>
          </cell>
          <cell r="BO321">
            <v>5835.0266645454758</v>
          </cell>
          <cell r="BP321">
            <v>6593.5801309363869</v>
          </cell>
          <cell r="BQ321">
            <v>7252.9381440300258</v>
          </cell>
          <cell r="BR321">
            <v>7833.1731955524292</v>
          </cell>
          <cell r="BS321">
            <v>8303.163587285575</v>
          </cell>
          <cell r="BT321">
            <v>8635.2901307769989</v>
          </cell>
          <cell r="BU321">
            <v>8894.3488347003076</v>
          </cell>
          <cell r="BV321">
            <v>29062.182235946406</v>
          </cell>
          <cell r="BW321">
            <v>33130.887748978908</v>
          </cell>
          <cell r="BX321">
            <v>28161.254586632072</v>
          </cell>
          <cell r="BY321">
            <v>29287.704770097356</v>
          </cell>
          <cell r="BZ321">
            <v>32216.475247107093</v>
          </cell>
          <cell r="CA321">
            <v>35115.958019346734</v>
          </cell>
        </row>
        <row r="322">
          <cell r="A322" t="str">
            <v xml:space="preserve">  WIP</v>
          </cell>
          <cell r="D322" t="str">
            <v>--</v>
          </cell>
          <cell r="E322" t="str">
            <v>--</v>
          </cell>
          <cell r="F322" t="str">
            <v>--</v>
          </cell>
          <cell r="G322" t="str">
            <v>--</v>
          </cell>
          <cell r="I322">
            <v>-0.35059703176112278</v>
          </cell>
          <cell r="J322">
            <v>-0.21238407192615727</v>
          </cell>
          <cell r="K322">
            <v>0.12417634354236862</v>
          </cell>
          <cell r="L322">
            <v>0.89020709117822028</v>
          </cell>
          <cell r="N322">
            <v>0.52750206782464848</v>
          </cell>
          <cell r="O322">
            <v>0.79638225493724679</v>
          </cell>
          <cell r="P322">
            <v>0.98378458973838767</v>
          </cell>
          <cell r="Q322">
            <v>0.35438467066849921</v>
          </cell>
          <cell r="S322">
            <v>0.46449708948152169</v>
          </cell>
          <cell r="T322">
            <v>0.61539048190263723</v>
          </cell>
          <cell r="U322">
            <v>0.67194061113849179</v>
          </cell>
          <cell r="V322">
            <v>0.73863014942213212</v>
          </cell>
          <cell r="X322">
            <v>0.49037458958203928</v>
          </cell>
          <cell r="Y322" t="str">
            <v xml:space="preserve"> </v>
          </cell>
          <cell r="Z322">
            <v>0.91617579758089307</v>
          </cell>
          <cell r="AA322">
            <v>215.185</v>
          </cell>
          <cell r="AC322">
            <v>0.66999726481604482</v>
          </cell>
          <cell r="AD322">
            <v>0.27191912740817736</v>
          </cell>
          <cell r="AE322">
            <v>-0.15276009182550698</v>
          </cell>
          <cell r="AF322">
            <v>-0.28990753309433481</v>
          </cell>
          <cell r="AH322">
            <v>-0.20095076274569879</v>
          </cell>
          <cell r="AI322">
            <v>-0.15466045478155055</v>
          </cell>
          <cell r="AJ322">
            <v>-0.11078326789078274</v>
          </cell>
          <cell r="AK322">
            <v>-0.21905890041663256</v>
          </cell>
          <cell r="AM322">
            <v>-0.26218917034626998</v>
          </cell>
          <cell r="AN322">
            <v>-0.28934732349279735</v>
          </cell>
          <cell r="AO322">
            <v>-0.16544999744754718</v>
          </cell>
          <cell r="AP322">
            <v>1.5168157330402998E-3</v>
          </cell>
          <cell r="AR322">
            <v>0.26263666372684891</v>
          </cell>
          <cell r="AS322">
            <v>0.45103861473973961</v>
          </cell>
          <cell r="AT322">
            <v>0.4582579323672622</v>
          </cell>
          <cell r="AU322">
            <v>0.51114526701225205</v>
          </cell>
          <cell r="AW322">
            <v>0.44006424957095036</v>
          </cell>
          <cell r="AX322">
            <v>0.31187578898283164</v>
          </cell>
          <cell r="AY322">
            <v>0.25191542111606879</v>
          </cell>
          <cell r="AZ322">
            <v>108.928</v>
          </cell>
          <cell r="BA322">
            <v>215.185</v>
          </cell>
          <cell r="BB322" t="str">
            <v xml:space="preserve"> --</v>
          </cell>
          <cell r="BC322">
            <v>0</v>
          </cell>
          <cell r="BD322">
            <v>0</v>
          </cell>
          <cell r="BE322">
            <v>0</v>
          </cell>
          <cell r="BF322">
            <v>0.840979101876417</v>
          </cell>
          <cell r="BG322">
            <v>2.5877159476316747E-2</v>
          </cell>
          <cell r="BH322">
            <v>-0.17321634783627382</v>
          </cell>
          <cell r="BI322">
            <v>-0.18569787825666439</v>
          </cell>
          <cell r="BJ322">
            <v>0.42545476756128853</v>
          </cell>
          <cell r="BK322">
            <v>0.27147249522594308</v>
          </cell>
        </row>
        <row r="323">
          <cell r="A323" t="str">
            <v xml:space="preserve">  Finished Goods</v>
          </cell>
          <cell r="D323">
            <v>0</v>
          </cell>
          <cell r="E323">
            <v>0</v>
          </cell>
          <cell r="F323">
            <v>0</v>
          </cell>
          <cell r="G323">
            <v>0</v>
          </cell>
          <cell r="I323">
            <v>70</v>
          </cell>
          <cell r="J323">
            <v>140</v>
          </cell>
          <cell r="K323">
            <v>223.25</v>
          </cell>
          <cell r="L323">
            <v>390</v>
          </cell>
          <cell r="N323">
            <v>332.5</v>
          </cell>
          <cell r="O323">
            <v>276.5</v>
          </cell>
          <cell r="P323">
            <v>207.5</v>
          </cell>
          <cell r="Q323">
            <v>83.5</v>
          </cell>
          <cell r="S323">
            <v>172</v>
          </cell>
          <cell r="T323">
            <v>181.03333333333333</v>
          </cell>
          <cell r="U323">
            <v>200.255</v>
          </cell>
          <cell r="V323">
            <v>237.08333333333331</v>
          </cell>
          <cell r="X323">
            <v>128.75</v>
          </cell>
          <cell r="Y323" t="str">
            <v xml:space="preserve"> </v>
          </cell>
          <cell r="Z323">
            <v>585.83333333333326</v>
          </cell>
          <cell r="AA323">
            <v>150.65</v>
          </cell>
          <cell r="AC323">
            <v>590</v>
          </cell>
          <cell r="AD323">
            <v>460</v>
          </cell>
          <cell r="AE323">
            <v>390</v>
          </cell>
          <cell r="AF323">
            <v>765</v>
          </cell>
          <cell r="AH323">
            <v>745</v>
          </cell>
          <cell r="AI323">
            <v>755</v>
          </cell>
          <cell r="AJ323">
            <v>480</v>
          </cell>
          <cell r="AK323">
            <v>100</v>
          </cell>
          <cell r="AM323">
            <v>100</v>
          </cell>
          <cell r="AN323">
            <v>0</v>
          </cell>
          <cell r="AO323">
            <v>0</v>
          </cell>
          <cell r="AP323">
            <v>0</v>
          </cell>
          <cell r="AR323">
            <v>0</v>
          </cell>
          <cell r="AS323">
            <v>0</v>
          </cell>
          <cell r="AT323">
            <v>0</v>
          </cell>
          <cell r="AU323">
            <v>0</v>
          </cell>
          <cell r="AW323">
            <v>100</v>
          </cell>
          <cell r="AX323">
            <v>100</v>
          </cell>
          <cell r="AY323">
            <v>100</v>
          </cell>
          <cell r="AZ323">
            <v>109.896</v>
          </cell>
          <cell r="BA323">
            <v>150.65</v>
          </cell>
          <cell r="BB323" t="str">
            <v xml:space="preserve"> </v>
          </cell>
          <cell r="BC323">
            <v>0</v>
          </cell>
          <cell r="BD323">
            <v>0</v>
          </cell>
          <cell r="BE323">
            <v>0</v>
          </cell>
          <cell r="BF323">
            <v>1924.8333333333335</v>
          </cell>
          <cell r="BG323">
            <v>2205</v>
          </cell>
          <cell r="BH323">
            <v>2080</v>
          </cell>
          <cell r="BI323">
            <v>100</v>
          </cell>
          <cell r="BJ323">
            <v>0</v>
          </cell>
          <cell r="BK323">
            <v>400</v>
          </cell>
          <cell r="BM323">
            <v>2080</v>
          </cell>
          <cell r="BN323">
            <v>100</v>
          </cell>
          <cell r="BO323">
            <v>0</v>
          </cell>
          <cell r="BP323">
            <v>400</v>
          </cell>
          <cell r="BQ323">
            <v>454.5454545454545</v>
          </cell>
          <cell r="BR323">
            <v>757.57575757575751</v>
          </cell>
          <cell r="BS323">
            <v>530.30303030303025</v>
          </cell>
          <cell r="BT323">
            <v>378.78787878787875</v>
          </cell>
          <cell r="BU323">
            <v>606.06060606060601</v>
          </cell>
          <cell r="BV323">
            <v>1212.121212121212</v>
          </cell>
          <cell r="BW323">
            <v>757.57575757575751</v>
          </cell>
          <cell r="BX323">
            <v>303.030303030303</v>
          </cell>
          <cell r="BY323">
            <v>100</v>
          </cell>
          <cell r="BZ323">
            <v>400</v>
          </cell>
          <cell r="CA323">
            <v>300</v>
          </cell>
        </row>
        <row r="324">
          <cell r="A324" t="str">
            <v>Other</v>
          </cell>
          <cell r="B324" t="str">
            <v>coa</v>
          </cell>
          <cell r="D324">
            <v>2</v>
          </cell>
          <cell r="E324">
            <v>2</v>
          </cell>
          <cell r="F324">
            <v>12.228999999999999</v>
          </cell>
          <cell r="G324">
            <v>31.962</v>
          </cell>
          <cell r="I324">
            <v>16.128</v>
          </cell>
          <cell r="J324">
            <v>38.631999999999998</v>
          </cell>
          <cell r="K324">
            <v>21.936</v>
          </cell>
          <cell r="L324">
            <v>40.578000000000003</v>
          </cell>
          <cell r="N324">
            <v>57.900000000000006</v>
          </cell>
          <cell r="O324">
            <v>56.655999999999999</v>
          </cell>
          <cell r="P324">
            <v>63.634</v>
          </cell>
          <cell r="Q324">
            <v>57.277000000000001</v>
          </cell>
          <cell r="S324">
            <v>63.113</v>
          </cell>
          <cell r="T324">
            <v>57.386000000000003</v>
          </cell>
          <cell r="U324">
            <v>57.936</v>
          </cell>
          <cell r="V324">
            <v>56.683</v>
          </cell>
          <cell r="X324">
            <v>78.873000000000005</v>
          </cell>
          <cell r="Y324">
            <v>117.622</v>
          </cell>
          <cell r="Z324">
            <v>172.578</v>
          </cell>
          <cell r="AA324">
            <v>187.18700000000001</v>
          </cell>
          <cell r="AC324">
            <v>241.572</v>
          </cell>
          <cell r="AD324">
            <v>145.047</v>
          </cell>
          <cell r="AE324">
            <v>164.036</v>
          </cell>
          <cell r="AF324">
            <v>227</v>
          </cell>
          <cell r="AH324">
            <v>227.89999999999998</v>
          </cell>
          <cell r="AI324">
            <v>235.41595980711131</v>
          </cell>
          <cell r="AJ324">
            <v>239.0133613071113</v>
          </cell>
          <cell r="AK324">
            <v>255.62900563246683</v>
          </cell>
          <cell r="AM324">
            <v>250.4473509428428</v>
          </cell>
          <cell r="AN324">
            <v>258.60602672666568</v>
          </cell>
          <cell r="AO324">
            <v>271.10280025850381</v>
          </cell>
          <cell r="AP324">
            <v>298.821191059802</v>
          </cell>
          <cell r="AR324">
            <v>283.68691428580235</v>
          </cell>
          <cell r="AS324">
            <v>294.54379348576236</v>
          </cell>
          <cell r="AT324">
            <v>310.7888339357329</v>
          </cell>
          <cell r="AU324">
            <v>343.77729985375538</v>
          </cell>
          <cell r="AW324">
            <v>31.962</v>
          </cell>
          <cell r="AX324">
            <v>40.578000000000003</v>
          </cell>
          <cell r="AY324">
            <v>57.277000000000001</v>
          </cell>
          <cell r="AZ324">
            <v>56.683</v>
          </cell>
          <cell r="BA324">
            <v>187.18700000000001</v>
          </cell>
          <cell r="BB324">
            <v>227</v>
          </cell>
          <cell r="BC324">
            <v>255.62900563246683</v>
          </cell>
          <cell r="BD324">
            <v>298.821191059802</v>
          </cell>
          <cell r="BE324">
            <v>343.77729985375538</v>
          </cell>
          <cell r="BF324">
            <v>0.47761254232249728</v>
          </cell>
          <cell r="BG324">
            <v>378.56793274497824</v>
          </cell>
          <cell r="BH324">
            <v>489.94601898266342</v>
          </cell>
          <cell r="BI324">
            <v>607.31894161377272</v>
          </cell>
          <cell r="BJ324">
            <v>716.63635110425173</v>
          </cell>
          <cell r="BK324">
            <v>874.29634834718706</v>
          </cell>
          <cell r="BL324">
            <v>1092.8704354339839</v>
          </cell>
          <cell r="BM324">
            <v>1366.0880442924799</v>
          </cell>
          <cell r="BN324">
            <v>1652.9665335939007</v>
          </cell>
          <cell r="BO324">
            <v>1933.9708443048637</v>
          </cell>
          <cell r="BP324">
            <v>2185.3870540644957</v>
          </cell>
          <cell r="BQ324">
            <v>2403.9257594709456</v>
          </cell>
          <cell r="BR324">
            <v>2596.2398202286213</v>
          </cell>
          <cell r="BS324">
            <v>2752.0142094423386</v>
          </cell>
          <cell r="BT324">
            <v>2862.094777820032</v>
          </cell>
          <cell r="BU324">
            <v>0.1101341801464566</v>
          </cell>
          <cell r="BV324">
            <v>0.14402444852837348</v>
          </cell>
          <cell r="BW324">
            <v>9.6313236040840522E-2</v>
          </cell>
          <cell r="BX324">
            <v>-0.1653286891084772</v>
          </cell>
          <cell r="BY324">
            <v>3.4048861875532355E-2</v>
          </cell>
          <cell r="BZ324">
            <v>7.7111007213586324E-2</v>
          </cell>
          <cell r="CA324">
            <v>7.4393868554717857E-2</v>
          </cell>
        </row>
        <row r="325">
          <cell r="A325" t="str">
            <v>Other</v>
          </cell>
          <cell r="B325" t="str">
            <v>coa</v>
          </cell>
          <cell r="D325">
            <v>2</v>
          </cell>
          <cell r="E325">
            <v>2</v>
          </cell>
          <cell r="F325">
            <v>12.228999999999999</v>
          </cell>
          <cell r="G325">
            <v>31.962</v>
          </cell>
          <cell r="I325">
            <v>16.128</v>
          </cell>
          <cell r="J325">
            <v>38.631999999999998</v>
          </cell>
          <cell r="K325">
            <v>21.936</v>
          </cell>
          <cell r="L325">
            <v>40.578000000000003</v>
          </cell>
          <cell r="N325">
            <v>57.900000000000006</v>
          </cell>
          <cell r="O325">
            <v>56.655999999999999</v>
          </cell>
          <cell r="P325">
            <v>63.634</v>
          </cell>
          <cell r="Q325">
            <v>57.277000000000001</v>
          </cell>
          <cell r="S325">
            <v>63.113</v>
          </cell>
          <cell r="T325">
            <v>57.386000000000003</v>
          </cell>
          <cell r="U325">
            <v>57.936</v>
          </cell>
          <cell r="V325">
            <v>56.683</v>
          </cell>
          <cell r="X325">
            <v>78.873000000000005</v>
          </cell>
          <cell r="Y325">
            <v>117.622</v>
          </cell>
          <cell r="Z325">
            <v>172.578</v>
          </cell>
          <cell r="AA325">
            <v>187.18700000000001</v>
          </cell>
          <cell r="AC325">
            <v>241.572</v>
          </cell>
          <cell r="AD325">
            <v>145.047</v>
          </cell>
          <cell r="AE325">
            <v>164.036</v>
          </cell>
          <cell r="AF325">
            <v>227</v>
          </cell>
          <cell r="AH325">
            <v>227.89999999999998</v>
          </cell>
          <cell r="AI325">
            <v>211.39999999999998</v>
          </cell>
          <cell r="AJ325">
            <v>212.16104000000004</v>
          </cell>
          <cell r="AK325">
            <v>226.99075000000005</v>
          </cell>
          <cell r="AM325">
            <v>222.39948869600005</v>
          </cell>
          <cell r="AN325">
            <v>229.68162609952003</v>
          </cell>
          <cell r="AO325">
            <v>240.8454085064609</v>
          </cell>
          <cell r="AP325">
            <v>265.54219462852546</v>
          </cell>
          <cell r="AR325">
            <v>252.08585663680336</v>
          </cell>
          <cell r="AS325">
            <v>261.75528045196518</v>
          </cell>
          <cell r="AT325">
            <v>276.21448717486174</v>
          </cell>
          <cell r="AU325">
            <v>305.61187710046011</v>
          </cell>
          <cell r="AW325">
            <v>31.962</v>
          </cell>
          <cell r="AX325">
            <v>40.578000000000003</v>
          </cell>
          <cell r="AY325">
            <v>57.277000000000001</v>
          </cell>
          <cell r="AZ325">
            <v>56.683</v>
          </cell>
          <cell r="BA325">
            <v>187.18700000000001</v>
          </cell>
          <cell r="BB325">
            <v>227</v>
          </cell>
          <cell r="BC325">
            <v>226.99075000000005</v>
          </cell>
          <cell r="BD325">
            <v>265.54219462852546</v>
          </cell>
          <cell r="BE325">
            <v>305.61187710046011</v>
          </cell>
          <cell r="BF325">
            <v>0.47761254232249728</v>
          </cell>
          <cell r="BG325">
            <v>402.54907599897069</v>
          </cell>
          <cell r="BH325">
            <v>521.89743816045109</v>
          </cell>
          <cell r="BI325">
            <v>647.5048345813583</v>
          </cell>
          <cell r="BJ325">
            <v>764.05570480600272</v>
          </cell>
          <cell r="BK325">
            <v>932.14795986332331</v>
          </cell>
          <cell r="BL325">
            <v>1165.1849498291542</v>
          </cell>
          <cell r="BM325">
            <v>1456.4811872864427</v>
          </cell>
          <cell r="BN325">
            <v>1762.3422366165955</v>
          </cell>
          <cell r="BO325">
            <v>2061.9404168414167</v>
          </cell>
          <cell r="BP325">
            <v>2329.9926710308005</v>
          </cell>
          <cell r="BQ325">
            <v>2562.9919381338809</v>
          </cell>
          <cell r="BR325">
            <v>2768.0312931845915</v>
          </cell>
          <cell r="BS325">
            <v>2934.1131707756672</v>
          </cell>
          <cell r="BT325">
            <v>3051.4776976066942</v>
          </cell>
          <cell r="BU325">
            <v>3143.0220285348951</v>
          </cell>
          <cell r="BV325">
            <v>0.24577979165623165</v>
          </cell>
          <cell r="BW325">
            <v>0.11393259214241924</v>
          </cell>
          <cell r="BX325">
            <v>-0.15914645889739687</v>
          </cell>
          <cell r="BY325">
            <v>3.6449021839834117E-2</v>
          </cell>
          <cell r="BZ325">
            <v>8.6342391691669906E-2</v>
          </cell>
          <cell r="CA325">
            <v>8.0687994335229662E-2</v>
          </cell>
        </row>
        <row r="326">
          <cell r="A326" t="str">
            <v>Gross PP&amp;E</v>
          </cell>
          <cell r="D326" t="str">
            <v>--</v>
          </cell>
          <cell r="E326" t="str">
            <v>--</v>
          </cell>
          <cell r="F326" t="str">
            <v>--</v>
          </cell>
          <cell r="G326" t="str">
            <v>--</v>
          </cell>
          <cell r="I326">
            <v>70</v>
          </cell>
          <cell r="J326">
            <v>70</v>
          </cell>
          <cell r="K326">
            <v>83</v>
          </cell>
          <cell r="L326">
            <v>167</v>
          </cell>
          <cell r="N326">
            <v>6</v>
          </cell>
          <cell r="O326">
            <v>7</v>
          </cell>
          <cell r="P326">
            <v>14</v>
          </cell>
          <cell r="Q326">
            <v>42</v>
          </cell>
          <cell r="S326">
            <v>120</v>
          </cell>
          <cell r="T326">
            <v>13</v>
          </cell>
          <cell r="U326">
            <v>15</v>
          </cell>
          <cell r="V326">
            <v>28</v>
          </cell>
          <cell r="X326">
            <v>82</v>
          </cell>
          <cell r="Y326">
            <v>195</v>
          </cell>
          <cell r="Z326">
            <v>47</v>
          </cell>
          <cell r="AA326">
            <v>3</v>
          </cell>
          <cell r="AC326">
            <v>20</v>
          </cell>
          <cell r="AD326">
            <v>90</v>
          </cell>
          <cell r="AE326">
            <v>260</v>
          </cell>
          <cell r="AF326">
            <v>380</v>
          </cell>
          <cell r="AH326">
            <v>0</v>
          </cell>
          <cell r="AI326">
            <v>100</v>
          </cell>
          <cell r="AJ326">
            <v>0</v>
          </cell>
          <cell r="AK326">
            <v>0</v>
          </cell>
          <cell r="AM326">
            <v>0</v>
          </cell>
          <cell r="AN326">
            <v>0</v>
          </cell>
          <cell r="AO326">
            <v>0</v>
          </cell>
          <cell r="AP326">
            <v>0</v>
          </cell>
          <cell r="AR326">
            <v>0</v>
          </cell>
          <cell r="AS326">
            <v>0</v>
          </cell>
          <cell r="AT326">
            <v>0</v>
          </cell>
          <cell r="AU326">
            <v>0</v>
          </cell>
          <cell r="AW326">
            <v>0</v>
          </cell>
          <cell r="AX326">
            <v>145.48400000000001</v>
          </cell>
          <cell r="AY326">
            <v>272.22899999999998</v>
          </cell>
          <cell r="AZ326">
            <v>481.77</v>
          </cell>
          <cell r="BA326">
            <v>844.28199999999993</v>
          </cell>
          <cell r="BB326" t="str">
            <v>--</v>
          </cell>
          <cell r="BC326">
            <v>0</v>
          </cell>
          <cell r="BD326">
            <v>0</v>
          </cell>
          <cell r="BE326">
            <v>0</v>
          </cell>
          <cell r="BF326" t="str">
            <v>--</v>
          </cell>
          <cell r="BG326">
            <v>1569.3193079196249</v>
          </cell>
          <cell r="BH326">
            <v>2605.0416624298387</v>
          </cell>
          <cell r="BI326">
            <v>3645.0322128500047</v>
          </cell>
          <cell r="BJ326">
            <v>4764.6676944864685</v>
          </cell>
          <cell r="BK326">
            <v>5700.6628338293885</v>
          </cell>
          <cell r="BL326">
            <v>7093.512743565876</v>
          </cell>
          <cell r="BM326">
            <v>8834.5751307364862</v>
          </cell>
          <cell r="BN326">
            <v>10688.458360595752</v>
          </cell>
          <cell r="BO326">
            <v>12660.315977809698</v>
          </cell>
          <cell r="BP326">
            <v>14888.515085261457</v>
          </cell>
          <cell r="BQ326">
            <v>17339.534103458391</v>
          </cell>
          <cell r="BR326">
            <v>19986.63464311108</v>
          </cell>
          <cell r="BS326">
            <v>22792.56121514293</v>
          </cell>
          <cell r="BT326">
            <v>25856.633031801714</v>
          </cell>
          <cell r="BU326">
            <v>29087.769716559273</v>
          </cell>
        </row>
        <row r="327">
          <cell r="A327" t="str">
            <v>Accmulated depreciation</v>
          </cell>
          <cell r="D327" t="str">
            <v>--</v>
          </cell>
          <cell r="E327" t="str">
            <v>--</v>
          </cell>
          <cell r="F327" t="str">
            <v>--</v>
          </cell>
          <cell r="G327" t="str">
            <v>--</v>
          </cell>
          <cell r="I327">
            <v>0.1443274724362611</v>
          </cell>
          <cell r="J327">
            <v>-0.25422870140612086</v>
          </cell>
          <cell r="K327">
            <v>-0.24274186994229707</v>
          </cell>
          <cell r="L327">
            <v>0.26170997538601415</v>
          </cell>
          <cell r="N327">
            <v>7.2473568730084148E-2</v>
          </cell>
          <cell r="O327">
            <v>3.7797482063083754E-2</v>
          </cell>
          <cell r="P327">
            <v>3.0995797683878834E-2</v>
          </cell>
          <cell r="Q327">
            <v>8.83415475603746E-2</v>
          </cell>
          <cell r="S327">
            <v>3.9474850264455519E-2</v>
          </cell>
          <cell r="T327">
            <v>0.14316191912917442</v>
          </cell>
          <cell r="U327">
            <v>7.3815315675762161E-2</v>
          </cell>
          <cell r="V327">
            <v>0.1649320128199554</v>
          </cell>
          <cell r="X327">
            <v>-4.8750863247326581E-2</v>
          </cell>
          <cell r="Y327">
            <v>0.17649069076109414</v>
          </cell>
          <cell r="Z327">
            <v>0.22050277190454737</v>
          </cell>
          <cell r="AA327">
            <v>0.3248163855225219</v>
          </cell>
          <cell r="AC327">
            <v>-0.2248282923207221</v>
          </cell>
          <cell r="AD327">
            <v>-4.5261134787331736E-2</v>
          </cell>
          <cell r="AE327">
            <v>-0.26976148435791114</v>
          </cell>
          <cell r="AF327">
            <v>-6.1167979300483455E-2</v>
          </cell>
          <cell r="AH327">
            <v>-0.12119107916019922</v>
          </cell>
          <cell r="AI327">
            <v>-1.0690216128282914E-3</v>
          </cell>
          <cell r="AJ327">
            <v>-0.12906811310688238</v>
          </cell>
          <cell r="AK327">
            <v>-2.3993057328092315E-2</v>
          </cell>
          <cell r="AM327">
            <v>-0.1697264501281448</v>
          </cell>
          <cell r="AN327">
            <v>6.9295703666372166E-3</v>
          </cell>
          <cell r="AO327">
            <v>2.2772772772772676E-2</v>
          </cell>
          <cell r="AP327">
            <v>6.7300000000000137E-2</v>
          </cell>
          <cell r="AR327">
            <v>-4.5502670289515601E-2</v>
          </cell>
          <cell r="AS327">
            <v>4.5780894933422189E-2</v>
          </cell>
          <cell r="AT327">
            <v>3.3197845338010845E-2</v>
          </cell>
          <cell r="AU327">
            <v>9.5859002482715061E-2</v>
          </cell>
          <cell r="AW327">
            <v>-4.67722955324259E-2</v>
          </cell>
          <cell r="AX327">
            <v>-21.242000000000001</v>
          </cell>
          <cell r="AY327">
            <v>-57.302999999999997</v>
          </cell>
          <cell r="AZ327">
            <v>-116.32299999999999</v>
          </cell>
          <cell r="BA327">
            <v>-210.84399999999999</v>
          </cell>
          <cell r="BB327" t="str">
            <v>--</v>
          </cell>
          <cell r="BC327">
            <v>0</v>
          </cell>
          <cell r="BD327">
            <v>0</v>
          </cell>
          <cell r="BE327">
            <v>0</v>
          </cell>
          <cell r="BF327" t="str">
            <v>--</v>
          </cell>
          <cell r="BG327">
            <v>-490.96914285714286</v>
          </cell>
          <cell r="BH327">
            <v>-788.95675827423213</v>
          </cell>
          <cell r="BI327">
            <v>-1163.476138621352</v>
          </cell>
          <cell r="BJ327">
            <v>-1635.1580647043768</v>
          </cell>
          <cell r="BK327">
            <v>-2198.1744110979907</v>
          </cell>
          <cell r="BL327">
            <v>-2894.9043488263078</v>
          </cell>
          <cell r="BM327">
            <v>-3790.6128450884089</v>
          </cell>
          <cell r="BN327">
            <v>-4935.0445395177403</v>
          </cell>
          <cell r="BO327">
            <v>-6344.3166953555374</v>
          </cell>
          <cell r="BP327">
            <v>-8035.282796509613</v>
          </cell>
          <cell r="BQ327">
            <v>-10044.563055871082</v>
          </cell>
          <cell r="BR327">
            <v>-12403.988889260685</v>
          </cell>
          <cell r="BS327">
            <v>-15141.571942600673</v>
          </cell>
          <cell r="BT327">
            <v>-18280.001649088066</v>
          </cell>
          <cell r="BU327">
            <v>-21856.155900812431</v>
          </cell>
          <cell r="CN327">
            <v>3.7000000000000366E-3</v>
          </cell>
          <cell r="CO327">
            <v>2.2772772772772676E-2</v>
          </cell>
        </row>
        <row r="328">
          <cell r="A328" t="str">
            <v>PP&amp;E</v>
          </cell>
          <cell r="B328" t="str">
            <v>ppe</v>
          </cell>
          <cell r="D328">
            <v>35</v>
          </cell>
          <cell r="E328">
            <v>38</v>
          </cell>
          <cell r="F328">
            <v>44.612000000000002</v>
          </cell>
          <cell r="G328">
            <v>67.305000000000007</v>
          </cell>
          <cell r="I328">
            <v>97.128</v>
          </cell>
          <cell r="J328">
            <v>98.429000000000002</v>
          </cell>
          <cell r="K328">
            <v>119.753</v>
          </cell>
          <cell r="L328">
            <v>124.242</v>
          </cell>
          <cell r="N328">
            <v>148.9</v>
          </cell>
          <cell r="O328">
            <v>175.405</v>
          </cell>
          <cell r="P328">
            <v>180.45400000000001</v>
          </cell>
          <cell r="Q328">
            <v>214.92599999999999</v>
          </cell>
          <cell r="S328">
            <v>242.70699999999999</v>
          </cell>
          <cell r="T328">
            <v>267.27</v>
          </cell>
          <cell r="U328">
            <v>326.24</v>
          </cell>
          <cell r="V328">
            <v>365.447</v>
          </cell>
          <cell r="X328">
            <v>417.59800000000001</v>
          </cell>
          <cell r="Y328">
            <v>508.05700000000002</v>
          </cell>
          <cell r="Z328">
            <v>544.37699999999995</v>
          </cell>
          <cell r="AA328">
            <v>633.43799999999999</v>
          </cell>
          <cell r="AC328">
            <v>708.23699999999997</v>
          </cell>
          <cell r="AD328">
            <v>752.66700000000003</v>
          </cell>
          <cell r="AE328">
            <v>890.82399999999996</v>
          </cell>
          <cell r="AF328">
            <v>915.1</v>
          </cell>
          <cell r="AH328">
            <v>938.7</v>
          </cell>
          <cell r="AI328">
            <v>967.59191175000001</v>
          </cell>
          <cell r="AJ328">
            <v>1001.4381544125</v>
          </cell>
          <cell r="AK328">
            <v>1037.6373079196251</v>
          </cell>
          <cell r="AM328">
            <v>1084.9244931371352</v>
          </cell>
          <cell r="AN328">
            <v>1133.7521251250616</v>
          </cell>
          <cell r="AO328">
            <v>1184.939283945261</v>
          </cell>
          <cell r="AP328">
            <v>1241.3599765793253</v>
          </cell>
          <cell r="AR328">
            <v>1321.7047413120024</v>
          </cell>
          <cell r="AS328">
            <v>1405.1243514503899</v>
          </cell>
          <cell r="AT328">
            <v>1493.1448222111703</v>
          </cell>
          <cell r="AU328">
            <v>1590.5081649889705</v>
          </cell>
          <cell r="AW328">
            <v>67.305000000000007</v>
          </cell>
          <cell r="AX328">
            <v>124.242</v>
          </cell>
          <cell r="AY328">
            <v>214.92599999999999</v>
          </cell>
          <cell r="AZ328">
            <v>365.447</v>
          </cell>
          <cell r="BA328">
            <v>633.43799999999999</v>
          </cell>
          <cell r="BB328">
            <v>915.1</v>
          </cell>
          <cell r="BC328">
            <v>1037.6373079196251</v>
          </cell>
          <cell r="BD328">
            <v>1241.3599765793253</v>
          </cell>
          <cell r="BE328">
            <v>1590.5081649889705</v>
          </cell>
          <cell r="BF328" t="str">
            <v>--</v>
          </cell>
          <cell r="BG328">
            <v>1078.3501650624821</v>
          </cell>
          <cell r="BH328">
            <v>1816.0849041556066</v>
          </cell>
          <cell r="BI328">
            <v>2481.5560742286525</v>
          </cell>
          <cell r="BJ328">
            <v>3129.5096297820919</v>
          </cell>
          <cell r="BK328">
            <v>3502.4884227313978</v>
          </cell>
          <cell r="BL328">
            <v>4198.6083947395682</v>
          </cell>
          <cell r="BM328">
            <v>5043.9622856480773</v>
          </cell>
          <cell r="BN328">
            <v>5753.413821078012</v>
          </cell>
          <cell r="BO328">
            <v>6315.9992824541605</v>
          </cell>
          <cell r="BP328">
            <v>6853.232288751844</v>
          </cell>
          <cell r="BQ328">
            <v>7294.9710475873089</v>
          </cell>
          <cell r="BR328">
            <v>7582.6457538503946</v>
          </cell>
          <cell r="BS328">
            <v>7650.9892725422578</v>
          </cell>
          <cell r="BT328">
            <v>7576.6313827136473</v>
          </cell>
          <cell r="BU328">
            <v>7231.6138157468413</v>
          </cell>
        </row>
        <row r="329">
          <cell r="A329" t="str">
            <v>Intangible Assets</v>
          </cell>
          <cell r="B329" t="str">
            <v>gw</v>
          </cell>
          <cell r="D329" t="str">
            <v>--</v>
          </cell>
          <cell r="E329" t="str">
            <v>--</v>
          </cell>
          <cell r="F329" t="str">
            <v>--</v>
          </cell>
          <cell r="G329">
            <v>228.85599999999999</v>
          </cell>
          <cell r="I329">
            <v>258.822</v>
          </cell>
          <cell r="J329">
            <v>277.42899999999997</v>
          </cell>
          <cell r="K329">
            <v>268.673</v>
          </cell>
          <cell r="L329">
            <v>352.26400000000001</v>
          </cell>
          <cell r="N329">
            <v>307.10000000000002</v>
          </cell>
          <cell r="O329">
            <v>308.34100000000001</v>
          </cell>
          <cell r="P329">
            <v>300.10599999999999</v>
          </cell>
          <cell r="Q329">
            <v>374.50799999999998</v>
          </cell>
          <cell r="S329">
            <v>360.483</v>
          </cell>
          <cell r="T329">
            <v>352.74200000000002</v>
          </cell>
          <cell r="U329">
            <v>348.99799999999999</v>
          </cell>
          <cell r="V329">
            <v>367.553</v>
          </cell>
          <cell r="X329">
            <v>417.07799999999997</v>
          </cell>
          <cell r="Y329">
            <v>592.28800000000001</v>
          </cell>
          <cell r="Z329">
            <v>589.55399999999997</v>
          </cell>
          <cell r="AA329">
            <v>578.27200000000005</v>
          </cell>
          <cell r="AC329">
            <v>555.28700000000003</v>
          </cell>
          <cell r="AD329">
            <v>566.66200000000003</v>
          </cell>
          <cell r="AE329">
            <v>794.63</v>
          </cell>
          <cell r="AF329">
            <v>1556</v>
          </cell>
          <cell r="AH329">
            <v>1580.1000000000001</v>
          </cell>
          <cell r="AI329">
            <v>1558.1000000000001</v>
          </cell>
          <cell r="AJ329">
            <v>1536.1000000000001</v>
          </cell>
          <cell r="AK329">
            <v>1514.1000000000001</v>
          </cell>
          <cell r="AM329">
            <v>1492.1000000000001</v>
          </cell>
          <cell r="AN329">
            <v>1470.1000000000001</v>
          </cell>
          <cell r="AO329">
            <v>1448.1000000000001</v>
          </cell>
          <cell r="AP329">
            <v>1426.1000000000001</v>
          </cell>
          <cell r="AR329">
            <v>1404.1000000000001</v>
          </cell>
          <cell r="AS329">
            <v>1382.1000000000001</v>
          </cell>
          <cell r="AT329">
            <v>1360.1000000000001</v>
          </cell>
          <cell r="AU329">
            <v>1338.1000000000001</v>
          </cell>
          <cell r="AW329">
            <v>228.85599999999999</v>
          </cell>
          <cell r="AX329">
            <v>352.26400000000001</v>
          </cell>
          <cell r="AY329">
            <v>374.50799999999998</v>
          </cell>
          <cell r="AZ329">
            <v>367.553</v>
          </cell>
          <cell r="BA329">
            <v>578.27200000000005</v>
          </cell>
          <cell r="BB329">
            <v>1556</v>
          </cell>
          <cell r="BC329">
            <v>1514.1000000000001</v>
          </cell>
          <cell r="BD329">
            <v>1426.1000000000001</v>
          </cell>
          <cell r="BE329">
            <v>1338.1000000000001</v>
          </cell>
          <cell r="BG329">
            <v>1468</v>
          </cell>
          <cell r="BH329">
            <v>1380</v>
          </cell>
          <cell r="BI329">
            <v>1292</v>
          </cell>
          <cell r="BJ329">
            <v>1204</v>
          </cell>
          <cell r="BK329">
            <v>1116</v>
          </cell>
          <cell r="BL329">
            <v>1028</v>
          </cell>
          <cell r="BM329">
            <v>940</v>
          </cell>
          <cell r="BN329">
            <v>852</v>
          </cell>
          <cell r="BO329">
            <v>764</v>
          </cell>
          <cell r="BP329">
            <v>676</v>
          </cell>
          <cell r="BQ329">
            <v>588</v>
          </cell>
          <cell r="BR329">
            <v>500</v>
          </cell>
          <cell r="BS329">
            <v>412</v>
          </cell>
          <cell r="BT329">
            <v>324</v>
          </cell>
          <cell r="BU329">
            <v>236</v>
          </cell>
        </row>
        <row r="330">
          <cell r="A330" t="str">
            <v>Other Assets</v>
          </cell>
          <cell r="B330" t="str">
            <v>loa</v>
          </cell>
          <cell r="D330">
            <v>12</v>
          </cell>
          <cell r="E330">
            <v>15</v>
          </cell>
          <cell r="F330">
            <v>13.874000000000001</v>
          </cell>
          <cell r="G330">
            <v>31.689</v>
          </cell>
          <cell r="I330">
            <v>13.906000000000001</v>
          </cell>
          <cell r="J330">
            <v>17.315000000000001</v>
          </cell>
          <cell r="K330">
            <v>105.05200000000001</v>
          </cell>
          <cell r="L330">
            <v>39.098999999999997</v>
          </cell>
          <cell r="N330">
            <v>50.2</v>
          </cell>
          <cell r="O330">
            <v>46.161999999999999</v>
          </cell>
          <cell r="P330">
            <v>59.53</v>
          </cell>
          <cell r="Q330">
            <v>64.066000000000003</v>
          </cell>
          <cell r="S330">
            <v>77.503</v>
          </cell>
          <cell r="T330">
            <v>83.212000000000003</v>
          </cell>
          <cell r="U330">
            <v>85.688999999999993</v>
          </cell>
          <cell r="V330">
            <v>71.277000000000001</v>
          </cell>
          <cell r="X330">
            <v>83.462000000000003</v>
          </cell>
          <cell r="Y330">
            <v>94.944999999999993</v>
          </cell>
          <cell r="Z330">
            <v>102.29900000000001</v>
          </cell>
          <cell r="AA330">
            <v>205.31100000000001</v>
          </cell>
          <cell r="AC330">
            <v>203.99</v>
          </cell>
          <cell r="AD330">
            <v>142.88900000000001</v>
          </cell>
          <cell r="AE330">
            <v>137.59299999999999</v>
          </cell>
          <cell r="AF330">
            <v>165.2</v>
          </cell>
          <cell r="AH330">
            <v>203.7</v>
          </cell>
          <cell r="AI330">
            <v>205.37946578840345</v>
          </cell>
          <cell r="AJ330">
            <v>206.16406892119633</v>
          </cell>
          <cell r="AK330">
            <v>209.74707869848356</v>
          </cell>
          <cell r="AM330">
            <v>208.68417414733148</v>
          </cell>
          <cell r="AN330">
            <v>210.38371949256401</v>
          </cell>
          <cell r="AO330">
            <v>212.92534403488682</v>
          </cell>
          <cell r="AP330">
            <v>218.36788086209057</v>
          </cell>
          <cell r="AR330">
            <v>215.60298328588649</v>
          </cell>
          <cell r="AS330">
            <v>217.66579921676836</v>
          </cell>
          <cell r="AT330">
            <v>220.66704197850262</v>
          </cell>
          <cell r="AU330">
            <v>226.52267963233481</v>
          </cell>
          <cell r="AW330">
            <v>31.689</v>
          </cell>
          <cell r="AX330">
            <v>39.098999999999997</v>
          </cell>
          <cell r="AY330">
            <v>64.066000000000003</v>
          </cell>
          <cell r="AZ330">
            <v>71.277000000000001</v>
          </cell>
          <cell r="BA330">
            <v>205.31100000000001</v>
          </cell>
          <cell r="BB330">
            <v>165.2</v>
          </cell>
          <cell r="BC330">
            <v>209.74707869848356</v>
          </cell>
          <cell r="BD330">
            <v>218.36788086209057</v>
          </cell>
          <cell r="BE330">
            <v>226.52267963233481</v>
          </cell>
          <cell r="BG330">
            <v>275.50406383026603</v>
          </cell>
          <cell r="BH330">
            <v>356.55983407901311</v>
          </cell>
          <cell r="BI330">
            <v>441.97836631980277</v>
          </cell>
          <cell r="BJ330">
            <v>521.53447225736727</v>
          </cell>
          <cell r="BK330">
            <v>636.27205615398805</v>
          </cell>
          <cell r="BL330">
            <v>795.34007019248509</v>
          </cell>
          <cell r="BM330">
            <v>994.17508774060639</v>
          </cell>
          <cell r="BN330">
            <v>1202.9518561661337</v>
          </cell>
          <cell r="BO330">
            <v>1407.4536717143762</v>
          </cell>
          <cell r="BP330">
            <v>1590.422649037245</v>
          </cell>
          <cell r="BQ330">
            <v>1749.4649139409696</v>
          </cell>
          <cell r="BR330">
            <v>1889.4221070562473</v>
          </cell>
          <cell r="BS330">
            <v>2002.7874334796222</v>
          </cell>
          <cell r="BT330">
            <v>2082.898930818807</v>
          </cell>
          <cell r="BU330">
            <v>2145.3858987433714</v>
          </cell>
        </row>
        <row r="331">
          <cell r="A331" t="str">
            <v>Other Assets</v>
          </cell>
          <cell r="B331" t="str">
            <v>loa</v>
          </cell>
          <cell r="D331">
            <v>12</v>
          </cell>
          <cell r="E331">
            <v>15</v>
          </cell>
          <cell r="F331">
            <v>13.874000000000001</v>
          </cell>
          <cell r="G331">
            <v>31.689</v>
          </cell>
          <cell r="I331">
            <v>13.906000000000001</v>
          </cell>
          <cell r="J331">
            <v>17.315000000000001</v>
          </cell>
          <cell r="K331">
            <v>105.05200000000001</v>
          </cell>
          <cell r="L331">
            <v>39.098999999999997</v>
          </cell>
          <cell r="N331">
            <v>50.2</v>
          </cell>
          <cell r="O331">
            <v>46.161999999999999</v>
          </cell>
          <cell r="P331">
            <v>59.53</v>
          </cell>
          <cell r="Q331">
            <v>64.066000000000003</v>
          </cell>
          <cell r="S331">
            <v>77.503</v>
          </cell>
          <cell r="T331">
            <v>83.212000000000003</v>
          </cell>
          <cell r="U331">
            <v>85.688999999999993</v>
          </cell>
          <cell r="V331">
            <v>71.277000000000001</v>
          </cell>
          <cell r="X331">
            <v>83.462000000000003</v>
          </cell>
          <cell r="Y331">
            <v>94.944999999999993</v>
          </cell>
          <cell r="Z331">
            <v>102.29900000000001</v>
          </cell>
          <cell r="AA331">
            <v>205.31100000000001</v>
          </cell>
          <cell r="AC331">
            <v>203.99</v>
          </cell>
          <cell r="AD331">
            <v>142.88900000000001</v>
          </cell>
          <cell r="AE331">
            <v>137.59299999999999</v>
          </cell>
          <cell r="AF331">
            <v>165.2</v>
          </cell>
          <cell r="AH331">
            <v>203.7</v>
          </cell>
          <cell r="AI331">
            <v>220.3</v>
          </cell>
          <cell r="AJ331">
            <v>220.49827000000005</v>
          </cell>
          <cell r="AK331">
            <v>224.35138718824737</v>
          </cell>
          <cell r="AM331">
            <v>223.21691822585998</v>
          </cell>
          <cell r="AN331">
            <v>225.0441439524588</v>
          </cell>
          <cell r="AO331">
            <v>227.77873780929713</v>
          </cell>
          <cell r="AP331">
            <v>233.6179634828469</v>
          </cell>
          <cell r="AR331">
            <v>230.65831870590222</v>
          </cell>
          <cell r="AS331">
            <v>232.87019710104104</v>
          </cell>
          <cell r="AT331">
            <v>236.08610005596111</v>
          </cell>
          <cell r="AU331">
            <v>242.36773576083024</v>
          </cell>
          <cell r="AW331">
            <v>31.689</v>
          </cell>
          <cell r="AX331">
            <v>39.098999999999997</v>
          </cell>
          <cell r="AY331">
            <v>64.066000000000003</v>
          </cell>
          <cell r="AZ331">
            <v>71.277000000000001</v>
          </cell>
          <cell r="BA331">
            <v>205.31100000000001</v>
          </cell>
          <cell r="BB331">
            <v>165.2</v>
          </cell>
          <cell r="BC331">
            <v>224.35138718824737</v>
          </cell>
          <cell r="BD331">
            <v>233.6179634828469</v>
          </cell>
          <cell r="BE331">
            <v>242.36773576083024</v>
          </cell>
          <cell r="BG331">
            <v>292.95642006621125</v>
          </cell>
          <cell r="BH331">
            <v>379.81258495201109</v>
          </cell>
          <cell r="BI331">
            <v>471.22378269973746</v>
          </cell>
          <cell r="BJ331">
            <v>556.0440635856902</v>
          </cell>
          <cell r="BK331">
            <v>678.37375757454197</v>
          </cell>
          <cell r="BL331">
            <v>847.9671969681774</v>
          </cell>
          <cell r="BM331">
            <v>1059.9589962102218</v>
          </cell>
          <cell r="BN331">
            <v>1282.5503854143683</v>
          </cell>
          <cell r="BO331">
            <v>1500.5839509348109</v>
          </cell>
          <cell r="BP331">
            <v>1695.6598645563361</v>
          </cell>
          <cell r="BQ331">
            <v>1865.2258510119698</v>
          </cell>
          <cell r="BR331">
            <v>2014.4439190929274</v>
          </cell>
          <cell r="BS331">
            <v>2135.3105542385033</v>
          </cell>
          <cell r="BT331">
            <v>2220.7229764080435</v>
          </cell>
          <cell r="BU331">
            <v>2287.3446657002846</v>
          </cell>
        </row>
        <row r="332">
          <cell r="A332" t="str">
            <v>Total Liabilities</v>
          </cell>
          <cell r="B332" t="str">
            <v>tl</v>
          </cell>
          <cell r="D332">
            <v>519.16099999999994</v>
          </cell>
          <cell r="E332">
            <v>272.96100000000001</v>
          </cell>
          <cell r="F332">
            <v>202.69199999999998</v>
          </cell>
          <cell r="G332">
            <v>455.03200000000004</v>
          </cell>
          <cell r="I332">
            <v>659.46600000000001</v>
          </cell>
          <cell r="J332">
            <v>658.03000000000009</v>
          </cell>
          <cell r="K332">
            <v>742.59800000000007</v>
          </cell>
          <cell r="L332">
            <v>984.08100000000002</v>
          </cell>
          <cell r="N332">
            <v>1064</v>
          </cell>
          <cell r="O332">
            <v>1097.9350000000002</v>
          </cell>
          <cell r="P332">
            <v>666.98500000000001</v>
          </cell>
          <cell r="Q332">
            <v>777.15899999999999</v>
          </cell>
          <cell r="S332">
            <v>854.399</v>
          </cell>
          <cell r="T332">
            <v>931.53599999999994</v>
          </cell>
          <cell r="U332">
            <v>1106.529</v>
          </cell>
          <cell r="V332">
            <v>997.44900000000007</v>
          </cell>
          <cell r="X332">
            <v>1205.6489999999999</v>
          </cell>
          <cell r="Y332">
            <v>1534.5119999999999</v>
          </cell>
          <cell r="Z332">
            <v>2954.5940000000001</v>
          </cell>
          <cell r="AA332">
            <v>3329.3530000000001</v>
          </cell>
          <cell r="AC332">
            <v>2733.1910000000003</v>
          </cell>
          <cell r="AD332">
            <v>2611.797</v>
          </cell>
          <cell r="AE332">
            <v>2407.9549999999999</v>
          </cell>
          <cell r="AF332">
            <v>2774.1</v>
          </cell>
          <cell r="AH332">
            <v>2845.3</v>
          </cell>
          <cell r="AI332">
            <v>2907.8359157483001</v>
          </cell>
          <cell r="AJ332">
            <v>2936.3753412412525</v>
          </cell>
          <cell r="AK332">
            <v>3065.2867562478964</v>
          </cell>
          <cell r="AM332">
            <v>3045.3445155868671</v>
          </cell>
          <cell r="AN332">
            <v>3084.053867572442</v>
          </cell>
          <cell r="AO332">
            <v>3128.6755999934662</v>
          </cell>
          <cell r="AP332">
            <v>3338.9479580186317</v>
          </cell>
          <cell r="AR332">
            <v>3251.5673385895079</v>
          </cell>
          <cell r="AS332">
            <v>3277.5259850100315</v>
          </cell>
          <cell r="AT332">
            <v>3399.2591221158891</v>
          </cell>
          <cell r="AU332">
            <v>3644.142565635264</v>
          </cell>
          <cell r="AW332">
            <v>455.03200000000004</v>
          </cell>
          <cell r="AX332">
            <v>984.08100000000002</v>
          </cell>
          <cell r="AY332">
            <v>777.15899999999999</v>
          </cell>
          <cell r="AZ332">
            <v>997.44900000000007</v>
          </cell>
          <cell r="BA332">
            <v>3329.3530000000001</v>
          </cell>
          <cell r="BB332">
            <v>2774.2</v>
          </cell>
          <cell r="BC332">
            <v>3065.2867562478964</v>
          </cell>
          <cell r="BD332">
            <v>3338.9479580186317</v>
          </cell>
          <cell r="BE332">
            <v>3644.142565635264</v>
          </cell>
          <cell r="BF332">
            <v>0</v>
          </cell>
          <cell r="BG332">
            <v>2901.8133736836189</v>
          </cell>
          <cell r="BH332">
            <v>3297.5761085365357</v>
          </cell>
          <cell r="BI332">
            <v>3687.162446214033</v>
          </cell>
          <cell r="BJ332">
            <v>3018.3644513909703</v>
          </cell>
          <cell r="BK332">
            <v>3377.8502059008201</v>
          </cell>
          <cell r="BL332">
            <v>3860.8953190739717</v>
          </cell>
          <cell r="BM332">
            <v>4528.7251869388328</v>
          </cell>
          <cell r="BN332">
            <v>5598.2464802947088</v>
          </cell>
          <cell r="BO332">
            <v>6676.5241924204756</v>
          </cell>
          <cell r="BP332">
            <v>7685.7180065616103</v>
          </cell>
          <cell r="BQ332">
            <v>8398.4775127987905</v>
          </cell>
          <cell r="BR332">
            <v>9025.6898782875069</v>
          </cell>
          <cell r="BS332">
            <v>9533.7222943333654</v>
          </cell>
          <cell r="BT332">
            <v>9892.7270683391071</v>
          </cell>
          <cell r="BU332">
            <v>10172.748392063586</v>
          </cell>
        </row>
        <row r="333">
          <cell r="A333" t="str">
            <v>Total Liabilities</v>
          </cell>
          <cell r="B333" t="str">
            <v>tl</v>
          </cell>
          <cell r="D333">
            <v>519.16099999999994</v>
          </cell>
          <cell r="E333">
            <v>272.96100000000001</v>
          </cell>
          <cell r="F333">
            <v>202.69199999999998</v>
          </cell>
          <cell r="G333">
            <v>455.03200000000004</v>
          </cell>
          <cell r="I333">
            <v>659.46600000000001</v>
          </cell>
          <cell r="J333">
            <v>658.03000000000009</v>
          </cell>
          <cell r="K333">
            <v>742.59800000000007</v>
          </cell>
          <cell r="L333">
            <v>984.08100000000002</v>
          </cell>
          <cell r="N333">
            <v>1064</v>
          </cell>
          <cell r="O333">
            <v>1097.9350000000002</v>
          </cell>
          <cell r="P333">
            <v>666.98500000000001</v>
          </cell>
          <cell r="Q333">
            <v>777.15899999999999</v>
          </cell>
          <cell r="S333">
            <v>854.399</v>
          </cell>
          <cell r="T333">
            <v>931.53599999999994</v>
          </cell>
          <cell r="U333">
            <v>1106.529</v>
          </cell>
          <cell r="V333">
            <v>997.44900000000007</v>
          </cell>
          <cell r="X333">
            <v>1205.6489999999999</v>
          </cell>
          <cell r="Y333">
            <v>1534.5119999999999</v>
          </cell>
          <cell r="Z333">
            <v>2954.5940000000001</v>
          </cell>
          <cell r="AA333">
            <v>3329.3530000000001</v>
          </cell>
          <cell r="AC333">
            <v>2733.1910000000003</v>
          </cell>
          <cell r="AD333">
            <v>2611.797</v>
          </cell>
          <cell r="AE333">
            <v>2407.9549999999999</v>
          </cell>
          <cell r="AF333">
            <v>2774.1</v>
          </cell>
          <cell r="AH333">
            <v>2845.3</v>
          </cell>
          <cell r="AI333">
            <v>2867.3999999999996</v>
          </cell>
          <cell r="AJ333">
            <v>2812.5150018004142</v>
          </cell>
          <cell r="AK333">
            <v>2870.9887978847505</v>
          </cell>
          <cell r="AM333">
            <v>2917.1429012993831</v>
          </cell>
          <cell r="AN333">
            <v>2955.4797170824577</v>
          </cell>
          <cell r="AO333">
            <v>3000.6723414523481</v>
          </cell>
          <cell r="AP333">
            <v>3211.8715078988635</v>
          </cell>
          <cell r="AR333">
            <v>3124.29919755526</v>
          </cell>
          <cell r="AS333">
            <v>3150.4407341835717</v>
          </cell>
          <cell r="AT333">
            <v>3272.5802273026752</v>
          </cell>
          <cell r="AU333">
            <v>3518.5861040222067</v>
          </cell>
          <cell r="AW333">
            <v>455.03200000000004</v>
          </cell>
          <cell r="AX333">
            <v>984.08100000000002</v>
          </cell>
          <cell r="AY333">
            <v>777.15899999999999</v>
          </cell>
          <cell r="AZ333">
            <v>997.44900000000007</v>
          </cell>
          <cell r="BA333">
            <v>3329.3530000000001</v>
          </cell>
          <cell r="BB333">
            <v>2774.2</v>
          </cell>
          <cell r="BC333">
            <v>2870.9887978847505</v>
          </cell>
          <cell r="BD333">
            <v>3211.8715078988635</v>
          </cell>
          <cell r="BE333">
            <v>3518.5861040222067</v>
          </cell>
          <cell r="BF333">
            <v>0</v>
          </cell>
          <cell r="BG333">
            <v>2839.1959857790139</v>
          </cell>
          <cell r="BH333">
            <v>3302.0127528223966</v>
          </cell>
          <cell r="BI333">
            <v>3693.1351412033923</v>
          </cell>
          <cell r="BJ333">
            <v>3087.8580168749113</v>
          </cell>
          <cell r="BK333">
            <v>3457.4518960809296</v>
          </cell>
          <cell r="BL333">
            <v>3954.0819802897081</v>
          </cell>
          <cell r="BM333">
            <v>4640.6990178484812</v>
          </cell>
          <cell r="BN333">
            <v>5740.3184506485313</v>
          </cell>
          <cell r="BO333">
            <v>6848.9430716905308</v>
          </cell>
          <cell r="BP333">
            <v>7886.5411453875022</v>
          </cell>
          <cell r="BQ333">
            <v>8619.3611599359901</v>
          </cell>
          <cell r="BR333">
            <v>9264.2267727386607</v>
          </cell>
          <cell r="BS333">
            <v>9786.5583191088226</v>
          </cell>
          <cell r="BT333">
            <v>10155.667811877071</v>
          </cell>
          <cell r="BU333">
            <v>10443.570816236303</v>
          </cell>
        </row>
        <row r="334">
          <cell r="A334" t="str">
            <v>Current Liabilities</v>
          </cell>
          <cell r="B334" t="str">
            <v>cl</v>
          </cell>
          <cell r="D334">
            <v>456</v>
          </cell>
          <cell r="E334">
            <v>209.36099999999999</v>
          </cell>
          <cell r="F334">
            <v>139.01</v>
          </cell>
          <cell r="G334">
            <v>128.86500000000001</v>
          </cell>
          <cell r="I334">
            <v>298.57099999999997</v>
          </cell>
          <cell r="J334">
            <v>300.68600000000004</v>
          </cell>
          <cell r="K334">
            <v>294.33600000000007</v>
          </cell>
          <cell r="L334">
            <v>468.44000000000005</v>
          </cell>
          <cell r="N334">
            <v>524.6</v>
          </cell>
          <cell r="O334">
            <v>525.76099999999997</v>
          </cell>
          <cell r="P334">
            <v>524.02499999999998</v>
          </cell>
          <cell r="Q334">
            <v>626.74900000000002</v>
          </cell>
          <cell r="S334">
            <v>702.21100000000001</v>
          </cell>
          <cell r="T334">
            <v>778.74599999999998</v>
          </cell>
          <cell r="U334">
            <v>955.67499999999995</v>
          </cell>
          <cell r="V334">
            <v>851.11800000000005</v>
          </cell>
          <cell r="X334">
            <v>1051.1379999999999</v>
          </cell>
          <cell r="Y334">
            <v>1339.7719999999999</v>
          </cell>
          <cell r="Z334">
            <v>1913.713</v>
          </cell>
          <cell r="AA334">
            <v>2258.498</v>
          </cell>
          <cell r="AC334">
            <v>1653.3020000000001</v>
          </cell>
          <cell r="AD334">
            <v>1550.597</v>
          </cell>
          <cell r="AE334">
            <v>1335.9479999999999</v>
          </cell>
          <cell r="AF334">
            <v>1656.8</v>
          </cell>
          <cell r="AH334">
            <v>1704.4</v>
          </cell>
          <cell r="AI334">
            <v>1763.2851182465574</v>
          </cell>
          <cell r="AJ334">
            <v>1790.0771442395094</v>
          </cell>
          <cell r="AK334">
            <v>1910.9176868160662</v>
          </cell>
          <cell r="AM334">
            <v>1893.4923797844417</v>
          </cell>
          <cell r="AN334">
            <v>1928.2387418214898</v>
          </cell>
          <cell r="AO334">
            <v>1966.7902994729905</v>
          </cell>
          <cell r="AP334">
            <v>2163.5987441076172</v>
          </cell>
          <cell r="AR334">
            <v>2083.5694385831966</v>
          </cell>
          <cell r="AS334">
            <v>2104.2544714563946</v>
          </cell>
          <cell r="AT334">
            <v>2218.0967530211738</v>
          </cell>
          <cell r="AU334">
            <v>2446.9564002389907</v>
          </cell>
          <cell r="AW334">
            <v>128.86500000000001</v>
          </cell>
          <cell r="AX334">
            <v>468.44000000000005</v>
          </cell>
          <cell r="AY334">
            <v>626.74900000000002</v>
          </cell>
          <cell r="AZ334">
            <v>851.11800000000005</v>
          </cell>
          <cell r="BA334">
            <v>2258.498</v>
          </cell>
          <cell r="BB334">
            <v>1656.8</v>
          </cell>
          <cell r="BC334">
            <v>1910.9176868160662</v>
          </cell>
          <cell r="BD334">
            <v>2163.5987441076172</v>
          </cell>
          <cell r="BE334">
            <v>2446.9564002389907</v>
          </cell>
          <cell r="BF334">
            <v>0</v>
          </cell>
          <cell r="BG334">
            <v>1773.7456735393678</v>
          </cell>
          <cell r="BH334">
            <v>2169.2141994099497</v>
          </cell>
          <cell r="BI334">
            <v>2558.560974119112</v>
          </cell>
          <cell r="BJ334">
            <v>2889.5829792960499</v>
          </cell>
          <cell r="BK334">
            <v>3248.8487338058999</v>
          </cell>
          <cell r="BL334">
            <v>3731.6438469790514</v>
          </cell>
          <cell r="BM334">
            <v>4399.2237148439117</v>
          </cell>
          <cell r="BN334">
            <v>5468.5350081997876</v>
          </cell>
          <cell r="BO334">
            <v>6546.6427203255544</v>
          </cell>
          <cell r="BP334">
            <v>7555.7065344666898</v>
          </cell>
          <cell r="BQ334">
            <v>8268.3660407038697</v>
          </cell>
          <cell r="BR334">
            <v>8895.4984061925861</v>
          </cell>
          <cell r="BS334">
            <v>9403.4708222384452</v>
          </cell>
          <cell r="BT334">
            <v>9762.4355962441878</v>
          </cell>
          <cell r="BU334">
            <v>10042.426919968666</v>
          </cell>
        </row>
        <row r="335">
          <cell r="A335" t="str">
            <v>Current Long-Term Debt</v>
          </cell>
          <cell r="B335" t="str">
            <v>cdbt</v>
          </cell>
          <cell r="D335">
            <v>188</v>
          </cell>
          <cell r="E335">
            <v>89</v>
          </cell>
          <cell r="F335" t="str">
            <v>--</v>
          </cell>
          <cell r="G335">
            <v>5.5350000000000001</v>
          </cell>
          <cell r="I335">
            <v>35.902000000000001</v>
          </cell>
          <cell r="J335">
            <v>36.816000000000003</v>
          </cell>
          <cell r="K335">
            <v>12.183999999999999</v>
          </cell>
          <cell r="L335">
            <v>15.851000000000001</v>
          </cell>
          <cell r="N335">
            <v>6.3</v>
          </cell>
          <cell r="O335">
            <v>27.795000000000002</v>
          </cell>
          <cell r="P335">
            <v>1.9059999999999999</v>
          </cell>
          <cell r="Q335">
            <v>2.3210000000000002</v>
          </cell>
          <cell r="S335">
            <v>2.2669999999999999</v>
          </cell>
          <cell r="T335">
            <v>2.5529999999999999</v>
          </cell>
          <cell r="U335">
            <v>2.843</v>
          </cell>
          <cell r="V335">
            <v>2.6539999999999999</v>
          </cell>
          <cell r="X335">
            <v>2.569</v>
          </cell>
          <cell r="Y335">
            <v>2.3650000000000002</v>
          </cell>
          <cell r="Z335">
            <v>1.9219999999999999</v>
          </cell>
          <cell r="AA335">
            <v>1.3640000000000001</v>
          </cell>
          <cell r="AC335">
            <v>0.72799999999999998</v>
          </cell>
          <cell r="AD335">
            <v>0.41299999999999998</v>
          </cell>
          <cell r="AE335">
            <v>0.187</v>
          </cell>
          <cell r="AF335">
            <v>10</v>
          </cell>
          <cell r="AH335">
            <v>5.4</v>
          </cell>
          <cell r="AI335">
            <v>10</v>
          </cell>
          <cell r="AJ335">
            <v>10</v>
          </cell>
          <cell r="AK335">
            <v>10</v>
          </cell>
          <cell r="AM335">
            <v>10</v>
          </cell>
          <cell r="AN335">
            <v>10</v>
          </cell>
          <cell r="AO335">
            <v>10</v>
          </cell>
          <cell r="AP335">
            <v>10</v>
          </cell>
          <cell r="AR335">
            <v>10</v>
          </cell>
          <cell r="AS335">
            <v>10</v>
          </cell>
          <cell r="AT335">
            <v>10</v>
          </cell>
          <cell r="AU335">
            <v>10</v>
          </cell>
          <cell r="AW335">
            <v>5.5350000000000001</v>
          </cell>
          <cell r="AX335">
            <v>15.851000000000001</v>
          </cell>
          <cell r="AY335">
            <v>2.3210000000000002</v>
          </cell>
          <cell r="AZ335">
            <v>2.6539999999999999</v>
          </cell>
          <cell r="BA335">
            <v>1.3640000000000001</v>
          </cell>
          <cell r="BB335">
            <v>10</v>
          </cell>
          <cell r="BC335">
            <v>10</v>
          </cell>
          <cell r="BD335">
            <v>10</v>
          </cell>
          <cell r="BE335">
            <v>10</v>
          </cell>
          <cell r="BF335">
            <v>0</v>
          </cell>
          <cell r="BG335" t="str">
            <v>NA</v>
          </cell>
          <cell r="BH335" t="str">
            <v>NA</v>
          </cell>
          <cell r="BI335" t="str">
            <v>NA</v>
          </cell>
          <cell r="BJ335" t="str">
            <v>NA</v>
          </cell>
          <cell r="BK335" t="str">
            <v>NA</v>
          </cell>
          <cell r="BL335" t="str">
            <v>NA</v>
          </cell>
          <cell r="BM335" t="str">
            <v>NA</v>
          </cell>
          <cell r="BN335" t="str">
            <v>NA</v>
          </cell>
          <cell r="BO335" t="str">
            <v>NA</v>
          </cell>
          <cell r="BP335" t="str">
            <v>NA</v>
          </cell>
          <cell r="BQ335" t="str">
            <v>NA</v>
          </cell>
          <cell r="BR335" t="str">
            <v>NA</v>
          </cell>
          <cell r="BS335" t="str">
            <v>NA</v>
          </cell>
          <cell r="BT335" t="str">
            <v>NA</v>
          </cell>
          <cell r="BU335" t="str">
            <v>NA</v>
          </cell>
        </row>
        <row r="336">
          <cell r="A336" t="str">
            <v xml:space="preserve">Accounts/Taxes Payable </v>
          </cell>
          <cell r="B336" t="str">
            <v>ap</v>
          </cell>
          <cell r="D336">
            <v>268</v>
          </cell>
          <cell r="E336">
            <v>120.361</v>
          </cell>
          <cell r="F336">
            <v>139.01</v>
          </cell>
          <cell r="G336">
            <v>123.33</v>
          </cell>
          <cell r="I336">
            <v>262.66899999999998</v>
          </cell>
          <cell r="J336">
            <v>244.953</v>
          </cell>
          <cell r="K336">
            <v>278.81400000000002</v>
          </cell>
          <cell r="L336">
            <v>445.61900000000003</v>
          </cell>
          <cell r="N336">
            <v>501.9</v>
          </cell>
          <cell r="O336">
            <v>494.07299999999998</v>
          </cell>
          <cell r="P336">
            <v>519.10900000000004</v>
          </cell>
          <cell r="Q336">
            <v>621.94600000000003</v>
          </cell>
          <cell r="S336">
            <v>696.71699999999998</v>
          </cell>
          <cell r="T336">
            <v>772.96600000000001</v>
          </cell>
          <cell r="U336">
            <v>949.60500000000002</v>
          </cell>
          <cell r="V336">
            <v>818.21</v>
          </cell>
          <cell r="X336">
            <v>1042.377</v>
          </cell>
          <cell r="Y336">
            <v>1331.2149999999999</v>
          </cell>
          <cell r="Z336">
            <v>1905.5989999999999</v>
          </cell>
          <cell r="AA336">
            <v>2249.4319999999998</v>
          </cell>
          <cell r="AC336">
            <v>1208.434</v>
          </cell>
          <cell r="AD336">
            <v>1542.48</v>
          </cell>
          <cell r="AE336">
            <v>902.71100000000001</v>
          </cell>
          <cell r="AF336">
            <v>1219.3</v>
          </cell>
          <cell r="AH336">
            <v>1203.9000000000001</v>
          </cell>
          <cell r="AI336">
            <v>1241.8571160504152</v>
          </cell>
          <cell r="AJ336">
            <v>1260.8339885433672</v>
          </cell>
          <cell r="AK336">
            <v>1345.5779733951167</v>
          </cell>
          <cell r="AM336">
            <v>1339.4095212859709</v>
          </cell>
          <cell r="AN336">
            <v>1356.4316166245956</v>
          </cell>
          <cell r="AO336">
            <v>1367.8346329175483</v>
          </cell>
          <cell r="AP336">
            <v>1504.4264242580869</v>
          </cell>
          <cell r="AR336">
            <v>1457.2754883291348</v>
          </cell>
          <cell r="AS336">
            <v>1454.3745585349336</v>
          </cell>
          <cell r="AT336">
            <v>1532.9253985605271</v>
          </cell>
          <cell r="AU336">
            <v>1690.1194491306348</v>
          </cell>
          <cell r="AW336">
            <v>123.33</v>
          </cell>
          <cell r="AX336">
            <v>445.61900000000003</v>
          </cell>
          <cell r="AY336">
            <v>621.94600000000003</v>
          </cell>
          <cell r="AZ336">
            <v>818.21</v>
          </cell>
          <cell r="BA336">
            <v>2249.4319999999998</v>
          </cell>
          <cell r="BB336">
            <v>1219.3</v>
          </cell>
          <cell r="BC336">
            <v>1345.5779733951167</v>
          </cell>
          <cell r="BD336">
            <v>1504.4264242580869</v>
          </cell>
          <cell r="BE336">
            <v>1690.1194491306348</v>
          </cell>
          <cell r="BF336">
            <v>0</v>
          </cell>
          <cell r="BG336">
            <v>1345.5779733951167</v>
          </cell>
          <cell r="BH336">
            <v>1740.7522902833634</v>
          </cell>
          <cell r="BI336">
            <v>2129.8595020241914</v>
          </cell>
          <cell r="BJ336">
            <v>2460.7015072011291</v>
          </cell>
          <cell r="BK336">
            <v>2819.7472617109793</v>
          </cell>
          <cell r="BL336">
            <v>3302.2923748841308</v>
          </cell>
          <cell r="BM336">
            <v>3969.6222427489911</v>
          </cell>
          <cell r="BN336">
            <v>5038.723536104867</v>
          </cell>
          <cell r="BO336">
            <v>6116.6612482306336</v>
          </cell>
          <cell r="BP336">
            <v>7125.595062371769</v>
          </cell>
          <cell r="BQ336">
            <v>7838.1545686089485</v>
          </cell>
          <cell r="BR336">
            <v>8465.206934097665</v>
          </cell>
          <cell r="BS336">
            <v>8973.1193501435246</v>
          </cell>
          <cell r="BT336">
            <v>9332.0441241492663</v>
          </cell>
          <cell r="BU336">
            <v>9612.0054478737457</v>
          </cell>
        </row>
        <row r="337">
          <cell r="A337" t="str">
            <v>Def. Income Taxes/Other</v>
          </cell>
          <cell r="B337" t="str">
            <v>definc</v>
          </cell>
          <cell r="D337" t="str">
            <v>--</v>
          </cell>
          <cell r="E337" t="str">
            <v>--</v>
          </cell>
          <cell r="F337" t="str">
            <v>--</v>
          </cell>
          <cell r="G337" t="str">
            <v>--</v>
          </cell>
          <cell r="I337" t="str">
            <v>--</v>
          </cell>
          <cell r="J337">
            <v>18.917000000000002</v>
          </cell>
          <cell r="K337">
            <v>3.3380000000000001</v>
          </cell>
          <cell r="L337">
            <v>6.97</v>
          </cell>
          <cell r="N337">
            <v>16.399999999999999</v>
          </cell>
          <cell r="O337">
            <v>3.8929999999999998</v>
          </cell>
          <cell r="P337">
            <v>3.01</v>
          </cell>
          <cell r="Q337">
            <v>2.4820000000000002</v>
          </cell>
          <cell r="S337">
            <v>3.2269999999999999</v>
          </cell>
          <cell r="T337">
            <v>3.2269999999999999</v>
          </cell>
          <cell r="U337">
            <v>3.2269999999999999</v>
          </cell>
          <cell r="V337">
            <v>30.254000000000001</v>
          </cell>
          <cell r="X337">
            <v>6.1920000000000002</v>
          </cell>
          <cell r="Y337">
            <v>6.1920000000000002</v>
          </cell>
          <cell r="Z337">
            <v>6.1920000000000002</v>
          </cell>
          <cell r="AA337">
            <v>7.702</v>
          </cell>
          <cell r="AC337">
            <v>444.14000000000004</v>
          </cell>
          <cell r="AD337">
            <v>7.7039999999999997</v>
          </cell>
          <cell r="AE337">
            <v>433.04999999999995</v>
          </cell>
          <cell r="AF337">
            <v>427.5</v>
          </cell>
          <cell r="AH337">
            <v>495.1</v>
          </cell>
          <cell r="AI337">
            <v>511.4280021961423</v>
          </cell>
          <cell r="AJ337">
            <v>519.24315569614225</v>
          </cell>
          <cell r="AK337">
            <v>555.33971342094935</v>
          </cell>
          <cell r="AM337">
            <v>544.08285849847084</v>
          </cell>
          <cell r="AN337">
            <v>561.80712519689428</v>
          </cell>
          <cell r="AO337">
            <v>588.95566655544212</v>
          </cell>
          <cell r="AP337">
            <v>649.17231984953048</v>
          </cell>
          <cell r="AR337">
            <v>616.29395025406211</v>
          </cell>
          <cell r="AS337">
            <v>639.87991292146103</v>
          </cell>
          <cell r="AT337">
            <v>675.17135446064674</v>
          </cell>
          <cell r="AU337">
            <v>746.83695110835595</v>
          </cell>
          <cell r="AW337" t="str">
            <v>--</v>
          </cell>
          <cell r="AX337">
            <v>6.97</v>
          </cell>
          <cell r="AY337">
            <v>2.4820000000000002</v>
          </cell>
          <cell r="AZ337">
            <v>30.254000000000001</v>
          </cell>
          <cell r="BA337">
            <v>7.702</v>
          </cell>
          <cell r="BB337">
            <v>427.5</v>
          </cell>
          <cell r="BC337">
            <v>555.33971342094935</v>
          </cell>
          <cell r="BD337">
            <v>649.17231984953048</v>
          </cell>
          <cell r="BE337">
            <v>746.83695110835595</v>
          </cell>
          <cell r="BF337">
            <v>0</v>
          </cell>
          <cell r="BG337">
            <v>428.167700144251</v>
          </cell>
          <cell r="BH337">
            <v>428.46190912658631</v>
          </cell>
          <cell r="BI337">
            <v>428.70147209492069</v>
          </cell>
          <cell r="BJ337">
            <v>428.8814720949207</v>
          </cell>
          <cell r="BK337">
            <v>429.10147209492072</v>
          </cell>
          <cell r="BL337">
            <v>429.35147209492072</v>
          </cell>
          <cell r="BM337">
            <v>429.60147209492072</v>
          </cell>
          <cell r="BN337">
            <v>429.8114720949207</v>
          </cell>
          <cell r="BO337">
            <v>429.98147209492072</v>
          </cell>
          <cell r="BP337">
            <v>430.11147209492071</v>
          </cell>
          <cell r="BQ337">
            <v>430.21147209492074</v>
          </cell>
          <cell r="BR337">
            <v>430.29147209492072</v>
          </cell>
          <cell r="BS337">
            <v>430.35147209492072</v>
          </cell>
          <cell r="BT337">
            <v>430.39147209492074</v>
          </cell>
          <cell r="BU337">
            <v>430.42147209492072</v>
          </cell>
        </row>
        <row r="338">
          <cell r="A338" t="str">
            <v>Def. Income Taxes/Other</v>
          </cell>
          <cell r="B338" t="str">
            <v>definc</v>
          </cell>
          <cell r="D338" t="str">
            <v>--</v>
          </cell>
          <cell r="E338" t="str">
            <v>--</v>
          </cell>
          <cell r="F338" t="str">
            <v>--</v>
          </cell>
          <cell r="G338" t="str">
            <v>--</v>
          </cell>
          <cell r="I338" t="str">
            <v>--</v>
          </cell>
          <cell r="J338">
            <v>18.917000000000002</v>
          </cell>
          <cell r="K338">
            <v>3.3380000000000001</v>
          </cell>
          <cell r="L338">
            <v>6.97</v>
          </cell>
          <cell r="N338">
            <v>16.399999999999999</v>
          </cell>
          <cell r="O338">
            <v>3.8929999999999998</v>
          </cell>
          <cell r="P338">
            <v>3.01</v>
          </cell>
          <cell r="Q338">
            <v>2.4820000000000002</v>
          </cell>
          <cell r="S338">
            <v>3.2269999999999999</v>
          </cell>
          <cell r="T338">
            <v>3.2269999999999999</v>
          </cell>
          <cell r="U338">
            <v>3.2269999999999999</v>
          </cell>
          <cell r="V338">
            <v>30.254000000000001</v>
          </cell>
          <cell r="X338">
            <v>6.1920000000000002</v>
          </cell>
          <cell r="Y338">
            <v>6.1920000000000002</v>
          </cell>
          <cell r="Z338">
            <v>6.1920000000000002</v>
          </cell>
          <cell r="AA338">
            <v>7.702</v>
          </cell>
          <cell r="AC338">
            <v>444.14000000000004</v>
          </cell>
          <cell r="AD338">
            <v>7.7039999999999997</v>
          </cell>
          <cell r="AE338">
            <v>433.04999999999995</v>
          </cell>
          <cell r="AF338">
            <v>427.5</v>
          </cell>
          <cell r="AH338">
            <v>495.1</v>
          </cell>
          <cell r="AI338">
            <v>509.79999999999995</v>
          </cell>
          <cell r="AJ338">
            <v>511.63528000000008</v>
          </cell>
          <cell r="AK338">
            <v>547.39775000000009</v>
          </cell>
          <cell r="AM338">
            <v>536.32573007200006</v>
          </cell>
          <cell r="AN338">
            <v>553.88691100064</v>
          </cell>
          <cell r="AO338">
            <v>580.80884227338572</v>
          </cell>
          <cell r="AP338">
            <v>640.36618174844966</v>
          </cell>
          <cell r="AR338">
            <v>607.91565616576315</v>
          </cell>
          <cell r="AS338">
            <v>631.23387878151289</v>
          </cell>
          <cell r="AT338">
            <v>666.10286453048479</v>
          </cell>
          <cell r="AU338">
            <v>736.9959079745247</v>
          </cell>
          <cell r="AW338" t="str">
            <v>--</v>
          </cell>
          <cell r="AX338">
            <v>6.97</v>
          </cell>
          <cell r="AY338">
            <v>2.4820000000000002</v>
          </cell>
          <cell r="AZ338">
            <v>30.254000000000001</v>
          </cell>
          <cell r="BA338">
            <v>7.702</v>
          </cell>
          <cell r="BB338">
            <v>427.5</v>
          </cell>
          <cell r="BC338">
            <v>547.39775000000009</v>
          </cell>
          <cell r="BD338">
            <v>640.36618174844966</v>
          </cell>
          <cell r="BE338">
            <v>736.9959079745247</v>
          </cell>
          <cell r="BF338">
            <v>0</v>
          </cell>
          <cell r="BG338">
            <v>428.27334394713205</v>
          </cell>
          <cell r="BH338">
            <v>428.56982546771513</v>
          </cell>
          <cell r="BI338">
            <v>428.81049995131411</v>
          </cell>
          <cell r="BJ338">
            <v>428.99049995131412</v>
          </cell>
          <cell r="BK338">
            <v>429.21049995131415</v>
          </cell>
          <cell r="BL338">
            <v>429.46049995131415</v>
          </cell>
          <cell r="BM338">
            <v>429.71049995131415</v>
          </cell>
          <cell r="BN338">
            <v>429.92049995131413</v>
          </cell>
          <cell r="BO338">
            <v>430.09049995131414</v>
          </cell>
          <cell r="BP338">
            <v>430.22049995131414</v>
          </cell>
          <cell r="BQ338">
            <v>430.32049995131416</v>
          </cell>
          <cell r="BR338">
            <v>430.40049995131415</v>
          </cell>
          <cell r="BS338">
            <v>430.46049995131415</v>
          </cell>
          <cell r="BT338">
            <v>430.50049995131417</v>
          </cell>
          <cell r="BU338">
            <v>430.53049995131414</v>
          </cell>
        </row>
        <row r="339">
          <cell r="A339" t="str">
            <v>Long-Term Debt</v>
          </cell>
          <cell r="B339" t="str">
            <v>ltdbt</v>
          </cell>
          <cell r="D339">
            <v>60</v>
          </cell>
          <cell r="E339">
            <v>60</v>
          </cell>
          <cell r="F339">
            <v>60</v>
          </cell>
          <cell r="G339">
            <v>319.83300000000003</v>
          </cell>
          <cell r="I339">
            <v>354.39699999999999</v>
          </cell>
          <cell r="J339">
            <v>350.572</v>
          </cell>
          <cell r="K339">
            <v>439.755</v>
          </cell>
          <cell r="L339">
            <v>503.964</v>
          </cell>
          <cell r="N339">
            <v>527.5</v>
          </cell>
          <cell r="O339">
            <v>559.44500000000005</v>
          </cell>
          <cell r="P339">
            <v>134.42699999999999</v>
          </cell>
          <cell r="Q339">
            <v>133.483</v>
          </cell>
          <cell r="S339">
            <v>133.68600000000001</v>
          </cell>
          <cell r="T339">
            <v>133.24799999999999</v>
          </cell>
          <cell r="U339">
            <v>132.87200000000001</v>
          </cell>
          <cell r="V339">
            <v>131.54300000000001</v>
          </cell>
          <cell r="X339">
            <v>130.99199999999999</v>
          </cell>
          <cell r="Y339">
            <v>130.15199999999999</v>
          </cell>
          <cell r="Z339">
            <v>984.46299999999997</v>
          </cell>
          <cell r="AA339">
            <v>991.12800000000004</v>
          </cell>
          <cell r="AC339">
            <v>997.11200000000008</v>
          </cell>
          <cell r="AD339">
            <v>1003.532</v>
          </cell>
          <cell r="AE339">
            <v>1010.148</v>
          </cell>
          <cell r="AF339">
            <v>1024.2</v>
          </cell>
          <cell r="AH339">
            <v>1030.2</v>
          </cell>
          <cell r="AI339">
            <v>1030.2</v>
          </cell>
          <cell r="AJ339">
            <v>1030.2</v>
          </cell>
          <cell r="AK339">
            <v>1030.2</v>
          </cell>
          <cell r="AM339">
            <v>1030.2</v>
          </cell>
          <cell r="AN339">
            <v>1030.2</v>
          </cell>
          <cell r="AO339">
            <v>1030.2</v>
          </cell>
          <cell r="AP339">
            <v>1030.2</v>
          </cell>
          <cell r="AR339">
            <v>1030.2</v>
          </cell>
          <cell r="AS339">
            <v>1030.2</v>
          </cell>
          <cell r="AT339">
            <v>1030.2</v>
          </cell>
          <cell r="AU339">
            <v>1030.2</v>
          </cell>
          <cell r="AW339">
            <v>319.83300000000003</v>
          </cell>
          <cell r="AX339">
            <v>503.964</v>
          </cell>
          <cell r="AY339">
            <v>133.483</v>
          </cell>
          <cell r="AZ339">
            <v>131.54300000000001</v>
          </cell>
          <cell r="BA339">
            <v>991.12800000000004</v>
          </cell>
          <cell r="BB339">
            <v>1024.3</v>
          </cell>
          <cell r="BC339">
            <v>1030.2</v>
          </cell>
          <cell r="BD339">
            <v>1030.2</v>
          </cell>
          <cell r="BE339">
            <v>1030.2</v>
          </cell>
          <cell r="BF339">
            <v>16.666666666666668</v>
          </cell>
          <cell r="BG339">
            <v>1034.3</v>
          </cell>
          <cell r="BH339">
            <v>1034.3</v>
          </cell>
          <cell r="BI339">
            <v>1034.3</v>
          </cell>
          <cell r="BJ339">
            <v>34.299999999999955</v>
          </cell>
          <cell r="BK339">
            <v>34.299999999999955</v>
          </cell>
          <cell r="BL339">
            <v>34.299999999999955</v>
          </cell>
          <cell r="BM339">
            <v>34.299999999999955</v>
          </cell>
          <cell r="BN339">
            <v>34.299999999999955</v>
          </cell>
          <cell r="BO339">
            <v>34.299999999999955</v>
          </cell>
          <cell r="BP339">
            <v>34.299999999999955</v>
          </cell>
          <cell r="BQ339">
            <v>34.299999999999955</v>
          </cell>
          <cell r="BR339">
            <v>34.299999999999955</v>
          </cell>
          <cell r="BS339">
            <v>34.299999999999955</v>
          </cell>
          <cell r="BT339">
            <v>34.299999999999955</v>
          </cell>
          <cell r="BU339">
            <v>34.299999999999955</v>
          </cell>
        </row>
        <row r="340">
          <cell r="A340" t="str">
            <v>Other Liabilities</v>
          </cell>
          <cell r="B340" t="str">
            <v>ltdbt</v>
          </cell>
          <cell r="D340">
            <v>3.161</v>
          </cell>
          <cell r="E340">
            <v>3.6</v>
          </cell>
          <cell r="F340">
            <v>3.6819999999999999</v>
          </cell>
          <cell r="G340">
            <v>6.3339999999999996</v>
          </cell>
          <cell r="I340">
            <v>6.4979999999999993</v>
          </cell>
          <cell r="J340">
            <v>6.7720000000000002</v>
          </cell>
          <cell r="K340">
            <v>8.5070000000000014</v>
          </cell>
          <cell r="L340">
            <v>11.677</v>
          </cell>
          <cell r="N340">
            <v>11.9</v>
          </cell>
          <cell r="O340">
            <v>12.728999999999999</v>
          </cell>
          <cell r="P340">
            <v>8.5329999999999995</v>
          </cell>
          <cell r="Q340">
            <v>16.927</v>
          </cell>
          <cell r="S340">
            <v>18.501999999999999</v>
          </cell>
          <cell r="T340">
            <v>19.542000000000002</v>
          </cell>
          <cell r="U340">
            <v>17.981999999999999</v>
          </cell>
          <cell r="V340">
            <v>14.788</v>
          </cell>
          <cell r="X340">
            <v>23.518999999999998</v>
          </cell>
          <cell r="Y340">
            <v>64.587999999999994</v>
          </cell>
          <cell r="Z340">
            <v>56.417999999999999</v>
          </cell>
          <cell r="AA340">
            <v>79.727000000000004</v>
          </cell>
          <cell r="AC340">
            <v>82.777000000000001</v>
          </cell>
          <cell r="AD340">
            <v>57.667999999999999</v>
          </cell>
          <cell r="AE340">
            <v>61.859000000000002</v>
          </cell>
          <cell r="AF340">
            <v>93.1</v>
          </cell>
          <cell r="AH340">
            <v>110.7</v>
          </cell>
          <cell r="AI340">
            <v>114.35079750174299</v>
          </cell>
          <cell r="AJ340">
            <v>116.09819700174299</v>
          </cell>
          <cell r="AK340">
            <v>124.16906943183012</v>
          </cell>
          <cell r="AM340">
            <v>121.65213580242522</v>
          </cell>
          <cell r="AN340">
            <v>125.61512575095173</v>
          </cell>
          <cell r="AO340">
            <v>131.68530052047558</v>
          </cell>
          <cell r="AP340">
            <v>145.14921391101402</v>
          </cell>
          <cell r="AR340">
            <v>137.79790000631124</v>
          </cell>
          <cell r="AS340">
            <v>143.07151355363715</v>
          </cell>
          <cell r="AT340">
            <v>150.96236909471543</v>
          </cell>
          <cell r="AU340">
            <v>166.98616539627352</v>
          </cell>
          <cell r="AW340">
            <v>6.3339999999999996</v>
          </cell>
          <cell r="AX340">
            <v>11.677</v>
          </cell>
          <cell r="AY340">
            <v>16.927</v>
          </cell>
          <cell r="AZ340">
            <v>14.788</v>
          </cell>
          <cell r="BA340">
            <v>79.727000000000004</v>
          </cell>
          <cell r="BB340">
            <v>93.1</v>
          </cell>
          <cell r="BC340">
            <v>124.16906943183012</v>
          </cell>
          <cell r="BD340">
            <v>145.14921391101402</v>
          </cell>
          <cell r="BE340">
            <v>166.98616539627352</v>
          </cell>
          <cell r="BF340">
            <v>140</v>
          </cell>
          <cell r="BG340">
            <v>93.767700144250995</v>
          </cell>
          <cell r="BH340">
            <v>94.061909126586315</v>
          </cell>
          <cell r="BI340">
            <v>94.301472094920712</v>
          </cell>
          <cell r="BJ340">
            <v>94.481472094920719</v>
          </cell>
          <cell r="BK340">
            <v>94.701472094920717</v>
          </cell>
          <cell r="BL340">
            <v>94.951472094920717</v>
          </cell>
          <cell r="BM340">
            <v>95.201472094920717</v>
          </cell>
          <cell r="BN340">
            <v>95.411472094920711</v>
          </cell>
          <cell r="BO340">
            <v>95.581472094920713</v>
          </cell>
          <cell r="BP340">
            <v>95.711472094920708</v>
          </cell>
          <cell r="BQ340">
            <v>95.811472094920703</v>
          </cell>
          <cell r="BR340">
            <v>95.891472094920701</v>
          </cell>
          <cell r="BS340">
            <v>95.951472094920703</v>
          </cell>
          <cell r="BT340">
            <v>95.991472094920709</v>
          </cell>
          <cell r="BU340">
            <v>96.021472094920711</v>
          </cell>
        </row>
        <row r="341">
          <cell r="A341" t="str">
            <v>Other Liabilities</v>
          </cell>
          <cell r="D341">
            <v>3.161</v>
          </cell>
          <cell r="E341">
            <v>3.6</v>
          </cell>
          <cell r="F341">
            <v>3.6819999999999999</v>
          </cell>
          <cell r="G341">
            <v>6.3339999999999996</v>
          </cell>
          <cell r="I341">
            <v>6.4979999999999993</v>
          </cell>
          <cell r="J341">
            <v>6.7720000000000002</v>
          </cell>
          <cell r="K341">
            <v>8.5070000000000014</v>
          </cell>
          <cell r="L341">
            <v>11.677</v>
          </cell>
          <cell r="N341">
            <v>11.9</v>
          </cell>
          <cell r="O341">
            <v>12.728999999999999</v>
          </cell>
          <cell r="P341">
            <v>8.5329999999999995</v>
          </cell>
          <cell r="Q341">
            <v>16.927</v>
          </cell>
          <cell r="S341">
            <v>18.501999999999999</v>
          </cell>
          <cell r="T341">
            <v>19.542000000000002</v>
          </cell>
          <cell r="U341">
            <v>17.981999999999999</v>
          </cell>
          <cell r="V341">
            <v>14.788</v>
          </cell>
          <cell r="X341">
            <v>23.518999999999998</v>
          </cell>
          <cell r="Y341">
            <v>64.587999999999994</v>
          </cell>
          <cell r="Z341">
            <v>56.417999999999999</v>
          </cell>
          <cell r="AA341">
            <v>79.727000000000004</v>
          </cell>
          <cell r="AC341">
            <v>82.777000000000001</v>
          </cell>
          <cell r="AD341">
            <v>57.667999999999999</v>
          </cell>
          <cell r="AE341">
            <v>61.859000000000002</v>
          </cell>
          <cell r="AF341">
            <v>93.1</v>
          </cell>
          <cell r="AH341">
            <v>110.7</v>
          </cell>
          <cell r="AI341">
            <v>122.6</v>
          </cell>
          <cell r="AJ341">
            <v>123.04136000000003</v>
          </cell>
          <cell r="AK341">
            <v>131.64175000000003</v>
          </cell>
          <cell r="AM341">
            <v>128.97907906400005</v>
          </cell>
          <cell r="AN341">
            <v>133.20230539168003</v>
          </cell>
          <cell r="AO341">
            <v>139.67666548198727</v>
          </cell>
          <cell r="AP341">
            <v>153.99939953385632</v>
          </cell>
          <cell r="AR341">
            <v>146.19548733998153</v>
          </cell>
          <cell r="AS341">
            <v>151.80320427346706</v>
          </cell>
          <cell r="AT341">
            <v>160.18872340415354</v>
          </cell>
          <cell r="AU341">
            <v>177.23754083498778</v>
          </cell>
          <cell r="AW341">
            <v>6.3339999999999996</v>
          </cell>
          <cell r="AX341">
            <v>11.677</v>
          </cell>
          <cell r="AY341">
            <v>16.927</v>
          </cell>
          <cell r="AZ341">
            <v>14.788</v>
          </cell>
          <cell r="BA341">
            <v>79.727000000000004</v>
          </cell>
          <cell r="BB341">
            <v>93.1</v>
          </cell>
          <cell r="BC341">
            <v>131.64175000000003</v>
          </cell>
          <cell r="BD341">
            <v>153.99939953385632</v>
          </cell>
          <cell r="BE341">
            <v>177.23754083498778</v>
          </cell>
          <cell r="BF341">
            <v>1625</v>
          </cell>
          <cell r="BG341">
            <v>93.873343947132028</v>
          </cell>
          <cell r="BH341">
            <v>94.169825467715086</v>
          </cell>
          <cell r="BI341">
            <v>94.41049995131408</v>
          </cell>
          <cell r="BJ341">
            <v>94.590499951314087</v>
          </cell>
          <cell r="BK341">
            <v>94.810499951314085</v>
          </cell>
          <cell r="BL341">
            <v>95.060499951314085</v>
          </cell>
          <cell r="BM341">
            <v>95.310499951314085</v>
          </cell>
          <cell r="BN341">
            <v>95.520499951314079</v>
          </cell>
          <cell r="BO341">
            <v>95.690499951314081</v>
          </cell>
          <cell r="BP341">
            <v>95.820499951314076</v>
          </cell>
          <cell r="BQ341">
            <v>95.920499951314071</v>
          </cell>
          <cell r="BR341">
            <v>96.000499951314069</v>
          </cell>
          <cell r="BS341">
            <v>96.060499951314071</v>
          </cell>
          <cell r="BT341">
            <v>96.100499951314077</v>
          </cell>
          <cell r="BU341">
            <v>96.130499951314079</v>
          </cell>
        </row>
        <row r="342">
          <cell r="A342" t="str">
            <v>Shareholders' Equity</v>
          </cell>
          <cell r="D342">
            <v>213.83900000000006</v>
          </cell>
          <cell r="E342">
            <v>226.03899999999999</v>
          </cell>
          <cell r="F342">
            <v>229.63900000000004</v>
          </cell>
          <cell r="G342">
            <v>203.18299999999999</v>
          </cell>
          <cell r="I342">
            <v>346.56999999999994</v>
          </cell>
          <cell r="J342">
            <v>347.36199999999985</v>
          </cell>
          <cell r="K342">
            <v>348.05399999999997</v>
          </cell>
          <cell r="L342">
            <v>363.226</v>
          </cell>
          <cell r="N342">
            <v>331.29999999999995</v>
          </cell>
          <cell r="O342">
            <v>322.90599999999995</v>
          </cell>
          <cell r="P342">
            <v>728.88599999999985</v>
          </cell>
          <cell r="Q342">
            <v>859.26599999999996</v>
          </cell>
          <cell r="S342">
            <v>1126.904</v>
          </cell>
          <cell r="T342">
            <v>1141.0830000000001</v>
          </cell>
          <cell r="U342">
            <v>1166.5479999999998</v>
          </cell>
          <cell r="V342">
            <v>1658.1410000000001</v>
          </cell>
          <cell r="X342">
            <v>2430.3650000000002</v>
          </cell>
          <cell r="Y342">
            <v>2462.7920000000004</v>
          </cell>
          <cell r="Z342">
            <v>2519.0030000000006</v>
          </cell>
          <cell r="AA342">
            <v>2608.6319999999996</v>
          </cell>
          <cell r="AC342">
            <v>2665.6600000000003</v>
          </cell>
          <cell r="AD342">
            <v>3389.7830000000008</v>
          </cell>
          <cell r="AE342">
            <v>3529.6369999999997</v>
          </cell>
          <cell r="AF342">
            <v>3858.7999999999997</v>
          </cell>
          <cell r="AH342">
            <v>3898.5</v>
          </cell>
          <cell r="AI342">
            <v>3992.2373393635717</v>
          </cell>
          <cell r="AJ342">
            <v>4092.8513285464714</v>
          </cell>
          <cell r="AK342">
            <v>4209.2723167524782</v>
          </cell>
          <cell r="AM342">
            <v>4323.4775293533457</v>
          </cell>
          <cell r="AN342">
            <v>4447.6573925066969</v>
          </cell>
          <cell r="AO342">
            <v>4578.5350033801678</v>
          </cell>
          <cell r="AP342">
            <v>4727.3817730078035</v>
          </cell>
          <cell r="AR342">
            <v>4874.1473022125883</v>
          </cell>
          <cell r="AS342">
            <v>5029.8580868395184</v>
          </cell>
          <cell r="AT342">
            <v>5196.7484737299455</v>
          </cell>
          <cell r="AU342">
            <v>5386.8291559741865</v>
          </cell>
          <cell r="AW342">
            <v>203.18299999999999</v>
          </cell>
          <cell r="AX342">
            <v>363.226</v>
          </cell>
          <cell r="AY342">
            <v>859.26600000000019</v>
          </cell>
          <cell r="AZ342">
            <v>1658.1410000000001</v>
          </cell>
          <cell r="BA342">
            <v>2608.6319999999996</v>
          </cell>
          <cell r="BB342">
            <v>3858.7</v>
          </cell>
          <cell r="BC342">
            <v>4209.2723167524782</v>
          </cell>
          <cell r="BD342">
            <v>4727.3817730078035</v>
          </cell>
          <cell r="BE342">
            <v>5386.8291559741865</v>
          </cell>
          <cell r="BF342">
            <v>39</v>
          </cell>
          <cell r="BG342">
            <v>4297.1614819638307</v>
          </cell>
          <cell r="BH342">
            <v>5010.413267450178</v>
          </cell>
          <cell r="BI342">
            <v>5743.5674496632982</v>
          </cell>
          <cell r="BJ342">
            <v>6663.98709630334</v>
          </cell>
          <cell r="BK342">
            <v>7634.7871758707352</v>
          </cell>
          <cell r="BL342">
            <v>8989.7445799736051</v>
          </cell>
          <cell r="BM342">
            <v>10534.46940300964</v>
          </cell>
          <cell r="BN342">
            <v>12164.845093473932</v>
          </cell>
          <cell r="BO342">
            <v>13874.315140314986</v>
          </cell>
          <cell r="BP342">
            <v>15812.979747049112</v>
          </cell>
          <cell r="BQ342">
            <v>17965.262928850832</v>
          </cell>
          <cell r="BR342">
            <v>20318.318072390117</v>
          </cell>
          <cell r="BS342">
            <v>21545.773067050708</v>
          </cell>
          <cell r="BT342">
            <v>23002.458036814638</v>
          </cell>
          <cell r="BU342">
            <v>24518.894752423061</v>
          </cell>
        </row>
        <row r="343">
          <cell r="A343" t="str">
            <v>Capital Stock</v>
          </cell>
          <cell r="D343" t="str">
            <v>--</v>
          </cell>
          <cell r="E343" t="str">
            <v>--</v>
          </cell>
          <cell r="F343" t="str">
            <v>--</v>
          </cell>
          <cell r="G343" t="str">
            <v>--</v>
          </cell>
          <cell r="I343" t="str">
            <v>--</v>
          </cell>
          <cell r="J343" t="str">
            <v>--</v>
          </cell>
          <cell r="K343" t="str">
            <v>--</v>
          </cell>
          <cell r="L343">
            <v>367.41699999999997</v>
          </cell>
          <cell r="N343">
            <v>367.43</v>
          </cell>
          <cell r="O343">
            <v>378.67200000000003</v>
          </cell>
          <cell r="P343">
            <v>779.44299999999998</v>
          </cell>
          <cell r="Q343">
            <v>912.07399999999996</v>
          </cell>
          <cell r="S343">
            <v>1170.4190000000001</v>
          </cell>
          <cell r="T343">
            <v>1171.5630000000001</v>
          </cell>
          <cell r="U343">
            <v>1175.009</v>
          </cell>
          <cell r="V343">
            <v>1646.077</v>
          </cell>
          <cell r="X343">
            <v>2392.8429999999998</v>
          </cell>
          <cell r="Y343">
            <v>2391.9349999999999</v>
          </cell>
          <cell r="Z343">
            <v>2394.61</v>
          </cell>
          <cell r="AA343">
            <v>2395.4140000000002</v>
          </cell>
          <cell r="AC343">
            <v>2400.9940000000001</v>
          </cell>
          <cell r="AD343">
            <v>3112.886</v>
          </cell>
          <cell r="AE343">
            <v>3294.2159999999999</v>
          </cell>
          <cell r="AF343">
            <v>3699</v>
          </cell>
          <cell r="AH343">
            <v>3703.2</v>
          </cell>
          <cell r="AI343" t="str">
            <v>--</v>
          </cell>
          <cell r="AJ343" t="str">
            <v>--</v>
          </cell>
          <cell r="AK343" t="str">
            <v>--</v>
          </cell>
          <cell r="AM343" t="str">
            <v>--</v>
          </cell>
          <cell r="AN343" t="str">
            <v>--</v>
          </cell>
          <cell r="AO343" t="str">
            <v>--</v>
          </cell>
          <cell r="AP343" t="str">
            <v>--</v>
          </cell>
          <cell r="AR343">
            <v>4832.6424640522237</v>
          </cell>
          <cell r="AS343">
            <v>4991.2232260788096</v>
          </cell>
          <cell r="AT343">
            <v>5161.9048211335248</v>
          </cell>
          <cell r="AU343">
            <v>5356.7204006326974</v>
          </cell>
          <cell r="AW343">
            <v>200.011</v>
          </cell>
          <cell r="AX343">
            <v>367.41699999999997</v>
          </cell>
          <cell r="AY343">
            <v>912.07399999999996</v>
          </cell>
          <cell r="AZ343">
            <v>1646.077</v>
          </cell>
          <cell r="BA343">
            <v>2395.4140000000002</v>
          </cell>
          <cell r="BB343">
            <v>2395.4140000000002</v>
          </cell>
          <cell r="BC343">
            <v>4163.1528598623427</v>
          </cell>
          <cell r="BD343">
            <v>4683.4149954880095</v>
          </cell>
          <cell r="BE343">
            <v>5356.7204006326974</v>
          </cell>
          <cell r="BF343">
            <v>75</v>
          </cell>
          <cell r="BG343">
            <v>4298.8673436123427</v>
          </cell>
          <cell r="BH343">
            <v>5011.5848690607163</v>
          </cell>
          <cell r="BI343">
            <v>5739.1336115940576</v>
          </cell>
          <cell r="BJ343">
            <v>6808.8721581377895</v>
          </cell>
          <cell r="BK343">
            <v>7799.6861545327865</v>
          </cell>
          <cell r="BL343">
            <v>9185.9287882380668</v>
          </cell>
          <cell r="BM343">
            <v>10767.649235782103</v>
          </cell>
          <cell r="BN343">
            <v>12437.719569589128</v>
          </cell>
          <cell r="BO343">
            <v>14189.383572340572</v>
          </cell>
          <cell r="BP343">
            <v>16176.983631626692</v>
          </cell>
          <cell r="BQ343">
            <v>18384.560900770044</v>
          </cell>
          <cell r="BR343">
            <v>20798.969495300564</v>
          </cell>
          <cell r="BS343">
            <v>22345.596526969497</v>
          </cell>
          <cell r="BT343">
            <v>23845.104683790509</v>
          </cell>
          <cell r="BU343">
            <v>25406.465665081552</v>
          </cell>
        </row>
        <row r="344">
          <cell r="A344" t="str">
            <v>Retained Earnings</v>
          </cell>
          <cell r="D344" t="str">
            <v>--</v>
          </cell>
          <cell r="E344" t="str">
            <v>--</v>
          </cell>
          <cell r="F344" t="str">
            <v>--</v>
          </cell>
          <cell r="G344" t="str">
            <v>--</v>
          </cell>
          <cell r="I344" t="str">
            <v>--</v>
          </cell>
          <cell r="J344" t="str">
            <v>--</v>
          </cell>
          <cell r="K344" t="str">
            <v>--</v>
          </cell>
          <cell r="L344">
            <v>-3.7469999999999999</v>
          </cell>
          <cell r="N344">
            <v>-35.566000000000003</v>
          </cell>
          <cell r="O344">
            <v>-54.783000000000001</v>
          </cell>
          <cell r="P344">
            <v>-48.444000000000003</v>
          </cell>
          <cell r="Q344">
            <v>-52.218000000000004</v>
          </cell>
          <cell r="S344">
            <v>-42.728000000000002</v>
          </cell>
          <cell r="T344">
            <v>-29.477</v>
          </cell>
          <cell r="U344">
            <v>-10.009</v>
          </cell>
          <cell r="V344">
            <v>16.027999999999999</v>
          </cell>
          <cell r="X344">
            <v>42.308</v>
          </cell>
          <cell r="Y344">
            <v>83.734999999999999</v>
          </cell>
          <cell r="Z344">
            <v>137.31399999999999</v>
          </cell>
          <cell r="AA344">
            <v>217.512</v>
          </cell>
          <cell r="AC344">
            <v>268.88299999999998</v>
          </cell>
          <cell r="AD344">
            <v>281.11399999999998</v>
          </cell>
          <cell r="AE344">
            <v>238.56800000000001</v>
          </cell>
          <cell r="AF344">
            <v>162.69999999999999</v>
          </cell>
          <cell r="AH344">
            <v>198.2</v>
          </cell>
          <cell r="AI344" t="str">
            <v>--</v>
          </cell>
          <cell r="AJ344" t="str">
            <v>--</v>
          </cell>
          <cell r="AK344" t="str">
            <v>--</v>
          </cell>
          <cell r="AM344" t="str">
            <v>--</v>
          </cell>
          <cell r="AN344" t="str">
            <v>--</v>
          </cell>
          <cell r="AO344" t="str">
            <v>--</v>
          </cell>
          <cell r="AP344" t="str">
            <v>--</v>
          </cell>
          <cell r="AW344">
            <v>3.1720000000000002</v>
          </cell>
          <cell r="AX344">
            <v>-3.7469999999999999</v>
          </cell>
          <cell r="AY344">
            <v>-52.218000000000004</v>
          </cell>
          <cell r="AZ344">
            <v>16.027999999999999</v>
          </cell>
          <cell r="BA344">
            <v>217.512</v>
          </cell>
          <cell r="BB344">
            <v>217.512</v>
          </cell>
          <cell r="BC344">
            <v>0</v>
          </cell>
          <cell r="BD344">
            <v>0</v>
          </cell>
          <cell r="BE344">
            <v>8.3333333333333339</v>
          </cell>
          <cell r="BF344">
            <v>16.666666666666668</v>
          </cell>
          <cell r="BG344">
            <v>0</v>
          </cell>
          <cell r="BH344">
            <v>0</v>
          </cell>
          <cell r="BI344">
            <v>0</v>
          </cell>
          <cell r="BJ344">
            <v>0</v>
          </cell>
          <cell r="BK344">
            <v>0</v>
          </cell>
        </row>
        <row r="345">
          <cell r="A345" t="str">
            <v>Foreign Currency Translation</v>
          </cell>
          <cell r="D345" t="str">
            <v>--</v>
          </cell>
          <cell r="E345" t="str">
            <v>--</v>
          </cell>
          <cell r="F345" t="str">
            <v>--</v>
          </cell>
          <cell r="G345" t="str">
            <v>--</v>
          </cell>
          <cell r="I345" t="str">
            <v>--</v>
          </cell>
          <cell r="J345" t="str">
            <v>--</v>
          </cell>
          <cell r="K345" t="str">
            <v>--</v>
          </cell>
          <cell r="L345">
            <v>-0.44400000000000001</v>
          </cell>
          <cell r="N345">
            <v>-0.52400000000000002</v>
          </cell>
          <cell r="O345">
            <v>-0.98299999999999998</v>
          </cell>
          <cell r="P345">
            <v>-2.113</v>
          </cell>
          <cell r="Q345">
            <v>-0.59</v>
          </cell>
          <cell r="S345">
            <v>-0.78700000000000003</v>
          </cell>
          <cell r="T345">
            <v>-1.0029999999999999</v>
          </cell>
          <cell r="U345">
            <v>1.548</v>
          </cell>
          <cell r="V345">
            <v>-4.1440000000000001</v>
          </cell>
          <cell r="X345">
            <v>-4.7859999999999996</v>
          </cell>
          <cell r="Y345">
            <v>-12.878</v>
          </cell>
          <cell r="Z345">
            <v>-12.920999999999999</v>
          </cell>
          <cell r="AA345">
            <v>-4.2039999999999997</v>
          </cell>
          <cell r="AC345">
            <v>-4.2169999999999996</v>
          </cell>
          <cell r="AD345">
            <v>-4.2169999999999996</v>
          </cell>
          <cell r="AE345">
            <v>-3.1469999999999998</v>
          </cell>
          <cell r="AF345">
            <v>-2.9</v>
          </cell>
          <cell r="AH345">
            <v>-2.9</v>
          </cell>
          <cell r="AI345" t="str">
            <v>--</v>
          </cell>
          <cell r="AJ345" t="str">
            <v>--</v>
          </cell>
          <cell r="AK345" t="str">
            <v>--</v>
          </cell>
          <cell r="AM345" t="str">
            <v>--</v>
          </cell>
          <cell r="AN345" t="str">
            <v>--</v>
          </cell>
          <cell r="AO345" t="str">
            <v>--</v>
          </cell>
          <cell r="AP345" t="str">
            <v>--</v>
          </cell>
          <cell r="AW345" t="str">
            <v>--</v>
          </cell>
          <cell r="AX345">
            <v>-0.44400000000000001</v>
          </cell>
          <cell r="AY345">
            <v>-0.59</v>
          </cell>
          <cell r="AZ345">
            <v>-4.1440000000000001</v>
          </cell>
          <cell r="BA345">
            <v>-4.2039999999999997</v>
          </cell>
          <cell r="BB345">
            <v>-4.2039999999999997</v>
          </cell>
          <cell r="BC345">
            <v>0</v>
          </cell>
          <cell r="BD345">
            <v>0</v>
          </cell>
          <cell r="BE345">
            <v>37.5</v>
          </cell>
          <cell r="BF345">
            <v>12.5</v>
          </cell>
          <cell r="BG345">
            <v>0</v>
          </cell>
          <cell r="BH345">
            <v>0</v>
          </cell>
          <cell r="BI345">
            <v>0</v>
          </cell>
          <cell r="BJ345">
            <v>0</v>
          </cell>
          <cell r="BK345">
            <v>0</v>
          </cell>
        </row>
        <row r="346">
          <cell r="A346" t="str">
            <v>Foreign Currency Translation</v>
          </cell>
          <cell r="D346" t="str">
            <v>--</v>
          </cell>
          <cell r="E346" t="str">
            <v>--</v>
          </cell>
          <cell r="F346" t="str">
            <v>--</v>
          </cell>
          <cell r="G346" t="str">
            <v>--</v>
          </cell>
          <cell r="I346" t="str">
            <v>--</v>
          </cell>
          <cell r="J346" t="str">
            <v>--</v>
          </cell>
          <cell r="K346" t="str">
            <v>--</v>
          </cell>
          <cell r="L346">
            <v>-0.44400000000000001</v>
          </cell>
          <cell r="N346">
            <v>-0.52400000000000002</v>
          </cell>
          <cell r="O346">
            <v>-0.98299999999999998</v>
          </cell>
          <cell r="P346">
            <v>-2.113</v>
          </cell>
          <cell r="Q346">
            <v>-0.59</v>
          </cell>
          <cell r="S346">
            <v>-0.78700000000000003</v>
          </cell>
          <cell r="T346">
            <v>-1.0029999999999999</v>
          </cell>
          <cell r="U346">
            <v>1.548</v>
          </cell>
          <cell r="V346">
            <v>-4.1440000000000001</v>
          </cell>
          <cell r="X346">
            <v>-4.7859999999999996</v>
          </cell>
          <cell r="Y346">
            <v>-12.878</v>
          </cell>
          <cell r="Z346">
            <v>-12.920999999999999</v>
          </cell>
          <cell r="AA346">
            <v>-4.2039999999999997</v>
          </cell>
          <cell r="AC346">
            <v>-4.2169999999999996</v>
          </cell>
          <cell r="AD346">
            <v>-4.2169999999999996</v>
          </cell>
          <cell r="AE346">
            <v>-3.1469999999999998</v>
          </cell>
          <cell r="AF346">
            <v>-2.9</v>
          </cell>
          <cell r="AH346">
            <v>-2.9</v>
          </cell>
          <cell r="AI346">
            <v>15.4</v>
          </cell>
          <cell r="AJ346" t="str">
            <v>--</v>
          </cell>
          <cell r="AK346" t="str">
            <v>--</v>
          </cell>
          <cell r="AM346" t="str">
            <v>--</v>
          </cell>
          <cell r="AN346" t="str">
            <v>--</v>
          </cell>
          <cell r="AO346" t="str">
            <v>--</v>
          </cell>
          <cell r="AP346" t="str">
            <v>--</v>
          </cell>
          <cell r="AW346" t="str">
            <v>--</v>
          </cell>
          <cell r="AX346">
            <v>-0.44400000000000001</v>
          </cell>
          <cell r="AY346">
            <v>-0.59</v>
          </cell>
          <cell r="AZ346">
            <v>-4.1440000000000001</v>
          </cell>
          <cell r="BA346">
            <v>-4.2039999999999997</v>
          </cell>
          <cell r="BB346">
            <v>-4.2039999999999997</v>
          </cell>
          <cell r="BC346">
            <v>0</v>
          </cell>
          <cell r="BD346">
            <v>40</v>
          </cell>
          <cell r="BE346">
            <v>669.70499999999993</v>
          </cell>
          <cell r="BF346">
            <v>0</v>
          </cell>
          <cell r="BG346">
            <v>0</v>
          </cell>
          <cell r="BH346">
            <v>0</v>
          </cell>
          <cell r="BI346">
            <v>0</v>
          </cell>
          <cell r="BJ346">
            <v>0</v>
          </cell>
          <cell r="BK346">
            <v>0</v>
          </cell>
        </row>
        <row r="347">
          <cell r="A347" t="str">
            <v>Balance Sheet Statistics</v>
          </cell>
          <cell r="Q347">
            <v>2</v>
          </cell>
          <cell r="S347">
            <v>2.5</v>
          </cell>
          <cell r="T347">
            <v>12.5</v>
          </cell>
          <cell r="U347">
            <v>12.5</v>
          </cell>
          <cell r="V347">
            <v>12.5</v>
          </cell>
          <cell r="X347">
            <v>12.5</v>
          </cell>
          <cell r="Y347">
            <v>6.25</v>
          </cell>
          <cell r="Z347">
            <v>4.166666666666667</v>
          </cell>
          <cell r="BC347">
            <v>0</v>
          </cell>
          <cell r="BD347">
            <v>2</v>
          </cell>
          <cell r="BE347">
            <v>6.666666666666667</v>
          </cell>
          <cell r="BF347">
            <v>0</v>
          </cell>
          <cell r="BG347">
            <v>0</v>
          </cell>
          <cell r="BH347">
            <v>0</v>
          </cell>
          <cell r="BI347">
            <v>0</v>
          </cell>
          <cell r="BJ347">
            <v>0</v>
          </cell>
          <cell r="BK347">
            <v>0</v>
          </cell>
        </row>
        <row r="348">
          <cell r="A348" t="str">
            <v xml:space="preserve">Book Value per Share </v>
          </cell>
          <cell r="B348" t="str">
            <v>bvps</v>
          </cell>
          <cell r="D348" t="str">
            <v>--</v>
          </cell>
          <cell r="E348" t="str">
            <v>--</v>
          </cell>
          <cell r="F348" t="str">
            <v>--</v>
          </cell>
          <cell r="G348" t="str">
            <v>--</v>
          </cell>
          <cell r="I348">
            <v>5.5864147780392654</v>
          </cell>
          <cell r="J348">
            <v>4.522942708333332</v>
          </cell>
          <cell r="K348">
            <v>4.5201818181818174</v>
          </cell>
          <cell r="L348">
            <v>4.6567435897435896</v>
          </cell>
          <cell r="N348">
            <v>4.1725440806045331</v>
          </cell>
          <cell r="O348">
            <v>3.9815782983970402</v>
          </cell>
          <cell r="P348">
            <v>5.2971366279069763</v>
          </cell>
          <cell r="Q348">
            <v>6.0384118060435688</v>
          </cell>
          <cell r="S348">
            <v>6.7581260344951666</v>
          </cell>
          <cell r="T348">
            <v>6.3393500000000005</v>
          </cell>
          <cell r="U348">
            <v>6.4736293007769135</v>
          </cell>
          <cell r="V348">
            <v>8.759329107237189</v>
          </cell>
          <cell r="X348">
            <v>12.182280701754387</v>
          </cell>
          <cell r="Y348">
            <v>11.622425672487024</v>
          </cell>
          <cell r="Z348">
            <v>11.450013636363639</v>
          </cell>
          <cell r="AA348">
            <v>11.718921832884096</v>
          </cell>
          <cell r="AC348">
            <v>11.950202632428363</v>
          </cell>
          <cell r="AD348">
            <v>15.029098019046947</v>
          </cell>
          <cell r="AE348">
            <v>16.18609503544798</v>
          </cell>
          <cell r="AF348">
            <v>16.991633641567592</v>
          </cell>
          <cell r="AH348">
            <v>16.463260135135133</v>
          </cell>
          <cell r="AI348">
            <v>16.039523259797395</v>
          </cell>
          <cell r="AJ348">
            <v>16.312679667383307</v>
          </cell>
          <cell r="AK348">
            <v>16.644018650662229</v>
          </cell>
          <cell r="AM348">
            <v>16.961465395658475</v>
          </cell>
          <cell r="AN348">
            <v>17.312796389671846</v>
          </cell>
          <cell r="AO348">
            <v>17.68456934484422</v>
          </cell>
          <cell r="AP348">
            <v>18.119516186308179</v>
          </cell>
          <cell r="AR348">
            <v>18.511763396173901</v>
          </cell>
          <cell r="AS348">
            <v>18.959133384242435</v>
          </cell>
          <cell r="AT348">
            <v>19.441632898353706</v>
          </cell>
          <cell r="AU348">
            <v>20.003078930464859</v>
          </cell>
          <cell r="AX348">
            <v>4.9351358695652179</v>
          </cell>
          <cell r="AY348">
            <v>7.7832065217391317</v>
          </cell>
          <cell r="AZ348">
            <v>9.6854030373831783</v>
          </cell>
          <cell r="BA348">
            <v>12.316487252124643</v>
          </cell>
          <cell r="BB348">
            <v>18.039738195418419</v>
          </cell>
          <cell r="BC348">
            <v>17.015754691268228</v>
          </cell>
          <cell r="BD348">
            <v>18.330289930235764</v>
          </cell>
          <cell r="BE348">
            <v>20.228423417101713</v>
          </cell>
          <cell r="BF348">
            <v>0</v>
          </cell>
          <cell r="BG348">
            <v>17.371041867463692</v>
          </cell>
          <cell r="BH348">
            <v>19.427736593447765</v>
          </cell>
          <cell r="BI348">
            <v>21.568033982963943</v>
          </cell>
          <cell r="BJ348">
            <v>24.563166591608329</v>
          </cell>
          <cell r="BK348">
            <v>30.863212434040364</v>
          </cell>
          <cell r="BL348">
            <v>34.857481892103941</v>
          </cell>
          <cell r="BM348">
            <v>39.558653409724521</v>
          </cell>
          <cell r="BN348">
            <v>44.839089913283935</v>
          </cell>
          <cell r="BO348">
            <v>56.086165296877155</v>
          </cell>
          <cell r="BP348">
            <v>61.314384439895747</v>
          </cell>
          <cell r="BQ348">
            <v>67.462496916450732</v>
          </cell>
          <cell r="BR348">
            <v>74.892436684077097</v>
          </cell>
          <cell r="BS348">
            <v>87.097617249320706</v>
          </cell>
          <cell r="BT348">
            <v>89.191384400211859</v>
          </cell>
          <cell r="BU348">
            <v>92.072454947138795</v>
          </cell>
        </row>
        <row r="349">
          <cell r="A349" t="str">
            <v>Tangible Book Value per Share</v>
          </cell>
          <cell r="B349" t="str">
            <v>bvps</v>
          </cell>
          <cell r="D349" t="str">
            <v>--</v>
          </cell>
          <cell r="E349" t="str">
            <v>--</v>
          </cell>
          <cell r="F349" t="str">
            <v>--</v>
          </cell>
          <cell r="G349" t="str">
            <v>--</v>
          </cell>
          <cell r="I349">
            <v>5.5864147780392654</v>
          </cell>
          <cell r="J349">
            <v>4.522942708333332</v>
          </cell>
          <cell r="K349">
            <v>4.5201818181818174</v>
          </cell>
          <cell r="L349">
            <v>0.14053846153846139</v>
          </cell>
          <cell r="N349">
            <v>0.30478589420654822</v>
          </cell>
          <cell r="O349">
            <v>0.17959309494451223</v>
          </cell>
          <cell r="P349">
            <v>3.1161337209302316</v>
          </cell>
          <cell r="Q349">
            <v>3.4065917076598731</v>
          </cell>
          <cell r="S349">
            <v>4.5962830138892228</v>
          </cell>
          <cell r="T349">
            <v>4.3796722222222231</v>
          </cell>
          <cell r="U349">
            <v>4.5369034406215301</v>
          </cell>
          <cell r="V349">
            <v>6.8176862123613322</v>
          </cell>
          <cell r="X349">
            <v>10.091664160401004</v>
          </cell>
          <cell r="Y349">
            <v>8.8272958942897599</v>
          </cell>
          <cell r="Z349">
            <v>8.7702227272727296</v>
          </cell>
          <cell r="AA349">
            <v>9.1211141060197658</v>
          </cell>
          <cell r="AC349">
            <v>9.4608408349173363</v>
          </cell>
          <cell r="AD349">
            <v>12.516719279266502</v>
          </cell>
          <cell r="AE349">
            <v>12.542106518210081</v>
          </cell>
          <cell r="AF349">
            <v>10.140026420079259</v>
          </cell>
          <cell r="AH349">
            <v>9.7905405405405386</v>
          </cell>
          <cell r="AI349">
            <v>9.7795795072863445</v>
          </cell>
          <cell r="AJ349">
            <v>10.190320161604109</v>
          </cell>
          <cell r="AK349">
            <v>10.657067286486665</v>
          </cell>
          <cell r="AM349">
            <v>11.107797290519205</v>
          </cell>
          <cell r="AN349">
            <v>11.590336288465149</v>
          </cell>
          <cell r="AO349">
            <v>12.091290086443291</v>
          </cell>
          <cell r="AP349">
            <v>12.653437228853214</v>
          </cell>
          <cell r="AR349">
            <v>18.473403914572724</v>
          </cell>
          <cell r="AS349">
            <v>18.934837731710207</v>
          </cell>
          <cell r="AT349">
            <v>19.434882609689478</v>
          </cell>
          <cell r="AU349">
            <v>20.017639763201412</v>
          </cell>
          <cell r="AX349">
            <v>4.9351358695652179</v>
          </cell>
          <cell r="AY349">
            <v>4.3909239130434798</v>
          </cell>
          <cell r="AZ349">
            <v>7.5384813084112166</v>
          </cell>
          <cell r="BA349">
            <v>9.5862134088762971</v>
          </cell>
          <cell r="BB349">
            <v>10.765310892940626</v>
          </cell>
          <cell r="BC349">
            <v>10.895087687731088</v>
          </cell>
          <cell r="BD349">
            <v>12.800627270290049</v>
          </cell>
          <cell r="BE349">
            <v>15.203639338994314</v>
          </cell>
          <cell r="BF349">
            <v>0</v>
          </cell>
          <cell r="BG349">
            <v>11.43673160975778</v>
          </cell>
          <cell r="BH349">
            <v>14.076825387554006</v>
          </cell>
          <cell r="BI349">
            <v>16.71636293527337</v>
          </cell>
          <cell r="BJ349">
            <v>20.125274958729598</v>
          </cell>
          <cell r="BK349">
            <v>26.351843055566388</v>
          </cell>
          <cell r="BL349">
            <v>30.871440790901922</v>
          </cell>
          <cell r="BM349">
            <v>36.028799861095152</v>
          </cell>
          <cell r="BN349">
            <v>41.698654970416264</v>
          </cell>
          <cell r="BO349">
            <v>52.997736797635113</v>
          </cell>
          <cell r="BP349">
            <v>58.693213443385474</v>
          </cell>
          <cell r="BQ349">
            <v>65.254460866882582</v>
          </cell>
          <cell r="BR349">
            <v>73.049458431220472</v>
          </cell>
          <cell r="BS349">
            <v>85.432129629310595</v>
          </cell>
          <cell r="BT349">
            <v>87.935083508393333</v>
          </cell>
          <cell r="BU349">
            <v>91.186236396631841</v>
          </cell>
        </row>
        <row r="350">
          <cell r="A350" t="str">
            <v>Total Debt/Equity</v>
          </cell>
          <cell r="B350" t="str">
            <v>d_e</v>
          </cell>
          <cell r="D350">
            <v>1.1597510276422913</v>
          </cell>
          <cell r="E350">
            <v>0.65917828339357376</v>
          </cell>
          <cell r="F350">
            <v>0.26127966068481395</v>
          </cell>
          <cell r="G350">
            <v>1.6013544440233685</v>
          </cell>
          <cell r="I350">
            <v>1.1261765299939408</v>
          </cell>
          <cell r="J350">
            <v>1.1152284936176098</v>
          </cell>
          <cell r="K350">
            <v>1.2984738000425222</v>
          </cell>
          <cell r="L350">
            <v>1.4311062534069698</v>
          </cell>
          <cell r="N350">
            <v>1.6112284938122547</v>
          </cell>
          <cell r="O350">
            <v>1.8186097502059426</v>
          </cell>
          <cell r="P350">
            <v>0.18704296693858852</v>
          </cell>
          <cell r="Q350">
            <v>0.1580465187729993</v>
          </cell>
          <cell r="S350">
            <v>0.12064292965505491</v>
          </cell>
          <cell r="T350">
            <v>0.11901062411761457</v>
          </cell>
          <cell r="U350">
            <v>0.11633897619300708</v>
          </cell>
          <cell r="V350">
            <v>8.0932200578840999E-2</v>
          </cell>
          <cell r="X350">
            <v>5.4955119909972358E-2</v>
          </cell>
          <cell r="Y350">
            <v>5.3807629714567845E-2</v>
          </cell>
          <cell r="Z350">
            <v>0.39157754079689455</v>
          </cell>
          <cell r="AA350">
            <v>0.38046455000168677</v>
          </cell>
          <cell r="AC350">
            <v>0.37433131006955123</v>
          </cell>
          <cell r="AD350">
            <v>0.29616792579347995</v>
          </cell>
          <cell r="AE350">
            <v>0.28624331623903537</v>
          </cell>
          <cell r="AF350">
            <v>0.26801078055354</v>
          </cell>
          <cell r="AH350">
            <v>0.2656406310119277</v>
          </cell>
          <cell r="AI350">
            <v>0.26055565127443675</v>
          </cell>
          <cell r="AJ350">
            <v>0.25415044830602607</v>
          </cell>
          <cell r="AK350">
            <v>0.24712109878472563</v>
          </cell>
          <cell r="AM350">
            <v>0.24059336331408684</v>
          </cell>
          <cell r="AN350">
            <v>0.23387592797783913</v>
          </cell>
          <cell r="AO350">
            <v>0.22719057498349532</v>
          </cell>
          <cell r="AP350">
            <v>0.22003723201271541</v>
          </cell>
          <cell r="AR350">
            <v>0.21341168731765817</v>
          </cell>
          <cell r="AS350">
            <v>0.20680503943474152</v>
          </cell>
          <cell r="AT350">
            <v>0.20016362255327716</v>
          </cell>
          <cell r="AU350">
            <v>0.19310061074544771</v>
          </cell>
          <cell r="AX350">
            <v>1.4311062534069698</v>
          </cell>
          <cell r="AY350">
            <v>0.15804651877299924</v>
          </cell>
          <cell r="AZ350">
            <v>8.0932200578840999E-2</v>
          </cell>
          <cell r="BA350">
            <v>0.38046455000168677</v>
          </cell>
          <cell r="BB350">
            <v>0.26804364164096717</v>
          </cell>
          <cell r="BC350">
            <v>0.24712109878472563</v>
          </cell>
          <cell r="BD350">
            <v>0.22003723201271541</v>
          </cell>
          <cell r="BE350">
            <v>0.19310061074544771</v>
          </cell>
          <cell r="BF350">
            <v>0</v>
          </cell>
          <cell r="BG350">
            <v>0.24069377060675834</v>
          </cell>
          <cell r="BH350">
            <v>0.20643007767827501</v>
          </cell>
          <cell r="BI350">
            <v>0.18007971684229687</v>
          </cell>
          <cell r="BJ350">
            <v>5.1470687899481254E-3</v>
          </cell>
          <cell r="BK350">
            <v>4.492594123435811E-3</v>
          </cell>
          <cell r="BL350">
            <v>3.8154587925011618E-3</v>
          </cell>
          <cell r="BM350">
            <v>3.2559779413475379E-3</v>
          </cell>
          <cell r="BN350">
            <v>2.819600228070381E-3</v>
          </cell>
          <cell r="BO350">
            <v>2.4721940977348485E-3</v>
          </cell>
          <cell r="BP350">
            <v>2.1691041504306448E-3</v>
          </cell>
          <cell r="BQ350">
            <v>1.9092400782466028E-3</v>
          </cell>
          <cell r="BR350">
            <v>1.6881318560815857E-3</v>
          </cell>
          <cell r="BS350">
            <v>1.5919595873054978E-3</v>
          </cell>
          <cell r="BT350">
            <v>1.4911449874228219E-3</v>
          </cell>
          <cell r="BU350">
            <v>1.3989211319001351E-3</v>
          </cell>
        </row>
        <row r="351">
          <cell r="A351" t="str">
            <v>Total Debt/Total Capital</v>
          </cell>
          <cell r="B351" t="str">
            <v>d_cap</v>
          </cell>
          <cell r="D351">
            <v>0.53698366746853332</v>
          </cell>
          <cell r="E351">
            <v>0.39729201496377714</v>
          </cell>
          <cell r="F351">
            <v>0.20715442326482275</v>
          </cell>
          <cell r="G351">
            <v>0.61558487260453587</v>
          </cell>
          <cell r="I351">
            <v>0.5296721669659058</v>
          </cell>
          <cell r="J351">
            <v>0.52723783599863916</v>
          </cell>
          <cell r="K351">
            <v>0.56492869312606497</v>
          </cell>
          <cell r="L351">
            <v>0.58866462599131864</v>
          </cell>
          <cell r="N351">
            <v>0.61703849265980815</v>
          </cell>
          <cell r="O351">
            <v>0.64521516328149553</v>
          </cell>
          <cell r="P351">
            <v>0.1575705110498036</v>
          </cell>
          <cell r="Q351">
            <v>0.13647683077572434</v>
          </cell>
          <cell r="S351">
            <v>0.1076551026759166</v>
          </cell>
          <cell r="T351">
            <v>0.10635343539428796</v>
          </cell>
          <cell r="U351">
            <v>0.10421474003331127</v>
          </cell>
          <cell r="V351">
            <v>7.4872596574976372E-2</v>
          </cell>
          <cell r="X351">
            <v>5.2092377081085786E-2</v>
          </cell>
          <cell r="Y351">
            <v>5.1060201309362389E-2</v>
          </cell>
          <cell r="Z351">
            <v>0.28139110420872093</v>
          </cell>
          <cell r="AA351">
            <v>0.27560617185078884</v>
          </cell>
          <cell r="AC351">
            <v>0.27237341340248394</v>
          </cell>
          <cell r="AD351">
            <v>0.22849502745732095</v>
          </cell>
          <cell r="AE351">
            <v>0.22254212140515406</v>
          </cell>
          <cell r="AF351">
            <v>0.21136317187819334</v>
          </cell>
          <cell r="AH351">
            <v>0.20988630145315257</v>
          </cell>
          <cell r="AI351">
            <v>0.20669904657601743</v>
          </cell>
          <cell r="AJ351">
            <v>0.20264749627870057</v>
          </cell>
          <cell r="AK351">
            <v>0.1981532499334156</v>
          </cell>
          <cell r="AM351">
            <v>0.19393410478303091</v>
          </cell>
          <cell r="AN351">
            <v>0.18954574173525787</v>
          </cell>
          <cell r="AO351">
            <v>0.18513063872459326</v>
          </cell>
          <cell r="AP351">
            <v>0.18035288287859577</v>
          </cell>
          <cell r="AR351">
            <v>0.17587739556837587</v>
          </cell>
          <cell r="AS351">
            <v>0.17136574067639579</v>
          </cell>
          <cell r="AT351">
            <v>0.16678027794863579</v>
          </cell>
          <cell r="AU351">
            <v>0.16184771762441619</v>
          </cell>
          <cell r="AX351">
            <v>0.58866462599131864</v>
          </cell>
          <cell r="AY351">
            <v>0.13647683077572431</v>
          </cell>
          <cell r="AZ351">
            <v>7.4872596574976372E-2</v>
          </cell>
          <cell r="BA351">
            <v>0.27560617185078884</v>
          </cell>
          <cell r="BB351">
            <v>0.21138360923768648</v>
          </cell>
          <cell r="BC351">
            <v>0.1981532499334156</v>
          </cell>
          <cell r="BD351">
            <v>0.18035288287859577</v>
          </cell>
          <cell r="BE351">
            <v>0.16184771762441619</v>
          </cell>
          <cell r="BF351">
            <v>0</v>
          </cell>
          <cell r="BG351">
            <v>0.19399933836134892</v>
          </cell>
          <cell r="BH351">
            <v>0.17110819889001871</v>
          </cell>
          <cell r="BI351">
            <v>0.15259962040883235</v>
          </cell>
          <cell r="BJ351">
            <v>5.1207121323494009E-3</v>
          </cell>
          <cell r="BK351">
            <v>4.472500991763155E-3</v>
          </cell>
          <cell r="BL351">
            <v>3.8009563999849261E-3</v>
          </cell>
          <cell r="BM351">
            <v>3.2454109548678807E-3</v>
          </cell>
          <cell r="BN351">
            <v>2.8116724358290585E-3</v>
          </cell>
          <cell r="BO351">
            <v>2.4660974262332757E-3</v>
          </cell>
          <cell r="BP351">
            <v>2.1644093211888233E-3</v>
          </cell>
          <cell r="BQ351">
            <v>1.9056018268655711E-3</v>
          </cell>
          <cell r="BR351">
            <v>1.6852868696303268E-3</v>
          </cell>
          <cell r="BS351">
            <v>1.5894292801246592E-3</v>
          </cell>
          <cell r="BT351">
            <v>1.4889247846934768E-3</v>
          </cell>
          <cell r="BU351">
            <v>1.3969668854035796E-3</v>
          </cell>
        </row>
        <row r="352">
          <cell r="A352" t="str">
            <v>Total Debt/Total Capital</v>
          </cell>
          <cell r="B352" t="str">
            <v>d_cap</v>
          </cell>
          <cell r="D352">
            <v>0.53698366746853332</v>
          </cell>
          <cell r="E352">
            <v>0.39729201496377714</v>
          </cell>
          <cell r="F352">
            <v>0.20715442326482275</v>
          </cell>
          <cell r="G352">
            <v>0.61558487260453587</v>
          </cell>
          <cell r="I352">
            <v>0.5296721669659058</v>
          </cell>
          <cell r="J352">
            <v>0.52723783599863916</v>
          </cell>
          <cell r="K352">
            <v>0.56492869312606497</v>
          </cell>
          <cell r="L352">
            <v>0.58866462599131864</v>
          </cell>
          <cell r="N352">
            <v>0.61703849265980815</v>
          </cell>
          <cell r="O352">
            <v>0.64521516328149553</v>
          </cell>
          <cell r="P352">
            <v>0.1575705110498036</v>
          </cell>
          <cell r="Q352">
            <v>0.13647683077572434</v>
          </cell>
          <cell r="S352">
            <v>0.1076551026759166</v>
          </cell>
          <cell r="T352">
            <v>0.10635343539428796</v>
          </cell>
          <cell r="U352">
            <v>0.10421474003331127</v>
          </cell>
          <cell r="V352">
            <v>7.4872596574976372E-2</v>
          </cell>
          <cell r="X352">
            <v>5.2092377081085786E-2</v>
          </cell>
          <cell r="Y352">
            <v>5.1060201309362389E-2</v>
          </cell>
          <cell r="Z352">
            <v>0.28139110420872093</v>
          </cell>
          <cell r="AA352">
            <v>0.27560617185078884</v>
          </cell>
          <cell r="AC352">
            <v>0.27237341340248394</v>
          </cell>
          <cell r="AD352">
            <v>0.22849502745732095</v>
          </cell>
          <cell r="AE352">
            <v>0.22254212140515406</v>
          </cell>
          <cell r="AF352">
            <v>0.21136317187819334</v>
          </cell>
          <cell r="AH352">
            <v>0.20988630145315257</v>
          </cell>
          <cell r="AI352">
            <v>0.20809885246229951</v>
          </cell>
          <cell r="AJ352">
            <v>0.19455182024901416</v>
          </cell>
          <cell r="AK352">
            <v>0.1792462048913282</v>
          </cell>
          <cell r="AM352">
            <v>0.17533617052317244</v>
          </cell>
          <cell r="AN352">
            <v>0.17122705975497099</v>
          </cell>
          <cell r="AO352">
            <v>0.16707493678708957</v>
          </cell>
          <cell r="AP352">
            <v>0.16257153419885353</v>
          </cell>
          <cell r="AR352">
            <v>0.1583463854489566</v>
          </cell>
          <cell r="AS352">
            <v>0.15409064149525742</v>
          </cell>
          <cell r="AT352">
            <v>0.14975857389829172</v>
          </cell>
          <cell r="AU352">
            <v>0.14510238590139035</v>
          </cell>
          <cell r="AX352">
            <v>0.58866462599131864</v>
          </cell>
          <cell r="AY352">
            <v>0.13647683077572431</v>
          </cell>
          <cell r="AZ352">
            <v>7.4872596574976372E-2</v>
          </cell>
          <cell r="BA352">
            <v>0.27560617185078884</v>
          </cell>
          <cell r="BB352">
            <v>0.21138360923768648</v>
          </cell>
          <cell r="BC352">
            <v>0.1792462048913282</v>
          </cell>
          <cell r="BD352">
            <v>0.16257153419885353</v>
          </cell>
          <cell r="BE352">
            <v>0.14510238590139035</v>
          </cell>
          <cell r="BF352">
            <v>0</v>
          </cell>
          <cell r="BG352">
            <v>0.19393728592424628</v>
          </cell>
          <cell r="BH352">
            <v>0.1710750406930405</v>
          </cell>
          <cell r="BI352">
            <v>0.1526995109584588</v>
          </cell>
          <cell r="BJ352">
            <v>5.0122953518290415E-3</v>
          </cell>
          <cell r="BK352">
            <v>4.3783585167754971E-3</v>
          </cell>
          <cell r="BL352">
            <v>3.7200812244220344E-3</v>
          </cell>
          <cell r="BM352">
            <v>3.1753528230237518E-3</v>
          </cell>
          <cell r="BN352">
            <v>2.7501560439846164E-3</v>
          </cell>
          <cell r="BO352">
            <v>2.4114709685119726E-3</v>
          </cell>
          <cell r="BP352">
            <v>2.1158102454690189E-3</v>
          </cell>
          <cell r="BQ352">
            <v>1.8622215665120726E-3</v>
          </cell>
          <cell r="BR352">
            <v>1.6464050449564401E-3</v>
          </cell>
          <cell r="BS352">
            <v>1.532625495326389E-3</v>
          </cell>
          <cell r="BT352">
            <v>1.4363842170354863E-3</v>
          </cell>
          <cell r="BU352">
            <v>1.348229862715101E-3</v>
          </cell>
        </row>
        <row r="353">
          <cell r="A353" t="str">
            <v>Inventory Turns</v>
          </cell>
          <cell r="B353" t="str">
            <v>invx</v>
          </cell>
          <cell r="D353" t="str">
            <v>--</v>
          </cell>
          <cell r="E353" t="str">
            <v>--</v>
          </cell>
          <cell r="F353" t="str">
            <v>--</v>
          </cell>
          <cell r="G353" t="str">
            <v>--</v>
          </cell>
          <cell r="I353" t="str">
            <v xml:space="preserve"> --</v>
          </cell>
          <cell r="J353" t="str">
            <v xml:space="preserve"> --</v>
          </cell>
          <cell r="K353" t="str">
            <v xml:space="preserve"> --</v>
          </cell>
          <cell r="L353">
            <v>9.5685124381297744</v>
          </cell>
          <cell r="N353">
            <v>8.3687969890662881</v>
          </cell>
          <cell r="O353">
            <v>7.9299465925378252</v>
          </cell>
          <cell r="P353">
            <v>8.246226083903812</v>
          </cell>
          <cell r="Q353">
            <v>8.7643276238250944</v>
          </cell>
          <cell r="S353">
            <v>8.3179724597126974</v>
          </cell>
          <cell r="T353">
            <v>7.8737048355630588</v>
          </cell>
          <cell r="U353">
            <v>7.0484900551801486</v>
          </cell>
          <cell r="V353">
            <v>7.8970827875511924</v>
          </cell>
          <cell r="X353">
            <v>7.3556822126749779</v>
          </cell>
          <cell r="Y353">
            <v>7.0713499602337011</v>
          </cell>
          <cell r="Z353">
            <v>6.6392901210295694</v>
          </cell>
          <cell r="AA353">
            <v>7.7907749396452113</v>
          </cell>
          <cell r="AC353">
            <v>5.9053752312632453</v>
          </cell>
          <cell r="AD353">
            <v>6.0979016142165419</v>
          </cell>
          <cell r="AE353">
            <v>5.1524728799024917</v>
          </cell>
          <cell r="AF353">
            <v>5.9679936869155608</v>
          </cell>
          <cell r="AH353">
            <v>6.1260819609345081</v>
          </cell>
          <cell r="AI353">
            <v>6.6309340490376343</v>
          </cell>
          <cell r="AJ353">
            <v>6.6500450727713005</v>
          </cell>
          <cell r="AK353">
            <v>6.9710622451147346</v>
          </cell>
          <cell r="AM353">
            <v>6.7335491054799572</v>
          </cell>
          <cell r="AN353">
            <v>6.8549517525853334</v>
          </cell>
          <cell r="AO353">
            <v>7.0087109153295639</v>
          </cell>
          <cell r="AP353">
            <v>7.2826254340448253</v>
          </cell>
          <cell r="AR353">
            <v>6.7255301195608901</v>
          </cell>
          <cell r="AS353">
            <v>7.0262012521050128</v>
          </cell>
          <cell r="AT353">
            <v>7.2363648159003784</v>
          </cell>
          <cell r="AU353">
            <v>7.6605243620697658</v>
          </cell>
          <cell r="AX353" t="str">
            <v xml:space="preserve"> --</v>
          </cell>
          <cell r="AY353">
            <v>8.1162910125319616</v>
          </cell>
          <cell r="AZ353">
            <v>8.5230419721399677</v>
          </cell>
          <cell r="BA353">
            <v>7.5956871530944987</v>
          </cell>
          <cell r="BB353">
            <v>6.1191279300257753</v>
          </cell>
          <cell r="BC353">
            <v>6.289307535710539</v>
          </cell>
          <cell r="BD353">
            <v>6.7714345372345175</v>
          </cell>
          <cell r="BE353">
            <v>6.9699902454715179</v>
          </cell>
          <cell r="BF353">
            <v>0</v>
          </cell>
          <cell r="BG353">
            <v>6.289307535710539</v>
          </cell>
          <cell r="BH353">
            <v>7.0477724149751939</v>
          </cell>
          <cell r="BI353">
            <v>7.2569225460782087</v>
          </cell>
          <cell r="BJ353">
            <v>7.8410612272185585</v>
          </cell>
          <cell r="BK353">
            <v>8.4655061453215499</v>
          </cell>
          <cell r="BL353">
            <v>9.4588807222640199</v>
          </cell>
          <cell r="BM353">
            <v>9.8308332782660415</v>
          </cell>
          <cell r="BN353">
            <v>9.3621289341389957</v>
          </cell>
          <cell r="BO353">
            <v>8.8418223950443693</v>
          </cell>
          <cell r="BP353">
            <v>8.488262910798122</v>
          </cell>
          <cell r="BQ353">
            <v>8.3809523809523814</v>
          </cell>
          <cell r="BR353">
            <v>8.3076923076923084</v>
          </cell>
          <cell r="BS353">
            <v>8.233009708737864</v>
          </cell>
          <cell r="BT353">
            <v>8.1568627450980404</v>
          </cell>
          <cell r="BU353">
            <v>8.1182266009852224</v>
          </cell>
        </row>
        <row r="354">
          <cell r="A354" t="str">
            <v>Days Inventory</v>
          </cell>
          <cell r="B354" t="str">
            <v>dih</v>
          </cell>
          <cell r="D354" t="str">
            <v>--</v>
          </cell>
          <cell r="E354" t="str">
            <v>--</v>
          </cell>
          <cell r="F354" t="str">
            <v>--</v>
          </cell>
          <cell r="G354" t="str">
            <v>--</v>
          </cell>
          <cell r="I354" t="str">
            <v xml:space="preserve"> --</v>
          </cell>
          <cell r="J354" t="str">
            <v xml:space="preserve"> --</v>
          </cell>
          <cell r="K354" t="str">
            <v xml:space="preserve"> --</v>
          </cell>
          <cell r="L354">
            <v>37.623403044910944</v>
          </cell>
          <cell r="N354">
            <v>43.016935465197065</v>
          </cell>
          <cell r="O354">
            <v>45.397531471241471</v>
          </cell>
          <cell r="P354">
            <v>43.656333980789171</v>
          </cell>
          <cell r="Q354">
            <v>41.075598203491388</v>
          </cell>
          <cell r="S354">
            <v>43.279777823697479</v>
          </cell>
          <cell r="T354">
            <v>45.721805365879703</v>
          </cell>
          <cell r="U354">
            <v>51.074768806040254</v>
          </cell>
          <cell r="V354">
            <v>45.586453844386305</v>
          </cell>
          <cell r="X354">
            <v>48.941755447192151</v>
          </cell>
          <cell r="Y354">
            <v>50.909656858236211</v>
          </cell>
          <cell r="Z354">
            <v>54.222664386923043</v>
          </cell>
          <cell r="AA354">
            <v>46.208496945285169</v>
          </cell>
          <cell r="AC354">
            <v>60.961409885378409</v>
          </cell>
          <cell r="AD354">
            <v>59.036701930497244</v>
          </cell>
          <cell r="AE354">
            <v>69.869363389412513</v>
          </cell>
          <cell r="AF354">
            <v>60.321779627427667</v>
          </cell>
          <cell r="AH354">
            <v>58.765129538861657</v>
          </cell>
          <cell r="AI354">
            <v>54.290993898853181</v>
          </cell>
          <cell r="AJ354">
            <v>54.1349714265885</v>
          </cell>
          <cell r="AK354">
            <v>51.642057887560128</v>
          </cell>
          <cell r="AM354">
            <v>53.463633272834024</v>
          </cell>
          <cell r="AN354">
            <v>52.516781006405566</v>
          </cell>
          <cell r="AO354">
            <v>51.364652408847718</v>
          </cell>
          <cell r="AP354">
            <v>49.432722204422546</v>
          </cell>
          <cell r="AR354">
            <v>53.527379046739647</v>
          </cell>
          <cell r="AS354">
            <v>51.236790277270508</v>
          </cell>
          <cell r="AT354">
            <v>49.748735609483958</v>
          </cell>
          <cell r="AU354">
            <v>46.994172067711183</v>
          </cell>
          <cell r="AX354" t="str">
            <v xml:space="preserve"> --</v>
          </cell>
          <cell r="AY354">
            <v>44.355235592728491</v>
          </cell>
          <cell r="AZ354">
            <v>42.238440356948175</v>
          </cell>
          <cell r="BA354">
            <v>47.395316940263299</v>
          </cell>
          <cell r="BB354">
            <v>58.831912670680772</v>
          </cell>
          <cell r="BC354">
            <v>57.240005828293263</v>
          </cell>
          <cell r="BD354">
            <v>53.164510122699276</v>
          </cell>
          <cell r="BE354">
            <v>51.650000548264195</v>
          </cell>
          <cell r="BF354">
            <v>0</v>
          </cell>
          <cell r="BG354">
            <v>57.240005828293263</v>
          </cell>
          <cell r="BH354">
            <v>51.079969500017846</v>
          </cell>
          <cell r="BI354">
            <v>49.607805197611135</v>
          </cell>
          <cell r="BJ354">
            <v>45.912152649737948</v>
          </cell>
          <cell r="BK354">
            <v>42.525513988192365</v>
          </cell>
          <cell r="BL354">
            <v>38.059471365638764</v>
          </cell>
          <cell r="BM354">
            <v>36.6194797338173</v>
          </cell>
          <cell r="BN354">
            <v>38.452792365127578</v>
          </cell>
          <cell r="BO354">
            <v>40.715588248161538</v>
          </cell>
          <cell r="BP354">
            <v>42.411504424778762</v>
          </cell>
          <cell r="BQ354">
            <v>42.954545454545453</v>
          </cell>
          <cell r="BR354">
            <v>43.333333333333329</v>
          </cell>
          <cell r="BS354">
            <v>43.726415094339622</v>
          </cell>
          <cell r="BT354">
            <v>44.13461538461538</v>
          </cell>
          <cell r="BU354">
            <v>44.34466019417475</v>
          </cell>
        </row>
        <row r="355">
          <cell r="A355" t="str">
            <v>Days Accts. Receivable</v>
          </cell>
          <cell r="B355" t="str">
            <v>dso</v>
          </cell>
          <cell r="D355" t="str">
            <v>--</v>
          </cell>
          <cell r="E355" t="str">
            <v>--</v>
          </cell>
          <cell r="F355" t="str">
            <v>--</v>
          </cell>
          <cell r="G355" t="str">
            <v>--</v>
          </cell>
          <cell r="I355" t="str">
            <v xml:space="preserve"> --</v>
          </cell>
          <cell r="J355" t="str">
            <v xml:space="preserve"> --</v>
          </cell>
          <cell r="K355" t="str">
            <v xml:space="preserve"> --</v>
          </cell>
          <cell r="L355">
            <v>39.507814112387976</v>
          </cell>
          <cell r="N355">
            <v>45.971395695140103</v>
          </cell>
          <cell r="O355">
            <v>42.161924249729516</v>
          </cell>
          <cell r="P355">
            <v>39.568783883686542</v>
          </cell>
          <cell r="Q355">
            <v>40.574982330016923</v>
          </cell>
          <cell r="S355">
            <v>39.707105776910097</v>
          </cell>
          <cell r="T355">
            <v>38.416539969592698</v>
          </cell>
          <cell r="U355">
            <v>38.820565578464013</v>
          </cell>
          <cell r="V355">
            <v>36.254522918711473</v>
          </cell>
          <cell r="X355">
            <v>41.821548783959543</v>
          </cell>
          <cell r="Y355">
            <v>41.038875023125101</v>
          </cell>
          <cell r="Z355">
            <v>45.189629517385349</v>
          </cell>
          <cell r="AA355">
            <v>42.89891145452647</v>
          </cell>
          <cell r="AC355">
            <v>54.66989220355979</v>
          </cell>
          <cell r="AD355">
            <v>52.45377730572261</v>
          </cell>
          <cell r="AE355">
            <v>59.840123470800521</v>
          </cell>
          <cell r="AF355">
            <v>43.518007107262477</v>
          </cell>
          <cell r="AH355">
            <v>44.475017429700202</v>
          </cell>
          <cell r="AI355">
            <v>43.711803131199851</v>
          </cell>
          <cell r="AJ355">
            <v>43.668876950781389</v>
          </cell>
          <cell r="AK355">
            <v>42.070020744502735</v>
          </cell>
          <cell r="AM355">
            <v>43.944826329396243</v>
          </cell>
          <cell r="AN355">
            <v>42.805929295167516</v>
          </cell>
          <cell r="AO355">
            <v>41.508934504998372</v>
          </cell>
          <cell r="AP355">
            <v>40.052058474290838</v>
          </cell>
          <cell r="AR355">
            <v>43.620318901751681</v>
          </cell>
          <cell r="AS355">
            <v>41.207510367009576</v>
          </cell>
          <cell r="AT355">
            <v>39.928457869585934</v>
          </cell>
          <cell r="AU355">
            <v>39.032844077816812</v>
          </cell>
          <cell r="AX355" t="str">
            <v xml:space="preserve"> --</v>
          </cell>
          <cell r="AY355">
            <v>42.98441563957369</v>
          </cell>
          <cell r="AZ355">
            <v>38.455488556077121</v>
          </cell>
          <cell r="BA355">
            <v>46.292591063953061</v>
          </cell>
          <cell r="BB355">
            <v>48.909600156170796</v>
          </cell>
          <cell r="BC355">
            <v>50.270402174942674</v>
          </cell>
          <cell r="BD355">
            <v>46.155668411847721</v>
          </cell>
          <cell r="BE355">
            <v>45.878580140402562</v>
          </cell>
          <cell r="BF355">
            <v>0</v>
          </cell>
          <cell r="BG355">
            <v>50.270402174942674</v>
          </cell>
          <cell r="BH355">
            <v>44.227397022090486</v>
          </cell>
          <cell r="BI355">
            <v>43.995956671111031</v>
          </cell>
          <cell r="BJ355">
            <v>41.252862917753461</v>
          </cell>
          <cell r="BK355">
            <v>38.243243243243242</v>
          </cell>
          <cell r="BL355">
            <v>34.898000000000003</v>
          </cell>
          <cell r="BM355">
            <v>32.027999999999999</v>
          </cell>
          <cell r="BN355">
            <v>34.094186377885443</v>
          </cell>
          <cell r="BO355">
            <v>36.026556776556774</v>
          </cell>
          <cell r="BP355">
            <v>38.338495575221238</v>
          </cell>
          <cell r="BQ355">
            <v>38.838636363636361</v>
          </cell>
          <cell r="BR355">
            <v>39.1875</v>
          </cell>
          <cell r="BS355">
            <v>39.549528301886795</v>
          </cell>
          <cell r="BT355">
            <v>39.925480769230766</v>
          </cell>
          <cell r="BU355">
            <v>40.118932038834949</v>
          </cell>
        </row>
        <row r="356">
          <cell r="A356" t="str">
            <v>Days Payable</v>
          </cell>
          <cell r="B356" t="str">
            <v>dpo</v>
          </cell>
          <cell r="D356" t="str">
            <v>--</v>
          </cell>
          <cell r="E356" t="str">
            <v>--</v>
          </cell>
          <cell r="F356" t="str">
            <v>--</v>
          </cell>
          <cell r="G356" t="str">
            <v>--</v>
          </cell>
          <cell r="I356" t="str">
            <v xml:space="preserve"> --</v>
          </cell>
          <cell r="J356" t="str">
            <v xml:space="preserve"> --</v>
          </cell>
          <cell r="K356" t="str">
            <v xml:space="preserve"> --</v>
          </cell>
          <cell r="L356">
            <v>51.372802241528476</v>
          </cell>
          <cell r="N356">
            <v>61.707432674940954</v>
          </cell>
          <cell r="O356">
            <v>62.253240881569788</v>
          </cell>
          <cell r="P356">
            <v>60.656666577974079</v>
          </cell>
          <cell r="Q356">
            <v>59.978010874834283</v>
          </cell>
          <cell r="S356">
            <v>58.951462763315277</v>
          </cell>
          <cell r="T356">
            <v>56.947878223221835</v>
          </cell>
          <cell r="U356">
            <v>61.600620331717742</v>
          </cell>
          <cell r="V356">
            <v>53.448569516614739</v>
          </cell>
          <cell r="X356">
            <v>55.753047970450211</v>
          </cell>
          <cell r="Y356">
            <v>54.886464715394844</v>
          </cell>
          <cell r="Z356">
            <v>60.272224396953469</v>
          </cell>
          <cell r="AA356">
            <v>58.436624511976966</v>
          </cell>
          <cell r="AC356">
            <v>62.259842585846172</v>
          </cell>
          <cell r="AD356">
            <v>50.147609817158752</v>
          </cell>
          <cell r="AE356">
            <v>53.585893388837853</v>
          </cell>
          <cell r="AF356">
            <v>42.053329369797865</v>
          </cell>
          <cell r="AH356">
            <v>54.538361508452532</v>
          </cell>
          <cell r="AI356">
            <v>53.363577375591447</v>
          </cell>
          <cell r="AJ356">
            <v>53.783936163736783</v>
          </cell>
          <cell r="AK356">
            <v>52.48526947164882</v>
          </cell>
          <cell r="AM356">
            <v>55.126647175718624</v>
          </cell>
          <cell r="AN356">
            <v>53.661172322651581</v>
          </cell>
          <cell r="AO356">
            <v>51.783249804850755</v>
          </cell>
          <cell r="AP356">
            <v>49.639375035169707</v>
          </cell>
          <cell r="AR356">
            <v>53.857421820461589</v>
          </cell>
          <cell r="AS356">
            <v>51.050862901388108</v>
          </cell>
          <cell r="AT356">
            <v>49.693317742315728</v>
          </cell>
          <cell r="AU356">
            <v>48.628304738106166</v>
          </cell>
          <cell r="AX356" t="str">
            <v xml:space="preserve"> --</v>
          </cell>
          <cell r="AY356">
            <v>63.657441454620631</v>
          </cell>
          <cell r="AZ356">
            <v>52.745850529324187</v>
          </cell>
          <cell r="BA356">
            <v>60.919136361861128</v>
          </cell>
          <cell r="BB356">
            <v>67.195215449830116</v>
          </cell>
          <cell r="BC356">
            <v>55.023987944822665</v>
          </cell>
          <cell r="BD356">
            <v>54.437292390122614</v>
          </cell>
          <cell r="BE356">
            <v>53.595325204632303</v>
          </cell>
          <cell r="BF356">
            <v>0</v>
          </cell>
          <cell r="BG356">
            <v>55.023987944822665</v>
          </cell>
          <cell r="BH356">
            <v>48.863474711025873</v>
          </cell>
          <cell r="BI356">
            <v>51.530438794527548</v>
          </cell>
          <cell r="BJ356">
            <v>49.437067595751984</v>
          </cell>
          <cell r="BK356">
            <v>46.816684961580691</v>
          </cell>
          <cell r="BL356">
            <v>43.566079295154189</v>
          </cell>
          <cell r="BM356">
            <v>41.217543859649126</v>
          </cell>
          <cell r="BN356">
            <v>42.013840268504815</v>
          </cell>
          <cell r="BO356">
            <v>44.226428445483819</v>
          </cell>
          <cell r="BP356">
            <v>46.460176991150441</v>
          </cell>
          <cell r="BQ356">
            <v>47.727272727272727</v>
          </cell>
          <cell r="BR356">
            <v>48.148148148148138</v>
          </cell>
          <cell r="BS356">
            <v>48.584905660377359</v>
          </cell>
          <cell r="BT356">
            <v>49.038461538461547</v>
          </cell>
          <cell r="BU356">
            <v>49.271844660194162</v>
          </cell>
        </row>
        <row r="357">
          <cell r="A357" t="str">
            <v>Cash Cycle</v>
          </cell>
          <cell r="B357" t="str">
            <v>ccycle</v>
          </cell>
          <cell r="D357" t="str">
            <v>--</v>
          </cell>
          <cell r="E357" t="str">
            <v>--</v>
          </cell>
          <cell r="F357" t="str">
            <v>--</v>
          </cell>
          <cell r="G357" t="str">
            <v>--</v>
          </cell>
          <cell r="I357" t="str">
            <v xml:space="preserve"> --</v>
          </cell>
          <cell r="J357" t="str">
            <v xml:space="preserve"> --</v>
          </cell>
          <cell r="K357" t="str">
            <v xml:space="preserve"> --</v>
          </cell>
          <cell r="L357">
            <v>25.758414915770445</v>
          </cell>
          <cell r="N357">
            <v>27.280898485396214</v>
          </cell>
          <cell r="O357">
            <v>25.3062148394012</v>
          </cell>
          <cell r="P357">
            <v>22.568451286501642</v>
          </cell>
          <cell r="Q357">
            <v>21.672569658674021</v>
          </cell>
          <cell r="S357">
            <v>24.035420837292293</v>
          </cell>
          <cell r="T357">
            <v>27.190467112250559</v>
          </cell>
          <cell r="U357">
            <v>28.294714052786524</v>
          </cell>
          <cell r="V357">
            <v>28.392407246483046</v>
          </cell>
          <cell r="X357">
            <v>35.010256260701482</v>
          </cell>
          <cell r="Y357">
            <v>37.062067165966461</v>
          </cell>
          <cell r="Z357">
            <v>39.14006950735493</v>
          </cell>
          <cell r="AA357">
            <v>30.670783887834681</v>
          </cell>
          <cell r="AC357">
            <v>53.371459503092026</v>
          </cell>
          <cell r="AD357">
            <v>61.342869419061103</v>
          </cell>
          <cell r="AE357">
            <v>76.123593471375159</v>
          </cell>
          <cell r="AF357">
            <v>61.786457364892271</v>
          </cell>
          <cell r="AH357">
            <v>48.701785460109328</v>
          </cell>
          <cell r="AI357">
            <v>44.639219654461584</v>
          </cell>
          <cell r="AJ357">
            <v>44.019912213633106</v>
          </cell>
          <cell r="AK357">
            <v>41.226809160414035</v>
          </cell>
          <cell r="AM357">
            <v>42.281812426511642</v>
          </cell>
          <cell r="AN357">
            <v>41.661537978921501</v>
          </cell>
          <cell r="AO357">
            <v>41.090337108995328</v>
          </cell>
          <cell r="AP357">
            <v>39.845405643543671</v>
          </cell>
          <cell r="AR357">
            <v>43.290276128029738</v>
          </cell>
          <cell r="AS357">
            <v>41.393437742891969</v>
          </cell>
          <cell r="AT357">
            <v>39.983875736754172</v>
          </cell>
          <cell r="AU357">
            <v>37.398711407421828</v>
          </cell>
          <cell r="AX357" t="str">
            <v xml:space="preserve"> --</v>
          </cell>
          <cell r="AY357">
            <v>23.682209777681543</v>
          </cell>
          <cell r="AZ357">
            <v>27.948078383701116</v>
          </cell>
          <cell r="BA357">
            <v>32.768771642355226</v>
          </cell>
          <cell r="BB357">
            <v>40.546297377021446</v>
          </cell>
          <cell r="BC357">
            <v>52.486420058413273</v>
          </cell>
          <cell r="BD357">
            <v>44.882886144424383</v>
          </cell>
          <cell r="BE357">
            <v>43.933255484034447</v>
          </cell>
          <cell r="BF357">
            <v>0</v>
          </cell>
          <cell r="BG357">
            <v>52.486420058413273</v>
          </cell>
          <cell r="BH357">
            <v>46.443891811082466</v>
          </cell>
          <cell r="BI357">
            <v>42.073323074194612</v>
          </cell>
          <cell r="BJ357">
            <v>37.727947971739425</v>
          </cell>
          <cell r="BK357">
            <v>33.952072269854924</v>
          </cell>
          <cell r="BL357">
            <v>29.391392070484578</v>
          </cell>
          <cell r="BM357">
            <v>27.42993587416818</v>
          </cell>
          <cell r="BN357">
            <v>30.533138474508213</v>
          </cell>
          <cell r="BO357">
            <v>32.515716579234493</v>
          </cell>
          <cell r="BP357">
            <v>34.289823008849559</v>
          </cell>
          <cell r="BQ357">
            <v>34.065909090909081</v>
          </cell>
          <cell r="BR357">
            <v>34.37268518518519</v>
          </cell>
          <cell r="BS357">
            <v>34.691037735849051</v>
          </cell>
          <cell r="BT357">
            <v>35.021634615384599</v>
          </cell>
          <cell r="BU357">
            <v>35.191747572815544</v>
          </cell>
        </row>
        <row r="358">
          <cell r="A358" t="str">
            <v>Op. WC/Revenue</v>
          </cell>
          <cell r="B358" t="str">
            <v>ccycle</v>
          </cell>
          <cell r="D358" t="str">
            <v>--</v>
          </cell>
          <cell r="E358" t="str">
            <v>--</v>
          </cell>
          <cell r="F358" t="str">
            <v>--</v>
          </cell>
          <cell r="G358" t="str">
            <v>--</v>
          </cell>
          <cell r="I358" t="str">
            <v xml:space="preserve"> --</v>
          </cell>
          <cell r="J358" t="str">
            <v xml:space="preserve"> --</v>
          </cell>
          <cell r="K358" t="str">
            <v xml:space="preserve"> --</v>
          </cell>
          <cell r="L358">
            <v>8.7623520353870887E-2</v>
          </cell>
          <cell r="N358">
            <v>7.7230269392175449E-2</v>
          </cell>
          <cell r="O358">
            <v>7.3343407172245814E-2</v>
          </cell>
          <cell r="P358">
            <v>6.2444245933957594E-2</v>
          </cell>
          <cell r="Q358">
            <v>7.3484704387127175E-2</v>
          </cell>
          <cell r="S358">
            <v>7.6732675555358343E-2</v>
          </cell>
          <cell r="T358">
            <v>8.90429703128751E-2</v>
          </cell>
          <cell r="U358">
            <v>7.9436042822601041E-2</v>
          </cell>
          <cell r="V358">
            <v>9.4001184770048304E-2</v>
          </cell>
          <cell r="X358">
            <v>0.10330389754410252</v>
          </cell>
          <cell r="Y358">
            <v>0.12781893155592353</v>
          </cell>
          <cell r="Z358">
            <v>0.11698329595727015</v>
          </cell>
          <cell r="AA358">
            <v>8.7056663534161721E-2</v>
          </cell>
          <cell r="AC358">
            <v>0.18555388429291667</v>
          </cell>
          <cell r="AD358">
            <v>0.14945055936281573</v>
          </cell>
          <cell r="AE358">
            <v>0.23626262511632126</v>
          </cell>
          <cell r="AF358">
            <v>0.12330487705252842</v>
          </cell>
          <cell r="AH358">
            <v>0.12859632814315591</v>
          </cell>
          <cell r="AI358">
            <v>0.12313397453579508</v>
          </cell>
          <cell r="AJ358">
            <v>0.12313397453579511</v>
          </cell>
          <cell r="AK358">
            <v>0.11425410002227715</v>
          </cell>
          <cell r="AM358">
            <v>0.1189554311774461</v>
          </cell>
          <cell r="AN358">
            <v>0.11672091503267976</v>
          </cell>
          <cell r="AO358">
            <v>0.1171135265700483</v>
          </cell>
          <cell r="AP358">
            <v>0.11520158730158729</v>
          </cell>
          <cell r="AR358">
            <v>0.11929346405228762</v>
          </cell>
          <cell r="AS358">
            <v>0.1149876984126984</v>
          </cell>
          <cell r="AT358">
            <v>0.1131313771517997</v>
          </cell>
          <cell r="AU358">
            <v>0.10623055555555556</v>
          </cell>
          <cell r="AX358" t="str">
            <v xml:space="preserve"> --</v>
          </cell>
          <cell r="AY358">
            <v>8.3706576872780811E-2</v>
          </cell>
          <cell r="AZ358">
            <v>0.11419155172277089</v>
          </cell>
          <cell r="BA358">
            <v>0.12311103021664624</v>
          </cell>
          <cell r="BB358">
            <v>0.12069651937226616</v>
          </cell>
          <cell r="BC358">
            <v>0.12195378927313261</v>
          </cell>
          <cell r="BD358">
            <v>0.12761838594925048</v>
          </cell>
          <cell r="BE358">
            <v>0.11849366357755919</v>
          </cell>
          <cell r="BG358">
            <v>0.12195378927313261</v>
          </cell>
          <cell r="BH358">
            <v>0.12761836872682089</v>
          </cell>
          <cell r="BI358">
            <v>0.11849366357755917</v>
          </cell>
          <cell r="BJ358">
            <v>0.10838475975975974</v>
          </cell>
          <cell r="BK358">
            <v>9.8458333333333314E-2</v>
          </cell>
          <cell r="BL358">
            <v>8.5122222222222224E-2</v>
          </cell>
          <cell r="BM358">
            <v>8.8049808429118775E-2</v>
          </cell>
          <cell r="BN358">
            <v>9.2236507936507922E-2</v>
          </cell>
          <cell r="BO358">
            <v>9.7990277777777801E-2</v>
          </cell>
          <cell r="BP358">
            <v>9.8319444444444418E-2</v>
          </cell>
          <cell r="BQ358">
            <v>9.8319444444444445E-2</v>
          </cell>
          <cell r="BR358">
            <v>9.8319444444444473E-2</v>
          </cell>
          <cell r="BS358">
            <v>9.8319444444444445E-2</v>
          </cell>
          <cell r="BT358">
            <v>9.8319444444444445E-2</v>
          </cell>
          <cell r="BU358">
            <v>9.8319444444444473E-2</v>
          </cell>
        </row>
        <row r="359">
          <cell r="A359" t="str">
            <v>Op. WC/Revenue</v>
          </cell>
          <cell r="D359" t="str">
            <v>--</v>
          </cell>
          <cell r="E359" t="str">
            <v>--</v>
          </cell>
          <cell r="F359" t="str">
            <v>--</v>
          </cell>
          <cell r="G359" t="str">
            <v>--</v>
          </cell>
          <cell r="I359" t="str">
            <v xml:space="preserve"> --</v>
          </cell>
          <cell r="J359" t="str">
            <v xml:space="preserve"> --</v>
          </cell>
          <cell r="K359" t="str">
            <v xml:space="preserve"> --</v>
          </cell>
          <cell r="L359">
            <v>8.7623520353870887E-2</v>
          </cell>
          <cell r="N359">
            <v>7.7230269392175449E-2</v>
          </cell>
          <cell r="O359">
            <v>7.3343407172245814E-2</v>
          </cell>
          <cell r="P359">
            <v>6.2444245933957594E-2</v>
          </cell>
          <cell r="Q359">
            <v>7.3484704387127175E-2</v>
          </cell>
          <cell r="S359">
            <v>7.6732675555358343E-2</v>
          </cell>
          <cell r="T359">
            <v>8.90429703128751E-2</v>
          </cell>
          <cell r="U359">
            <v>7.9436042822601041E-2</v>
          </cell>
          <cell r="V359">
            <v>9.4001184770048304E-2</v>
          </cell>
          <cell r="X359">
            <v>0.10330389754410252</v>
          </cell>
          <cell r="Y359">
            <v>0.12781893155592353</v>
          </cell>
          <cell r="Z359">
            <v>0.11698329595727015</v>
          </cell>
          <cell r="AA359">
            <v>8.7056663534161721E-2</v>
          </cell>
          <cell r="AC359">
            <v>0.18555388429291667</v>
          </cell>
          <cell r="AD359">
            <v>0.14945055936281573</v>
          </cell>
          <cell r="AE359">
            <v>0.23626262511632126</v>
          </cell>
          <cell r="AF359">
            <v>0.12330487705252842</v>
          </cell>
          <cell r="AH359">
            <v>0.12859632814315591</v>
          </cell>
          <cell r="AI359">
            <v>0.11365152054063671</v>
          </cell>
          <cell r="AJ359">
            <v>0.11302684723819258</v>
          </cell>
          <cell r="AK359">
            <v>9.5717801799076574E-2</v>
          </cell>
          <cell r="AM359">
            <v>0.10253910818713451</v>
          </cell>
          <cell r="AN359">
            <v>9.9240598290598253E-2</v>
          </cell>
          <cell r="AO359">
            <v>9.8661111111111144E-2</v>
          </cell>
          <cell r="AP359">
            <v>8.5866666666666661E-2</v>
          </cell>
          <cell r="AR359">
            <v>9.6068766937669373E-2</v>
          </cell>
          <cell r="AS359">
            <v>9.2988888888888913E-2</v>
          </cell>
          <cell r="AT359">
            <v>9.1718790849673201E-2</v>
          </cell>
          <cell r="AU359">
            <v>8.0397660818713454E-2</v>
          </cell>
          <cell r="AX359" t="str">
            <v xml:space="preserve"> --</v>
          </cell>
          <cell r="AY359">
            <v>8.3706576872780811E-2</v>
          </cell>
          <cell r="AZ359">
            <v>0.11419155172277089</v>
          </cell>
          <cell r="BA359">
            <v>0.12311103021664624</v>
          </cell>
          <cell r="BB359">
            <v>0.12069651937226616</v>
          </cell>
          <cell r="BC359">
            <v>0.10191296308944957</v>
          </cell>
          <cell r="BD359">
            <v>9.5155946543939662E-2</v>
          </cell>
          <cell r="BE359">
            <v>8.9700497666320253E-2</v>
          </cell>
          <cell r="BG359">
            <v>0.10191296308944957</v>
          </cell>
          <cell r="BH359">
            <v>9.5155585196099846E-2</v>
          </cell>
          <cell r="BI359">
            <v>8.9700497666320225E-2</v>
          </cell>
          <cell r="BJ359">
            <v>0.10838475975975978</v>
          </cell>
          <cell r="BK359">
            <v>9.8458333333333301E-2</v>
          </cell>
          <cell r="BL359">
            <v>8.5122222222222238E-2</v>
          </cell>
          <cell r="BM359">
            <v>8.8049808429118789E-2</v>
          </cell>
          <cell r="BN359">
            <v>9.2236507936507964E-2</v>
          </cell>
          <cell r="BO359">
            <v>9.7990277777777787E-2</v>
          </cell>
          <cell r="BP359">
            <v>9.8319444444444445E-2</v>
          </cell>
          <cell r="BQ359">
            <v>9.8319444444444445E-2</v>
          </cell>
          <cell r="BR359">
            <v>9.8319444444444432E-2</v>
          </cell>
          <cell r="BS359">
            <v>9.8319444444444432E-2</v>
          </cell>
          <cell r="BT359">
            <v>9.8319444444444432E-2</v>
          </cell>
          <cell r="BU359">
            <v>9.8319444444444432E-2</v>
          </cell>
        </row>
        <row r="360">
          <cell r="A360" t="str">
            <v>ROE</v>
          </cell>
          <cell r="B360" t="str">
            <v>roe</v>
          </cell>
          <cell r="D360" t="str">
            <v xml:space="preserve"> --</v>
          </cell>
          <cell r="E360" t="str">
            <v xml:space="preserve"> --</v>
          </cell>
          <cell r="F360" t="str">
            <v xml:space="preserve"> --</v>
          </cell>
          <cell r="G360" t="str">
            <v xml:space="preserve"> --</v>
          </cell>
          <cell r="I360" t="str">
            <v xml:space="preserve"> --</v>
          </cell>
          <cell r="J360" t="str">
            <v xml:space="preserve"> --</v>
          </cell>
          <cell r="K360" t="str">
            <v xml:space="preserve"> --</v>
          </cell>
          <cell r="L360">
            <v>2.2134742998537835E-2</v>
          </cell>
          <cell r="N360">
            <v>-8.6309223844751717E-2</v>
          </cell>
          <cell r="O360">
            <v>-5.7554470610174761E-2</v>
          </cell>
          <cell r="P360">
            <v>4.8214856169280569E-2</v>
          </cell>
          <cell r="Q360">
            <v>3.6273606052821136E-2</v>
          </cell>
          <cell r="S360">
            <v>3.8224321180966386E-2</v>
          </cell>
          <cell r="T360">
            <v>4.6741008656575177E-2</v>
          </cell>
          <cell r="U360">
            <v>6.7490859673838666E-2</v>
          </cell>
          <cell r="V360">
            <v>7.4251006039956963E-2</v>
          </cell>
          <cell r="X360">
            <v>5.1069999652684855E-2</v>
          </cell>
          <cell r="Y360">
            <v>6.7730506092487944E-2</v>
          </cell>
          <cell r="Z360">
            <v>8.9408737212189546E-2</v>
          </cell>
          <cell r="AA360">
            <v>0.13023547892936993</v>
          </cell>
          <cell r="AC360">
            <v>8.7576493679151629E-2</v>
          </cell>
          <cell r="AD360">
            <v>7.9231858016003479E-2</v>
          </cell>
          <cell r="AE360">
            <v>3.1705778808050269E-2</v>
          </cell>
          <cell r="AF360">
            <v>4.4929665096961655E-2</v>
          </cell>
          <cell r="AH360">
            <v>4.0942080363012799E-2</v>
          </cell>
          <cell r="AI360">
            <v>4.0863593490999002E-2</v>
          </cell>
          <cell r="AJ360">
            <v>4.0937921658410016E-2</v>
          </cell>
          <cell r="AK360">
            <v>5.3853703279700356E-2</v>
          </cell>
          <cell r="AM360">
            <v>4.8737309975882048E-2</v>
          </cell>
          <cell r="AN360">
            <v>5.4919885614700008E-2</v>
          </cell>
          <cell r="AO360">
            <v>5.7683991546403884E-2</v>
          </cell>
          <cell r="AP360">
            <v>6.9665342338258759E-2</v>
          </cell>
          <cell r="AR360">
            <v>6.3395559476047372E-2</v>
          </cell>
          <cell r="AS360">
            <v>6.6278455111368748E-2</v>
          </cell>
          <cell r="AT360">
            <v>7.0474040876492061E-2</v>
          </cell>
          <cell r="AU360">
            <v>8.2997884496634505E-2</v>
          </cell>
          <cell r="AX360">
            <v>6.7195259962324096E-3</v>
          </cell>
          <cell r="AY360">
            <v>2.1929632259352046E-3</v>
          </cell>
          <cell r="AZ360">
            <v>5.4362286273137383E-2</v>
          </cell>
          <cell r="BA360">
            <v>9.6878366859450935E-2</v>
          </cell>
          <cell r="BB360">
            <v>5.7714433092347875E-2</v>
          </cell>
          <cell r="BC360">
            <v>4.3943219472533449E-2</v>
          </cell>
          <cell r="BD360">
            <v>5.7810777499008384E-2</v>
          </cell>
          <cell r="BE360">
            <v>7.07974489238576E-2</v>
          </cell>
          <cell r="BG360">
            <v>4.3469678708669059E-2</v>
          </cell>
          <cell r="BH360">
            <v>6.7311151168797698E-2</v>
          </cell>
          <cell r="BI360">
            <v>8.0556994401861953E-2</v>
          </cell>
          <cell r="BJ360">
            <v>0.10965454544465568</v>
          </cell>
          <cell r="BK360">
            <v>0.13578787399373216</v>
          </cell>
          <cell r="BL360">
            <v>0.16300698558039503</v>
          </cell>
          <cell r="BM360">
            <v>0.15823682575722384</v>
          </cell>
          <cell r="BN360">
            <v>0.14364977327547551</v>
          </cell>
          <cell r="BO360">
            <v>0.13129993682536772</v>
          </cell>
          <cell r="BP360">
            <v>0.13060567586838517</v>
          </cell>
          <cell r="BQ360">
            <v>0.12743606601756879</v>
          </cell>
          <cell r="BR360">
            <v>0.12292764062290897</v>
          </cell>
          <cell r="BS360">
            <v>0.12093476294481702</v>
          </cell>
          <cell r="BT360">
            <v>0.11890564725986151</v>
          </cell>
          <cell r="BU360">
            <v>0.11603868589225083</v>
          </cell>
        </row>
        <row r="361">
          <cell r="A361" t="str">
            <v>Est. ROE (US GAAP)</v>
          </cell>
          <cell r="B361" t="str">
            <v>roe</v>
          </cell>
          <cell r="D361" t="str">
            <v xml:space="preserve"> --</v>
          </cell>
          <cell r="E361" t="str">
            <v xml:space="preserve"> --</v>
          </cell>
          <cell r="F361" t="str">
            <v xml:space="preserve"> --</v>
          </cell>
          <cell r="G361" t="str">
            <v xml:space="preserve"> --</v>
          </cell>
          <cell r="I361" t="str">
            <v xml:space="preserve"> --</v>
          </cell>
          <cell r="J361" t="str">
            <v xml:space="preserve"> --</v>
          </cell>
          <cell r="K361" t="str">
            <v xml:space="preserve"> --</v>
          </cell>
          <cell r="L361">
            <v>2.2134742998537835E-2</v>
          </cell>
          <cell r="N361">
            <v>-9.0467853908844001E-2</v>
          </cell>
          <cell r="O361">
            <v>-5.7554470610174761E-2</v>
          </cell>
          <cell r="P361">
            <v>4.8214856169280569E-2</v>
          </cell>
          <cell r="Q361">
            <v>3.6273606052821136E-2</v>
          </cell>
          <cell r="S361">
            <v>3.3685211872528632E-2</v>
          </cell>
          <cell r="T361">
            <v>4.6741008656575177E-2</v>
          </cell>
          <cell r="U361">
            <v>6.7490859673838666E-2</v>
          </cell>
          <cell r="V361">
            <v>7.4251006039956963E-2</v>
          </cell>
          <cell r="X361">
            <v>4.2956510647577613E-2</v>
          </cell>
          <cell r="Y361">
            <v>6.7730506092487944E-2</v>
          </cell>
          <cell r="Z361">
            <v>8.603645874629523E-2</v>
          </cell>
          <cell r="AA361">
            <v>0.12508690653683421</v>
          </cell>
          <cell r="AC361">
            <v>8.1537780512143318E-2</v>
          </cell>
          <cell r="AD361">
            <v>7.4475806311776388E-2</v>
          </cell>
          <cell r="AE361">
            <v>2.7196730361793212E-2</v>
          </cell>
          <cell r="AF361">
            <v>4.0490295850123655E-2</v>
          </cell>
          <cell r="AH361">
            <v>3.6424265743234478E-2</v>
          </cell>
          <cell r="AI361">
            <v>3.6504051597696728E-2</v>
          </cell>
          <cell r="AJ361">
            <v>3.6584227908617289E-2</v>
          </cell>
          <cell r="AK361">
            <v>4.9517463356270053E-2</v>
          </cell>
          <cell r="AM361">
            <v>4.3837775450751001E-2</v>
          </cell>
          <cell r="AN361">
            <v>5.0633097150610762E-2</v>
          </cell>
          <cell r="AO361">
            <v>5.3429705983257851E-2</v>
          </cell>
          <cell r="AP361">
            <v>6.5452968539745679E-2</v>
          </cell>
          <cell r="AR361">
            <v>5.8337825294177838E-2</v>
          </cell>
          <cell r="AS361">
            <v>6.215890969542013E-2</v>
          </cell>
          <cell r="AT361">
            <v>6.6406220358159393E-2</v>
          </cell>
          <cell r="AU361">
            <v>7.8991677759793544E-2</v>
          </cell>
          <cell r="AW361" t="str">
            <v>2005E</v>
          </cell>
          <cell r="AX361">
            <v>6.7195259962324096E-3</v>
          </cell>
          <cell r="AY361">
            <v>2.1929632259352046E-3</v>
          </cell>
          <cell r="AZ361">
            <v>5.4362286273137383E-2</v>
          </cell>
          <cell r="BA361">
            <v>9.4347179941374898E-2</v>
          </cell>
          <cell r="BB361">
            <v>5.3075735094471783E-2</v>
          </cell>
          <cell r="BC361">
            <v>3.9629868033815609E-2</v>
          </cell>
          <cell r="BD361">
            <v>5.3558626792678504E-2</v>
          </cell>
          <cell r="BE361">
            <v>6.6723972476778332E-2</v>
          </cell>
          <cell r="BG361">
            <v>4.3878816616902593E-2</v>
          </cell>
          <cell r="BH361">
            <v>6.3228454975313736E-2</v>
          </cell>
          <cell r="BI361">
            <v>7.6725854930462703E-2</v>
          </cell>
          <cell r="BJ361">
            <v>0.1063339878079864</v>
          </cell>
          <cell r="BK361">
            <v>0.13290650813566859</v>
          </cell>
          <cell r="BL361">
            <v>0.16052872029117773</v>
          </cell>
          <cell r="BM361">
            <v>0.15612662557011728</v>
          </cell>
          <cell r="BN361">
            <v>0.14183474049083425</v>
          </cell>
          <cell r="BO361">
            <v>0.12971770454022138</v>
          </cell>
          <cell r="BP361">
            <v>0.12921787680631786</v>
          </cell>
          <cell r="BQ361">
            <v>0.12621634596299666</v>
          </cell>
          <cell r="BR361">
            <v>0.12185146125508377</v>
          </cell>
          <cell r="BS361">
            <v>0.11995062597017755</v>
          </cell>
          <cell r="BT361">
            <v>0.11798080694680978</v>
          </cell>
          <cell r="BU361">
            <v>0.11517170720621203</v>
          </cell>
        </row>
        <row r="362">
          <cell r="A362" t="str">
            <v>ROA</v>
          </cell>
          <cell r="B362" t="str">
            <v>roa</v>
          </cell>
          <cell r="D362" t="str">
            <v xml:space="preserve"> --</v>
          </cell>
          <cell r="E362" t="str">
            <v xml:space="preserve"> --</v>
          </cell>
          <cell r="F362" t="str">
            <v xml:space="preserve"> --</v>
          </cell>
          <cell r="G362" t="str">
            <v xml:space="preserve"> --</v>
          </cell>
          <cell r="I362" t="str">
            <v xml:space="preserve"> --</v>
          </cell>
          <cell r="J362" t="str">
            <v xml:space="preserve"> --</v>
          </cell>
          <cell r="K362" t="str">
            <v xml:space="preserve"> --</v>
          </cell>
          <cell r="L362">
            <v>6.4578608582014675E-3</v>
          </cell>
          <cell r="N362">
            <v>-2.1856576607585422E-2</v>
          </cell>
          <cell r="O362">
            <v>-1.3370239629336735E-2</v>
          </cell>
          <cell r="P362">
            <v>1.8003970586982249E-2</v>
          </cell>
          <cell r="Q362">
            <v>1.8998145299799225E-2</v>
          </cell>
          <cell r="S362">
            <v>2.0985546729881299E-2</v>
          </cell>
          <cell r="T362">
            <v>2.6149491776112112E-2</v>
          </cell>
          <cell r="U362">
            <v>3.5838678085167476E-2</v>
          </cell>
          <cell r="V362">
            <v>4.255430525129817E-2</v>
          </cell>
          <cell r="X362">
            <v>3.318708551905046E-2</v>
          </cell>
          <cell r="Y362">
            <v>4.3417030444689989E-2</v>
          </cell>
          <cell r="Z362">
            <v>4.7029949948795773E-2</v>
          </cell>
          <cell r="AA362">
            <v>5.8519493616222523E-2</v>
          </cell>
          <cell r="AC362">
            <v>4.0743643111711234E-2</v>
          </cell>
          <cell r="AD362">
            <v>4.2084724691549141E-2</v>
          </cell>
          <cell r="AE362">
            <v>1.8375277615566572E-2</v>
          </cell>
          <cell r="AF362">
            <v>2.640787647770669E-2</v>
          </cell>
          <cell r="AH362">
            <v>2.3742776619046488E-2</v>
          </cell>
          <cell r="AI362">
            <v>2.3632870003332213E-2</v>
          </cell>
          <cell r="AJ362">
            <v>2.3761906791635531E-2</v>
          </cell>
          <cell r="AK362">
            <v>3.1257466479511532E-2</v>
          </cell>
          <cell r="AM362">
            <v>2.839940249091908E-2</v>
          </cell>
          <cell r="AN362">
            <v>3.2328354748040251E-2</v>
          </cell>
          <cell r="AO362">
            <v>3.4166905672589516E-2</v>
          </cell>
          <cell r="AP362">
            <v>4.1100467254301457E-2</v>
          </cell>
          <cell r="AR362">
            <v>3.7592183764525708E-2</v>
          </cell>
          <cell r="AS362">
            <v>3.9945124658423217E-2</v>
          </cell>
          <cell r="AT362">
            <v>4.2637022376683549E-2</v>
          </cell>
          <cell r="AU362">
            <v>4.9833527222755067E-2</v>
          </cell>
          <cell r="AW362" t="str">
            <v xml:space="preserve"> 3/05E</v>
          </cell>
          <cell r="AX362">
            <v>1.8977602838562743E-3</v>
          </cell>
          <cell r="AY362">
            <v>8.9849892684731088E-4</v>
          </cell>
          <cell r="AZ362">
            <v>3.1885256691786948E-2</v>
          </cell>
          <cell r="BA362">
            <v>4.8100819507597238E-2</v>
          </cell>
          <cell r="BB362">
            <v>2.9692292945166579E-2</v>
          </cell>
          <cell r="BC362">
            <v>2.549226831101448E-2</v>
          </cell>
          <cell r="BD362">
            <v>3.3676987544106578E-2</v>
          </cell>
          <cell r="BE362">
            <v>4.1881482503739208E-2</v>
          </cell>
          <cell r="BF362">
            <v>2000</v>
          </cell>
          <cell r="BG362">
            <v>2.5631570695466798E-2</v>
          </cell>
          <cell r="BH362">
            <v>4.0401432647572962E-2</v>
          </cell>
          <cell r="BI362">
            <v>4.8837142701746314E-2</v>
          </cell>
          <cell r="BJ362">
            <v>7.1183956278035893E-2</v>
          </cell>
          <cell r="BK362">
            <v>9.3819821105113541E-2</v>
          </cell>
          <cell r="BL362">
            <v>0.11356004358981817</v>
          </cell>
          <cell r="BM362">
            <v>0.11067808141120737</v>
          </cell>
          <cell r="BN362">
            <v>9.9333545216354305E-2</v>
          </cell>
          <cell r="BO362">
            <v>8.9234907846579642E-2</v>
          </cell>
          <cell r="BP362">
            <v>8.8022019524697348E-2</v>
          </cell>
          <cell r="BQ362">
            <v>8.6328838287988374E-2</v>
          </cell>
          <cell r="BR362">
            <v>8.4478558600777257E-2</v>
          </cell>
          <cell r="BS362">
            <v>8.3788983761851038E-2</v>
          </cell>
          <cell r="BT362">
            <v>8.2798948194163113E-2</v>
          </cell>
          <cell r="BU362">
            <v>2010</v>
          </cell>
          <cell r="BV362">
            <v>2011</v>
          </cell>
          <cell r="BW362">
            <v>2012</v>
          </cell>
          <cell r="BX362">
            <v>2013</v>
          </cell>
          <cell r="BY362">
            <v>2014</v>
          </cell>
          <cell r="BZ362">
            <v>2015</v>
          </cell>
          <cell r="CA362">
            <v>2016</v>
          </cell>
        </row>
        <row r="363">
          <cell r="A363" t="str">
            <v>Est. ROA (US GAAP)</v>
          </cell>
          <cell r="B363" t="str">
            <v>roa</v>
          </cell>
          <cell r="D363" t="str">
            <v xml:space="preserve"> --</v>
          </cell>
          <cell r="E363" t="str">
            <v xml:space="preserve"> --</v>
          </cell>
          <cell r="F363" t="str">
            <v xml:space="preserve"> --</v>
          </cell>
          <cell r="G363" t="str">
            <v xml:space="preserve"> --</v>
          </cell>
          <cell r="I363" t="str">
            <v xml:space="preserve"> --</v>
          </cell>
          <cell r="J363" t="str">
            <v xml:space="preserve"> --</v>
          </cell>
          <cell r="K363" t="str">
            <v xml:space="preserve"> --</v>
          </cell>
          <cell r="L363">
            <v>6.4578608582014675E-3</v>
          </cell>
          <cell r="N363">
            <v>-2.1480685157313852E-2</v>
          </cell>
          <cell r="O363">
            <v>-1.3370239629336735E-2</v>
          </cell>
          <cell r="P363">
            <v>1.8003970586982249E-2</v>
          </cell>
          <cell r="Q363">
            <v>1.8998145299799225E-2</v>
          </cell>
          <cell r="S363">
            <v>1.9159108929830526E-2</v>
          </cell>
          <cell r="T363">
            <v>2.6149491776112112E-2</v>
          </cell>
          <cell r="U363">
            <v>3.5838678085167476E-2</v>
          </cell>
          <cell r="V363">
            <v>4.255430525129817E-2</v>
          </cell>
          <cell r="X363">
            <v>2.871276073194437E-2</v>
          </cell>
          <cell r="Y363">
            <v>4.3417030444689989E-2</v>
          </cell>
          <cell r="Z363">
            <v>4.5256095486585685E-2</v>
          </cell>
          <cell r="AA363">
            <v>5.6206054515491356E-2</v>
          </cell>
          <cell r="AC363">
            <v>4.0258936577431001E-2</v>
          </cell>
          <cell r="AD363">
            <v>3.9558504410929923E-2</v>
          </cell>
          <cell r="AE363">
            <v>1.5762031068821122E-2</v>
          </cell>
          <cell r="AF363">
            <v>2.3798591176860867E-2</v>
          </cell>
          <cell r="AH363">
            <v>2.1056377709896438E-2</v>
          </cell>
          <cell r="AI363">
            <v>2.1111591818113694E-2</v>
          </cell>
          <cell r="AJ363">
            <v>2.1234859474844145E-2</v>
          </cell>
          <cell r="AK363">
            <v>2.8740650257054409E-2</v>
          </cell>
          <cell r="AM363">
            <v>2.5720751015869795E-2</v>
          </cell>
          <cell r="AN363">
            <v>2.9804955133387927E-2</v>
          </cell>
          <cell r="AO363">
            <v>3.1647042368342641E-2</v>
          </cell>
          <cell r="AP363">
            <v>3.8615292767854061E-2</v>
          </cell>
          <cell r="AR363">
            <v>3.4993494891730294E-2</v>
          </cell>
          <cell r="AS363">
            <v>3.7462330590583258E-2</v>
          </cell>
          <cell r="AT363">
            <v>4.0175977823151542E-2</v>
          </cell>
          <cell r="AU363">
            <v>4.7428123594805437E-2</v>
          </cell>
          <cell r="AW363" t="str">
            <v>2005E</v>
          </cell>
          <cell r="AX363">
            <v>1.8977602838562743E-3</v>
          </cell>
          <cell r="AY363">
            <v>8.9849892684731088E-4</v>
          </cell>
          <cell r="AZ363">
            <v>3.1885256691786948E-2</v>
          </cell>
          <cell r="BA363">
            <v>4.6844066642811627E-2</v>
          </cell>
          <cell r="BB363">
            <v>2.7305826121231749E-2</v>
          </cell>
          <cell r="BC363">
            <v>2.2990013958344126E-2</v>
          </cell>
          <cell r="BD363">
            <v>3.1199947231421086E-2</v>
          </cell>
          <cell r="BE363">
            <v>3.9471745498508584E-2</v>
          </cell>
          <cell r="BF363">
            <v>2000</v>
          </cell>
          <cell r="BG363">
            <v>2.5992691502303166E-2</v>
          </cell>
          <cell r="BH363">
            <v>3.7950920772238904E-2</v>
          </cell>
          <cell r="BI363">
            <v>4.6514539848148614E-2</v>
          </cell>
          <cell r="BJ363">
            <v>6.9028364563448352E-2</v>
          </cell>
          <cell r="BK363">
            <v>9.1829001001733884E-2</v>
          </cell>
          <cell r="BL363">
            <v>0.11183354142018048</v>
          </cell>
          <cell r="BM363">
            <v>0.10920211077678087</v>
          </cell>
          <cell r="BN363">
            <v>9.8078453495209855E-2</v>
          </cell>
          <cell r="BO363">
            <v>8.8159580960895725E-2</v>
          </cell>
          <cell r="BP363">
            <v>8.7086708901131904E-2</v>
          </cell>
          <cell r="BQ363">
            <v>8.5502565015135951E-2</v>
          </cell>
          <cell r="BR363">
            <v>8.3738984642234809E-2</v>
          </cell>
          <cell r="BS363">
            <v>8.3107129884772465E-2</v>
          </cell>
          <cell r="BT363">
            <v>8.2154943414466719E-2</v>
          </cell>
          <cell r="BU363">
            <v>8.0979023150332743E-2</v>
          </cell>
        </row>
        <row r="364">
          <cell r="A364" t="str">
            <v>Est. ROA (US GAAP)</v>
          </cell>
          <cell r="B364" t="str">
            <v>ta</v>
          </cell>
          <cell r="D364" t="str">
            <v xml:space="preserve"> --</v>
          </cell>
          <cell r="E364" t="str">
            <v xml:space="preserve"> --</v>
          </cell>
          <cell r="F364" t="str">
            <v xml:space="preserve"> --</v>
          </cell>
          <cell r="G364" t="str">
            <v xml:space="preserve"> --</v>
          </cell>
          <cell r="I364" t="str">
            <v xml:space="preserve"> --</v>
          </cell>
          <cell r="J364" t="str">
            <v xml:space="preserve"> --</v>
          </cell>
          <cell r="K364" t="str">
            <v xml:space="preserve"> --</v>
          </cell>
          <cell r="L364">
            <v>6.4578608582014675E-3</v>
          </cell>
          <cell r="N364">
            <v>-2.1480685157313852E-2</v>
          </cell>
          <cell r="O364">
            <v>-1.3370239629336735E-2</v>
          </cell>
          <cell r="P364">
            <v>1.8003970586982249E-2</v>
          </cell>
          <cell r="Q364">
            <v>1.8998145299799225E-2</v>
          </cell>
          <cell r="S364">
            <v>1.9159108929830526E-2</v>
          </cell>
          <cell r="T364">
            <v>2.6149491776112112E-2</v>
          </cell>
          <cell r="U364">
            <v>3.5838678085167476E-2</v>
          </cell>
          <cell r="V364">
            <v>4.255430525129817E-2</v>
          </cell>
          <cell r="X364">
            <v>2.871276073194437E-2</v>
          </cell>
          <cell r="Y364">
            <v>4.3417030444689989E-2</v>
          </cell>
          <cell r="Z364">
            <v>4.5256095486585685E-2</v>
          </cell>
          <cell r="AA364">
            <v>5.6206054515491356E-2</v>
          </cell>
          <cell r="AC364">
            <v>4.0258936577431001E-2</v>
          </cell>
          <cell r="AD364">
            <v>3.9558504410929923E-2</v>
          </cell>
          <cell r="AE364">
            <v>1.5762031068821122E-2</v>
          </cell>
          <cell r="AF364">
            <v>2.3798591176860867E-2</v>
          </cell>
          <cell r="AH364">
            <v>2.1056377709896438E-2</v>
          </cell>
          <cell r="AI364">
            <v>2.1289457000899344E-2</v>
          </cell>
          <cell r="AJ364">
            <v>2.2237257606224071E-2</v>
          </cell>
          <cell r="AK364">
            <v>2.9908066423979203E-2</v>
          </cell>
          <cell r="AM364">
            <v>2.6132692614039086E-2</v>
          </cell>
          <cell r="AN364">
            <v>3.0825819711384699E-2</v>
          </cell>
          <cell r="AO364">
            <v>3.2646418271724965E-2</v>
          </cell>
          <cell r="AP364">
            <v>3.963785372730274E-2</v>
          </cell>
          <cell r="AR364">
            <v>3.5942892796870601E-2</v>
          </cell>
          <cell r="AS364">
            <v>3.8411638103681187E-2</v>
          </cell>
          <cell r="AT364">
            <v>4.1083827523433467E-2</v>
          </cell>
          <cell r="AU364">
            <v>4.8317350270689945E-2</v>
          </cell>
          <cell r="AW364">
            <v>5196.6239171250136</v>
          </cell>
          <cell r="AX364">
            <v>1.8977602838562743E-3</v>
          </cell>
          <cell r="AY364">
            <v>8.9849892684731088E-4</v>
          </cell>
          <cell r="AZ364">
            <v>3.1885256691786948E-2</v>
          </cell>
          <cell r="BA364">
            <v>4.6844066642811627E-2</v>
          </cell>
          <cell r="BB364">
            <v>2.7305826121231749E-2</v>
          </cell>
          <cell r="BC364">
            <v>2.3644063551033878E-2</v>
          </cell>
          <cell r="BD364">
            <v>3.2186718295964672E-2</v>
          </cell>
          <cell r="BE364">
            <v>4.0364400390469311E-2</v>
          </cell>
          <cell r="BF364">
            <v>5937.9849999999997</v>
          </cell>
          <cell r="BG364">
            <v>6632.9</v>
          </cell>
          <cell r="BH364">
            <v>3.8017599062597419E-2</v>
          </cell>
          <cell r="BI364">
            <v>4.5864060276478755E-2</v>
          </cell>
          <cell r="BJ364">
            <v>7.1017097974644561E-2</v>
          </cell>
          <cell r="BK364">
            <v>9.1729227585870279E-2</v>
          </cell>
          <cell r="BL364">
            <v>0.11195100245761726</v>
          </cell>
          <cell r="BM364">
            <v>0.10936673777517945</v>
          </cell>
          <cell r="BN364">
            <v>9.8222554838559128E-2</v>
          </cell>
          <cell r="BO364">
            <v>8.8282736942655288E-2</v>
          </cell>
          <cell r="BP364">
            <v>8.7224803297910131E-2</v>
          </cell>
          <cell r="BQ364">
            <v>8.565054274567617E-2</v>
          </cell>
          <cell r="BR364">
            <v>8.3894497028588741E-2</v>
          </cell>
          <cell r="BS364">
            <v>8.2888728653709887E-2</v>
          </cell>
          <cell r="BT364">
            <v>8.1828480174936741E-2</v>
          </cell>
          <cell r="BU364">
            <v>7495.943894208177</v>
          </cell>
          <cell r="BV364">
            <v>8813.7759129086153</v>
          </cell>
          <cell r="BW364">
            <v>9848.229904681888</v>
          </cell>
          <cell r="BX364">
            <v>10025.895863677431</v>
          </cell>
          <cell r="BY364">
            <v>9986.5397407534456</v>
          </cell>
          <cell r="BZ364">
            <v>10794.594528530881</v>
          </cell>
          <cell r="CA364">
            <v>11810.216886551108</v>
          </cell>
        </row>
        <row r="365">
          <cell r="A365" t="str">
            <v>Adjusted ROE (including one time items)</v>
          </cell>
          <cell r="B365" t="str">
            <v>ta</v>
          </cell>
          <cell r="D365">
            <v>733</v>
          </cell>
          <cell r="E365">
            <v>499</v>
          </cell>
          <cell r="F365">
            <v>432.33100000000002</v>
          </cell>
          <cell r="G365">
            <v>658.21500000000003</v>
          </cell>
          <cell r="I365">
            <v>1006.0359999999999</v>
          </cell>
          <cell r="J365">
            <v>1005.3919999999999</v>
          </cell>
          <cell r="K365">
            <v>1090.652</v>
          </cell>
          <cell r="L365">
            <v>2.2134742998537835E-2</v>
          </cell>
          <cell r="N365">
            <v>-0.35410905165458256</v>
          </cell>
          <cell r="O365">
            <v>-0.22182768489618038</v>
          </cell>
          <cell r="P365">
            <v>4.7558739526095385E-2</v>
          </cell>
          <cell r="Q365">
            <v>-1.8880301564541152E-2</v>
          </cell>
          <cell r="S365">
            <v>3.8014265363806844E-2</v>
          </cell>
          <cell r="T365">
            <v>4.6741008656575177E-2</v>
          </cell>
          <cell r="U365">
            <v>6.7490859673838666E-2</v>
          </cell>
          <cell r="V365">
            <v>7.4251006039956963E-2</v>
          </cell>
          <cell r="X365">
            <v>5.1069999652684855E-2</v>
          </cell>
          <cell r="Y365">
            <v>6.7730506092487944E-2</v>
          </cell>
          <cell r="Z365">
            <v>8.9408737212189546E-2</v>
          </cell>
          <cell r="AA365">
            <v>0.13023547892936993</v>
          </cell>
          <cell r="AC365">
            <v>8.3086138881403884E-2</v>
          </cell>
          <cell r="AD365">
            <v>2.0754725019885616E-2</v>
          </cell>
          <cell r="AE365">
            <v>-4.3993141499170677E-2</v>
          </cell>
          <cell r="AF365">
            <v>-7.5905638946987236E-2</v>
          </cell>
          <cell r="AH365">
            <v>4.0352705003430384E-2</v>
          </cell>
          <cell r="AI365">
            <v>4.0863593490999002E-2</v>
          </cell>
          <cell r="AJ365">
            <v>4.0937921658410016E-2</v>
          </cell>
          <cell r="AK365">
            <v>5.3853703279700356E-2</v>
          </cell>
          <cell r="AM365">
            <v>4.8737309975882048E-2</v>
          </cell>
          <cell r="AN365">
            <v>5.4919885614700008E-2</v>
          </cell>
          <cell r="AO365">
            <v>5.7683991546403884E-2</v>
          </cell>
          <cell r="AP365">
            <v>6.9665342338258759E-2</v>
          </cell>
          <cell r="AR365">
            <v>6.3395559476047372E-2</v>
          </cell>
          <cell r="AS365">
            <v>6.6278455111368748E-2</v>
          </cell>
          <cell r="AT365">
            <v>7.0474040876492061E-2</v>
          </cell>
          <cell r="AU365">
            <v>8.2997884496634505E-2</v>
          </cell>
          <cell r="AW365">
            <v>5685.2530982290864</v>
          </cell>
          <cell r="AX365" t="str">
            <v xml:space="preserve"> --</v>
          </cell>
          <cell r="AY365">
            <v>-7.5672890158608799E-2</v>
          </cell>
          <cell r="AZ365">
            <v>5.330750117235835E-2</v>
          </cell>
          <cell r="BA365">
            <v>9.6878366859450935E-2</v>
          </cell>
          <cell r="BB365">
            <v>-1.1898204292006262E-2</v>
          </cell>
          <cell r="BC365">
            <v>4.2743498387479109E-2</v>
          </cell>
          <cell r="BD365">
            <v>5.781077749900837E-2</v>
          </cell>
          <cell r="BE365">
            <v>7.07974489238576E-2</v>
          </cell>
          <cell r="BF365">
            <v>5937.9849999999997</v>
          </cell>
          <cell r="BG365" t="str">
            <v>--</v>
          </cell>
          <cell r="BH365">
            <v>6.7311151168797698E-2</v>
          </cell>
          <cell r="BI365">
            <v>8.0556994401861953E-2</v>
          </cell>
          <cell r="BJ365">
            <v>0.10965454544465568</v>
          </cell>
          <cell r="BK365">
            <v>0.13578787399373216</v>
          </cell>
          <cell r="BL365">
            <v>0.16300698558039503</v>
          </cell>
          <cell r="BM365">
            <v>0.15823682575722384</v>
          </cell>
          <cell r="BN365">
            <v>0.14364977327547551</v>
          </cell>
          <cell r="BO365">
            <v>0.13129993682536772</v>
          </cell>
          <cell r="BP365">
            <v>0.13060567586838517</v>
          </cell>
          <cell r="BQ365">
            <v>0.12743606601756879</v>
          </cell>
          <cell r="BR365">
            <v>0.12292764062290897</v>
          </cell>
          <cell r="BS365">
            <v>0.12093476294481702</v>
          </cell>
          <cell r="BT365">
            <v>0.11890564725986151</v>
          </cell>
          <cell r="BU365">
            <v>0.11603868589225083</v>
          </cell>
          <cell r="BV365">
            <v>2011</v>
          </cell>
          <cell r="BW365">
            <v>2012</v>
          </cell>
          <cell r="BX365">
            <v>2013</v>
          </cell>
          <cell r="BY365">
            <v>2014</v>
          </cell>
          <cell r="BZ365">
            <v>2015</v>
          </cell>
          <cell r="CA365">
            <v>2016</v>
          </cell>
        </row>
        <row r="366">
          <cell r="A366" t="str">
            <v>Adjusted ROE (including one time items)</v>
          </cell>
          <cell r="B366" t="str">
            <v>ca</v>
          </cell>
          <cell r="D366">
            <v>686</v>
          </cell>
          <cell r="E366">
            <v>446</v>
          </cell>
          <cell r="F366">
            <v>373.84499999999997</v>
          </cell>
          <cell r="G366">
            <v>330.36500000000001</v>
          </cell>
          <cell r="I366">
            <v>636.17999999999995</v>
          </cell>
          <cell r="J366">
            <v>612.21899999999994</v>
          </cell>
          <cell r="K366">
            <v>597.17400000000009</v>
          </cell>
          <cell r="L366">
            <v>2.2134742998537835E-2</v>
          </cell>
          <cell r="N366">
            <v>-0.35410905165458256</v>
          </cell>
          <cell r="O366">
            <v>-0.22182768489618038</v>
          </cell>
          <cell r="P366">
            <v>4.7558739526095385E-2</v>
          </cell>
          <cell r="Q366">
            <v>-1.8880301564541152E-2</v>
          </cell>
          <cell r="S366">
            <v>3.8014265363806844E-2</v>
          </cell>
          <cell r="T366">
            <v>4.6741008656575177E-2</v>
          </cell>
          <cell r="U366">
            <v>6.7490859673838666E-2</v>
          </cell>
          <cell r="V366">
            <v>7.4251006039956963E-2</v>
          </cell>
          <cell r="X366">
            <v>5.1069999652684855E-2</v>
          </cell>
          <cell r="Y366">
            <v>6.7730506092487944E-2</v>
          </cell>
          <cell r="Z366">
            <v>8.9408737212189546E-2</v>
          </cell>
          <cell r="AA366">
            <v>0.13023547892936993</v>
          </cell>
          <cell r="AC366">
            <v>8.3086138881403884E-2</v>
          </cell>
          <cell r="AD366">
            <v>2.0754725019885616E-2</v>
          </cell>
          <cell r="AE366">
            <v>-4.3993141499170677E-2</v>
          </cell>
          <cell r="AF366">
            <v>-7.5905638946987236E-2</v>
          </cell>
          <cell r="AH366">
            <v>4.0352705003430384E-2</v>
          </cell>
          <cell r="AI366">
            <v>4.1157818330001136E-2</v>
          </cell>
          <cell r="AJ366">
            <v>4.2421734283652736E-2</v>
          </cell>
          <cell r="AK366">
            <v>5.4995970401499415E-2</v>
          </cell>
          <cell r="AM366">
            <v>4.8909326453995879E-2</v>
          </cell>
          <cell r="AN366">
            <v>5.6022202760037797E-2</v>
          </cell>
          <cell r="AO366">
            <v>5.871125453686659E-2</v>
          </cell>
          <cell r="AP366">
            <v>7.0611083738194205E-2</v>
          </cell>
          <cell r="AR366">
            <v>6.4311402581399571E-2</v>
          </cell>
          <cell r="AS366">
            <v>6.7099228950509029E-2</v>
          </cell>
          <cell r="AT366">
            <v>7.1171331979261981E-2</v>
          </cell>
          <cell r="AU366">
            <v>8.3543547094434512E-2</v>
          </cell>
          <cell r="AW366">
            <v>2875.8116422151161</v>
          </cell>
          <cell r="AX366" t="str">
            <v xml:space="preserve"> --</v>
          </cell>
          <cell r="AY366">
            <v>-7.5672890158608799E-2</v>
          </cell>
          <cell r="AZ366">
            <v>5.330750117235835E-2</v>
          </cell>
          <cell r="BA366">
            <v>9.6878366859450935E-2</v>
          </cell>
          <cell r="BB366">
            <v>-1.1898204292006262E-2</v>
          </cell>
          <cell r="BC366">
            <v>4.3396121058657179E-2</v>
          </cell>
          <cell r="BD366">
            <v>5.8613612309394922E-2</v>
          </cell>
          <cell r="BE366">
            <v>7.1526418980333198E-2</v>
          </cell>
          <cell r="BF366">
            <v>4520.9639999999999</v>
          </cell>
          <cell r="BG366" t="str">
            <v>--</v>
          </cell>
          <cell r="BH366">
            <v>6.7175582518475885E-2</v>
          </cell>
          <cell r="BI366">
            <v>7.953863610189213E-2</v>
          </cell>
          <cell r="BJ366">
            <v>0.11267841572233418</v>
          </cell>
          <cell r="BK366">
            <v>0.13564842952854914</v>
          </cell>
          <cell r="BL366">
            <v>0.16322548678701468</v>
          </cell>
          <cell r="BM366">
            <v>0.15854003183188062</v>
          </cell>
          <cell r="BN366">
            <v>0.14393827116597807</v>
          </cell>
          <cell r="BO366">
            <v>0.13157000169448363</v>
          </cell>
          <cell r="BP366">
            <v>0.13090799080019352</v>
          </cell>
          <cell r="BQ366">
            <v>0.12774760497604776</v>
          </cell>
          <cell r="BR366">
            <v>0.12323588865655871</v>
          </cell>
          <cell r="BS366">
            <v>0.12044375598396359</v>
          </cell>
          <cell r="BT366">
            <v>0.11804880183599338</v>
          </cell>
          <cell r="BU366">
            <v>3718.1501841713853</v>
          </cell>
          <cell r="BV366">
            <v>4399.6054982805263</v>
          </cell>
          <cell r="BW366">
            <v>4989.2096322137804</v>
          </cell>
          <cell r="BX366">
            <v>5522.4370861158313</v>
          </cell>
          <cell r="BY366">
            <v>5657.1713212791501</v>
          </cell>
          <cell r="BZ366">
            <v>6252.6177706027556</v>
          </cell>
          <cell r="CA366">
            <v>7108.8166377473735</v>
          </cell>
        </row>
        <row r="367">
          <cell r="A367" t="str">
            <v>Cash &amp; Equivalents</v>
          </cell>
          <cell r="B367" t="str">
            <v>cash</v>
          </cell>
          <cell r="D367">
            <v>10</v>
          </cell>
          <cell r="E367">
            <v>0</v>
          </cell>
          <cell r="F367">
            <v>3.9540000000000002</v>
          </cell>
          <cell r="G367">
            <v>23.126999999999999</v>
          </cell>
          <cell r="I367">
            <v>182.708</v>
          </cell>
          <cell r="J367">
            <v>147.13300000000001</v>
          </cell>
          <cell r="K367">
            <v>129.959</v>
          </cell>
          <cell r="L367">
            <v>106.05200000000001</v>
          </cell>
          <cell r="N367">
            <v>101.1</v>
          </cell>
          <cell r="O367">
            <v>113.244</v>
          </cell>
          <cell r="P367">
            <v>70.319000000000003</v>
          </cell>
          <cell r="Q367">
            <v>31.721</v>
          </cell>
          <cell r="S367">
            <v>208.73500000000001</v>
          </cell>
          <cell r="T367">
            <v>93.935000000000002</v>
          </cell>
          <cell r="U367">
            <v>73.447000000000003</v>
          </cell>
          <cell r="V367">
            <v>371.52199999999999</v>
          </cell>
          <cell r="X367">
            <v>930.38900000000001</v>
          </cell>
          <cell r="Y367">
            <v>283.64800000000002</v>
          </cell>
          <cell r="Z367">
            <v>942.49400000000003</v>
          </cell>
          <cell r="AA367">
            <v>883.75699999999995</v>
          </cell>
          <cell r="AC367">
            <v>482.86</v>
          </cell>
          <cell r="AD367">
            <v>1261.259</v>
          </cell>
          <cell r="AE367">
            <v>965.899</v>
          </cell>
          <cell r="AF367">
            <v>1342.8</v>
          </cell>
          <cell r="AH367">
            <v>1482.8</v>
          </cell>
          <cell r="AI367">
            <v>1683.7</v>
          </cell>
          <cell r="AJ367">
            <v>1848.3</v>
          </cell>
          <cell r="AK367">
            <v>1850.991</v>
          </cell>
          <cell r="AM367">
            <v>1763.1</v>
          </cell>
          <cell r="AN367">
            <v>1454.8</v>
          </cell>
          <cell r="AO367">
            <v>1209.5</v>
          </cell>
          <cell r="AP367">
            <v>1270.0300130943961</v>
          </cell>
          <cell r="AR367">
            <v>1164.5211728499141</v>
          </cell>
          <cell r="AS367">
            <v>1153.1126883779143</v>
          </cell>
          <cell r="AT367">
            <v>1154.7306707869263</v>
          </cell>
          <cell r="AU367">
            <v>1180.0273617143907</v>
          </cell>
          <cell r="AW367">
            <v>950.86628200023927</v>
          </cell>
          <cell r="AX367">
            <v>967.859059565449</v>
          </cell>
          <cell r="AY367">
            <v>372.71343071179513</v>
          </cell>
          <cell r="AZ367">
            <v>427.43005042796887</v>
          </cell>
          <cell r="BB367">
            <v>23.126999999999999</v>
          </cell>
          <cell r="BC367">
            <v>106.05200000000001</v>
          </cell>
          <cell r="BD367">
            <v>31.721</v>
          </cell>
          <cell r="BE367">
            <v>371.52199999999999</v>
          </cell>
          <cell r="BF367">
            <v>883.75699999999995</v>
          </cell>
          <cell r="BG367">
            <v>1342.8</v>
          </cell>
          <cell r="BH367">
            <v>1850.991</v>
          </cell>
          <cell r="BI367">
            <v>1270.0300130943961</v>
          </cell>
          <cell r="BJ367">
            <v>1180.0273617143907</v>
          </cell>
          <cell r="BK367">
            <v>427.43005042796887</v>
          </cell>
          <cell r="BM367">
            <v>1850.991</v>
          </cell>
          <cell r="BN367">
            <v>1270.0300130943961</v>
          </cell>
          <cell r="BO367">
            <v>1180.0273617143907</v>
          </cell>
          <cell r="BP367">
            <v>427.43005042796887</v>
          </cell>
          <cell r="BQ367">
            <v>443.69949573102969</v>
          </cell>
          <cell r="BR367">
            <v>289.83440933654816</v>
          </cell>
          <cell r="BS367">
            <v>-54.250042166807305</v>
          </cell>
          <cell r="BT367">
            <v>448.31868249856603</v>
          </cell>
          <cell r="BU367">
            <v>250.32527123311428</v>
          </cell>
          <cell r="BV367">
            <v>308.58340424493537</v>
          </cell>
          <cell r="BW367">
            <v>262.64041587962043</v>
          </cell>
          <cell r="BX367">
            <v>469.76983827187934</v>
          </cell>
          <cell r="BY367">
            <v>1096.2695333462998</v>
          </cell>
          <cell r="BZ367">
            <v>1328.6269998474286</v>
          </cell>
          <cell r="CA367">
            <v>1826.6534458001865</v>
          </cell>
        </row>
        <row r="368">
          <cell r="A368" t="str">
            <v>RI Input:</v>
          </cell>
          <cell r="B368" t="str">
            <v>ar</v>
          </cell>
          <cell r="D368">
            <v>357</v>
          </cell>
          <cell r="E368">
            <v>241</v>
          </cell>
          <cell r="F368">
            <v>194.41200000000001</v>
          </cell>
          <cell r="G368">
            <v>132.30099999999999</v>
          </cell>
          <cell r="I368">
            <v>242.51900000000001</v>
          </cell>
          <cell r="J368">
            <v>219.01499999999999</v>
          </cell>
          <cell r="K368">
            <v>227.65899999999999</v>
          </cell>
          <cell r="L368">
            <v>372.14600000000002</v>
          </cell>
          <cell r="N368">
            <v>382.5</v>
          </cell>
          <cell r="O368">
            <v>342.33</v>
          </cell>
          <cell r="P368">
            <v>371.315</v>
          </cell>
          <cell r="Q368">
            <v>462.995</v>
          </cell>
          <cell r="S368">
            <v>491.58499999999998</v>
          </cell>
          <cell r="T368">
            <v>575.28499999999997</v>
          </cell>
          <cell r="U368">
            <v>595.32500000000005</v>
          </cell>
          <cell r="V368">
            <v>700.77499999999998</v>
          </cell>
          <cell r="X368">
            <v>797.66600000000005</v>
          </cell>
          <cell r="Y368">
            <v>1110.079</v>
          </cell>
          <cell r="Z368">
            <v>1501.027</v>
          </cell>
          <cell r="AA368">
            <v>1785.7159999999999</v>
          </cell>
          <cell r="AC368">
            <v>1485.4570000000001</v>
          </cell>
          <cell r="AD368">
            <v>1615.9670000000001</v>
          </cell>
          <cell r="AE368">
            <v>1313.473</v>
          </cell>
          <cell r="AF368">
            <v>1054.0999999999999</v>
          </cell>
          <cell r="AH368">
            <v>1072.3</v>
          </cell>
          <cell r="AI368">
            <v>1101.5</v>
          </cell>
          <cell r="AJ368">
            <v>924</v>
          </cell>
          <cell r="AK368">
            <v>785.9</v>
          </cell>
          <cell r="AM368">
            <v>634</v>
          </cell>
          <cell r="AN368">
            <v>632.20000000000005</v>
          </cell>
          <cell r="AO368">
            <v>658.7</v>
          </cell>
          <cell r="AP368">
            <v>651.33909836536543</v>
          </cell>
          <cell r="AR368">
            <v>677.21569605910906</v>
          </cell>
          <cell r="AS368">
            <v>669.51539754810005</v>
          </cell>
          <cell r="AT368">
            <v>691.74186616731879</v>
          </cell>
          <cell r="AU368">
            <v>758.05155143364993</v>
          </cell>
          <cell r="AW368">
            <v>764.36808692005422</v>
          </cell>
          <cell r="AX368">
            <v>768.55003878095567</v>
          </cell>
          <cell r="AY368">
            <v>808.38961045455528</v>
          </cell>
          <cell r="AZ368">
            <v>893.44525390229148</v>
          </cell>
          <cell r="BB368">
            <v>132.30099999999999</v>
          </cell>
          <cell r="BC368">
            <v>372.14600000000002</v>
          </cell>
          <cell r="BD368">
            <v>462.995</v>
          </cell>
          <cell r="BE368">
            <v>700.77499999999998</v>
          </cell>
          <cell r="BF368">
            <v>1785.7159999999999</v>
          </cell>
          <cell r="BG368">
            <v>1054.0999999999999</v>
          </cell>
          <cell r="BH368">
            <v>785.9</v>
          </cell>
          <cell r="BI368">
            <v>651.33909836536543</v>
          </cell>
          <cell r="BJ368">
            <v>758.05155143364993</v>
          </cell>
          <cell r="BK368">
            <v>893.44525390229148</v>
          </cell>
          <cell r="BM368">
            <v>785.9</v>
          </cell>
          <cell r="BN368">
            <v>651.33909836536543</v>
          </cell>
          <cell r="BO368">
            <v>758.05155143364993</v>
          </cell>
          <cell r="BP368">
            <v>893.44525390229148</v>
          </cell>
          <cell r="BQ368">
            <v>960.98095576053299</v>
          </cell>
          <cell r="BR368">
            <v>1051.0385996146626</v>
          </cell>
          <cell r="BS368">
            <v>1433.2344540199947</v>
          </cell>
          <cell r="BT368">
            <v>1316.6647184263686</v>
          </cell>
          <cell r="BU368">
            <v>1370.6817325156553</v>
          </cell>
          <cell r="BV368">
            <v>1637.7688586801341</v>
          </cell>
          <cell r="BW368">
            <v>1976.8833517715507</v>
          </cell>
          <cell r="BX368">
            <v>2427.173448563959</v>
          </cell>
          <cell r="BY368">
            <v>1941.7387588511674</v>
          </cell>
          <cell r="BZ368">
            <v>2082.5148188678772</v>
          </cell>
          <cell r="CA368">
            <v>2211.7375332694228</v>
          </cell>
        </row>
        <row r="369">
          <cell r="A369" t="str">
            <v>Inventory Turns</v>
          </cell>
          <cell r="B369" t="str">
            <v>sinvx</v>
          </cell>
          <cell r="D369">
            <v>317</v>
          </cell>
          <cell r="E369">
            <v>203</v>
          </cell>
          <cell r="F369">
            <v>163.25</v>
          </cell>
          <cell r="G369">
            <v>142.97499999999999</v>
          </cell>
          <cell r="I369">
            <v>9.3859001668163753</v>
          </cell>
          <cell r="J369">
            <v>7.7098713356697637</v>
          </cell>
          <cell r="K369">
            <v>6.8990166345005051</v>
          </cell>
          <cell r="L369">
            <v>8.1114001393300654</v>
          </cell>
          <cell r="N369">
            <v>7.9513924050632907</v>
          </cell>
          <cell r="O369">
            <v>7.6043020520038134</v>
          </cell>
          <cell r="P369">
            <v>8.5778273559040628</v>
          </cell>
          <cell r="Q369">
            <v>7.946543770246814</v>
          </cell>
          <cell r="S369">
            <v>7.4953916493073978</v>
          </cell>
          <cell r="T369">
            <v>7.2268691592419909</v>
          </cell>
          <cell r="U369">
            <v>6.4084120788040364</v>
          </cell>
          <cell r="V369">
            <v>8.2420601024735127</v>
          </cell>
          <cell r="X369">
            <v>6.5941722249788137</v>
          </cell>
          <cell r="Y369">
            <v>6.0311451848465705</v>
          </cell>
          <cell r="Z369">
            <v>5.9623603253749531</v>
          </cell>
          <cell r="AA369">
            <v>7.6900470106422851</v>
          </cell>
          <cell r="AC369">
            <v>5.8073598505444251</v>
          </cell>
          <cell r="AD369">
            <v>6.5086095805849231</v>
          </cell>
          <cell r="AE369">
            <v>4.914991410039991</v>
          </cell>
          <cell r="AF369">
            <v>6.6167407299482761</v>
          </cell>
          <cell r="AH369">
            <v>6.4585318581926838</v>
          </cell>
          <cell r="AI369">
            <v>6.6</v>
          </cell>
          <cell r="AJ369">
            <v>6.6</v>
          </cell>
          <cell r="AK369">
            <v>6.9</v>
          </cell>
          <cell r="AM369">
            <v>6.7</v>
          </cell>
          <cell r="AN369">
            <v>6.8</v>
          </cell>
          <cell r="AO369">
            <v>6.9</v>
          </cell>
          <cell r="AP369">
            <v>7</v>
          </cell>
          <cell r="AR369">
            <v>6.8</v>
          </cell>
          <cell r="AS369">
            <v>7</v>
          </cell>
          <cell r="AT369">
            <v>7.1</v>
          </cell>
          <cell r="AU369">
            <v>7.5</v>
          </cell>
          <cell r="AW369">
            <v>13.31607623710439</v>
          </cell>
          <cell r="AX369">
            <v>5.9659216555990877</v>
          </cell>
          <cell r="AY369">
            <v>7.005012391746261</v>
          </cell>
          <cell r="AZ369">
            <v>6.8038743903435117</v>
          </cell>
          <cell r="BA369">
            <v>5.4461648833386196</v>
          </cell>
          <cell r="BB369">
            <v>6.7690740875646531</v>
          </cell>
          <cell r="BC369">
            <v>6.4767645070329758</v>
          </cell>
          <cell r="BD369">
            <v>6.333582750666916</v>
          </cell>
          <cell r="BE369">
            <v>6.7447563060791031</v>
          </cell>
          <cell r="BF369">
            <v>1664.3040000000001</v>
          </cell>
          <cell r="BG369">
            <v>6.4767645070329758</v>
          </cell>
          <cell r="BH369">
            <v>6.333582750666916</v>
          </cell>
          <cell r="BI369">
            <v>6.7447563060791031</v>
          </cell>
          <cell r="BJ369">
            <v>7.4</v>
          </cell>
          <cell r="BK369">
            <v>8</v>
          </cell>
          <cell r="BL369">
            <v>9</v>
          </cell>
          <cell r="BM369">
            <v>8.6999999999999993</v>
          </cell>
          <cell r="BN369">
            <v>8.4</v>
          </cell>
          <cell r="BO369">
            <v>8</v>
          </cell>
          <cell r="BP369">
            <v>8</v>
          </cell>
          <cell r="BQ369">
            <v>8</v>
          </cell>
          <cell r="BR369">
            <v>8</v>
          </cell>
          <cell r="BS369">
            <v>8</v>
          </cell>
          <cell r="BT369">
            <v>8</v>
          </cell>
          <cell r="BU369">
            <v>1631.8945083979245</v>
          </cell>
          <cell r="BV369">
            <v>1880.9973687650872</v>
          </cell>
          <cell r="BW369">
            <v>2097.3141766495878</v>
          </cell>
          <cell r="BX369">
            <v>2070.9778645539236</v>
          </cell>
          <cell r="BY369">
            <v>2042.4664569665715</v>
          </cell>
          <cell r="BZ369">
            <v>2207.1097225608273</v>
          </cell>
          <cell r="CA369">
            <v>2378.9664687117447</v>
          </cell>
        </row>
        <row r="370">
          <cell r="A370" t="str">
            <v>Inventory Days</v>
          </cell>
          <cell r="B370" t="str">
            <v>sdih</v>
          </cell>
          <cell r="D370">
            <v>357</v>
          </cell>
          <cell r="E370">
            <v>241</v>
          </cell>
          <cell r="F370">
            <v>194.41200000000001</v>
          </cell>
          <cell r="G370">
            <v>132.30099999999999</v>
          </cell>
          <cell r="I370">
            <v>38.355404766904655</v>
          </cell>
          <cell r="J370">
            <v>46.693386222213327</v>
          </cell>
          <cell r="K370">
            <v>52.18134975928556</v>
          </cell>
          <cell r="L370">
            <v>44.381980153395936</v>
          </cell>
          <cell r="N370">
            <v>45.275089149261341</v>
          </cell>
          <cell r="O370">
            <v>47.341622878477878</v>
          </cell>
          <cell r="P370">
            <v>41.968669345182654</v>
          </cell>
          <cell r="Q370">
            <v>45.302714036245554</v>
          </cell>
          <cell r="S370">
            <v>48.029511577725941</v>
          </cell>
          <cell r="T370">
            <v>49.814102354353338</v>
          </cell>
          <cell r="U370">
            <v>56.176162764362161</v>
          </cell>
          <cell r="V370">
            <v>43.678400245099027</v>
          </cell>
          <cell r="X370">
            <v>54.593660541093413</v>
          </cell>
          <cell r="Y370">
            <v>59.690156507011402</v>
          </cell>
          <cell r="Z370">
            <v>60.378772894333721</v>
          </cell>
          <cell r="AA370">
            <v>46.813758030580914</v>
          </cell>
          <cell r="AC370">
            <v>61.990303557002918</v>
          </cell>
          <cell r="AD370">
            <v>55.31135268489205</v>
          </cell>
          <cell r="AE370">
            <v>73.245295864529467</v>
          </cell>
          <cell r="AF370">
            <v>54.407451446690459</v>
          </cell>
          <cell r="AH370">
            <v>55.740222066619985</v>
          </cell>
          <cell r="AI370">
            <v>54.545454545454547</v>
          </cell>
          <cell r="AJ370">
            <v>54.545454545454547</v>
          </cell>
          <cell r="AK370">
            <v>52.173913043478258</v>
          </cell>
          <cell r="AM370">
            <v>53.731343283582085</v>
          </cell>
          <cell r="AN370">
            <v>52.941176470588239</v>
          </cell>
          <cell r="AO370">
            <v>52.173913043478258</v>
          </cell>
          <cell r="AP370">
            <v>51.428571428571431</v>
          </cell>
          <cell r="AR370">
            <v>52.941176470588239</v>
          </cell>
          <cell r="AS370">
            <v>51.428571428571431</v>
          </cell>
          <cell r="AT370">
            <v>50.70422535211268</v>
          </cell>
          <cell r="AU370">
            <v>48</v>
          </cell>
          <cell r="AW370">
            <v>27.034990907973562</v>
          </cell>
          <cell r="AX370">
            <v>60.3427300561575</v>
          </cell>
          <cell r="AY370">
            <v>51.391772043711768</v>
          </cell>
          <cell r="AZ370">
            <v>52.91102970844593</v>
          </cell>
          <cell r="BA370">
            <v>66.101560953716856</v>
          </cell>
          <cell r="BB370">
            <v>53.183049164929315</v>
          </cell>
          <cell r="BC370">
            <v>55.583308549984167</v>
          </cell>
          <cell r="BD370">
            <v>56.839866813470238</v>
          </cell>
          <cell r="BE370">
            <v>53.374797199941696</v>
          </cell>
          <cell r="BF370">
            <v>1298.4690000000001</v>
          </cell>
          <cell r="BG370">
            <v>55.583308549984167</v>
          </cell>
          <cell r="BH370">
            <v>56.839866813470238</v>
          </cell>
          <cell r="BI370">
            <v>53.374797199941696</v>
          </cell>
          <cell r="BJ370">
            <v>48.648648648648646</v>
          </cell>
          <cell r="BK370">
            <v>45</v>
          </cell>
          <cell r="BL370">
            <v>40</v>
          </cell>
          <cell r="BM370">
            <v>41.379310344827587</v>
          </cell>
          <cell r="BN370">
            <v>42.857142857142854</v>
          </cell>
          <cell r="BO370">
            <v>45</v>
          </cell>
          <cell r="BP370">
            <v>45</v>
          </cell>
          <cell r="BQ370">
            <v>45</v>
          </cell>
          <cell r="BR370">
            <v>45</v>
          </cell>
          <cell r="BS370">
            <v>45</v>
          </cell>
          <cell r="BT370">
            <v>45</v>
          </cell>
          <cell r="BU370">
            <v>45</v>
          </cell>
          <cell r="BV370">
            <v>2744.7616556171606</v>
          </cell>
          <cell r="BW370">
            <v>3313.0887748978907</v>
          </cell>
          <cell r="BX370">
            <v>4067.7367736246329</v>
          </cell>
          <cell r="BY370">
            <v>3254.1894188997062</v>
          </cell>
          <cell r="BZ370">
            <v>3490.1181517699351</v>
          </cell>
          <cell r="CA370">
            <v>3706.6844575977107</v>
          </cell>
        </row>
        <row r="371">
          <cell r="A371" t="str">
            <v>Days Accounts Receivable</v>
          </cell>
          <cell r="B371" t="str">
            <v>sdso</v>
          </cell>
          <cell r="D371">
            <v>317</v>
          </cell>
          <cell r="E371">
            <v>203</v>
          </cell>
          <cell r="F371">
            <v>163.25</v>
          </cell>
          <cell r="G371">
            <v>142.97499999999999</v>
          </cell>
          <cell r="I371">
            <v>45.133808933002484</v>
          </cell>
          <cell r="J371">
            <v>45.770628461297321</v>
          </cell>
          <cell r="K371">
            <v>50.081785894988471</v>
          </cell>
          <cell r="L371">
            <v>49.024849711718751</v>
          </cell>
          <cell r="N371">
            <v>46.602138892649243</v>
          </cell>
          <cell r="O371">
            <v>39.825314979815694</v>
          </cell>
          <cell r="P371">
            <v>41.175887136520451</v>
          </cell>
          <cell r="Q371">
            <v>45.033654022812115</v>
          </cell>
          <cell r="S371">
            <v>40.896347280149072</v>
          </cell>
          <cell r="T371">
            <v>41.430463311194686</v>
          </cell>
          <cell r="U371">
            <v>39.485145698395002</v>
          </cell>
          <cell r="V371">
            <v>39.204171434858466</v>
          </cell>
          <cell r="X371">
            <v>44.525780504278607</v>
          </cell>
          <cell r="Y371">
            <v>47.759415799067156</v>
          </cell>
          <cell r="Z371">
            <v>51.955649464703754</v>
          </cell>
          <cell r="AA371">
            <v>46.614701889944655</v>
          </cell>
          <cell r="AC371">
            <v>49.651775716553864</v>
          </cell>
          <cell r="AD371">
            <v>54.661067400907875</v>
          </cell>
          <cell r="AE371">
            <v>53.6610317982705</v>
          </cell>
          <cell r="AF371">
            <v>38.750510579201048</v>
          </cell>
          <cell r="AH371">
            <v>44.855682082268181</v>
          </cell>
          <cell r="AI371">
            <v>44</v>
          </cell>
          <cell r="AJ371">
            <v>44</v>
          </cell>
          <cell r="AK371">
            <v>43</v>
          </cell>
          <cell r="AM371">
            <v>44</v>
          </cell>
          <cell r="AN371">
            <v>43</v>
          </cell>
          <cell r="AO371">
            <v>42</v>
          </cell>
          <cell r="AP371">
            <v>42</v>
          </cell>
          <cell r="AR371">
            <v>43</v>
          </cell>
          <cell r="AS371">
            <v>41</v>
          </cell>
          <cell r="AT371">
            <v>41</v>
          </cell>
          <cell r="AU371">
            <v>41</v>
          </cell>
          <cell r="AW371">
            <v>23.615479356692784</v>
          </cell>
          <cell r="AX371">
            <v>66.767316585258641</v>
          </cell>
          <cell r="AY371">
            <v>51.297927286526388</v>
          </cell>
          <cell r="AZ371">
            <v>47.624773890918661</v>
          </cell>
          <cell r="BA371">
            <v>65.920100081264764</v>
          </cell>
          <cell r="BB371">
            <v>37.930792865681212</v>
          </cell>
          <cell r="BC371">
            <v>45.897809686674087</v>
          </cell>
          <cell r="BD371">
            <v>46.52689546574215</v>
          </cell>
          <cell r="BE371">
            <v>45.732983144752595</v>
          </cell>
          <cell r="BF371">
            <v>215.185</v>
          </cell>
          <cell r="BG371">
            <v>45.897809686674087</v>
          </cell>
          <cell r="BH371">
            <v>46.52689546574215</v>
          </cell>
          <cell r="BI371">
            <v>45.732983144752595</v>
          </cell>
          <cell r="BJ371">
            <v>43</v>
          </cell>
          <cell r="BK371">
            <v>40</v>
          </cell>
          <cell r="BL371">
            <v>37</v>
          </cell>
          <cell r="BM371">
            <v>35</v>
          </cell>
          <cell r="BN371">
            <v>37</v>
          </cell>
          <cell r="BO371">
            <v>38.5</v>
          </cell>
          <cell r="BP371">
            <v>40</v>
          </cell>
          <cell r="BQ371">
            <v>40</v>
          </cell>
          <cell r="BR371">
            <v>40</v>
          </cell>
          <cell r="BS371">
            <v>40</v>
          </cell>
          <cell r="BT371">
            <v>40</v>
          </cell>
          <cell r="BU371">
            <v>40</v>
          </cell>
          <cell r="BV371">
            <v>3152.3920025344219</v>
          </cell>
          <cell r="BW371">
            <v>3514.920619805464</v>
          </cell>
          <cell r="BX371">
            <v>3470.7831951576409</v>
          </cell>
          <cell r="BY371">
            <v>3423.0004950051284</v>
          </cell>
          <cell r="BZ371">
            <v>3694.9512968595668</v>
          </cell>
          <cell r="CA371">
            <v>3986.9459653672939</v>
          </cell>
        </row>
        <row r="372">
          <cell r="A372" t="str">
            <v>Days Accounts Payable</v>
          </cell>
          <cell r="B372" t="str">
            <v>sdpo</v>
          </cell>
          <cell r="D372">
            <v>317</v>
          </cell>
          <cell r="E372">
            <v>203</v>
          </cell>
          <cell r="F372">
            <v>163.25</v>
          </cell>
          <cell r="G372">
            <v>142.97499999999999</v>
          </cell>
          <cell r="I372">
            <v>51.711925136497257</v>
          </cell>
          <cell r="J372">
            <v>55.137582784769606</v>
          </cell>
          <cell r="K372">
            <v>66.85456691381971</v>
          </cell>
          <cell r="L372">
            <v>63.201695014080471</v>
          </cell>
          <cell r="N372">
            <v>65.372748112814335</v>
          </cell>
          <cell r="O372">
            <v>61.764014651159876</v>
          </cell>
          <cell r="P372">
            <v>62.155509139770636</v>
          </cell>
          <cell r="Q372">
            <v>65.383498519457319</v>
          </cell>
          <cell r="S372">
            <v>62.294136230513367</v>
          </cell>
          <cell r="T372">
            <v>59.902405673455959</v>
          </cell>
          <cell r="U372">
            <v>67.917382877223446</v>
          </cell>
          <cell r="V372">
            <v>49.4759395798648</v>
          </cell>
          <cell r="X372">
            <v>62.470279416435758</v>
          </cell>
          <cell r="Y372">
            <v>61.565496619557493</v>
          </cell>
          <cell r="Z372">
            <v>70.967742068966672</v>
          </cell>
          <cell r="AA372">
            <v>63.272314044937495</v>
          </cell>
          <cell r="AC372">
            <v>43.516383003496628</v>
          </cell>
          <cell r="AD372">
            <v>56.237079887463622</v>
          </cell>
          <cell r="AE372">
            <v>39.565478039900533</v>
          </cell>
          <cell r="AF372">
            <v>48.327388030122876</v>
          </cell>
          <cell r="AH372">
            <v>54.191757527258183</v>
          </cell>
          <cell r="AI372">
            <v>54.191757527258183</v>
          </cell>
          <cell r="AJ372">
            <v>54.191757527258183</v>
          </cell>
          <cell r="AK372">
            <v>54.191757527258183</v>
          </cell>
          <cell r="AM372">
            <v>55</v>
          </cell>
          <cell r="AN372">
            <v>54</v>
          </cell>
          <cell r="AO372">
            <v>52</v>
          </cell>
          <cell r="AP372">
            <v>52</v>
          </cell>
          <cell r="AR372">
            <v>53</v>
          </cell>
          <cell r="AS372">
            <v>51</v>
          </cell>
          <cell r="AT372">
            <v>51</v>
          </cell>
          <cell r="AU372">
            <v>51</v>
          </cell>
          <cell r="AW372">
            <v>23.320338721317569</v>
          </cell>
          <cell r="AX372">
            <v>85.930434111882207</v>
          </cell>
          <cell r="AY372">
            <v>74.171579403475164</v>
          </cell>
          <cell r="AZ372">
            <v>59.93403820363676</v>
          </cell>
          <cell r="BA372">
            <v>89.341230003197239</v>
          </cell>
          <cell r="BB372">
            <v>47.239813394622509</v>
          </cell>
          <cell r="BC372">
            <v>57.733012607150783</v>
          </cell>
          <cell r="BD372">
            <v>57.471420889175469</v>
          </cell>
          <cell r="BE372">
            <v>56.71072202493805</v>
          </cell>
          <cell r="BF372">
            <v>150.65</v>
          </cell>
          <cell r="BG372">
            <v>57.733012607150783</v>
          </cell>
          <cell r="BH372">
            <v>57.471420889175469</v>
          </cell>
          <cell r="BI372">
            <v>56.71072202493805</v>
          </cell>
          <cell r="BJ372">
            <v>53</v>
          </cell>
          <cell r="BK372">
            <v>50</v>
          </cell>
          <cell r="BL372">
            <v>47</v>
          </cell>
          <cell r="BM372">
            <v>45</v>
          </cell>
          <cell r="BN372">
            <v>47</v>
          </cell>
          <cell r="BO372">
            <v>48.5</v>
          </cell>
          <cell r="BP372">
            <v>50</v>
          </cell>
          <cell r="BQ372">
            <v>50</v>
          </cell>
          <cell r="BR372">
            <v>50</v>
          </cell>
          <cell r="BS372">
            <v>50</v>
          </cell>
          <cell r="BT372">
            <v>50</v>
          </cell>
          <cell r="BU372">
            <v>50</v>
          </cell>
          <cell r="BV372">
            <v>3152.3920025344219</v>
          </cell>
          <cell r="BW372">
            <v>3514.920619805464</v>
          </cell>
          <cell r="BX372">
            <v>3470.7831951576409</v>
          </cell>
          <cell r="BY372">
            <v>3423.0004950051284</v>
          </cell>
          <cell r="BZ372">
            <v>3694.9512968595668</v>
          </cell>
          <cell r="CA372">
            <v>3986.9459653672939</v>
          </cell>
        </row>
        <row r="373">
          <cell r="A373" t="str">
            <v>Cash Cycle</v>
          </cell>
          <cell r="B373" t="str">
            <v>sccycle</v>
          </cell>
          <cell r="D373">
            <v>2</v>
          </cell>
          <cell r="E373">
            <v>2</v>
          </cell>
          <cell r="F373">
            <v>12.228999999999999</v>
          </cell>
          <cell r="G373">
            <v>31.962</v>
          </cell>
          <cell r="I373">
            <v>31.777288563409883</v>
          </cell>
          <cell r="J373">
            <v>37.326431898741035</v>
          </cell>
          <cell r="K373">
            <v>35.408568740454328</v>
          </cell>
          <cell r="L373">
            <v>30.205134851034217</v>
          </cell>
          <cell r="N373">
            <v>26.504479929096249</v>
          </cell>
          <cell r="O373">
            <v>25.402923207133703</v>
          </cell>
          <cell r="P373">
            <v>20.989047341932469</v>
          </cell>
          <cell r="Q373">
            <v>24.952869539600343</v>
          </cell>
          <cell r="S373">
            <v>26.631722627361647</v>
          </cell>
          <cell r="T373">
            <v>31.342159992092064</v>
          </cell>
          <cell r="U373">
            <v>27.743925585533717</v>
          </cell>
          <cell r="V373">
            <v>33.406632100092693</v>
          </cell>
          <cell r="X373">
            <v>36.649161628936255</v>
          </cell>
          <cell r="Y373">
            <v>45.884075686521058</v>
          </cell>
          <cell r="Z373">
            <v>41.366680290070803</v>
          </cell>
          <cell r="AA373">
            <v>30.156145875588074</v>
          </cell>
          <cell r="AC373">
            <v>68.12569627006016</v>
          </cell>
          <cell r="AD373">
            <v>53.735340198336303</v>
          </cell>
          <cell r="AE373">
            <v>87.340849622899441</v>
          </cell>
          <cell r="AF373">
            <v>44.830573995768631</v>
          </cell>
          <cell r="AH373">
            <v>46.404146621629984</v>
          </cell>
          <cell r="AI373">
            <v>44.353697018196364</v>
          </cell>
          <cell r="AJ373">
            <v>44.353697018196364</v>
          </cell>
          <cell r="AK373">
            <v>40.982155516220068</v>
          </cell>
          <cell r="AM373">
            <v>42.731343283582078</v>
          </cell>
          <cell r="AN373">
            <v>41.941176470588232</v>
          </cell>
          <cell r="AO373">
            <v>42.173913043478251</v>
          </cell>
          <cell r="AP373">
            <v>41.428571428571431</v>
          </cell>
          <cell r="AR373">
            <v>42.941176470588232</v>
          </cell>
          <cell r="AS373">
            <v>41.428571428571431</v>
          </cell>
          <cell r="AT373">
            <v>40.704225352112672</v>
          </cell>
          <cell r="AU373">
            <v>38</v>
          </cell>
          <cell r="AW373">
            <v>27.330131543348777</v>
          </cell>
          <cell r="AX373">
            <v>41.179612529533941</v>
          </cell>
          <cell r="AY373">
            <v>28.518119926762992</v>
          </cell>
          <cell r="AZ373">
            <v>40.601765395727824</v>
          </cell>
          <cell r="BA373">
            <v>42.680431031784366</v>
          </cell>
          <cell r="BB373">
            <v>43.874028635988019</v>
          </cell>
          <cell r="BC373">
            <v>43.748105629507478</v>
          </cell>
          <cell r="BD373">
            <v>45.895341390036926</v>
          </cell>
          <cell r="BE373">
            <v>42.397058319756241</v>
          </cell>
          <cell r="BF373">
            <v>187.18700000000001</v>
          </cell>
          <cell r="BG373">
            <v>48</v>
          </cell>
          <cell r="BH373">
            <v>44</v>
          </cell>
          <cell r="BI373">
            <v>42.397058319756241</v>
          </cell>
          <cell r="BJ373">
            <v>38.648648648648646</v>
          </cell>
          <cell r="BK373">
            <v>35</v>
          </cell>
          <cell r="BL373">
            <v>30</v>
          </cell>
          <cell r="BM373">
            <v>31.379310344827587</v>
          </cell>
          <cell r="BN373">
            <v>32.857142857142861</v>
          </cell>
          <cell r="BO373">
            <v>35</v>
          </cell>
          <cell r="BP373">
            <v>35</v>
          </cell>
          <cell r="BQ373">
            <v>35</v>
          </cell>
          <cell r="BR373">
            <v>35</v>
          </cell>
          <cell r="BS373">
            <v>35</v>
          </cell>
          <cell r="BT373">
            <v>35</v>
          </cell>
          <cell r="BU373">
            <v>465.24867202469096</v>
          </cell>
          <cell r="BV373">
            <v>572.25586659036992</v>
          </cell>
          <cell r="BW373">
            <v>652.37168791302179</v>
          </cell>
          <cell r="BX373">
            <v>554.51593472606851</v>
          </cell>
          <cell r="BY373">
            <v>576.69657211511128</v>
          </cell>
          <cell r="BZ373">
            <v>634.36622932662249</v>
          </cell>
          <cell r="CA373">
            <v>691.45918996601858</v>
          </cell>
        </row>
        <row r="374">
          <cell r="A374" t="str">
            <v>Growth of Other Net Operating Assets</v>
          </cell>
          <cell r="B374" t="str">
            <v>sccycle</v>
          </cell>
          <cell r="D374">
            <v>2</v>
          </cell>
          <cell r="E374">
            <v>2</v>
          </cell>
          <cell r="F374">
            <v>12.228999999999999</v>
          </cell>
          <cell r="G374">
            <v>31.962</v>
          </cell>
          <cell r="I374">
            <v>-0.5893713906868816</v>
          </cell>
          <cell r="J374">
            <v>0.28560503059143438</v>
          </cell>
          <cell r="K374">
            <v>2.805373785445171</v>
          </cell>
          <cell r="L374">
            <v>-0.46996343676992958</v>
          </cell>
          <cell r="N374">
            <v>0.30755366213337743</v>
          </cell>
          <cell r="O374">
            <v>8.0150375939849416E-2</v>
          </cell>
          <cell r="P374">
            <v>0.29496728386468063</v>
          </cell>
          <cell r="Q374">
            <v>-8.6784744806085001E-2</v>
          </cell>
          <cell r="S374">
            <v>0.16631349696862663</v>
          </cell>
          <cell r="T374">
            <v>-8.8992068098275867E-3</v>
          </cell>
          <cell r="U374">
            <v>3.8929295843977085E-2</v>
          </cell>
          <cell r="V374">
            <v>-0.32265390145079065</v>
          </cell>
          <cell r="X374">
            <v>0.59945970718058827</v>
          </cell>
          <cell r="Y374">
            <v>6.9090059114488955E-2</v>
          </cell>
          <cell r="Z374">
            <v>0.49708365364948826</v>
          </cell>
          <cell r="AA374">
            <v>0.43719466520938299</v>
          </cell>
          <cell r="AC374">
            <v>-1.2666773746267239</v>
          </cell>
          <cell r="AD374">
            <v>-3.7357138467211599</v>
          </cell>
          <cell r="AE374">
            <v>-1.8684243633291993</v>
          </cell>
          <cell r="AF374">
            <v>-0.33567880794701943</v>
          </cell>
          <cell r="AH374">
            <v>0.35669781931464217</v>
          </cell>
          <cell r="AI374">
            <v>3.2979200557750499E-2</v>
          </cell>
          <cell r="AJ374">
            <v>1.5281043404820727E-2</v>
          </cell>
          <cell r="AK374">
            <v>6.9517637986798109E-2</v>
          </cell>
          <cell r="AM374">
            <v>-2.0270214159789024E-2</v>
          </cell>
          <cell r="AN374">
            <v>3.2576410782978682E-2</v>
          </cell>
          <cell r="AO374">
            <v>4.8323597442864852E-2</v>
          </cell>
          <cell r="AP374">
            <v>0.10224310031053886</v>
          </cell>
          <cell r="AR374">
            <v>-5.0646598122189079E-2</v>
          </cell>
          <cell r="AS374">
            <v>3.8270637992918521E-2</v>
          </cell>
          <cell r="AT374">
            <v>5.5153226139038614E-2</v>
          </cell>
          <cell r="AU374">
            <v>0.10614430866214475</v>
          </cell>
          <cell r="AW374" t="str">
            <v>--</v>
          </cell>
          <cell r="AX374">
            <v>6.4780082697977859E-2</v>
          </cell>
          <cell r="AY374">
            <v>0.67022775684089808</v>
          </cell>
          <cell r="AZ374">
            <v>-0.18655208272019141</v>
          </cell>
          <cell r="BA374">
            <v>2.6791649581514272</v>
          </cell>
          <cell r="BB374">
            <v>-1.4208883891840862</v>
          </cell>
          <cell r="BC374">
            <v>0.66770014425100532</v>
          </cell>
          <cell r="BD374">
            <v>0.294208982335318</v>
          </cell>
          <cell r="BE374">
            <v>0.23956296833440027</v>
          </cell>
          <cell r="BF374">
            <v>150.65</v>
          </cell>
          <cell r="BG374">
            <v>0.66770014425100532</v>
          </cell>
          <cell r="BH374">
            <v>0.294208982335318</v>
          </cell>
          <cell r="BI374">
            <v>0.23956296833440027</v>
          </cell>
          <cell r="BJ374">
            <v>0.18</v>
          </cell>
          <cell r="BK374">
            <v>0.22</v>
          </cell>
          <cell r="BL374">
            <v>0.25</v>
          </cell>
          <cell r="BM374">
            <v>0.25</v>
          </cell>
          <cell r="BN374">
            <v>0.21</v>
          </cell>
          <cell r="BO374">
            <v>0.17</v>
          </cell>
          <cell r="BP374">
            <v>0.13</v>
          </cell>
          <cell r="BQ374">
            <v>0.1</v>
          </cell>
          <cell r="BR374">
            <v>0.08</v>
          </cell>
          <cell r="BS374">
            <v>0.06</v>
          </cell>
          <cell r="BT374">
            <v>0.04</v>
          </cell>
          <cell r="BU374">
            <v>0.03</v>
          </cell>
        </row>
        <row r="375">
          <cell r="A375" t="str">
            <v>Growth of Other Net Operating Assets</v>
          </cell>
          <cell r="B375" t="str">
            <v>coa</v>
          </cell>
          <cell r="D375">
            <v>2</v>
          </cell>
          <cell r="E375">
            <v>2</v>
          </cell>
          <cell r="F375">
            <v>12.228999999999999</v>
          </cell>
          <cell r="G375">
            <v>31.962</v>
          </cell>
          <cell r="I375">
            <v>-0.5893713906868816</v>
          </cell>
          <cell r="J375">
            <v>0.28560503059143438</v>
          </cell>
          <cell r="K375">
            <v>2.805373785445171</v>
          </cell>
          <cell r="L375">
            <v>-0.46996343676992958</v>
          </cell>
          <cell r="N375">
            <v>0.30755366213337743</v>
          </cell>
          <cell r="O375">
            <v>8.0150375939849416E-2</v>
          </cell>
          <cell r="P375">
            <v>0.29496728386468063</v>
          </cell>
          <cell r="Q375">
            <v>-8.6784744806085001E-2</v>
          </cell>
          <cell r="S375">
            <v>0.16631349696862663</v>
          </cell>
          <cell r="T375">
            <v>-8.8992068098275867E-3</v>
          </cell>
          <cell r="U375">
            <v>3.8929295843977085E-2</v>
          </cell>
          <cell r="V375">
            <v>-0.32265390145079065</v>
          </cell>
          <cell r="X375">
            <v>0.59945970718058827</v>
          </cell>
          <cell r="Y375">
            <v>6.9090059114488955E-2</v>
          </cell>
          <cell r="Z375">
            <v>0.49708365364948826</v>
          </cell>
          <cell r="AA375">
            <v>0.43719466520938299</v>
          </cell>
          <cell r="AC375">
            <v>-1.2666773746267239</v>
          </cell>
          <cell r="AD375">
            <v>-3.7357138467211599</v>
          </cell>
          <cell r="AE375">
            <v>-1.8684243633291993</v>
          </cell>
          <cell r="AF375">
            <v>-0.33567880794701943</v>
          </cell>
          <cell r="AH375">
            <v>0.35669781931464217</v>
          </cell>
          <cell r="AI375">
            <v>0.15212399540757682</v>
          </cell>
          <cell r="AJ375">
            <v>3.6000000000002697E-3</v>
          </cell>
          <cell r="AK375">
            <v>6.9898365882821833E-2</v>
          </cell>
          <cell r="AM375">
            <v>-2.0226644935972038E-2</v>
          </cell>
          <cell r="AN375">
            <v>3.2743498855224429E-2</v>
          </cell>
          <cell r="AO375">
            <v>4.8605465733265296E-2</v>
          </cell>
          <cell r="AP375">
            <v>0.10254206744158069</v>
          </cell>
          <cell r="AR375">
            <v>-5.0674952093947123E-2</v>
          </cell>
          <cell r="AS375">
            <v>3.8357660934120519E-2</v>
          </cell>
          <cell r="AT375">
            <v>5.5239407961246378E-2</v>
          </cell>
          <cell r="AU375">
            <v>0.10642957299697287</v>
          </cell>
          <cell r="AW375" t="str">
            <v>--</v>
          </cell>
          <cell r="AX375">
            <v>6.4780082697977859E-2</v>
          </cell>
          <cell r="AY375">
            <v>0.67022775684089808</v>
          </cell>
          <cell r="AZ375">
            <v>-0.18655208272019141</v>
          </cell>
          <cell r="BA375">
            <v>2.6791649581514272</v>
          </cell>
          <cell r="BB375">
            <v>-1.4208883891840862</v>
          </cell>
          <cell r="BC375">
            <v>0.77334394713202959</v>
          </cell>
          <cell r="BD375">
            <v>0.29648152058305954</v>
          </cell>
          <cell r="BE375">
            <v>0.24067448359899934</v>
          </cell>
          <cell r="BF375">
            <v>844.28199999999993</v>
          </cell>
          <cell r="BG375">
            <v>0.77334394713202959</v>
          </cell>
          <cell r="BH375">
            <v>0.29648152058305954</v>
          </cell>
          <cell r="BI375">
            <v>0.24067448359899934</v>
          </cell>
          <cell r="BJ375">
            <v>0.18</v>
          </cell>
          <cell r="BK375">
            <v>0.22</v>
          </cell>
          <cell r="BL375">
            <v>0.25</v>
          </cell>
          <cell r="BM375">
            <v>0.25</v>
          </cell>
          <cell r="BN375">
            <v>0.21</v>
          </cell>
          <cell r="BO375">
            <v>0.17</v>
          </cell>
          <cell r="BP375">
            <v>0.13</v>
          </cell>
          <cell r="BQ375">
            <v>0.1</v>
          </cell>
          <cell r="BR375">
            <v>0.08</v>
          </cell>
          <cell r="BS375">
            <v>0.06</v>
          </cell>
          <cell r="BT375">
            <v>0.04</v>
          </cell>
          <cell r="BU375">
            <v>3403.8755940358419</v>
          </cell>
          <cell r="BV375">
            <v>4204.0753895659273</v>
          </cell>
          <cell r="BW375">
            <v>4796.7986245775965</v>
          </cell>
          <cell r="BX375">
            <v>4720.1121418149096</v>
          </cell>
          <cell r="BY375">
            <v>4391.4461955563811</v>
          </cell>
          <cell r="BZ375">
            <v>4587.6127653956328</v>
          </cell>
          <cell r="CA375">
            <v>4862.3661495462829</v>
          </cell>
        </row>
        <row r="376">
          <cell r="A376" t="str">
            <v>Debt (LT, ST, &amp; other financing)</v>
          </cell>
          <cell r="B376" t="str">
            <v>coa</v>
          </cell>
          <cell r="D376">
            <v>2</v>
          </cell>
          <cell r="E376">
            <v>2</v>
          </cell>
          <cell r="F376">
            <v>12.228999999999999</v>
          </cell>
          <cell r="G376">
            <v>31.962</v>
          </cell>
          <cell r="I376">
            <v>16.128</v>
          </cell>
          <cell r="J376">
            <v>38.631999999999998</v>
          </cell>
          <cell r="K376">
            <v>21.936</v>
          </cell>
          <cell r="L376">
            <v>40.578000000000003</v>
          </cell>
          <cell r="N376">
            <v>57.900000000000006</v>
          </cell>
          <cell r="O376">
            <v>56.655999999999999</v>
          </cell>
          <cell r="P376">
            <v>63.634</v>
          </cell>
          <cell r="Q376">
            <v>57.277000000000001</v>
          </cell>
          <cell r="S376">
            <v>63.113</v>
          </cell>
          <cell r="T376">
            <v>57.386000000000003</v>
          </cell>
          <cell r="U376">
            <v>57.936</v>
          </cell>
          <cell r="V376">
            <v>56.683</v>
          </cell>
          <cell r="X376">
            <v>78.873000000000005</v>
          </cell>
          <cell r="Y376">
            <v>117.622</v>
          </cell>
          <cell r="Z376">
            <v>172.578</v>
          </cell>
          <cell r="AA376">
            <v>187.18700000000001</v>
          </cell>
          <cell r="AC376">
            <v>241.572</v>
          </cell>
          <cell r="AD376">
            <v>145.047</v>
          </cell>
          <cell r="AE376">
            <v>164.036</v>
          </cell>
          <cell r="AF376">
            <v>413.6</v>
          </cell>
          <cell r="AH376">
            <v>470.6</v>
          </cell>
          <cell r="AI376">
            <v>526.4</v>
          </cell>
          <cell r="AJ376">
            <v>587.4</v>
          </cell>
          <cell r="AK376">
            <v>518.1</v>
          </cell>
          <cell r="AM376">
            <v>514.42499999999995</v>
          </cell>
          <cell r="AN376">
            <v>552.19999999999993</v>
          </cell>
          <cell r="AO376">
            <v>576.25</v>
          </cell>
          <cell r="AP376">
            <v>610.21857198653197</v>
          </cell>
          <cell r="AR376">
            <v>634.72099108920531</v>
          </cell>
          <cell r="AS376">
            <v>658.38418353787949</v>
          </cell>
          <cell r="AT376">
            <v>681.46639059397637</v>
          </cell>
          <cell r="AU376">
            <v>704.16070185177546</v>
          </cell>
          <cell r="AW376">
            <v>325.36800000000005</v>
          </cell>
          <cell r="AX376">
            <v>519.81500000000005</v>
          </cell>
          <cell r="AY376">
            <v>135.804</v>
          </cell>
          <cell r="AZ376">
            <v>134.197</v>
          </cell>
          <cell r="BA376">
            <v>992.49200000000008</v>
          </cell>
          <cell r="BB376">
            <v>1034.3</v>
          </cell>
          <cell r="BC376">
            <v>1040.2</v>
          </cell>
          <cell r="BD376">
            <v>1040.2</v>
          </cell>
          <cell r="BE376">
            <v>1040.2</v>
          </cell>
          <cell r="BF376">
            <v>210.84399999999999</v>
          </cell>
          <cell r="BG376">
            <v>1034.3</v>
          </cell>
          <cell r="BH376">
            <v>1034.3</v>
          </cell>
          <cell r="BI376">
            <v>1034.3</v>
          </cell>
          <cell r="BJ376">
            <v>34.299999999999955</v>
          </cell>
          <cell r="BK376">
            <v>34.299999999999955</v>
          </cell>
          <cell r="BL376">
            <v>34.299999999999955</v>
          </cell>
          <cell r="BM376">
            <v>34.299999999999955</v>
          </cell>
          <cell r="BN376">
            <v>34.299999999999955</v>
          </cell>
          <cell r="BO376">
            <v>34.299999999999955</v>
          </cell>
          <cell r="BP376">
            <v>34.299999999999955</v>
          </cell>
          <cell r="BQ376">
            <v>34.299999999999955</v>
          </cell>
          <cell r="BR376">
            <v>34.299999999999955</v>
          </cell>
          <cell r="BS376">
            <v>34.299999999999955</v>
          </cell>
          <cell r="BT376">
            <v>34.299999999999955</v>
          </cell>
          <cell r="BU376">
            <v>1335.0425082556374</v>
          </cell>
          <cell r="BV376">
            <v>1667.707792773441</v>
          </cell>
          <cell r="BW376">
            <v>1945.7360644420769</v>
          </cell>
          <cell r="BX376">
            <v>2065.6361697360076</v>
          </cell>
          <cell r="BY376">
            <v>1947.0948937840917</v>
          </cell>
          <cell r="BZ376">
            <v>2024.3423369397151</v>
          </cell>
          <cell r="CA376">
            <v>2232.4245498672535</v>
          </cell>
        </row>
        <row r="377">
          <cell r="A377" t="str">
            <v>Borrowing Rate</v>
          </cell>
          <cell r="B377" t="str">
            <v>ppe</v>
          </cell>
          <cell r="D377">
            <v>35</v>
          </cell>
          <cell r="E377">
            <v>38</v>
          </cell>
          <cell r="F377">
            <v>44.612000000000002</v>
          </cell>
          <cell r="G377">
            <v>67.305000000000007</v>
          </cell>
          <cell r="I377">
            <v>97.128</v>
          </cell>
          <cell r="J377">
            <v>98.429000000000002</v>
          </cell>
          <cell r="K377">
            <v>119.753</v>
          </cell>
          <cell r="L377">
            <v>124.242</v>
          </cell>
          <cell r="N377">
            <v>148.9</v>
          </cell>
          <cell r="O377">
            <v>175.405</v>
          </cell>
          <cell r="P377">
            <v>180.45400000000001</v>
          </cell>
          <cell r="Q377">
            <v>214.92599999999999</v>
          </cell>
          <cell r="S377">
            <v>242.70699999999999</v>
          </cell>
          <cell r="T377">
            <v>267.27</v>
          </cell>
          <cell r="U377">
            <v>326.24</v>
          </cell>
          <cell r="V377">
            <v>365.447</v>
          </cell>
          <cell r="X377">
            <v>417.59800000000001</v>
          </cell>
          <cell r="Y377">
            <v>508.05700000000002</v>
          </cell>
          <cell r="Z377">
            <v>544.37699999999995</v>
          </cell>
          <cell r="AA377">
            <v>633.43799999999999</v>
          </cell>
          <cell r="AC377">
            <v>708.23699999999997</v>
          </cell>
          <cell r="AD377">
            <v>752.66700000000003</v>
          </cell>
          <cell r="AE377">
            <v>890.82399999999996</v>
          </cell>
          <cell r="AF377">
            <v>1328.7</v>
          </cell>
          <cell r="AH377">
            <v>938.7</v>
          </cell>
          <cell r="AI377">
            <v>929.4</v>
          </cell>
          <cell r="AJ377">
            <v>831.4</v>
          </cell>
          <cell r="AK377">
            <v>727.8</v>
          </cell>
          <cell r="AM377">
            <v>701.5</v>
          </cell>
          <cell r="AN377">
            <v>692.2</v>
          </cell>
          <cell r="AO377">
            <v>688.1</v>
          </cell>
          <cell r="AP377">
            <v>687.42832619528622</v>
          </cell>
          <cell r="AR377">
            <v>690.74586390115826</v>
          </cell>
          <cell r="AS377">
            <v>696.97825117086961</v>
          </cell>
          <cell r="AT377">
            <v>710.76413789154856</v>
          </cell>
          <cell r="AU377">
            <v>730.15133945607204</v>
          </cell>
          <cell r="AW377">
            <v>325.36800000000005</v>
          </cell>
          <cell r="AX377">
            <v>519.81500000000005</v>
          </cell>
          <cell r="AY377">
            <v>135.804</v>
          </cell>
          <cell r="AZ377">
            <v>134.197</v>
          </cell>
          <cell r="BA377">
            <v>992.49200000000008</v>
          </cell>
          <cell r="BB377">
            <v>1034.3</v>
          </cell>
          <cell r="BC377">
            <v>909.2</v>
          </cell>
          <cell r="BD377">
            <v>909.2</v>
          </cell>
          <cell r="BE377">
            <v>909.2</v>
          </cell>
          <cell r="BF377">
            <v>633.43799999999999</v>
          </cell>
          <cell r="BG377">
            <v>0.08</v>
          </cell>
          <cell r="BH377">
            <v>0.08</v>
          </cell>
          <cell r="BI377">
            <v>0.08</v>
          </cell>
          <cell r="BJ377">
            <v>0.08</v>
          </cell>
          <cell r="BK377">
            <v>0.08</v>
          </cell>
          <cell r="BL377">
            <v>0.08</v>
          </cell>
          <cell r="BM377">
            <v>0.08</v>
          </cell>
          <cell r="BN377">
            <v>0.08</v>
          </cell>
          <cell r="BO377">
            <v>0.08</v>
          </cell>
          <cell r="BP377">
            <v>0.08</v>
          </cell>
          <cell r="BQ377">
            <v>0.08</v>
          </cell>
          <cell r="BR377">
            <v>0.08</v>
          </cell>
          <cell r="BS377">
            <v>0.08</v>
          </cell>
          <cell r="BT377">
            <v>0.08</v>
          </cell>
          <cell r="BU377">
            <v>2068.8330857802048</v>
          </cell>
          <cell r="BV377">
            <v>2536.3675967924864</v>
          </cell>
          <cell r="BW377">
            <v>2851.0625601355196</v>
          </cell>
          <cell r="BX377">
            <v>2654.475972078902</v>
          </cell>
          <cell r="BY377">
            <v>2444.3513017722894</v>
          </cell>
          <cell r="BZ377">
            <v>2563.2704284559177</v>
          </cell>
          <cell r="CA377">
            <v>2629.9415996790294</v>
          </cell>
        </row>
        <row r="378">
          <cell r="A378" t="str">
            <v>Lending Rate</v>
          </cell>
          <cell r="B378" t="str">
            <v>gw</v>
          </cell>
          <cell r="D378" t="str">
            <v>--</v>
          </cell>
          <cell r="E378" t="str">
            <v>--</v>
          </cell>
          <cell r="F378" t="str">
            <v>--</v>
          </cell>
          <cell r="G378">
            <v>228.85599999999999</v>
          </cell>
          <cell r="I378">
            <v>258.822</v>
          </cell>
          <cell r="J378">
            <v>277.42899999999997</v>
          </cell>
          <cell r="K378">
            <v>268.673</v>
          </cell>
          <cell r="L378">
            <v>352.26400000000001</v>
          </cell>
          <cell r="N378">
            <v>307.10000000000002</v>
          </cell>
          <cell r="O378">
            <v>308.34100000000001</v>
          </cell>
          <cell r="P378">
            <v>300.10599999999999</v>
          </cell>
          <cell r="Q378">
            <v>374.50799999999998</v>
          </cell>
          <cell r="S378">
            <v>360.483</v>
          </cell>
          <cell r="T378">
            <v>352.74200000000002</v>
          </cell>
          <cell r="U378">
            <v>348.99799999999999</v>
          </cell>
          <cell r="V378">
            <v>367.553</v>
          </cell>
          <cell r="X378">
            <v>417.07799999999997</v>
          </cell>
          <cell r="Y378">
            <v>592.28800000000001</v>
          </cell>
          <cell r="Z378">
            <v>589.55399999999997</v>
          </cell>
          <cell r="AA378">
            <v>578.27200000000005</v>
          </cell>
          <cell r="AC378">
            <v>555.28700000000003</v>
          </cell>
          <cell r="AD378">
            <v>566.66200000000003</v>
          </cell>
          <cell r="AE378">
            <v>794.63</v>
          </cell>
          <cell r="AF378">
            <v>413.6</v>
          </cell>
          <cell r="AH378">
            <v>1580.1000000000001</v>
          </cell>
          <cell r="AI378">
            <v>1558.4</v>
          </cell>
          <cell r="AJ378">
            <v>1510.6</v>
          </cell>
          <cell r="AK378">
            <v>1159.9000000000001</v>
          </cell>
          <cell r="AM378">
            <v>1149.4000000000001</v>
          </cell>
          <cell r="AN378">
            <v>1135.3</v>
          </cell>
          <cell r="AO378">
            <v>1123.3</v>
          </cell>
          <cell r="AP378">
            <v>1111.3</v>
          </cell>
          <cell r="AR378">
            <v>1099.3</v>
          </cell>
          <cell r="AS378">
            <v>1087.3</v>
          </cell>
          <cell r="AT378">
            <v>1075.3</v>
          </cell>
          <cell r="AU378">
            <v>1063.3</v>
          </cell>
          <cell r="AW378">
            <v>1054.5250000000001</v>
          </cell>
          <cell r="AX378">
            <v>1045.75</v>
          </cell>
          <cell r="AY378">
            <v>1036.9749999999999</v>
          </cell>
          <cell r="AZ378">
            <v>1028.2</v>
          </cell>
          <cell r="BB378">
            <v>228.85599999999999</v>
          </cell>
          <cell r="BC378">
            <v>21.242000000000001</v>
          </cell>
          <cell r="BD378">
            <v>57.302999999999997</v>
          </cell>
          <cell r="BE378">
            <v>116.32299999999999</v>
          </cell>
          <cell r="BF378">
            <v>210.84399999999999</v>
          </cell>
          <cell r="BG378">
            <v>0.03</v>
          </cell>
          <cell r="BH378">
            <v>0.03</v>
          </cell>
          <cell r="BI378">
            <v>0.03</v>
          </cell>
          <cell r="BJ378">
            <v>0.03</v>
          </cell>
          <cell r="BK378">
            <v>0.03</v>
          </cell>
          <cell r="BL378">
            <v>0.03</v>
          </cell>
          <cell r="BM378">
            <v>518.1</v>
          </cell>
          <cell r="BN378">
            <v>610.08181818181811</v>
          </cell>
          <cell r="BO378">
            <v>715.15285858960067</v>
          </cell>
          <cell r="BP378">
            <v>854.15038102774338</v>
          </cell>
          <cell r="BQ378">
            <v>952.57658150632437</v>
          </cell>
          <cell r="BR378">
            <v>1029.5773411916205</v>
          </cell>
          <cell r="BS378">
            <v>1057.3142755092338</v>
          </cell>
          <cell r="BT378">
            <v>1382.3224719189959</v>
          </cell>
          <cell r="BU378">
            <v>1770.1322015532164</v>
          </cell>
          <cell r="BV378">
            <v>948.125</v>
          </cell>
          <cell r="BW378">
            <v>948.125</v>
          </cell>
          <cell r="BX378">
            <v>948.125</v>
          </cell>
          <cell r="BY378">
            <v>948.125</v>
          </cell>
          <cell r="BZ378">
            <v>948.125</v>
          </cell>
          <cell r="CA378">
            <v>948.125</v>
          </cell>
        </row>
        <row r="379">
          <cell r="A379" t="str">
            <v>Expected Life of PP&amp;E (Years)</v>
          </cell>
          <cell r="B379" t="str">
            <v>ppe</v>
          </cell>
          <cell r="D379">
            <v>35</v>
          </cell>
          <cell r="E379">
            <v>38</v>
          </cell>
          <cell r="F379">
            <v>44.612000000000002</v>
          </cell>
          <cell r="G379">
            <v>67.305000000000007</v>
          </cell>
          <cell r="I379">
            <v>97.128</v>
          </cell>
          <cell r="J379">
            <v>98.429000000000002</v>
          </cell>
          <cell r="K379">
            <v>119.753</v>
          </cell>
          <cell r="L379">
            <v>124.242</v>
          </cell>
          <cell r="N379">
            <v>148.9</v>
          </cell>
          <cell r="O379">
            <v>175.405</v>
          </cell>
          <cell r="P379">
            <v>180.45400000000001</v>
          </cell>
          <cell r="Q379">
            <v>214.92599999999999</v>
          </cell>
          <cell r="S379">
            <v>242.70699999999999</v>
          </cell>
          <cell r="T379">
            <v>267.27</v>
          </cell>
          <cell r="U379">
            <v>326.24</v>
          </cell>
          <cell r="V379">
            <v>365.447</v>
          </cell>
          <cell r="X379">
            <v>417.59800000000001</v>
          </cell>
          <cell r="Y379">
            <v>508.05700000000002</v>
          </cell>
          <cell r="Z379">
            <v>544.37699999999995</v>
          </cell>
          <cell r="AA379">
            <v>633.43799999999999</v>
          </cell>
          <cell r="AC379">
            <v>708.23699999999997</v>
          </cell>
          <cell r="AD379">
            <v>752.66700000000003</v>
          </cell>
          <cell r="AE379">
            <v>890.82399999999996</v>
          </cell>
          <cell r="AF379">
            <v>1128.8</v>
          </cell>
          <cell r="AH379">
            <v>1137.9000000000001</v>
          </cell>
          <cell r="AI379">
            <v>1137.9000000000001</v>
          </cell>
          <cell r="AJ379">
            <v>1155.0999999999999</v>
          </cell>
          <cell r="AK379">
            <v>948</v>
          </cell>
          <cell r="AM379">
            <v>948</v>
          </cell>
          <cell r="AN379">
            <v>948</v>
          </cell>
          <cell r="AO379">
            <v>948</v>
          </cell>
          <cell r="AP379">
            <v>948</v>
          </cell>
          <cell r="AR379">
            <v>948</v>
          </cell>
          <cell r="AS379">
            <v>948</v>
          </cell>
          <cell r="AT379">
            <v>948</v>
          </cell>
          <cell r="AU379">
            <v>948</v>
          </cell>
          <cell r="AW379">
            <v>948</v>
          </cell>
          <cell r="AX379">
            <v>948</v>
          </cell>
          <cell r="AY379">
            <v>948</v>
          </cell>
          <cell r="AZ379">
            <v>948</v>
          </cell>
          <cell r="BB379">
            <v>67.305000000000007</v>
          </cell>
          <cell r="BC379">
            <v>124.242</v>
          </cell>
          <cell r="BD379">
            <v>214.92599999999999</v>
          </cell>
          <cell r="BE379">
            <v>365.447</v>
          </cell>
          <cell r="BF379">
            <v>633.43799999999999</v>
          </cell>
          <cell r="BG379">
            <v>7</v>
          </cell>
          <cell r="BH379">
            <v>0.03</v>
          </cell>
          <cell r="BI379">
            <v>0.03</v>
          </cell>
          <cell r="BJ379">
            <v>0.03</v>
          </cell>
          <cell r="BK379">
            <v>0.03</v>
          </cell>
          <cell r="BL379">
            <v>0.03</v>
          </cell>
          <cell r="BM379">
            <v>0.03</v>
          </cell>
          <cell r="BN379">
            <v>0.03</v>
          </cell>
          <cell r="BO379">
            <v>0.03</v>
          </cell>
          <cell r="BP379">
            <v>0.03</v>
          </cell>
          <cell r="BQ379">
            <v>0.03</v>
          </cell>
          <cell r="BR379">
            <v>0.03</v>
          </cell>
          <cell r="BS379">
            <v>0.03</v>
          </cell>
          <cell r="BT379">
            <v>0.03</v>
          </cell>
          <cell r="BU379">
            <v>948</v>
          </cell>
          <cell r="BV379">
            <v>948</v>
          </cell>
          <cell r="BW379">
            <v>948</v>
          </cell>
          <cell r="BX379">
            <v>948</v>
          </cell>
          <cell r="BY379">
            <v>948</v>
          </cell>
          <cell r="BZ379">
            <v>948</v>
          </cell>
          <cell r="CA379">
            <v>948</v>
          </cell>
        </row>
        <row r="380">
          <cell r="A380" t="str">
            <v>Expected Life of PP&amp;E (Years)</v>
          </cell>
          <cell r="B380" t="str">
            <v>gw</v>
          </cell>
          <cell r="D380" t="str">
            <v>--</v>
          </cell>
          <cell r="E380" t="str">
            <v>--</v>
          </cell>
          <cell r="F380" t="str">
            <v>--</v>
          </cell>
          <cell r="G380">
            <v>228.85599999999999</v>
          </cell>
          <cell r="I380">
            <v>258.822</v>
          </cell>
          <cell r="J380">
            <v>277.42899999999997</v>
          </cell>
          <cell r="K380">
            <v>268.673</v>
          </cell>
          <cell r="L380">
            <v>352.26400000000001</v>
          </cell>
          <cell r="N380">
            <v>307.10000000000002</v>
          </cell>
          <cell r="O380">
            <v>308.34100000000001</v>
          </cell>
          <cell r="P380">
            <v>300.10599999999999</v>
          </cell>
          <cell r="Q380">
            <v>374.50799999999998</v>
          </cell>
          <cell r="S380">
            <v>360.483</v>
          </cell>
          <cell r="T380">
            <v>352.74200000000002</v>
          </cell>
          <cell r="U380">
            <v>348.99799999999999</v>
          </cell>
          <cell r="V380">
            <v>367.553</v>
          </cell>
          <cell r="X380">
            <v>417.07799999999997</v>
          </cell>
          <cell r="Y380">
            <v>592.28800000000001</v>
          </cell>
          <cell r="Z380">
            <v>589.55399999999997</v>
          </cell>
          <cell r="AA380">
            <v>578.27200000000005</v>
          </cell>
          <cell r="AC380">
            <v>555.28700000000003</v>
          </cell>
          <cell r="AD380">
            <v>566.66200000000003</v>
          </cell>
          <cell r="AE380">
            <v>794.63</v>
          </cell>
          <cell r="AF380">
            <v>427.2</v>
          </cell>
          <cell r="AH380">
            <v>442.2</v>
          </cell>
          <cell r="AI380">
            <v>420.5</v>
          </cell>
          <cell r="AJ380">
            <v>355.5</v>
          </cell>
          <cell r="AK380">
            <v>211.9</v>
          </cell>
          <cell r="AM380">
            <v>201.4</v>
          </cell>
          <cell r="AN380">
            <v>187.3</v>
          </cell>
          <cell r="AO380">
            <v>175.3</v>
          </cell>
          <cell r="AP380">
            <v>163.30000000000001</v>
          </cell>
          <cell r="AR380">
            <v>151.30000000000001</v>
          </cell>
          <cell r="AS380">
            <v>139.30000000000001</v>
          </cell>
          <cell r="AT380">
            <v>127.30000000000001</v>
          </cell>
          <cell r="AU380">
            <v>115.30000000000001</v>
          </cell>
          <cell r="AW380">
            <v>106.52500000000001</v>
          </cell>
          <cell r="AX380">
            <v>97.75</v>
          </cell>
          <cell r="AY380">
            <v>88.974999999999994</v>
          </cell>
          <cell r="AZ380">
            <v>80.199999999999989</v>
          </cell>
          <cell r="BB380">
            <v>228.85599999999999</v>
          </cell>
          <cell r="BC380">
            <v>352.26400000000001</v>
          </cell>
          <cell r="BD380">
            <v>374.50799999999998</v>
          </cell>
          <cell r="BE380">
            <v>367.553</v>
          </cell>
          <cell r="BF380">
            <v>578.27200000000005</v>
          </cell>
          <cell r="BG380">
            <v>7</v>
          </cell>
          <cell r="BH380">
            <v>211.9</v>
          </cell>
          <cell r="BI380">
            <v>163.30000000000001</v>
          </cell>
          <cell r="BJ380">
            <v>115.30000000000001</v>
          </cell>
          <cell r="BK380">
            <v>80.199999999999989</v>
          </cell>
          <cell r="BM380">
            <v>211.9</v>
          </cell>
          <cell r="BN380">
            <v>163.30000000000001</v>
          </cell>
          <cell r="BO380">
            <v>115.30000000000001</v>
          </cell>
          <cell r="BP380">
            <v>80.199999999999989</v>
          </cell>
          <cell r="BQ380">
            <v>53.199999999999989</v>
          </cell>
          <cell r="BR380">
            <v>37.899999999999991</v>
          </cell>
          <cell r="BS380">
            <v>26.974999999999991</v>
          </cell>
          <cell r="BT380">
            <v>16.04999999999999</v>
          </cell>
          <cell r="BU380">
            <v>5.1249999999999893</v>
          </cell>
          <cell r="BV380">
            <v>0.12499999999998934</v>
          </cell>
          <cell r="BW380">
            <v>0.12499999999998934</v>
          </cell>
          <cell r="BX380">
            <v>0.12499999999998934</v>
          </cell>
          <cell r="BY380">
            <v>0.12499999999998934</v>
          </cell>
          <cell r="BZ380">
            <v>0.12499999999998934</v>
          </cell>
          <cell r="CA380">
            <v>0.12499999999998934</v>
          </cell>
        </row>
        <row r="381">
          <cell r="A381" t="str">
            <v>Other Assets</v>
          </cell>
          <cell r="B381" t="str">
            <v>loa</v>
          </cell>
          <cell r="D381">
            <v>12</v>
          </cell>
          <cell r="E381">
            <v>15</v>
          </cell>
          <cell r="F381">
            <v>13.874000000000001</v>
          </cell>
          <cell r="G381">
            <v>31.689</v>
          </cell>
          <cell r="I381">
            <v>13.906000000000001</v>
          </cell>
          <cell r="J381">
            <v>17.315000000000001</v>
          </cell>
          <cell r="K381">
            <v>105.05200000000001</v>
          </cell>
          <cell r="L381">
            <v>39.098999999999997</v>
          </cell>
          <cell r="N381">
            <v>50.2</v>
          </cell>
          <cell r="O381">
            <v>46.161999999999999</v>
          </cell>
          <cell r="P381">
            <v>59.53</v>
          </cell>
          <cell r="Q381">
            <v>64.066000000000003</v>
          </cell>
          <cell r="S381">
            <v>77.503</v>
          </cell>
          <cell r="T381">
            <v>83.212000000000003</v>
          </cell>
          <cell r="U381">
            <v>85.688999999999993</v>
          </cell>
          <cell r="V381">
            <v>71.277000000000001</v>
          </cell>
          <cell r="X381">
            <v>83.462000000000003</v>
          </cell>
          <cell r="Y381">
            <v>94.944999999999993</v>
          </cell>
          <cell r="Z381">
            <v>102.29900000000001</v>
          </cell>
          <cell r="AA381">
            <v>205.31100000000001</v>
          </cell>
          <cell r="AC381">
            <v>203.99</v>
          </cell>
          <cell r="AD381">
            <v>142.88900000000001</v>
          </cell>
          <cell r="AE381">
            <v>137.59299999999999</v>
          </cell>
          <cell r="AF381">
            <v>1128.8</v>
          </cell>
          <cell r="AH381">
            <v>203.7</v>
          </cell>
          <cell r="AI381">
            <v>220.3</v>
          </cell>
          <cell r="AJ381">
            <v>232.3</v>
          </cell>
          <cell r="AK381">
            <v>354.6</v>
          </cell>
          <cell r="AM381">
            <v>356.4</v>
          </cell>
          <cell r="AN381">
            <v>387.5</v>
          </cell>
          <cell r="AO381">
            <v>406.4</v>
          </cell>
          <cell r="AP381">
            <v>413.23768000000001</v>
          </cell>
          <cell r="AR381">
            <v>408.53682552393894</v>
          </cell>
          <cell r="AS381">
            <v>413.21262089537527</v>
          </cell>
          <cell r="AT381">
            <v>416.64206306542496</v>
          </cell>
          <cell r="AU381">
            <v>426.62678620487299</v>
          </cell>
          <cell r="AW381">
            <v>421.63820767326712</v>
          </cell>
          <cell r="AX381">
            <v>428.34184810184394</v>
          </cell>
          <cell r="AY381">
            <v>433.89287109877307</v>
          </cell>
          <cell r="AZ381">
            <v>445.30600557669527</v>
          </cell>
          <cell r="BB381">
            <v>31.689</v>
          </cell>
          <cell r="BC381">
            <v>39.098999999999997</v>
          </cell>
          <cell r="BD381">
            <v>64.066000000000003</v>
          </cell>
          <cell r="BE381">
            <v>71.277000000000001</v>
          </cell>
          <cell r="BF381">
            <v>205.31100000000001</v>
          </cell>
          <cell r="BG381">
            <v>1128.8</v>
          </cell>
          <cell r="BH381">
            <v>948</v>
          </cell>
          <cell r="BI381">
            <v>948</v>
          </cell>
          <cell r="BJ381">
            <v>948</v>
          </cell>
          <cell r="BK381">
            <v>948</v>
          </cell>
          <cell r="BM381">
            <v>354.6</v>
          </cell>
          <cell r="BN381">
            <v>413.23768000000001</v>
          </cell>
          <cell r="BO381">
            <v>426.62678620487299</v>
          </cell>
          <cell r="BP381">
            <v>445.30600557669527</v>
          </cell>
          <cell r="BQ381">
            <v>529.91414663626733</v>
          </cell>
          <cell r="BR381">
            <v>614.70041009807005</v>
          </cell>
          <cell r="BS381">
            <v>614.70041009807005</v>
          </cell>
          <cell r="BT381">
            <v>651.58243470395428</v>
          </cell>
          <cell r="BU381">
            <v>755.83562425658693</v>
          </cell>
          <cell r="BV381">
            <v>929.6778178356019</v>
          </cell>
          <cell r="BW381">
            <v>1059.8327123325862</v>
          </cell>
          <cell r="BX381">
            <v>900.85780548269827</v>
          </cell>
          <cell r="BY381">
            <v>936.8921177020062</v>
          </cell>
          <cell r="BZ381">
            <v>1030.581329472207</v>
          </cell>
          <cell r="CA381">
            <v>1123.3336491247057</v>
          </cell>
        </row>
        <row r="382">
          <cell r="A382" t="str">
            <v>Celestica Inc.</v>
          </cell>
          <cell r="B382" t="str">
            <v>loa</v>
          </cell>
          <cell r="D382">
            <v>12</v>
          </cell>
          <cell r="E382">
            <v>15</v>
          </cell>
          <cell r="F382">
            <v>13.874000000000001</v>
          </cell>
          <cell r="G382">
            <v>31.689</v>
          </cell>
          <cell r="I382">
            <v>13.906000000000001</v>
          </cell>
          <cell r="J382">
            <v>17.315000000000001</v>
          </cell>
          <cell r="K382">
            <v>105.05200000000001</v>
          </cell>
          <cell r="L382">
            <v>39.098999999999997</v>
          </cell>
          <cell r="N382">
            <v>50.2</v>
          </cell>
          <cell r="O382">
            <v>46.161999999999999</v>
          </cell>
          <cell r="P382">
            <v>59.53</v>
          </cell>
          <cell r="Q382">
            <v>64.066000000000003</v>
          </cell>
          <cell r="S382">
            <v>77.503</v>
          </cell>
          <cell r="T382">
            <v>83.212000000000003</v>
          </cell>
          <cell r="U382">
            <v>85.688999999999993</v>
          </cell>
          <cell r="V382">
            <v>71.277000000000001</v>
          </cell>
          <cell r="X382">
            <v>83.462000000000003</v>
          </cell>
          <cell r="Y382">
            <v>94.944999999999993</v>
          </cell>
          <cell r="Z382">
            <v>102.29900000000001</v>
          </cell>
          <cell r="AA382">
            <v>205.31100000000001</v>
          </cell>
          <cell r="AC382">
            <v>203.99</v>
          </cell>
          <cell r="AD382">
            <v>142.88900000000001</v>
          </cell>
          <cell r="AE382">
            <v>137.59299999999999</v>
          </cell>
          <cell r="AF382">
            <v>427.2</v>
          </cell>
          <cell r="AH382">
            <v>442.2</v>
          </cell>
          <cell r="AI382">
            <v>420.5</v>
          </cell>
          <cell r="AJ382">
            <v>355.5</v>
          </cell>
          <cell r="AK382">
            <v>211.9</v>
          </cell>
          <cell r="AM382">
            <v>201.4</v>
          </cell>
          <cell r="AN382">
            <v>187.3</v>
          </cell>
          <cell r="AO382">
            <v>175.3</v>
          </cell>
          <cell r="AP382">
            <v>137.9</v>
          </cell>
          <cell r="AR382">
            <v>125.9</v>
          </cell>
          <cell r="AS382">
            <v>113.9</v>
          </cell>
          <cell r="AT382">
            <v>101.9</v>
          </cell>
          <cell r="AU382">
            <v>89.9</v>
          </cell>
          <cell r="AW382">
            <v>81.125</v>
          </cell>
          <cell r="AX382">
            <v>72.349999999999994</v>
          </cell>
          <cell r="AY382">
            <v>63.574999999999996</v>
          </cell>
          <cell r="AZ382">
            <v>54.8</v>
          </cell>
          <cell r="BB382">
            <v>31.689</v>
          </cell>
          <cell r="BC382">
            <v>39.098999999999997</v>
          </cell>
          <cell r="BD382">
            <v>64.066000000000003</v>
          </cell>
          <cell r="BE382">
            <v>71.277000000000001</v>
          </cell>
          <cell r="BF382">
            <v>205.31100000000001</v>
          </cell>
          <cell r="BG382">
            <v>427.2</v>
          </cell>
          <cell r="BH382">
            <v>211.9</v>
          </cell>
          <cell r="BI382">
            <v>137.9</v>
          </cell>
          <cell r="BJ382">
            <v>89.9</v>
          </cell>
          <cell r="BK382">
            <v>54.8</v>
          </cell>
          <cell r="BM382">
            <v>211.9</v>
          </cell>
          <cell r="BN382">
            <v>137.9</v>
          </cell>
          <cell r="BO382">
            <v>89.9</v>
          </cell>
          <cell r="BP382">
            <v>54.8</v>
          </cell>
          <cell r="BQ382">
            <v>27.799999999999997</v>
          </cell>
          <cell r="BR382">
            <v>12.499999999999996</v>
          </cell>
          <cell r="BS382">
            <v>1.5749999999999957</v>
          </cell>
          <cell r="BT382">
            <v>-9.350000000000005</v>
          </cell>
          <cell r="BU382">
            <v>-20.275000000000006</v>
          </cell>
          <cell r="BV382">
            <v>911.2990460630092</v>
          </cell>
          <cell r="BW382">
            <v>1038.8809125118305</v>
          </cell>
          <cell r="BX382">
            <v>883.0487756350559</v>
          </cell>
          <cell r="BY382">
            <v>918.37072666045822</v>
          </cell>
          <cell r="BZ382">
            <v>1010.2077993265041</v>
          </cell>
          <cell r="CA382">
            <v>1101.1265012658896</v>
          </cell>
        </row>
        <row r="383">
          <cell r="A383" t="str">
            <v xml:space="preserve">Cash Flow Statement </v>
          </cell>
          <cell r="B383" t="str">
            <v>tl</v>
          </cell>
          <cell r="D383">
            <v>519.16099999999994</v>
          </cell>
          <cell r="E383">
            <v>272.96100000000001</v>
          </cell>
          <cell r="F383">
            <v>202.69199999999998</v>
          </cell>
          <cell r="G383">
            <v>455.03200000000004</v>
          </cell>
          <cell r="I383">
            <v>659.46600000000001</v>
          </cell>
          <cell r="J383">
            <v>658.03000000000009</v>
          </cell>
          <cell r="K383">
            <v>742.59800000000007</v>
          </cell>
          <cell r="L383">
            <v>984.08100000000002</v>
          </cell>
          <cell r="N383">
            <v>1064</v>
          </cell>
          <cell r="O383">
            <v>1097.9350000000002</v>
          </cell>
          <cell r="P383">
            <v>666.98500000000001</v>
          </cell>
          <cell r="Q383">
            <v>777.15899999999999</v>
          </cell>
          <cell r="S383">
            <v>854.399</v>
          </cell>
          <cell r="T383">
            <v>931.53599999999994</v>
          </cell>
          <cell r="U383">
            <v>1106.529</v>
          </cell>
          <cell r="V383">
            <v>997.44900000000007</v>
          </cell>
          <cell r="X383">
            <v>1205.6489999999999</v>
          </cell>
          <cell r="Y383">
            <v>1534.5119999999999</v>
          </cell>
          <cell r="Z383">
            <v>2954.5940000000001</v>
          </cell>
          <cell r="AA383">
            <v>3329.3530000000001</v>
          </cell>
          <cell r="AC383">
            <v>2733.1910000000003</v>
          </cell>
          <cell r="AD383">
            <v>2611.797</v>
          </cell>
          <cell r="AE383">
            <v>2407.9549999999999</v>
          </cell>
          <cell r="AF383">
            <v>2774.1</v>
          </cell>
          <cell r="AH383">
            <v>2845.3</v>
          </cell>
          <cell r="AI383">
            <v>2867.3999999999996</v>
          </cell>
          <cell r="AJ383">
            <v>2644.2000000000003</v>
          </cell>
          <cell r="AK383">
            <v>2407.8000000000002</v>
          </cell>
          <cell r="AM383">
            <v>2278.0000000000005</v>
          </cell>
          <cell r="AN383">
            <v>2177.6</v>
          </cell>
          <cell r="AO383">
            <v>2136.5</v>
          </cell>
          <cell r="AP383">
            <v>2162.3169366298466</v>
          </cell>
          <cell r="AR383">
            <v>2128.6874480394699</v>
          </cell>
          <cell r="AS383">
            <v>2138.935725468627</v>
          </cell>
          <cell r="AT383">
            <v>2183.3509649718644</v>
          </cell>
          <cell r="AU383">
            <v>2314.3224509442275</v>
          </cell>
          <cell r="AW383">
            <v>2167.5370849316027</v>
          </cell>
          <cell r="AX383">
            <v>2219.9431296015473</v>
          </cell>
          <cell r="AY383">
            <v>1682.6629477025408</v>
          </cell>
          <cell r="AZ383">
            <v>1855.9250268071355</v>
          </cell>
          <cell r="BB383">
            <v>455.03200000000004</v>
          </cell>
          <cell r="BC383">
            <v>984.08100000000002</v>
          </cell>
          <cell r="BD383">
            <v>777.15899999999999</v>
          </cell>
          <cell r="BE383">
            <v>997.44900000000007</v>
          </cell>
          <cell r="BF383">
            <v>3329.3530000000001</v>
          </cell>
          <cell r="BG383">
            <v>2774.1</v>
          </cell>
          <cell r="BH383">
            <v>2407.8000000000002</v>
          </cell>
          <cell r="BI383">
            <v>2162.3169366298466</v>
          </cell>
          <cell r="BJ383">
            <v>2314.3224509442275</v>
          </cell>
          <cell r="BK383">
            <v>1855.9250268071355</v>
          </cell>
          <cell r="BM383">
            <v>2407.8000000000002</v>
          </cell>
          <cell r="BN383">
            <v>2162.3169366298466</v>
          </cell>
          <cell r="BO383">
            <v>2314.3224509442275</v>
          </cell>
          <cell r="BP383">
            <v>1855.9250268071355</v>
          </cell>
          <cell r="BQ383">
            <v>2053.9033756973236</v>
          </cell>
          <cell r="BR383">
            <v>2258.500470293277</v>
          </cell>
          <cell r="BS383">
            <v>2425.8704048682785</v>
          </cell>
          <cell r="BT383">
            <v>2602.5763554791738</v>
          </cell>
          <cell r="BU383">
            <v>2591.1476549147533</v>
          </cell>
          <cell r="BV383">
            <v>3221.0756175217221</v>
          </cell>
          <cell r="BW383">
            <v>3515.6665350003277</v>
          </cell>
          <cell r="BX383">
            <v>3524.7182915227354</v>
          </cell>
          <cell r="BY383">
            <v>3047.8587088799172</v>
          </cell>
          <cell r="BZ383">
            <v>3211.9900035959272</v>
          </cell>
          <cell r="CA383">
            <v>3542.3975822927587</v>
          </cell>
        </row>
        <row r="384">
          <cell r="A384" t="str">
            <v>($ Millions)</v>
          </cell>
          <cell r="B384" t="str">
            <v>tl</v>
          </cell>
          <cell r="D384">
            <v>519.16099999999994</v>
          </cell>
          <cell r="E384">
            <v>272.96100000000001</v>
          </cell>
          <cell r="F384">
            <v>202.69199999999998</v>
          </cell>
          <cell r="G384">
            <v>455.03200000000004</v>
          </cell>
          <cell r="I384">
            <v>659.46600000000001</v>
          </cell>
          <cell r="J384">
            <v>658.03000000000009</v>
          </cell>
          <cell r="K384">
            <v>742.59800000000007</v>
          </cell>
          <cell r="L384">
            <v>984.08100000000002</v>
          </cell>
          <cell r="N384">
            <v>1064</v>
          </cell>
          <cell r="O384">
            <v>1097.9350000000002</v>
          </cell>
          <cell r="P384">
            <v>666.98500000000001</v>
          </cell>
          <cell r="Q384">
            <v>777.15899999999999</v>
          </cell>
          <cell r="S384">
            <v>854.399</v>
          </cell>
          <cell r="T384">
            <v>931.53599999999994</v>
          </cell>
          <cell r="U384">
            <v>1106.529</v>
          </cell>
          <cell r="V384">
            <v>997.44900000000007</v>
          </cell>
          <cell r="X384">
            <v>1205.6489999999999</v>
          </cell>
          <cell r="Y384">
            <v>1534.5119999999999</v>
          </cell>
          <cell r="Z384">
            <v>2954.5940000000001</v>
          </cell>
          <cell r="AA384">
            <v>3329.3530000000001</v>
          </cell>
          <cell r="AC384">
            <v>2733.1910000000003</v>
          </cell>
          <cell r="AD384">
            <v>2611.797</v>
          </cell>
          <cell r="AE384">
            <v>2407.9549999999999</v>
          </cell>
          <cell r="AF384">
            <v>2774.1</v>
          </cell>
          <cell r="AH384">
            <v>2845.3</v>
          </cell>
          <cell r="AI384">
            <v>2867.3999999999996</v>
          </cell>
          <cell r="AJ384">
            <v>2644.2000000000003</v>
          </cell>
          <cell r="AK384">
            <v>2407.8000000000002</v>
          </cell>
          <cell r="AM384">
            <v>2278.0000000000005</v>
          </cell>
          <cell r="AN384">
            <v>2177.6</v>
          </cell>
          <cell r="AO384">
            <v>2136.5</v>
          </cell>
          <cell r="AP384">
            <v>2269.9</v>
          </cell>
          <cell r="AR384">
            <v>2331.9289920533333</v>
          </cell>
          <cell r="AS384">
            <v>2337.7766338664533</v>
          </cell>
          <cell r="AT384">
            <v>2391.7786436945707</v>
          </cell>
          <cell r="AU384">
            <v>2651.1281309761416</v>
          </cell>
          <cell r="AW384">
            <v>2735.7030786119094</v>
          </cell>
          <cell r="AX384">
            <v>2755.4553252944652</v>
          </cell>
          <cell r="AY384">
            <v>2095.7186253711939</v>
          </cell>
          <cell r="AZ384">
            <v>2229.985608933966</v>
          </cell>
          <cell r="BB384">
            <v>455.03200000000004</v>
          </cell>
          <cell r="BC384">
            <v>984.08100000000002</v>
          </cell>
          <cell r="BD384">
            <v>777.15899999999999</v>
          </cell>
          <cell r="BE384">
            <v>997.44900000000007</v>
          </cell>
          <cell r="BF384">
            <v>3329.3530000000001</v>
          </cell>
          <cell r="BG384">
            <v>2774.1</v>
          </cell>
          <cell r="BH384">
            <v>2407.8000000000002</v>
          </cell>
          <cell r="BI384">
            <v>2269.9</v>
          </cell>
          <cell r="BJ384">
            <v>2651.1281309761416</v>
          </cell>
          <cell r="BK384">
            <v>2229.985608933966</v>
          </cell>
          <cell r="BM384">
            <v>2407.8000000000002</v>
          </cell>
          <cell r="BN384">
            <v>2269.9</v>
          </cell>
          <cell r="BO384">
            <v>2651.1281309761416</v>
          </cell>
          <cell r="BP384">
            <v>2229.985608933966</v>
          </cell>
          <cell r="BQ384">
            <v>2453.3218249511206</v>
          </cell>
          <cell r="BR384">
            <v>2456.0884873556697</v>
          </cell>
          <cell r="BS384">
            <v>2798.0729669012362</v>
          </cell>
          <cell r="BT384">
            <v>3275.6530005998707</v>
          </cell>
          <cell r="BU384">
            <v>3433.9439479783905</v>
          </cell>
          <cell r="BV384">
            <v>960.95594454387458</v>
          </cell>
          <cell r="BW384">
            <v>1095.4897767800171</v>
          </cell>
          <cell r="BX384">
            <v>931.16631026301457</v>
          </cell>
          <cell r="BY384">
            <v>968.41296267353516</v>
          </cell>
          <cell r="BZ384">
            <v>1065.2542589408888</v>
          </cell>
          <cell r="CA384">
            <v>1161.1271422455688</v>
          </cell>
        </row>
        <row r="385">
          <cell r="A385" t="str">
            <v xml:space="preserve">              </v>
          </cell>
          <cell r="B385" t="str">
            <v>cl</v>
          </cell>
          <cell r="D385">
            <v>456</v>
          </cell>
          <cell r="E385">
            <v>209.36099999999999</v>
          </cell>
          <cell r="F385">
            <v>139.01</v>
          </cell>
          <cell r="G385">
            <v>128.86500000000001</v>
          </cell>
          <cell r="I385">
            <v>298.57099999999997</v>
          </cell>
          <cell r="J385">
            <v>300.68600000000004</v>
          </cell>
          <cell r="K385">
            <v>294.33600000000007</v>
          </cell>
          <cell r="L385">
            <v>468.44000000000005</v>
          </cell>
          <cell r="N385">
            <v>524.6</v>
          </cell>
          <cell r="O385">
            <v>525.76099999999997</v>
          </cell>
          <cell r="P385">
            <v>524.02499999999998</v>
          </cell>
          <cell r="Q385">
            <v>626.74900000000002</v>
          </cell>
          <cell r="S385" t="str">
            <v xml:space="preserve"> </v>
          </cell>
          <cell r="T385">
            <v>778.74599999999998</v>
          </cell>
          <cell r="U385">
            <v>955.67499999999995</v>
          </cell>
          <cell r="V385">
            <v>851.11800000000005</v>
          </cell>
          <cell r="X385">
            <v>1051.1379999999999</v>
          </cell>
          <cell r="Y385">
            <v>1339.7719999999999</v>
          </cell>
          <cell r="Z385">
            <v>1913.713</v>
          </cell>
          <cell r="AA385">
            <v>2258.498</v>
          </cell>
          <cell r="AC385">
            <v>1653.3020000000001</v>
          </cell>
          <cell r="AD385">
            <v>1550.597</v>
          </cell>
          <cell r="AE385">
            <v>1335.9479999999999</v>
          </cell>
          <cell r="AF385">
            <v>1656.8</v>
          </cell>
          <cell r="AH385">
            <v>1704.4</v>
          </cell>
          <cell r="AI385">
            <v>1708.7999999999997</v>
          </cell>
          <cell r="AJ385">
            <v>1652</v>
          </cell>
          <cell r="AK385">
            <v>1471.3000000000002</v>
          </cell>
          <cell r="AM385">
            <v>1412.9</v>
          </cell>
          <cell r="AN385">
            <v>1347.3000000000002</v>
          </cell>
          <cell r="AO385">
            <v>1370.1</v>
          </cell>
          <cell r="AP385">
            <v>1385.7344466298468</v>
          </cell>
          <cell r="AR385">
            <v>1359.4528425394701</v>
          </cell>
          <cell r="AS385">
            <v>1362.6446997886271</v>
          </cell>
          <cell r="AT385">
            <v>1401.7087445514644</v>
          </cell>
          <cell r="AU385">
            <v>1516.7156594030716</v>
          </cell>
          <cell r="AW385">
            <v>1378.4665549810845</v>
          </cell>
          <cell r="AX385">
            <v>1419.8087457902236</v>
          </cell>
          <cell r="AY385">
            <v>1488.0368779580224</v>
          </cell>
          <cell r="AZ385">
            <v>1640.8211510891886</v>
          </cell>
          <cell r="BB385">
            <v>128.86500000000001</v>
          </cell>
          <cell r="BC385">
            <v>468.44000000000005</v>
          </cell>
          <cell r="BD385">
            <v>626.74900000000002</v>
          </cell>
          <cell r="BE385">
            <v>851.11800000000005</v>
          </cell>
          <cell r="BF385">
            <v>2258.498</v>
          </cell>
          <cell r="BG385">
            <v>1656.8</v>
          </cell>
          <cell r="BH385">
            <v>1471.3000000000002</v>
          </cell>
          <cell r="BI385">
            <v>1385.7344466298468</v>
          </cell>
          <cell r="BJ385">
            <v>1516.7156594030716</v>
          </cell>
          <cell r="BK385">
            <v>1640.8211510891886</v>
          </cell>
          <cell r="BM385">
            <v>1471.3000000000002</v>
          </cell>
          <cell r="BN385">
            <v>1385.7344466298468</v>
          </cell>
          <cell r="BO385">
            <v>1516.7156594030716</v>
          </cell>
          <cell r="BP385">
            <v>1640.8211510891886</v>
          </cell>
          <cell r="BQ385">
            <v>1838.6094999793766</v>
          </cell>
          <cell r="BR385">
            <v>2043.0465945753299</v>
          </cell>
          <cell r="BS385">
            <v>2210.4165291503314</v>
          </cell>
          <cell r="BT385">
            <v>2387.0624797612268</v>
          </cell>
          <cell r="BU385">
            <v>2375.4737791968064</v>
          </cell>
          <cell r="BV385">
            <v>3005.1717418037751</v>
          </cell>
          <cell r="BW385">
            <v>3299.6226592823809</v>
          </cell>
          <cell r="BX385">
            <v>3308.8244158047883</v>
          </cell>
          <cell r="BY385">
            <v>2831.9248331619701</v>
          </cell>
          <cell r="BZ385">
            <v>2995.9561278779802</v>
          </cell>
          <cell r="CA385">
            <v>3326.2737065748115</v>
          </cell>
        </row>
        <row r="386">
          <cell r="A386" t="str">
            <v xml:space="preserve">              </v>
          </cell>
          <cell r="B386" t="str">
            <v>cdbt</v>
          </cell>
          <cell r="D386">
            <v>1996</v>
          </cell>
          <cell r="E386">
            <v>89</v>
          </cell>
          <cell r="F386" t="str">
            <v>--</v>
          </cell>
          <cell r="G386">
            <v>5.5350000000000001</v>
          </cell>
          <cell r="I386">
            <v>1997</v>
          </cell>
          <cell r="J386">
            <v>36.816000000000003</v>
          </cell>
          <cell r="K386">
            <v>12.183999999999999</v>
          </cell>
          <cell r="L386">
            <v>15.851000000000001</v>
          </cell>
          <cell r="N386">
            <v>1998</v>
          </cell>
          <cell r="O386">
            <v>27.795000000000002</v>
          </cell>
          <cell r="P386">
            <v>1.9059999999999999</v>
          </cell>
          <cell r="Q386">
            <v>2.3210000000000002</v>
          </cell>
          <cell r="S386">
            <v>1999</v>
          </cell>
          <cell r="T386">
            <v>2.5529999999999999</v>
          </cell>
          <cell r="U386">
            <v>2.843</v>
          </cell>
          <cell r="V386">
            <v>2.6539999999999999</v>
          </cell>
          <cell r="X386">
            <v>2000</v>
          </cell>
          <cell r="Y386">
            <v>2.3650000000000002</v>
          </cell>
          <cell r="Z386">
            <v>1.9219999999999999</v>
          </cell>
          <cell r="AA386">
            <v>1.3640000000000001</v>
          </cell>
          <cell r="AC386">
            <v>2001</v>
          </cell>
          <cell r="AD386">
            <v>0.41299999999999998</v>
          </cell>
          <cell r="AE386">
            <v>0.187</v>
          </cell>
          <cell r="AF386">
            <v>10</v>
          </cell>
          <cell r="AH386" t="str">
            <v>2002E</v>
          </cell>
          <cell r="AI386">
            <v>3.1</v>
          </cell>
          <cell r="AJ386">
            <v>2.7</v>
          </cell>
          <cell r="AK386">
            <v>2.7</v>
          </cell>
          <cell r="AM386" t="str">
            <v>2003E</v>
          </cell>
          <cell r="AN386">
            <v>3.2</v>
          </cell>
          <cell r="AO386">
            <v>3.1</v>
          </cell>
          <cell r="AP386">
            <v>3.1</v>
          </cell>
          <cell r="AR386" t="str">
            <v>2004E</v>
          </cell>
          <cell r="AS386">
            <v>3.1</v>
          </cell>
          <cell r="AT386">
            <v>3.1</v>
          </cell>
          <cell r="AU386">
            <v>3.1</v>
          </cell>
          <cell r="AV386" t="str">
            <v xml:space="preserve"> </v>
          </cell>
          <cell r="AW386">
            <v>3.1</v>
          </cell>
          <cell r="AX386">
            <v>3.1</v>
          </cell>
          <cell r="AY386">
            <v>3.1</v>
          </cell>
          <cell r="AZ386" t="str">
            <v xml:space="preserve"> </v>
          </cell>
          <cell r="BB386">
            <v>5.5350000000000001</v>
          </cell>
          <cell r="BC386">
            <v>15.851000000000001</v>
          </cell>
          <cell r="BD386">
            <v>2.3210000000000002</v>
          </cell>
          <cell r="BE386">
            <v>2.6539999999999999</v>
          </cell>
          <cell r="BF386">
            <v>1.3640000000000001</v>
          </cell>
          <cell r="BG386">
            <v>10</v>
          </cell>
          <cell r="BH386">
            <v>2.7</v>
          </cell>
          <cell r="BI386">
            <v>3.1</v>
          </cell>
          <cell r="BJ386">
            <v>3.1</v>
          </cell>
          <cell r="BK386">
            <v>3.1</v>
          </cell>
          <cell r="BM386">
            <v>2.7</v>
          </cell>
          <cell r="BN386">
            <v>3.1</v>
          </cell>
          <cell r="BO386">
            <v>3.1</v>
          </cell>
          <cell r="BP386">
            <v>3.1</v>
          </cell>
          <cell r="BQ386">
            <v>3.1</v>
          </cell>
          <cell r="BR386">
            <v>3.1</v>
          </cell>
          <cell r="BS386">
            <v>3.1</v>
          </cell>
          <cell r="BT386">
            <v>3.1</v>
          </cell>
          <cell r="BU386">
            <v>3.1</v>
          </cell>
          <cell r="BV386">
            <v>3.1</v>
          </cell>
          <cell r="BW386">
            <v>3.1</v>
          </cell>
          <cell r="BX386">
            <v>3.1</v>
          </cell>
          <cell r="BY386">
            <v>3.1</v>
          </cell>
          <cell r="BZ386">
            <v>3.1</v>
          </cell>
          <cell r="CA386">
            <v>3.1</v>
          </cell>
        </row>
        <row r="387">
          <cell r="A387" t="str">
            <v xml:space="preserve"> </v>
          </cell>
          <cell r="B387" t="str">
            <v>ap</v>
          </cell>
          <cell r="D387">
            <v>35125</v>
          </cell>
          <cell r="E387">
            <v>35217</v>
          </cell>
          <cell r="F387">
            <v>35309</v>
          </cell>
          <cell r="G387">
            <v>35400</v>
          </cell>
          <cell r="I387">
            <v>35490</v>
          </cell>
          <cell r="J387">
            <v>35582</v>
          </cell>
          <cell r="K387">
            <v>35674</v>
          </cell>
          <cell r="L387">
            <v>35765</v>
          </cell>
          <cell r="N387">
            <v>35855</v>
          </cell>
          <cell r="O387">
            <v>35947</v>
          </cell>
          <cell r="P387">
            <v>36039</v>
          </cell>
          <cell r="Q387">
            <v>36130</v>
          </cell>
          <cell r="S387">
            <v>36220</v>
          </cell>
          <cell r="T387">
            <v>36312</v>
          </cell>
          <cell r="U387">
            <v>36404</v>
          </cell>
          <cell r="V387">
            <v>36495</v>
          </cell>
          <cell r="X387">
            <v>36586</v>
          </cell>
          <cell r="Y387">
            <v>36678</v>
          </cell>
          <cell r="Z387">
            <v>36770</v>
          </cell>
          <cell r="AA387">
            <v>36861</v>
          </cell>
          <cell r="AC387">
            <v>36951</v>
          </cell>
          <cell r="AD387">
            <v>37043</v>
          </cell>
          <cell r="AE387">
            <v>37135</v>
          </cell>
          <cell r="AF387">
            <v>37226</v>
          </cell>
          <cell r="AH387" t="str">
            <v xml:space="preserve"> 3/02</v>
          </cell>
          <cell r="AI387" t="str">
            <v xml:space="preserve"> 6/02E</v>
          </cell>
          <cell r="AJ387" t="str">
            <v xml:space="preserve"> 9/02E</v>
          </cell>
          <cell r="AK387" t="str">
            <v>12/02E</v>
          </cell>
          <cell r="AM387" t="str">
            <v xml:space="preserve"> 3/03E</v>
          </cell>
          <cell r="AN387" t="str">
            <v xml:space="preserve"> 6/03E</v>
          </cell>
          <cell r="AO387" t="str">
            <v xml:space="preserve"> 9/03E</v>
          </cell>
          <cell r="AP387" t="str">
            <v>12/03E</v>
          </cell>
          <cell r="AR387" t="str">
            <v xml:space="preserve"> 3/04E</v>
          </cell>
          <cell r="AS387" t="str">
            <v xml:space="preserve"> 6/04E</v>
          </cell>
          <cell r="AT387" t="str">
            <v xml:space="preserve"> 9/04E</v>
          </cell>
          <cell r="AU387" t="str">
            <v>12/04E</v>
          </cell>
          <cell r="AV387" t="str">
            <v xml:space="preserve"> </v>
          </cell>
          <cell r="AW387">
            <v>1996</v>
          </cell>
          <cell r="AX387">
            <v>1997</v>
          </cell>
          <cell r="AY387">
            <v>1998</v>
          </cell>
          <cell r="AZ387">
            <v>1999</v>
          </cell>
          <cell r="BA387">
            <v>2000</v>
          </cell>
          <cell r="BB387">
            <v>2001</v>
          </cell>
          <cell r="BC387" t="str">
            <v>2002E</v>
          </cell>
          <cell r="BD387" t="str">
            <v>2003E</v>
          </cell>
          <cell r="BE387" t="str">
            <v>2004E</v>
          </cell>
          <cell r="BF387">
            <v>2249.4319999999998</v>
          </cell>
          <cell r="BG387">
            <v>2002</v>
          </cell>
          <cell r="BH387">
            <v>2003</v>
          </cell>
          <cell r="BI387">
            <v>2004</v>
          </cell>
          <cell r="BJ387">
            <v>2005</v>
          </cell>
          <cell r="BK387">
            <v>2006</v>
          </cell>
          <cell r="BL387">
            <v>2007</v>
          </cell>
          <cell r="BM387">
            <v>2008</v>
          </cell>
          <cell r="BN387">
            <v>2009</v>
          </cell>
          <cell r="BO387">
            <v>2010</v>
          </cell>
          <cell r="BP387">
            <v>2011</v>
          </cell>
          <cell r="BQ387">
            <v>2012</v>
          </cell>
          <cell r="BR387">
            <v>2013</v>
          </cell>
          <cell r="BS387">
            <v>2014</v>
          </cell>
          <cell r="BT387">
            <v>2015</v>
          </cell>
          <cell r="BU387">
            <v>1813.2161204421382</v>
          </cell>
          <cell r="BV387">
            <v>2442.6840830491064</v>
          </cell>
          <cell r="BW387">
            <v>2736.9950005277124</v>
          </cell>
          <cell r="BX387">
            <v>2746.3467570501198</v>
          </cell>
          <cell r="BY387">
            <v>2269.4071744073017</v>
          </cell>
          <cell r="BZ387">
            <v>2433.3384691233118</v>
          </cell>
          <cell r="CA387">
            <v>2763.566047820143</v>
          </cell>
        </row>
        <row r="388">
          <cell r="A388" t="str">
            <v xml:space="preserve"> </v>
          </cell>
          <cell r="B388" t="str">
            <v>definc</v>
          </cell>
          <cell r="D388">
            <v>35125</v>
          </cell>
          <cell r="E388">
            <v>35217</v>
          </cell>
          <cell r="F388">
            <v>35309</v>
          </cell>
          <cell r="G388">
            <v>35400</v>
          </cell>
          <cell r="I388">
            <v>35490</v>
          </cell>
          <cell r="J388">
            <v>35582</v>
          </cell>
          <cell r="K388">
            <v>35674</v>
          </cell>
          <cell r="L388">
            <v>35765</v>
          </cell>
          <cell r="N388">
            <v>35855</v>
          </cell>
          <cell r="O388">
            <v>35947</v>
          </cell>
          <cell r="P388">
            <v>36039</v>
          </cell>
          <cell r="Q388">
            <v>36130</v>
          </cell>
          <cell r="S388">
            <v>36220</v>
          </cell>
          <cell r="T388">
            <v>36312</v>
          </cell>
          <cell r="U388">
            <v>36404</v>
          </cell>
          <cell r="V388">
            <v>36495</v>
          </cell>
          <cell r="X388">
            <v>36586</v>
          </cell>
          <cell r="Y388">
            <v>36678</v>
          </cell>
          <cell r="Z388">
            <v>36770</v>
          </cell>
          <cell r="AA388">
            <v>36861</v>
          </cell>
          <cell r="AC388">
            <v>36951</v>
          </cell>
          <cell r="AD388">
            <v>37043</v>
          </cell>
          <cell r="AE388">
            <v>37135</v>
          </cell>
          <cell r="AF388">
            <v>37226</v>
          </cell>
          <cell r="AH388" t="str">
            <v xml:space="preserve"> 3/02</v>
          </cell>
          <cell r="AI388" t="str">
            <v xml:space="preserve"> 6/02</v>
          </cell>
          <cell r="AJ388" t="str">
            <v xml:space="preserve"> 9/02E</v>
          </cell>
          <cell r="AK388" t="str">
            <v>12/02E</v>
          </cell>
          <cell r="AM388" t="str">
            <v xml:space="preserve"> 3/03E</v>
          </cell>
          <cell r="AN388" t="str">
            <v xml:space="preserve"> 6/03E</v>
          </cell>
          <cell r="AO388" t="str">
            <v xml:space="preserve"> 9/03E</v>
          </cell>
          <cell r="AP388" t="str">
            <v>12/03E</v>
          </cell>
          <cell r="AR388" t="str">
            <v xml:space="preserve"> 3/04E</v>
          </cell>
          <cell r="AS388" t="str">
            <v xml:space="preserve"> 6/04E</v>
          </cell>
          <cell r="AT388" t="str">
            <v xml:space="preserve"> 9/04E</v>
          </cell>
          <cell r="AU388" t="str">
            <v>12/04E</v>
          </cell>
          <cell r="AW388">
            <v>1996</v>
          </cell>
          <cell r="AX388">
            <v>1997</v>
          </cell>
          <cell r="AY388">
            <v>1998</v>
          </cell>
          <cell r="AZ388">
            <v>1999</v>
          </cell>
          <cell r="BA388">
            <v>2000</v>
          </cell>
          <cell r="BB388">
            <v>2001</v>
          </cell>
          <cell r="BC388" t="str">
            <v>2002E</v>
          </cell>
          <cell r="BD388" t="str">
            <v>2003E</v>
          </cell>
          <cell r="BE388" t="str">
            <v>2004E</v>
          </cell>
          <cell r="BF388">
            <v>7.702</v>
          </cell>
          <cell r="BG388">
            <v>2002</v>
          </cell>
          <cell r="BH388">
            <v>2003</v>
          </cell>
          <cell r="BI388">
            <v>2004</v>
          </cell>
          <cell r="BJ388">
            <v>2005</v>
          </cell>
          <cell r="BK388">
            <v>2006</v>
          </cell>
          <cell r="BL388">
            <v>2007</v>
          </cell>
          <cell r="BM388">
            <v>2008</v>
          </cell>
          <cell r="BN388">
            <v>2009</v>
          </cell>
          <cell r="BO388">
            <v>2010</v>
          </cell>
          <cell r="BP388">
            <v>2011</v>
          </cell>
          <cell r="BQ388">
            <v>2012</v>
          </cell>
          <cell r="BR388">
            <v>2013</v>
          </cell>
          <cell r="BS388">
            <v>2014</v>
          </cell>
          <cell r="BT388">
            <v>2015</v>
          </cell>
          <cell r="BU388">
            <v>559.15765875466855</v>
          </cell>
          <cell r="BV388">
            <v>559.38765875466856</v>
          </cell>
          <cell r="BW388">
            <v>559.52765875466855</v>
          </cell>
          <cell r="BX388">
            <v>559.37765875466857</v>
          </cell>
          <cell r="BY388">
            <v>559.41765875466854</v>
          </cell>
          <cell r="BZ388">
            <v>559.51765875466856</v>
          </cell>
          <cell r="CA388">
            <v>559.60765875466859</v>
          </cell>
        </row>
        <row r="389">
          <cell r="A389" t="str">
            <v>Cash From Operations</v>
          </cell>
          <cell r="B389" t="str">
            <v>cfo</v>
          </cell>
          <cell r="D389">
            <v>268</v>
          </cell>
          <cell r="E389">
            <v>120.361</v>
          </cell>
          <cell r="F389">
            <v>139.01</v>
          </cell>
          <cell r="G389">
            <v>123.33</v>
          </cell>
          <cell r="I389">
            <v>262.66899999999998</v>
          </cell>
          <cell r="J389">
            <v>244.953</v>
          </cell>
          <cell r="K389">
            <v>278.81400000000002</v>
          </cell>
          <cell r="L389">
            <v>445.61900000000003</v>
          </cell>
          <cell r="N389">
            <v>13.235000000000003</v>
          </cell>
          <cell r="O389">
            <v>11.004999999999999</v>
          </cell>
          <cell r="P389">
            <v>22.455999999999989</v>
          </cell>
          <cell r="Q389">
            <v>38.162999999999997</v>
          </cell>
          <cell r="S389">
            <v>-32.258999999999993</v>
          </cell>
          <cell r="T389">
            <v>-70.85499999999999</v>
          </cell>
          <cell r="U389">
            <v>70.408999999999992</v>
          </cell>
          <cell r="V389">
            <v>-61.652000000000001</v>
          </cell>
          <cell r="X389">
            <v>25.676000000000002</v>
          </cell>
          <cell r="Y389">
            <v>-166.09499999999997</v>
          </cell>
          <cell r="Z389">
            <v>-98.028999999999996</v>
          </cell>
          <cell r="AA389">
            <v>153.32199999999997</v>
          </cell>
          <cell r="AC389">
            <v>-261.04499999999996</v>
          </cell>
          <cell r="AD389">
            <v>212.17100000000022</v>
          </cell>
          <cell r="AE389">
            <v>449.71500000000003</v>
          </cell>
          <cell r="AF389">
            <v>889.3950000000001</v>
          </cell>
          <cell r="AH389">
            <v>273.89999999999986</v>
          </cell>
          <cell r="AI389">
            <v>143.18196709211418</v>
          </cell>
          <cell r="AJ389">
            <v>111.06731535417015</v>
          </cell>
          <cell r="AK389">
            <v>170.84861135473705</v>
          </cell>
          <cell r="AM389">
            <v>106.56960341971401</v>
          </cell>
          <cell r="AN389">
            <v>143.18122311263548</v>
          </cell>
          <cell r="AO389">
            <v>111.95736892238594</v>
          </cell>
          <cell r="AP389">
            <v>110.35747597085879</v>
          </cell>
          <cell r="AR389">
            <v>168.43831588437348</v>
          </cell>
          <cell r="AS389">
            <v>192.63417652805714</v>
          </cell>
          <cell r="AT389">
            <v>164.07332043645005</v>
          </cell>
          <cell r="AU389">
            <v>209.58131571300191</v>
          </cell>
          <cell r="AW389">
            <v>1494.5474672128307</v>
          </cell>
          <cell r="AX389">
            <v>33.484000000000002</v>
          </cell>
          <cell r="AY389">
            <v>81.578000000000003</v>
          </cell>
          <cell r="AZ389">
            <v>-94.356999999999999</v>
          </cell>
          <cell r="BA389">
            <v>-85.125999999999976</v>
          </cell>
          <cell r="BB389">
            <v>1290.2360000000003</v>
          </cell>
          <cell r="BC389">
            <v>698.99789380102118</v>
          </cell>
          <cell r="BD389">
            <v>472.06567142559425</v>
          </cell>
          <cell r="BE389">
            <v>734.72712856188264</v>
          </cell>
          <cell r="BF389">
            <v>2249.4319999999998</v>
          </cell>
          <cell r="BG389">
            <v>332.30490706094514</v>
          </cell>
          <cell r="BH389">
            <v>106.16119970389514</v>
          </cell>
          <cell r="BI389">
            <v>459.63137581633396</v>
          </cell>
          <cell r="BJ389">
            <v>809.45868889156418</v>
          </cell>
          <cell r="BK389">
            <v>1135.507794315271</v>
          </cell>
          <cell r="BL389">
            <v>1585.4985410682766</v>
          </cell>
          <cell r="BM389">
            <v>1362.1260905970212</v>
          </cell>
          <cell r="BN389">
            <v>1547.3100646853395</v>
          </cell>
          <cell r="BO389">
            <v>1777.2704407457713</v>
          </cell>
          <cell r="BP389">
            <v>2637.1949531246391</v>
          </cell>
          <cell r="BQ389">
            <v>3324.4942249623568</v>
          </cell>
          <cell r="BR389">
            <v>3986.404066672153</v>
          </cell>
          <cell r="BS389">
            <v>4697.5831249562798</v>
          </cell>
          <cell r="BT389">
            <v>5408.9586258999416</v>
          </cell>
          <cell r="BU389">
            <v>6057.8379346708134</v>
          </cell>
          <cell r="BV389">
            <v>4093.7312810690059</v>
          </cell>
          <cell r="BW389">
            <v>4586.9714088461296</v>
          </cell>
          <cell r="BX389">
            <v>4602.6441593562722</v>
          </cell>
          <cell r="BY389">
            <v>3803.3338833390317</v>
          </cell>
          <cell r="BZ389">
            <v>4073.6838047876722</v>
          </cell>
          <cell r="CA389">
            <v>4631.502229768339</v>
          </cell>
        </row>
        <row r="390">
          <cell r="A390" t="str">
            <v>Net Income</v>
          </cell>
          <cell r="B390" t="str">
            <v>cfo</v>
          </cell>
          <cell r="D390">
            <v>60</v>
          </cell>
          <cell r="E390">
            <v>60</v>
          </cell>
          <cell r="F390">
            <v>60</v>
          </cell>
          <cell r="G390">
            <v>319.83300000000003</v>
          </cell>
          <cell r="I390">
            <v>354.39699999999999</v>
          </cell>
          <cell r="J390">
            <v>350.572</v>
          </cell>
          <cell r="K390">
            <v>439.755</v>
          </cell>
          <cell r="L390">
            <v>503.964</v>
          </cell>
          <cell r="N390">
            <v>-31.818999999999999</v>
          </cell>
          <cell r="O390">
            <v>-19.216999999999999</v>
          </cell>
          <cell r="P390">
            <v>6.3389999999999933</v>
          </cell>
          <cell r="Q390">
            <v>-3.774</v>
          </cell>
          <cell r="S390">
            <v>9.490000000000002</v>
          </cell>
          <cell r="T390">
            <v>13.250999999999996</v>
          </cell>
          <cell r="U390">
            <v>19.467999999999996</v>
          </cell>
          <cell r="V390">
            <v>26.216999999999999</v>
          </cell>
          <cell r="X390">
            <v>26.099999999999994</v>
          </cell>
          <cell r="Y390">
            <v>41.427000000000014</v>
          </cell>
          <cell r="Z390">
            <v>55.676999999999992</v>
          </cell>
          <cell r="AA390">
            <v>83.47499999999998</v>
          </cell>
          <cell r="AC390">
            <v>54.807999999999993</v>
          </cell>
          <cell r="AD390">
            <v>15.832000000000285</v>
          </cell>
          <cell r="AE390">
            <v>-38.656999999999996</v>
          </cell>
          <cell r="AF390">
            <v>-71.804999999999978</v>
          </cell>
          <cell r="AH390">
            <v>39.699999999999896</v>
          </cell>
          <cell r="AI390">
            <v>40.305485372500002</v>
          </cell>
          <cell r="AJ390">
            <v>41.373340811024995</v>
          </cell>
          <cell r="AK390">
            <v>55.887512923164245</v>
          </cell>
          <cell r="AM390">
            <v>51.982909274539921</v>
          </cell>
          <cell r="AN390">
            <v>60.213715827456781</v>
          </cell>
          <cell r="AO390">
            <v>65.083350732569116</v>
          </cell>
          <cell r="AP390">
            <v>81.037484749801663</v>
          </cell>
          <cell r="AR390">
            <v>76.086788443641552</v>
          </cell>
          <cell r="AS390">
            <v>82.05277207513052</v>
          </cell>
          <cell r="AT390">
            <v>90.088786097171791</v>
          </cell>
          <cell r="AU390">
            <v>109.80181920891854</v>
          </cell>
          <cell r="AW390">
            <v>615.09999999999991</v>
          </cell>
          <cell r="AX390">
            <v>-6.9189999999999996</v>
          </cell>
          <cell r="AY390">
            <v>-48.470999999999997</v>
          </cell>
          <cell r="AZ390">
            <v>68.425999999999988</v>
          </cell>
          <cell r="BA390">
            <v>206.67899999999997</v>
          </cell>
          <cell r="BB390">
            <v>-39.821999999999704</v>
          </cell>
          <cell r="BC390">
            <v>177.26633910668914</v>
          </cell>
          <cell r="BD390">
            <v>258.3174605843675</v>
          </cell>
          <cell r="BE390">
            <v>358.03016582486237</v>
          </cell>
          <cell r="BF390">
            <v>991.12800000000004</v>
          </cell>
          <cell r="BG390">
            <v>177.2663391066886</v>
          </cell>
          <cell r="BH390">
            <v>313.25178548634534</v>
          </cell>
          <cell r="BI390">
            <v>433.15418221312086</v>
          </cell>
          <cell r="BJ390">
            <v>680.27237690887148</v>
          </cell>
          <cell r="BK390">
            <v>970.80007956739632</v>
          </cell>
          <cell r="BL390">
            <v>1354.9574041028691</v>
          </cell>
          <cell r="BM390">
            <v>1544.7248230360365</v>
          </cell>
          <cell r="BN390">
            <v>1630.3756904642898</v>
          </cell>
          <cell r="BO390">
            <v>1709.4700468410565</v>
          </cell>
          <cell r="BP390">
            <v>1938.6646067341221</v>
          </cell>
          <cell r="BQ390">
            <v>2152.2831818017225</v>
          </cell>
          <cell r="BR390">
            <v>2353.0551435392863</v>
          </cell>
          <cell r="BS390">
            <v>2531.4119689242452</v>
          </cell>
          <cell r="BT390">
            <v>2648.5181268435017</v>
          </cell>
          <cell r="BU390">
            <v>0</v>
          </cell>
          <cell r="BV390">
            <v>0</v>
          </cell>
          <cell r="BW390">
            <v>0</v>
          </cell>
          <cell r="BX390">
            <v>0</v>
          </cell>
          <cell r="BY390">
            <v>0</v>
          </cell>
          <cell r="BZ390">
            <v>0</v>
          </cell>
          <cell r="CA390">
            <v>0</v>
          </cell>
        </row>
        <row r="391">
          <cell r="A391" t="str">
            <v>Depreciation, Amort.</v>
          </cell>
          <cell r="B391" t="str">
            <v>ltdbt</v>
          </cell>
          <cell r="D391">
            <v>3.161</v>
          </cell>
          <cell r="E391">
            <v>3.6</v>
          </cell>
          <cell r="F391">
            <v>3.6819999999999999</v>
          </cell>
          <cell r="G391">
            <v>6.3339999999999996</v>
          </cell>
          <cell r="I391">
            <v>6.4979999999999993</v>
          </cell>
          <cell r="J391">
            <v>6.7720000000000002</v>
          </cell>
          <cell r="K391">
            <v>8.5070000000000014</v>
          </cell>
          <cell r="L391">
            <v>11.677</v>
          </cell>
          <cell r="N391">
            <v>21.443000000000001</v>
          </cell>
          <cell r="O391">
            <v>20.431999999999999</v>
          </cell>
          <cell r="P391">
            <v>21.405999999999999</v>
          </cell>
          <cell r="Q391">
            <v>23.654</v>
          </cell>
          <cell r="S391">
            <v>28.163</v>
          </cell>
          <cell r="T391">
            <v>29.542000000000002</v>
          </cell>
          <cell r="U391">
            <v>32.917999999999999</v>
          </cell>
          <cell r="V391">
            <v>35.920999999999999</v>
          </cell>
          <cell r="X391">
            <v>38.892000000000003</v>
          </cell>
          <cell r="Y391">
            <v>48.356999999999999</v>
          </cell>
          <cell r="Z391">
            <v>58.335000000000001</v>
          </cell>
          <cell r="AA391">
            <v>66.915999999999997</v>
          </cell>
          <cell r="AC391">
            <v>69.736000000000004</v>
          </cell>
          <cell r="AD391">
            <v>71.290999999999997</v>
          </cell>
          <cell r="AE391">
            <v>84.296999999999997</v>
          </cell>
          <cell r="AF391">
            <v>94.2</v>
          </cell>
          <cell r="AH391">
            <v>79</v>
          </cell>
          <cell r="AI391">
            <v>80.031853991071429</v>
          </cell>
          <cell r="AJ391">
            <v>81.240648371875011</v>
          </cell>
          <cell r="AK391">
            <v>82.533475282843753</v>
          </cell>
          <cell r="AM391">
            <v>84.222303326326255</v>
          </cell>
          <cell r="AN391">
            <v>85.966147325895065</v>
          </cell>
          <cell r="AO391">
            <v>87.794260140902182</v>
          </cell>
          <cell r="AP391">
            <v>89.809284877833051</v>
          </cell>
          <cell r="AR391">
            <v>92.678740761142947</v>
          </cell>
          <cell r="AS391">
            <v>95.658012551799644</v>
          </cell>
          <cell r="AT391">
            <v>98.801600793256085</v>
          </cell>
          <cell r="AU391">
            <v>102.27886303532037</v>
          </cell>
          <cell r="AW391">
            <v>173.9705299505182</v>
          </cell>
          <cell r="AX391">
            <v>37.087000000000003</v>
          </cell>
          <cell r="AY391">
            <v>86.935000000000002</v>
          </cell>
          <cell r="AZ391">
            <v>126.54399999999998</v>
          </cell>
          <cell r="BA391">
            <v>212.5</v>
          </cell>
          <cell r="BB391">
            <v>319.524</v>
          </cell>
          <cell r="BC391">
            <v>322.80597764579022</v>
          </cell>
          <cell r="BD391">
            <v>347.79199567095657</v>
          </cell>
          <cell r="BE391">
            <v>389.41721714151902</v>
          </cell>
          <cell r="BF391">
            <v>79.727000000000004</v>
          </cell>
          <cell r="BG391">
            <v>310.98228571428569</v>
          </cell>
          <cell r="BH391">
            <v>385.98761541708927</v>
          </cell>
          <cell r="BI391">
            <v>462.51938034711981</v>
          </cell>
          <cell r="BJ391">
            <v>559.68192608302479</v>
          </cell>
          <cell r="BK391">
            <v>651.01634639361419</v>
          </cell>
          <cell r="BL391">
            <v>784.72993772831705</v>
          </cell>
          <cell r="BM391">
            <v>983.70849626210111</v>
          </cell>
          <cell r="BN391">
            <v>1232.4316944293312</v>
          </cell>
          <cell r="BO391">
            <v>1497.2721558377975</v>
          </cell>
          <cell r="BP391">
            <v>1778.9661011540754</v>
          </cell>
          <cell r="BQ391">
            <v>2097.2802593614697</v>
          </cell>
          <cell r="BR391">
            <v>2447.4258333896032</v>
          </cell>
          <cell r="BS391">
            <v>2825.5830533399876</v>
          </cell>
          <cell r="BT391">
            <v>3226.4297064873949</v>
          </cell>
          <cell r="BU391">
            <v>215.673875717947</v>
          </cell>
          <cell r="BV391">
            <v>215.90387571794699</v>
          </cell>
          <cell r="BW391">
            <v>216.04387571794697</v>
          </cell>
          <cell r="BX391">
            <v>215.89387571794697</v>
          </cell>
          <cell r="BY391">
            <v>215.93387571794696</v>
          </cell>
          <cell r="BZ391">
            <v>216.03387571794696</v>
          </cell>
          <cell r="CA391">
            <v>216.12387571794696</v>
          </cell>
        </row>
        <row r="392">
          <cell r="A392" t="str">
            <v>Deferred Taxes &amp; Other</v>
          </cell>
          <cell r="B392" t="str">
            <v>ltdbt</v>
          </cell>
          <cell r="D392">
            <v>60</v>
          </cell>
          <cell r="E392">
            <v>60</v>
          </cell>
          <cell r="F392">
            <v>60</v>
          </cell>
          <cell r="G392">
            <v>319.83300000000003</v>
          </cell>
          <cell r="I392">
            <v>354.39699999999999</v>
          </cell>
          <cell r="J392">
            <v>350.572</v>
          </cell>
          <cell r="K392">
            <v>439.755</v>
          </cell>
          <cell r="L392">
            <v>503.964</v>
          </cell>
          <cell r="N392">
            <v>23.611000000000001</v>
          </cell>
          <cell r="O392">
            <v>9.7899999999999991</v>
          </cell>
          <cell r="P392">
            <v>-5.2889999999999997</v>
          </cell>
          <cell r="Q392">
            <v>18.283000000000001</v>
          </cell>
          <cell r="S392">
            <v>-2.3980000000000001</v>
          </cell>
          <cell r="T392">
            <v>-3.7949999999999999</v>
          </cell>
          <cell r="U392">
            <v>1.891</v>
          </cell>
          <cell r="V392">
            <v>6.6440000000000001</v>
          </cell>
          <cell r="X392">
            <v>-1.91</v>
          </cell>
          <cell r="Y392">
            <v>-13.003</v>
          </cell>
          <cell r="Z392">
            <v>-5.8049999999999997</v>
          </cell>
          <cell r="AA392">
            <v>5.4649999999999999</v>
          </cell>
          <cell r="AC392">
            <v>6.0540000000000003</v>
          </cell>
          <cell r="AD392">
            <v>13.401</v>
          </cell>
          <cell r="AE392">
            <v>56.989000000000004</v>
          </cell>
          <cell r="AF392">
            <v>31.799999999999994</v>
          </cell>
          <cell r="AH392">
            <v>1.1000000000000001</v>
          </cell>
          <cell r="AI392">
            <v>0</v>
          </cell>
          <cell r="AJ392">
            <v>0</v>
          </cell>
          <cell r="AK392">
            <v>0</v>
          </cell>
          <cell r="AM392">
            <v>0</v>
          </cell>
          <cell r="AN392">
            <v>0</v>
          </cell>
          <cell r="AO392">
            <v>0</v>
          </cell>
          <cell r="AP392">
            <v>0</v>
          </cell>
          <cell r="AR392">
            <v>0</v>
          </cell>
          <cell r="AS392">
            <v>0</v>
          </cell>
          <cell r="AT392">
            <v>0</v>
          </cell>
          <cell r="AU392">
            <v>0</v>
          </cell>
          <cell r="AW392">
            <v>604.20000000000005</v>
          </cell>
          <cell r="AX392">
            <v>-7.7050000000000001</v>
          </cell>
          <cell r="AY392">
            <v>46.395000000000003</v>
          </cell>
          <cell r="AZ392">
            <v>2.3420000000000005</v>
          </cell>
          <cell r="BA392">
            <v>-10.917</v>
          </cell>
          <cell r="BB392">
            <v>108.244</v>
          </cell>
          <cell r="BC392">
            <v>1.1000000000000001</v>
          </cell>
          <cell r="BD392">
            <v>0</v>
          </cell>
          <cell r="BE392">
            <v>0</v>
          </cell>
          <cell r="BF392">
            <v>991.12800000000004</v>
          </cell>
          <cell r="BG392">
            <v>310.08228571428572</v>
          </cell>
          <cell r="BH392">
            <v>392.15120214285713</v>
          </cell>
          <cell r="BI392">
            <v>481.15860631383276</v>
          </cell>
          <cell r="BJ392">
            <v>611.44572290323867</v>
          </cell>
          <cell r="BK392">
            <v>705.35145814501846</v>
          </cell>
          <cell r="BL392">
            <v>842.82945453898401</v>
          </cell>
          <cell r="BM392">
            <v>1047.4098063157185</v>
          </cell>
          <cell r="BN392">
            <v>1303.1352460366365</v>
          </cell>
          <cell r="BO392">
            <v>1575.4316942514702</v>
          </cell>
          <cell r="BP392">
            <v>1865.0560982617931</v>
          </cell>
          <cell r="BQ392">
            <v>2192.3316747934582</v>
          </cell>
          <cell r="BR392">
            <v>2552.3348089782899</v>
          </cell>
          <cell r="BS392">
            <v>2941.138193897908</v>
          </cell>
          <cell r="BT392">
            <v>3353.2697819127029</v>
          </cell>
          <cell r="BU392">
            <v>3803.3174760248594</v>
          </cell>
          <cell r="BV392">
            <v>0</v>
          </cell>
          <cell r="BW392">
            <v>0</v>
          </cell>
          <cell r="BX392">
            <v>0</v>
          </cell>
          <cell r="BY392">
            <v>0</v>
          </cell>
          <cell r="BZ392">
            <v>0</v>
          </cell>
          <cell r="CA392">
            <v>0</v>
          </cell>
        </row>
        <row r="393">
          <cell r="A393" t="str">
            <v>Working Capital Changes</v>
          </cell>
          <cell r="B393" t="str">
            <v>ltdbt</v>
          </cell>
          <cell r="D393">
            <v>213.83900000000006</v>
          </cell>
          <cell r="E393">
            <v>226.03899999999999</v>
          </cell>
          <cell r="F393">
            <v>229.63900000000004</v>
          </cell>
          <cell r="G393">
            <v>203.18299999999999</v>
          </cell>
          <cell r="I393">
            <v>346.56999999999994</v>
          </cell>
          <cell r="J393">
            <v>347.36199999999985</v>
          </cell>
          <cell r="K393">
            <v>348.05399999999997</v>
          </cell>
          <cell r="L393">
            <v>363.226</v>
          </cell>
          <cell r="N393">
            <v>23.611000000000001</v>
          </cell>
          <cell r="O393">
            <v>9.7899999999999991</v>
          </cell>
          <cell r="P393">
            <v>-5.2889999999999997</v>
          </cell>
          <cell r="Q393">
            <v>18.283000000000001</v>
          </cell>
          <cell r="S393">
            <v>-67.513999999999996</v>
          </cell>
          <cell r="T393">
            <v>-109.85299999999999</v>
          </cell>
          <cell r="U393">
            <v>16.132000000000001</v>
          </cell>
          <cell r="V393">
            <v>-130.434</v>
          </cell>
          <cell r="X393">
            <v>-37.405999999999992</v>
          </cell>
          <cell r="Y393">
            <v>-242.876</v>
          </cell>
          <cell r="Z393">
            <v>-206.23599999999999</v>
          </cell>
          <cell r="AA393">
            <v>-2.5339999999999998</v>
          </cell>
          <cell r="AC393">
            <v>-391.64299999999992</v>
          </cell>
          <cell r="AD393">
            <v>111.64699999999996</v>
          </cell>
          <cell r="AE393">
            <v>347.08600000000001</v>
          </cell>
          <cell r="AF393">
            <v>835.2</v>
          </cell>
          <cell r="AH393">
            <v>154.09999999999997</v>
          </cell>
          <cell r="AI393">
            <v>22.844627728542747</v>
          </cell>
          <cell r="AJ393">
            <v>-11.546673828729865</v>
          </cell>
          <cell r="AK393">
            <v>32.427623148729054</v>
          </cell>
          <cell r="AM393">
            <v>-29.635609181152148</v>
          </cell>
          <cell r="AN393">
            <v>-2.9986400407163671</v>
          </cell>
          <cell r="AO393">
            <v>-40.920241951085359</v>
          </cell>
          <cell r="AP393">
            <v>-60.489293656775942</v>
          </cell>
          <cell r="AR393">
            <v>-0.32721332041103324</v>
          </cell>
          <cell r="AS393">
            <v>14.92339190112699</v>
          </cell>
          <cell r="AT393">
            <v>-24.817066453977816</v>
          </cell>
          <cell r="AU393">
            <v>-2.4993665312370013</v>
          </cell>
          <cell r="AW393">
            <v>3029.0868321934108</v>
          </cell>
          <cell r="AX393">
            <v>11.020999999999999</v>
          </cell>
          <cell r="AY393">
            <v>-3.2809999999999997</v>
          </cell>
          <cell r="AZ393">
            <v>-291.66899999999998</v>
          </cell>
          <cell r="BA393">
            <v>-493.38799999999998</v>
          </cell>
          <cell r="BB393">
            <v>902.29000000000008</v>
          </cell>
          <cell r="BC393">
            <v>197.8255770485419</v>
          </cell>
          <cell r="BD393">
            <v>-134.04378482972982</v>
          </cell>
          <cell r="BE393">
            <v>-12.72025440449886</v>
          </cell>
          <cell r="BF393">
            <v>2608.6319999999996</v>
          </cell>
          <cell r="BG393">
            <v>-155.94371776002919</v>
          </cell>
          <cell r="BH393">
            <v>-593.07820119953954</v>
          </cell>
          <cell r="BI393">
            <v>-436.04218674390677</v>
          </cell>
          <cell r="BJ393">
            <v>-430.49561410033215</v>
          </cell>
          <cell r="BK393">
            <v>-486.30863164573964</v>
          </cell>
          <cell r="BL393">
            <v>-554.18880076290964</v>
          </cell>
          <cell r="BM393">
            <v>-1166.3072287011164</v>
          </cell>
          <cell r="BN393">
            <v>-1315.4973202082815</v>
          </cell>
          <cell r="BO393">
            <v>-1429.4717619330827</v>
          </cell>
          <cell r="BP393">
            <v>-1080.4357547635582</v>
          </cell>
          <cell r="BQ393">
            <v>-925.06921620083574</v>
          </cell>
          <cell r="BR393">
            <v>-814.07691025673671</v>
          </cell>
          <cell r="BS393">
            <v>-659.41189730795293</v>
          </cell>
          <cell r="BT393">
            <v>-465.98920743095425</v>
          </cell>
          <cell r="BU393">
            <v>4904.7962392934242</v>
          </cell>
          <cell r="BV393">
            <v>5592.7002953868932</v>
          </cell>
          <cell r="BW393">
            <v>6332.5633696815603</v>
          </cell>
          <cell r="BX393">
            <v>6501.1775721546965</v>
          </cell>
          <cell r="BY393">
            <v>6938.6810318735279</v>
          </cell>
          <cell r="BZ393">
            <v>7582.6045249349536</v>
          </cell>
          <cell r="CA393">
            <v>8267.8193042583498</v>
          </cell>
        </row>
        <row r="394">
          <cell r="A394" t="str">
            <v>Accounts Receivable</v>
          </cell>
          <cell r="D394" t="str">
            <v>--</v>
          </cell>
          <cell r="E394" t="str">
            <v>--</v>
          </cell>
          <cell r="F394" t="str">
            <v>--</v>
          </cell>
          <cell r="G394" t="str">
            <v>--</v>
          </cell>
          <cell r="I394" t="str">
            <v>--</v>
          </cell>
          <cell r="J394" t="str">
            <v>--</v>
          </cell>
          <cell r="K394" t="str">
            <v>--</v>
          </cell>
          <cell r="L394">
            <v>367.41699999999997</v>
          </cell>
          <cell r="N394" t="str">
            <v>--</v>
          </cell>
          <cell r="O394" t="str">
            <v>--</v>
          </cell>
          <cell r="P394" t="str">
            <v>--</v>
          </cell>
          <cell r="Q394" t="str">
            <v>--</v>
          </cell>
          <cell r="S394" t="str">
            <v>--</v>
          </cell>
          <cell r="T394" t="str">
            <v>--</v>
          </cell>
          <cell r="U394" t="str">
            <v>--</v>
          </cell>
          <cell r="V394" t="str">
            <v>--</v>
          </cell>
          <cell r="X394">
            <v>-96.891000000000005</v>
          </cell>
          <cell r="Y394" t="str">
            <v>--</v>
          </cell>
          <cell r="Z394" t="str">
            <v>--</v>
          </cell>
          <cell r="AA394" t="str">
            <v>--</v>
          </cell>
          <cell r="AC394">
            <v>301.93400000000003</v>
          </cell>
          <cell r="AD394">
            <v>-128.11000000000001</v>
          </cell>
          <cell r="AE394">
            <v>324.928</v>
          </cell>
          <cell r="AF394">
            <v>388.4</v>
          </cell>
          <cell r="AH394">
            <v>11.7</v>
          </cell>
          <cell r="AI394">
            <v>-14.233433333333551</v>
          </cell>
          <cell r="AJ394">
            <v>-16.603364555555572</v>
          </cell>
          <cell r="AK394">
            <v>-49.873276782499943</v>
          </cell>
          <cell r="AM394">
            <v>-2.8988973121888648</v>
          </cell>
          <cell r="AN394">
            <v>-10.528903283552836</v>
          </cell>
          <cell r="AO394">
            <v>-27.929163870853245</v>
          </cell>
          <cell r="AP394">
            <v>-122.11578899018627</v>
          </cell>
          <cell r="AR394">
            <v>36.918056459608579</v>
          </cell>
          <cell r="AS394">
            <v>12.822543641194216</v>
          </cell>
          <cell r="AT394">
            <v>-69.864920562263023</v>
          </cell>
          <cell r="AU394">
            <v>-141.87324173992693</v>
          </cell>
          <cell r="AW394">
            <v>3308.1</v>
          </cell>
          <cell r="AX394">
            <v>-142.88900000000001</v>
          </cell>
          <cell r="AY394">
            <v>-13.256</v>
          </cell>
          <cell r="AZ394">
            <v>-227.66399999999999</v>
          </cell>
          <cell r="BA394">
            <v>-995.33699999999999</v>
          </cell>
          <cell r="BB394">
            <v>887.15200000000004</v>
          </cell>
          <cell r="BC394">
            <v>-69.010074671389063</v>
          </cell>
          <cell r="BD394">
            <v>-163.47275345678122</v>
          </cell>
          <cell r="BE394">
            <v>-161.99756220138715</v>
          </cell>
          <cell r="BF394">
            <v>2395.4140000000002</v>
          </cell>
          <cell r="BG394">
            <v>-98.910074671389111</v>
          </cell>
          <cell r="BH394">
            <v>-370.25895552674592</v>
          </cell>
          <cell r="BI394">
            <v>-339.8865648218532</v>
          </cell>
          <cell r="BJ394">
            <v>-318.72222351075789</v>
          </cell>
          <cell r="BK394">
            <v>-294.29979877856567</v>
          </cell>
          <cell r="BL394">
            <v>-386.9027527045796</v>
          </cell>
          <cell r="BM394">
            <v>-522.31871615118371</v>
          </cell>
          <cell r="BN394">
            <v>-945.00997348093688</v>
          </cell>
          <cell r="BO394">
            <v>-941.57137526627321</v>
          </cell>
          <cell r="BP394">
            <v>-917.46153023148781</v>
          </cell>
          <cell r="BQ394">
            <v>-618.94419651437966</v>
          </cell>
          <cell r="BR394">
            <v>-544.67089293265417</v>
          </cell>
          <cell r="BS394">
            <v>-441.18342327544724</v>
          </cell>
          <cell r="BT394">
            <v>-311.7696191146506</v>
          </cell>
          <cell r="BU394">
            <v>3308.1</v>
          </cell>
          <cell r="BV394">
            <v>3308.1</v>
          </cell>
          <cell r="BW394">
            <v>3308.1</v>
          </cell>
          <cell r="BX394">
            <v>3308.1</v>
          </cell>
          <cell r="BY394">
            <v>3308.1</v>
          </cell>
          <cell r="BZ394">
            <v>3308.1</v>
          </cell>
          <cell r="CA394">
            <v>3308.1</v>
          </cell>
        </row>
        <row r="395">
          <cell r="A395" t="str">
            <v>Inventories</v>
          </cell>
          <cell r="D395" t="str">
            <v>--</v>
          </cell>
          <cell r="E395" t="str">
            <v>--</v>
          </cell>
          <cell r="F395" t="str">
            <v>--</v>
          </cell>
          <cell r="G395" t="str">
            <v>--</v>
          </cell>
          <cell r="I395" t="str">
            <v>--</v>
          </cell>
          <cell r="J395" t="str">
            <v>--</v>
          </cell>
          <cell r="K395" t="str">
            <v>--</v>
          </cell>
          <cell r="L395">
            <v>-3.7469999999999999</v>
          </cell>
          <cell r="N395" t="str">
            <v>--</v>
          </cell>
          <cell r="O395" t="str">
            <v>--</v>
          </cell>
          <cell r="P395" t="str">
            <v>--</v>
          </cell>
          <cell r="Q395" t="str">
            <v>--</v>
          </cell>
          <cell r="S395" t="str">
            <v>--</v>
          </cell>
          <cell r="T395" t="str">
            <v>--</v>
          </cell>
          <cell r="U395" t="str">
            <v>--</v>
          </cell>
          <cell r="V395" t="str">
            <v>--</v>
          </cell>
          <cell r="X395">
            <v>-121.026</v>
          </cell>
          <cell r="Y395" t="str">
            <v>--</v>
          </cell>
          <cell r="Z395" t="str">
            <v>--</v>
          </cell>
          <cell r="AA395" t="str">
            <v>--</v>
          </cell>
          <cell r="AC395">
            <v>-31.353999999999999</v>
          </cell>
          <cell r="AD395">
            <v>208.04</v>
          </cell>
          <cell r="AE395">
            <v>270.52499999999998</v>
          </cell>
          <cell r="AF395">
            <v>375.3</v>
          </cell>
          <cell r="AH395">
            <v>158.6</v>
          </cell>
          <cell r="AI395">
            <v>-11.6624290909092</v>
          </cell>
          <cell r="AJ395">
            <v>-19.1007301333334</v>
          </cell>
          <cell r="AK395">
            <v>-26.411860972772047</v>
          </cell>
          <cell r="AM395">
            <v>-13.039030448710037</v>
          </cell>
          <cell r="AN395">
            <v>-21.320867613682822</v>
          </cell>
          <cell r="AO395">
            <v>-42.574412427095695</v>
          </cell>
          <cell r="AP395">
            <v>-115.48493506325303</v>
          </cell>
          <cell r="AR395">
            <v>32.23617529889998</v>
          </cell>
          <cell r="AS395">
            <v>-10.938103029749072</v>
          </cell>
          <cell r="AT395">
            <v>-57.438999785867509</v>
          </cell>
          <cell r="AU395">
            <v>-66.665464738830451</v>
          </cell>
          <cell r="AW395">
            <v>-413.21316780658918</v>
          </cell>
          <cell r="AX395">
            <v>-2.302</v>
          </cell>
          <cell r="AY395">
            <v>-50.731999999999999</v>
          </cell>
          <cell r="AZ395">
            <v>-265.00599999999997</v>
          </cell>
          <cell r="BA395">
            <v>-656.71299999999997</v>
          </cell>
          <cell r="BB395">
            <v>822.51099999999997</v>
          </cell>
          <cell r="BC395">
            <v>101.42497980298535</v>
          </cell>
          <cell r="BD395">
            <v>-192.41924555274159</v>
          </cell>
          <cell r="BE395">
            <v>-102.80639225554705</v>
          </cell>
          <cell r="BF395">
            <v>217.512</v>
          </cell>
          <cell r="BG395">
            <v>77.224979802985445</v>
          </cell>
          <cell r="BH395">
            <v>-426.14812403927863</v>
          </cell>
          <cell r="BI395">
            <v>-282.95050472765138</v>
          </cell>
          <cell r="BJ395">
            <v>-254.10188033846839</v>
          </cell>
          <cell r="BK395">
            <v>-279.09700623746812</v>
          </cell>
          <cell r="BL395">
            <v>-272.68906010618775</v>
          </cell>
          <cell r="BM395">
            <v>-839.76575400817546</v>
          </cell>
          <cell r="BN395">
            <v>-944.3533823562725</v>
          </cell>
          <cell r="BO395">
            <v>-1080.6719725333705</v>
          </cell>
          <cell r="BP395">
            <v>-737.78285159070492</v>
          </cell>
          <cell r="BQ395">
            <v>-641.30355561346096</v>
          </cell>
          <cell r="BR395">
            <v>-564.34712893984579</v>
          </cell>
          <cell r="BS395">
            <v>-457.12117444127307</v>
          </cell>
          <cell r="BT395">
            <v>-323.03229660516718</v>
          </cell>
          <cell r="BU395">
            <v>1462.4962392934221</v>
          </cell>
          <cell r="BV395">
            <v>2150.4002953868917</v>
          </cell>
          <cell r="BW395">
            <v>2890.2633696815574</v>
          </cell>
          <cell r="BX395">
            <v>3058.8775721546949</v>
          </cell>
          <cell r="BY395">
            <v>3496.3810318735273</v>
          </cell>
          <cell r="BZ395">
            <v>4140.3045249349516</v>
          </cell>
          <cell r="CA395">
            <v>4825.5193042583469</v>
          </cell>
        </row>
        <row r="396">
          <cell r="A396" t="str">
            <v>Accounts Payable</v>
          </cell>
          <cell r="D396" t="str">
            <v>--</v>
          </cell>
          <cell r="E396" t="str">
            <v>--</v>
          </cell>
          <cell r="F396" t="str">
            <v>--</v>
          </cell>
          <cell r="G396" t="str">
            <v>--</v>
          </cell>
          <cell r="I396" t="str">
            <v>--</v>
          </cell>
          <cell r="J396" t="str">
            <v>--</v>
          </cell>
          <cell r="K396" t="str">
            <v>--</v>
          </cell>
          <cell r="L396">
            <v>-0.44400000000000001</v>
          </cell>
          <cell r="N396" t="str">
            <v>--</v>
          </cell>
          <cell r="O396" t="str">
            <v>--</v>
          </cell>
          <cell r="P396" t="str">
            <v>--</v>
          </cell>
          <cell r="Q396" t="str">
            <v>--</v>
          </cell>
          <cell r="S396" t="str">
            <v>--</v>
          </cell>
          <cell r="T396" t="str">
            <v>--</v>
          </cell>
          <cell r="U396" t="str">
            <v>--</v>
          </cell>
          <cell r="V396" t="str">
            <v>--</v>
          </cell>
          <cell r="X396">
            <v>209.72800000000001</v>
          </cell>
          <cell r="Y396" t="str">
            <v>--</v>
          </cell>
          <cell r="Z396" t="str">
            <v>--</v>
          </cell>
          <cell r="AA396" t="str">
            <v>--</v>
          </cell>
          <cell r="AC396">
            <v>-596.03</v>
          </cell>
          <cell r="AD396">
            <v>-108.483</v>
          </cell>
          <cell r="AE396">
            <v>-219.214</v>
          </cell>
          <cell r="AF396">
            <v>69.7</v>
          </cell>
          <cell r="AH396">
            <v>20.100000000000001</v>
          </cell>
          <cell r="AI396">
            <v>37.957116050415152</v>
          </cell>
          <cell r="AJ396">
            <v>18.976872492951998</v>
          </cell>
          <cell r="AK396">
            <v>84.743984851749474</v>
          </cell>
          <cell r="AM396">
            <v>-6.1684521091458464</v>
          </cell>
          <cell r="AN396">
            <v>17.022095338624695</v>
          </cell>
          <cell r="AO396">
            <v>11.403016292952771</v>
          </cell>
          <cell r="AP396">
            <v>136.59179134053852</v>
          </cell>
          <cell r="AR396">
            <v>-47.150935928952094</v>
          </cell>
          <cell r="AS396">
            <v>-2.9009297942011472</v>
          </cell>
          <cell r="AT396">
            <v>78.550840025593516</v>
          </cell>
          <cell r="AU396">
            <v>157.19405057010772</v>
          </cell>
          <cell r="AW396">
            <v>134.20000000000002</v>
          </cell>
          <cell r="AX396">
            <v>153.024</v>
          </cell>
          <cell r="AY396">
            <v>53.643000000000001</v>
          </cell>
          <cell r="AZ396">
            <v>194.583</v>
          </cell>
          <cell r="BA396">
            <v>1230.414</v>
          </cell>
          <cell r="BB396">
            <v>-854.02699999999982</v>
          </cell>
          <cell r="BC396">
            <v>161.77797339511662</v>
          </cell>
          <cell r="BD396">
            <v>158.84845086297014</v>
          </cell>
          <cell r="BE396">
            <v>185.69302487254799</v>
          </cell>
          <cell r="BF396">
            <v>-4.2039999999999997</v>
          </cell>
          <cell r="BG396">
            <v>126.27797339511676</v>
          </cell>
          <cell r="BH396">
            <v>395.17431688824672</v>
          </cell>
          <cell r="BI396">
            <v>389.10721174082801</v>
          </cell>
          <cell r="BJ396">
            <v>330.84200517693762</v>
          </cell>
          <cell r="BK396">
            <v>359.04575450985021</v>
          </cell>
          <cell r="BL396">
            <v>482.54511317315155</v>
          </cell>
          <cell r="BM396">
            <v>667.32986786486026</v>
          </cell>
          <cell r="BN396">
            <v>1069.1012933558759</v>
          </cell>
          <cell r="BO396">
            <v>1077.9377121257667</v>
          </cell>
          <cell r="BP396">
            <v>1008.9338141411354</v>
          </cell>
          <cell r="BQ396">
            <v>712.55950623717945</v>
          </cell>
          <cell r="BR396">
            <v>627.05236548871653</v>
          </cell>
          <cell r="BS396">
            <v>507.91241604585957</v>
          </cell>
          <cell r="BT396">
            <v>358.92477400574171</v>
          </cell>
          <cell r="BU396">
            <v>134.20000000000002</v>
          </cell>
          <cell r="BV396">
            <v>134.20000000000002</v>
          </cell>
          <cell r="BW396">
            <v>134.20000000000002</v>
          </cell>
          <cell r="BX396">
            <v>134.20000000000002</v>
          </cell>
          <cell r="BY396">
            <v>134.20000000000002</v>
          </cell>
          <cell r="BZ396">
            <v>134.20000000000002</v>
          </cell>
          <cell r="CA396">
            <v>134.20000000000002</v>
          </cell>
        </row>
        <row r="397">
          <cell r="A397" t="str">
            <v>Income Taxes Payable</v>
          </cell>
          <cell r="D397" t="str">
            <v>--</v>
          </cell>
          <cell r="E397" t="str">
            <v>--</v>
          </cell>
          <cell r="F397" t="str">
            <v>--</v>
          </cell>
          <cell r="G397" t="str">
            <v>--</v>
          </cell>
          <cell r="I397" t="str">
            <v>--</v>
          </cell>
          <cell r="J397" t="str">
            <v>--</v>
          </cell>
          <cell r="K397" t="str">
            <v>--</v>
          </cell>
          <cell r="L397">
            <v>-3.7469999999999999</v>
          </cell>
          <cell r="N397" t="str">
            <v>--</v>
          </cell>
          <cell r="O397" t="str">
            <v>--</v>
          </cell>
          <cell r="P397" t="str">
            <v>--</v>
          </cell>
          <cell r="Q397" t="str">
            <v>--</v>
          </cell>
          <cell r="S397" t="str">
            <v>--</v>
          </cell>
          <cell r="T397" t="str">
            <v>--</v>
          </cell>
          <cell r="U397" t="str">
            <v>--</v>
          </cell>
          <cell r="V397" t="str">
            <v>--</v>
          </cell>
          <cell r="X397">
            <v>-12.042999999999999</v>
          </cell>
          <cell r="Y397" t="str">
            <v>--</v>
          </cell>
          <cell r="Z397" t="str">
            <v>--</v>
          </cell>
          <cell r="AA397" t="str">
            <v>--</v>
          </cell>
          <cell r="AC397">
            <v>-12.938000000000001</v>
          </cell>
          <cell r="AD397">
            <v>-4.3449999999999998</v>
          </cell>
          <cell r="AE397">
            <v>-18.344999999999999</v>
          </cell>
          <cell r="AF397">
            <v>36.5</v>
          </cell>
          <cell r="AH397">
            <v>0.7</v>
          </cell>
          <cell r="AI397" t="str">
            <v xml:space="preserve"> --</v>
          </cell>
          <cell r="AJ397" t="str">
            <v xml:space="preserve"> --</v>
          </cell>
          <cell r="AK397" t="str">
            <v xml:space="preserve"> --</v>
          </cell>
          <cell r="AM397" t="str">
            <v xml:space="preserve"> --</v>
          </cell>
          <cell r="AN397" t="str">
            <v xml:space="preserve"> --</v>
          </cell>
          <cell r="AO397" t="str">
            <v xml:space="preserve"> --</v>
          </cell>
          <cell r="AP397" t="str">
            <v xml:space="preserve"> --</v>
          </cell>
          <cell r="AR397" t="str">
            <v xml:space="preserve"> --</v>
          </cell>
          <cell r="AS397" t="str">
            <v xml:space="preserve"> --</v>
          </cell>
          <cell r="AT397" t="str">
            <v xml:space="preserve"> --</v>
          </cell>
          <cell r="AU397" t="str">
            <v xml:space="preserve"> --</v>
          </cell>
          <cell r="AW397">
            <v>-510.37172464038889</v>
          </cell>
          <cell r="AX397">
            <v>-9.6809999999999992</v>
          </cell>
          <cell r="AY397">
            <v>13.847</v>
          </cell>
          <cell r="AZ397">
            <v>4.6550000000000002</v>
          </cell>
          <cell r="BA397">
            <v>27.292999999999999</v>
          </cell>
          <cell r="BB397">
            <v>0.87199999999999989</v>
          </cell>
          <cell r="BC397">
            <v>0.7</v>
          </cell>
          <cell r="BD397">
            <v>0</v>
          </cell>
          <cell r="BE397">
            <v>0</v>
          </cell>
          <cell r="BF397">
            <v>217.512</v>
          </cell>
          <cell r="BG397" t="str">
            <v xml:space="preserve"> --</v>
          </cell>
          <cell r="BH397" t="str">
            <v xml:space="preserve"> --</v>
          </cell>
          <cell r="BI397" t="str">
            <v xml:space="preserve"> --</v>
          </cell>
          <cell r="BJ397" t="str">
            <v xml:space="preserve"> --</v>
          </cell>
          <cell r="BK397" t="str">
            <v xml:space="preserve"> --</v>
          </cell>
          <cell r="BL397" t="str">
            <v xml:space="preserve"> --</v>
          </cell>
          <cell r="BM397" t="str">
            <v xml:space="preserve"> --</v>
          </cell>
          <cell r="BN397" t="str">
            <v xml:space="preserve"> --</v>
          </cell>
          <cell r="BO397" t="str">
            <v xml:space="preserve"> --</v>
          </cell>
          <cell r="BP397" t="str">
            <v xml:space="preserve"> --</v>
          </cell>
          <cell r="BQ397" t="str">
            <v xml:space="preserve"> --</v>
          </cell>
          <cell r="BR397" t="str">
            <v xml:space="preserve"> --</v>
          </cell>
          <cell r="BS397" t="str">
            <v xml:space="preserve"> --</v>
          </cell>
          <cell r="BT397" t="str">
            <v xml:space="preserve"> --</v>
          </cell>
          <cell r="BU397" t="str">
            <v xml:space="preserve"> --</v>
          </cell>
          <cell r="BV397">
            <v>3526.7613879532305</v>
          </cell>
          <cell r="BW397">
            <v>4764.8689061697241</v>
          </cell>
          <cell r="BX397">
            <v>5045.9444210290803</v>
          </cell>
          <cell r="BY397">
            <v>5776.486838872398</v>
          </cell>
          <cell r="BZ397">
            <v>6879.5223885607857</v>
          </cell>
          <cell r="CA397">
            <v>8054.5981744990386</v>
          </cell>
        </row>
        <row r="398">
          <cell r="A398" t="str">
            <v>Other</v>
          </cell>
          <cell r="D398" t="str">
            <v>--</v>
          </cell>
          <cell r="E398" t="str">
            <v>--</v>
          </cell>
          <cell r="F398" t="str">
            <v>--</v>
          </cell>
          <cell r="G398" t="str">
            <v>--</v>
          </cell>
          <cell r="I398" t="str">
            <v>--</v>
          </cell>
          <cell r="J398" t="str">
            <v>--</v>
          </cell>
          <cell r="K398" t="str">
            <v>--</v>
          </cell>
          <cell r="L398">
            <v>-0.44400000000000001</v>
          </cell>
          <cell r="N398" t="str">
            <v>--</v>
          </cell>
          <cell r="O398" t="str">
            <v>--</v>
          </cell>
          <cell r="P398" t="str">
            <v>--</v>
          </cell>
          <cell r="Q398" t="str">
            <v>--</v>
          </cell>
          <cell r="S398" t="str">
            <v>--</v>
          </cell>
          <cell r="T398" t="str">
            <v>--</v>
          </cell>
          <cell r="U398" t="str">
            <v>--</v>
          </cell>
          <cell r="V398" t="str">
            <v>--</v>
          </cell>
          <cell r="X398">
            <v>-17.173999999999999</v>
          </cell>
          <cell r="Y398" t="str">
            <v>--</v>
          </cell>
          <cell r="Z398" t="str">
            <v>--</v>
          </cell>
          <cell r="AA398" t="str">
            <v>--</v>
          </cell>
          <cell r="AC398">
            <v>-53.255000000000003</v>
          </cell>
          <cell r="AD398">
            <v>144.54499999999999</v>
          </cell>
          <cell r="AE398">
            <v>-10.808</v>
          </cell>
          <cell r="AF398">
            <v>-34.700000000000003</v>
          </cell>
          <cell r="AH398">
            <v>-37</v>
          </cell>
          <cell r="AI398">
            <v>10.783374102370345</v>
          </cell>
          <cell r="AJ398">
            <v>5.1805483672071091</v>
          </cell>
          <cell r="AK398">
            <v>23.96877605225157</v>
          </cell>
          <cell r="AM398">
            <v>-7.5292293111074002</v>
          </cell>
          <cell r="AN398">
            <v>11.829035517894596</v>
          </cell>
          <cell r="AO398">
            <v>18.18031805391081</v>
          </cell>
          <cell r="AP398">
            <v>40.519639056124845</v>
          </cell>
          <cell r="AR398">
            <v>-22.330509149967497</v>
          </cell>
          <cell r="AS398">
            <v>15.939881083882995</v>
          </cell>
          <cell r="AT398">
            <v>23.936013868559201</v>
          </cell>
          <cell r="AU398">
            <v>48.845289377412655</v>
          </cell>
          <cell r="AW398">
            <v>145.80000000000001</v>
          </cell>
          <cell r="AX398">
            <v>12.869</v>
          </cell>
          <cell r="AY398">
            <v>-6.7830000000000004</v>
          </cell>
          <cell r="AZ398">
            <v>1.7629999999999999</v>
          </cell>
          <cell r="BA398">
            <v>-99.045000000000002</v>
          </cell>
          <cell r="BB398">
            <v>45.781999999999996</v>
          </cell>
          <cell r="BC398">
            <v>2.9326985218290247</v>
          </cell>
          <cell r="BD398">
            <v>62.99976331682285</v>
          </cell>
          <cell r="BE398">
            <v>66.390675179887353</v>
          </cell>
          <cell r="BF398">
            <v>-4.2039999999999997</v>
          </cell>
          <cell r="BG398">
            <v>-260.53659628674228</v>
          </cell>
          <cell r="BH398">
            <v>-191.84543852176165</v>
          </cell>
          <cell r="BI398">
            <v>-202.3123289352302</v>
          </cell>
          <cell r="BJ398">
            <v>-188.51351542804349</v>
          </cell>
          <cell r="BK398">
            <v>-271.95758113955605</v>
          </cell>
          <cell r="BL398">
            <v>-377.14210112529383</v>
          </cell>
          <cell r="BM398">
            <v>-471.55262640661738</v>
          </cell>
          <cell r="BN398">
            <v>-495.23525772694813</v>
          </cell>
          <cell r="BO398">
            <v>-485.1661262592055</v>
          </cell>
          <cell r="BP398">
            <v>-434.12518708250082</v>
          </cell>
          <cell r="BQ398">
            <v>-377.38097031017458</v>
          </cell>
          <cell r="BR398">
            <v>-332.11125387295328</v>
          </cell>
          <cell r="BS398">
            <v>-269.01971563709219</v>
          </cell>
          <cell r="BT398">
            <v>-190.11206571687819</v>
          </cell>
          <cell r="BU398">
            <v>-148.28981125916562</v>
          </cell>
          <cell r="BV398">
            <v>173</v>
          </cell>
          <cell r="BW398">
            <v>173</v>
          </cell>
          <cell r="BX398">
            <v>173</v>
          </cell>
          <cell r="BY398">
            <v>173</v>
          </cell>
          <cell r="BZ398">
            <v>173</v>
          </cell>
          <cell r="CA398">
            <v>173</v>
          </cell>
        </row>
        <row r="399">
          <cell r="A399" t="str">
            <v>Other</v>
          </cell>
          <cell r="B399" t="str">
            <v>bvps</v>
          </cell>
          <cell r="D399" t="str">
            <v>--</v>
          </cell>
          <cell r="E399" t="str">
            <v>--</v>
          </cell>
          <cell r="F399" t="str">
            <v>--</v>
          </cell>
          <cell r="G399" t="str">
            <v>--</v>
          </cell>
          <cell r="I399">
            <v>5.5864147780392654</v>
          </cell>
          <cell r="J399">
            <v>4.522942708333332</v>
          </cell>
          <cell r="K399">
            <v>4.5201818181818174</v>
          </cell>
          <cell r="L399">
            <v>4.6567435897435896</v>
          </cell>
          <cell r="N399" t="str">
            <v>--</v>
          </cell>
          <cell r="O399" t="str">
            <v>--</v>
          </cell>
          <cell r="P399" t="str">
            <v>--</v>
          </cell>
          <cell r="Q399" t="str">
            <v>--</v>
          </cell>
          <cell r="S399" t="str">
            <v>--</v>
          </cell>
          <cell r="T399" t="str">
            <v>--</v>
          </cell>
          <cell r="U399" t="str">
            <v>--</v>
          </cell>
          <cell r="V399" t="str">
            <v>--</v>
          </cell>
          <cell r="X399">
            <v>-17.173999999999999</v>
          </cell>
          <cell r="Y399" t="str">
            <v>--</v>
          </cell>
          <cell r="Z399" t="str">
            <v>--</v>
          </cell>
          <cell r="AA399" t="str">
            <v>--</v>
          </cell>
          <cell r="AC399">
            <v>-53.255000000000003</v>
          </cell>
          <cell r="AD399">
            <v>144.54499999999999</v>
          </cell>
          <cell r="AE399">
            <v>-10.808</v>
          </cell>
          <cell r="AF399">
            <v>-34.700000000000003</v>
          </cell>
          <cell r="AH399">
            <v>-37</v>
          </cell>
          <cell r="AI399">
            <v>24.6</v>
          </cell>
          <cell r="AJ399">
            <v>1.3173299999999983</v>
          </cell>
          <cell r="AK399">
            <v>25.680032811752625</v>
          </cell>
          <cell r="AM399">
            <v>-8.0089605976125995</v>
          </cell>
          <cell r="AN399">
            <v>12.675044126201101</v>
          </cell>
          <cell r="AO399">
            <v>19.497915099273769</v>
          </cell>
          <cell r="AP399">
            <v>43.344061731318732</v>
          </cell>
          <cell r="AR399">
            <v>-23.838455007894567</v>
          </cell>
          <cell r="AS399">
            <v>17.044637338934677</v>
          </cell>
          <cell r="AT399">
            <v>25.579395201841805</v>
          </cell>
          <cell r="AU399">
            <v>52.262835244406745</v>
          </cell>
          <cell r="AW399">
            <v>13.028330461046929</v>
          </cell>
          <cell r="AX399">
            <v>12.869</v>
          </cell>
          <cell r="AY399">
            <v>-6.7830000000000004</v>
          </cell>
          <cell r="AZ399">
            <v>1.7629999999999999</v>
          </cell>
          <cell r="BA399">
            <v>-99.045000000000002</v>
          </cell>
          <cell r="BB399">
            <v>45.781999999999996</v>
          </cell>
          <cell r="BC399">
            <v>14.597362811752625</v>
          </cell>
          <cell r="BD399">
            <v>67.508060359181002</v>
          </cell>
          <cell r="BE399">
            <v>71.048412777288661</v>
          </cell>
          <cell r="BF399">
            <v>12.316487252124643</v>
          </cell>
          <cell r="BG399">
            <v>-301.75880817091786</v>
          </cell>
          <cell r="BH399">
            <v>-205.61156400611418</v>
          </cell>
          <cell r="BI399">
            <v>-216.53724520143561</v>
          </cell>
          <cell r="BJ399">
            <v>-201.01115111059704</v>
          </cell>
          <cell r="BK399">
            <v>-289.98194904617242</v>
          </cell>
          <cell r="BL399">
            <v>-402.13042935946635</v>
          </cell>
          <cell r="BM399">
            <v>-502.78803669933291</v>
          </cell>
          <cell r="BN399">
            <v>-528.03243853429933</v>
          </cell>
          <cell r="BO399">
            <v>-517.29174574526371</v>
          </cell>
          <cell r="BP399">
            <v>-462.86816781090897</v>
          </cell>
          <cell r="BQ399">
            <v>-402.36525355871413</v>
          </cell>
          <cell r="BR399">
            <v>-354.09742313166828</v>
          </cell>
          <cell r="BS399">
            <v>-286.82851273665153</v>
          </cell>
          <cell r="BT399">
            <v>-202.69694900056709</v>
          </cell>
          <cell r="BU399">
            <v>21.052886529856956</v>
          </cell>
          <cell r="BV399">
            <v>25.645765426513325</v>
          </cell>
          <cell r="BW399">
            <v>28.521848303936764</v>
          </cell>
          <cell r="BX399">
            <v>27.782810137413232</v>
          </cell>
          <cell r="BY399">
            <v>29.782942512602332</v>
          </cell>
          <cell r="BZ399">
            <v>34.770627192181379</v>
          </cell>
          <cell r="CA399">
            <v>37.238235803438123</v>
          </cell>
        </row>
        <row r="400">
          <cell r="A400" t="str">
            <v>Cash From Investing</v>
          </cell>
          <cell r="B400" t="str">
            <v>bvps</v>
          </cell>
          <cell r="D400" t="str">
            <v>--</v>
          </cell>
          <cell r="E400" t="str">
            <v>--</v>
          </cell>
          <cell r="F400" t="str">
            <v>--</v>
          </cell>
          <cell r="G400" t="str">
            <v>--</v>
          </cell>
          <cell r="I400">
            <v>5.5864147780392654</v>
          </cell>
          <cell r="J400">
            <v>4.522942708333332</v>
          </cell>
          <cell r="K400">
            <v>4.5201818181818174</v>
          </cell>
          <cell r="L400">
            <v>0.14053846153846139</v>
          </cell>
          <cell r="N400">
            <v>-39.558999999999997</v>
          </cell>
          <cell r="O400">
            <v>-52.297000000000004</v>
          </cell>
          <cell r="P400">
            <v>-17.782</v>
          </cell>
          <cell r="Q400">
            <v>-10.051</v>
          </cell>
          <cell r="S400">
            <v>-44.12</v>
          </cell>
          <cell r="T400">
            <v>-41.759</v>
          </cell>
          <cell r="U400">
            <v>-84.683000000000007</v>
          </cell>
          <cell r="V400">
            <v>-106.69500000000001</v>
          </cell>
          <cell r="X400">
            <v>-203.14399999999998</v>
          </cell>
          <cell r="Y400">
            <v>-469.84499999999997</v>
          </cell>
          <cell r="Z400">
            <v>-91.225000000000009</v>
          </cell>
          <cell r="AA400">
            <v>-212.761</v>
          </cell>
          <cell r="AC400">
            <v>-142.63899999999998</v>
          </cell>
          <cell r="AD400">
            <v>-140.34100000000001</v>
          </cell>
          <cell r="AE400">
            <v>-741.88900000000001</v>
          </cell>
          <cell r="AF400">
            <v>-472.4</v>
          </cell>
          <cell r="AH400">
            <v>-129</v>
          </cell>
          <cell r="AI400">
            <v>-28.891911750000002</v>
          </cell>
          <cell r="AJ400">
            <v>-33.846242662500003</v>
          </cell>
          <cell r="AK400">
            <v>-36.199153507125004</v>
          </cell>
          <cell r="AM400">
            <v>-47.287185217510007</v>
          </cell>
          <cell r="AN400">
            <v>-48.827631987926409</v>
          </cell>
          <cell r="AO400">
            <v>-51.187158820199315</v>
          </cell>
          <cell r="AP400">
            <v>-56.420692634064437</v>
          </cell>
          <cell r="AR400">
            <v>-80.34476473267712</v>
          </cell>
          <cell r="AS400">
            <v>-83.419610138387611</v>
          </cell>
          <cell r="AT400">
            <v>-88.02047076078054</v>
          </cell>
          <cell r="AU400">
            <v>-97.363342777800113</v>
          </cell>
          <cell r="AW400">
            <v>8.4927390631974653</v>
          </cell>
          <cell r="AX400">
            <v>-306.43799999999999</v>
          </cell>
          <cell r="AY400">
            <v>-119.68899999999999</v>
          </cell>
          <cell r="AZ400">
            <v>-277.25700000000006</v>
          </cell>
          <cell r="BA400">
            <v>-976.97499999999991</v>
          </cell>
          <cell r="BB400">
            <v>-1497.2690000000002</v>
          </cell>
          <cell r="BC400">
            <v>-227.937307919625</v>
          </cell>
          <cell r="BD400">
            <v>-203.72266865970016</v>
          </cell>
          <cell r="BE400">
            <v>-349.1481884096454</v>
          </cell>
          <cell r="BF400">
            <v>9.5862134088762971</v>
          </cell>
          <cell r="BG400">
            <v>-125.03730791962501</v>
          </cell>
          <cell r="BH400">
            <v>-635.72235451021379</v>
          </cell>
          <cell r="BI400">
            <v>-739.99055042016607</v>
          </cell>
          <cell r="BJ400">
            <v>-879.48821190529486</v>
          </cell>
          <cell r="BK400">
            <v>-935.99513934291997</v>
          </cell>
          <cell r="BL400">
            <v>-1392.8499097364879</v>
          </cell>
          <cell r="BM400">
            <v>-1741.06238717061</v>
          </cell>
          <cell r="BN400">
            <v>-1853.8832298592654</v>
          </cell>
          <cell r="BO400">
            <v>-1971.8576172139458</v>
          </cell>
          <cell r="BP400">
            <v>-2228.1991074517587</v>
          </cell>
          <cell r="BQ400">
            <v>-2451.0190181969347</v>
          </cell>
          <cell r="BR400">
            <v>-2647.1005396526903</v>
          </cell>
          <cell r="BS400">
            <v>-2805.9265720318513</v>
          </cell>
          <cell r="BT400">
            <v>-3064.0718166587817</v>
          </cell>
          <cell r="BU400">
            <v>16.9617823341278</v>
          </cell>
          <cell r="BV400">
            <v>21.298063947664307</v>
          </cell>
          <cell r="BW400">
            <v>24.251495866148229</v>
          </cell>
          <cell r="BX400">
            <v>23.730993898096994</v>
          </cell>
          <cell r="BY400">
            <v>25.713299847080279</v>
          </cell>
          <cell r="BZ400">
            <v>30.422925713332358</v>
          </cell>
          <cell r="CA400">
            <v>32.967883365649584</v>
          </cell>
        </row>
        <row r="401">
          <cell r="A401" t="str">
            <v>PP&amp;E</v>
          </cell>
          <cell r="B401" t="str">
            <v>capex</v>
          </cell>
          <cell r="D401">
            <v>1.1597510276422913</v>
          </cell>
          <cell r="E401">
            <v>0.65917828339357376</v>
          </cell>
          <cell r="F401">
            <v>0.26127966068481395</v>
          </cell>
          <cell r="G401">
            <v>1.6013544440233685</v>
          </cell>
          <cell r="I401">
            <v>1.1261765299939408</v>
          </cell>
          <cell r="J401">
            <v>1.1152284936176098</v>
          </cell>
          <cell r="K401">
            <v>1.2984738000425222</v>
          </cell>
          <cell r="L401">
            <v>1.4311062534069698</v>
          </cell>
          <cell r="N401">
            <v>-18.437999999999999</v>
          </cell>
          <cell r="O401">
            <v>-19.55</v>
          </cell>
          <cell r="P401">
            <v>-14.897</v>
          </cell>
          <cell r="Q401">
            <v>-12.885</v>
          </cell>
          <cell r="S401">
            <v>-41.832000000000001</v>
          </cell>
          <cell r="T401">
            <v>-37.270000000000003</v>
          </cell>
          <cell r="U401">
            <v>-76.108000000000004</v>
          </cell>
          <cell r="V401">
            <v>-56.621000000000002</v>
          </cell>
          <cell r="X401">
            <v>-68.591999999999999</v>
          </cell>
          <cell r="Y401">
            <v>-29.311</v>
          </cell>
          <cell r="Z401">
            <v>-66.033000000000001</v>
          </cell>
          <cell r="AA401">
            <v>-118.84399999999999</v>
          </cell>
          <cell r="AC401">
            <v>-76.533000000000001</v>
          </cell>
          <cell r="AD401">
            <v>-59.252000000000002</v>
          </cell>
          <cell r="AE401">
            <v>-25.984999999999999</v>
          </cell>
          <cell r="AF401">
            <v>-37.200000000000003</v>
          </cell>
          <cell r="AH401">
            <v>-26.1</v>
          </cell>
          <cell r="AI401">
            <v>-28.891911750000002</v>
          </cell>
          <cell r="AJ401">
            <v>-33.846242662500003</v>
          </cell>
          <cell r="AK401">
            <v>-36.199153507125004</v>
          </cell>
          <cell r="AM401">
            <v>-47.287185217510007</v>
          </cell>
          <cell r="AN401">
            <v>-48.827631987926409</v>
          </cell>
          <cell r="AO401">
            <v>-51.187158820199315</v>
          </cell>
          <cell r="AP401">
            <v>-56.420692634064437</v>
          </cell>
          <cell r="AR401">
            <v>-80.34476473267712</v>
          </cell>
          <cell r="AS401">
            <v>-83.419610138387611</v>
          </cell>
          <cell r="AT401">
            <v>-88.02047076078054</v>
          </cell>
          <cell r="AU401">
            <v>-97.363342777800113</v>
          </cell>
          <cell r="AW401">
            <v>0.20408790973890678</v>
          </cell>
          <cell r="AX401">
            <v>-32.088999999999999</v>
          </cell>
          <cell r="AY401">
            <v>-65.77</v>
          </cell>
          <cell r="AZ401">
            <v>-211.83100000000002</v>
          </cell>
          <cell r="BA401">
            <v>-282.77999999999997</v>
          </cell>
          <cell r="BB401">
            <v>-198.96999999999997</v>
          </cell>
          <cell r="BC401">
            <v>-125.03730791962501</v>
          </cell>
          <cell r="BD401">
            <v>-203.72266865970016</v>
          </cell>
          <cell r="BE401">
            <v>-349.1481884096454</v>
          </cell>
          <cell r="BF401">
            <v>0.38046455000168677</v>
          </cell>
          <cell r="BG401">
            <v>-125.03730791962501</v>
          </cell>
          <cell r="BH401">
            <v>-235.72235451021385</v>
          </cell>
          <cell r="BI401">
            <v>-439.99055042016602</v>
          </cell>
          <cell r="BJ401">
            <v>-639.34094217412564</v>
          </cell>
          <cell r="BK401">
            <v>-935.99513934291997</v>
          </cell>
          <cell r="BL401">
            <v>-1392.8499097364879</v>
          </cell>
          <cell r="BM401">
            <v>-1741.06238717061</v>
          </cell>
          <cell r="BN401">
            <v>-1853.8832298592654</v>
          </cell>
          <cell r="BO401">
            <v>-1971.8576172139458</v>
          </cell>
          <cell r="BP401">
            <v>-2228.1991074517587</v>
          </cell>
          <cell r="BQ401">
            <v>-2451.0190181969347</v>
          </cell>
          <cell r="BR401">
            <v>-2647.1005396526903</v>
          </cell>
          <cell r="BS401">
            <v>-2805.9265720318513</v>
          </cell>
          <cell r="BT401">
            <v>-3064.0718166587817</v>
          </cell>
          <cell r="BU401">
            <v>6.3203441055618254E-4</v>
          </cell>
          <cell r="BV401">
            <v>5.5429396110444492E-4</v>
          </cell>
          <cell r="BW401">
            <v>4.8953319833195557E-4</v>
          </cell>
          <cell r="BX401">
            <v>4.7683669082931412E-4</v>
          </cell>
          <cell r="BY401">
            <v>4.4677078911104846E-4</v>
          </cell>
          <cell r="BZ401">
            <v>4.0883050010136104E-4</v>
          </cell>
          <cell r="CA401">
            <v>3.7494772030193516E-4</v>
          </cell>
        </row>
        <row r="402">
          <cell r="A402" t="str">
            <v>Acquisitions, net of cash</v>
          </cell>
          <cell r="B402" t="str">
            <v>acq</v>
          </cell>
          <cell r="D402">
            <v>0.53698366746853332</v>
          </cell>
          <cell r="E402">
            <v>0.39729201496377714</v>
          </cell>
          <cell r="F402">
            <v>0.20715442326482275</v>
          </cell>
          <cell r="G402">
            <v>0.61558487260453587</v>
          </cell>
          <cell r="I402">
            <v>0.5296721669659058</v>
          </cell>
          <cell r="J402">
            <v>0.52723783599863916</v>
          </cell>
          <cell r="K402">
            <v>0.56492869312606497</v>
          </cell>
          <cell r="L402">
            <v>0.14053846153846139</v>
          </cell>
          <cell r="N402">
            <v>-19.879000000000001</v>
          </cell>
          <cell r="O402">
            <v>-29.69</v>
          </cell>
          <cell r="P402">
            <v>-2.444</v>
          </cell>
          <cell r="Q402">
            <v>3.335</v>
          </cell>
          <cell r="S402" t="str">
            <v>--</v>
          </cell>
          <cell r="T402">
            <v>-5.3319999999999999</v>
          </cell>
          <cell r="U402">
            <v>-8.5540000000000003</v>
          </cell>
          <cell r="V402">
            <v>-50.892000000000003</v>
          </cell>
          <cell r="X402">
            <v>-135.11099999999999</v>
          </cell>
          <cell r="Y402">
            <v>-461.62200000000001</v>
          </cell>
          <cell r="Z402">
            <v>-25.927</v>
          </cell>
          <cell r="AA402">
            <v>-12.023999999999999</v>
          </cell>
          <cell r="AC402">
            <v>-65.72</v>
          </cell>
          <cell r="AD402">
            <v>-82.397000000000006</v>
          </cell>
          <cell r="AE402">
            <v>-716.30399999999997</v>
          </cell>
          <cell r="AF402">
            <v>-435.3</v>
          </cell>
          <cell r="AH402">
            <v>-102.9</v>
          </cell>
          <cell r="AI402">
            <v>0</v>
          </cell>
          <cell r="AJ402">
            <v>0</v>
          </cell>
          <cell r="AK402">
            <v>0</v>
          </cell>
          <cell r="AM402">
            <v>-58.543035890064012</v>
          </cell>
          <cell r="AN402">
            <v>0</v>
          </cell>
          <cell r="AO402">
            <v>0</v>
          </cell>
          <cell r="AP402">
            <v>0</v>
          </cell>
          <cell r="AR402">
            <v>-93.178278161102909</v>
          </cell>
          <cell r="AS402">
            <v>0</v>
          </cell>
          <cell r="AT402">
            <v>0</v>
          </cell>
          <cell r="AU402">
            <v>0</v>
          </cell>
          <cell r="AW402">
            <v>0.16949585498550601</v>
          </cell>
          <cell r="AX402">
            <v>-275.71800000000002</v>
          </cell>
          <cell r="AY402">
            <v>-48.677999999999997</v>
          </cell>
          <cell r="AZ402">
            <v>-64.778000000000006</v>
          </cell>
          <cell r="BA402">
            <v>-634.68399999999997</v>
          </cell>
          <cell r="BB402">
            <v>-1299.721</v>
          </cell>
          <cell r="BC402">
            <v>-102.9</v>
          </cell>
          <cell r="BD402">
            <v>0</v>
          </cell>
          <cell r="BE402">
            <v>0</v>
          </cell>
          <cell r="BF402">
            <v>0.27560617185078884</v>
          </cell>
          <cell r="BG402">
            <v>0</v>
          </cell>
          <cell r="BH402">
            <v>-400</v>
          </cell>
          <cell r="BI402">
            <v>-300</v>
          </cell>
          <cell r="BJ402">
            <v>-240.14726973116922</v>
          </cell>
          <cell r="BK402">
            <v>0</v>
          </cell>
          <cell r="BL402">
            <v>0</v>
          </cell>
          <cell r="BM402">
            <v>0</v>
          </cell>
          <cell r="BN402">
            <v>0</v>
          </cell>
          <cell r="BO402">
            <v>0</v>
          </cell>
          <cell r="BP402">
            <v>0</v>
          </cell>
          <cell r="BQ402">
            <v>0</v>
          </cell>
          <cell r="BR402">
            <v>0</v>
          </cell>
          <cell r="BS402">
            <v>0</v>
          </cell>
          <cell r="BT402">
            <v>0</v>
          </cell>
          <cell r="BU402">
            <v>6.3163519537778531E-4</v>
          </cell>
          <cell r="BV402">
            <v>5.5398688951705454E-4</v>
          </cell>
          <cell r="BW402">
            <v>4.8929367283536882E-4</v>
          </cell>
          <cell r="BX402">
            <v>4.7660942596781757E-4</v>
          </cell>
          <cell r="BY402">
            <v>4.4657127411051975E-4</v>
          </cell>
          <cell r="BZ402">
            <v>4.0866342602852461E-4</v>
          </cell>
          <cell r="CA402">
            <v>3.7480718720154117E-4</v>
          </cell>
        </row>
        <row r="403">
          <cell r="A403" t="str">
            <v>Other</v>
          </cell>
          <cell r="B403" t="str">
            <v>acq</v>
          </cell>
          <cell r="D403">
            <v>1.1597510276422913</v>
          </cell>
          <cell r="E403">
            <v>0.65917828339357376</v>
          </cell>
          <cell r="F403">
            <v>0.26127966068481395</v>
          </cell>
          <cell r="G403">
            <v>1.6013544440233685</v>
          </cell>
          <cell r="I403">
            <v>1.1261765299939408</v>
          </cell>
          <cell r="J403">
            <v>1.1152284936176098</v>
          </cell>
          <cell r="K403">
            <v>1.2984738000425222</v>
          </cell>
          <cell r="L403">
            <v>1.4311062534069698</v>
          </cell>
          <cell r="N403">
            <v>-1.242</v>
          </cell>
          <cell r="O403">
            <v>-3.0569999999999999</v>
          </cell>
          <cell r="P403">
            <v>-0.441</v>
          </cell>
          <cell r="Q403">
            <v>-0.501</v>
          </cell>
          <cell r="S403">
            <v>-2.2879999999999998</v>
          </cell>
          <cell r="T403">
            <v>0.84299999999999997</v>
          </cell>
          <cell r="U403">
            <v>-2.1000000000000001E-2</v>
          </cell>
          <cell r="V403">
            <v>0.81799999999999995</v>
          </cell>
          <cell r="X403">
            <v>0.55900000000000005</v>
          </cell>
          <cell r="Y403">
            <v>21.088000000000001</v>
          </cell>
          <cell r="Z403">
            <v>0.73499999999999999</v>
          </cell>
          <cell r="AA403">
            <v>-81.893000000000001</v>
          </cell>
          <cell r="AC403">
            <v>-0.38600000000000001</v>
          </cell>
          <cell r="AD403">
            <v>1.3080000000000001</v>
          </cell>
          <cell r="AE403">
            <v>0.4</v>
          </cell>
          <cell r="AF403">
            <v>0.1</v>
          </cell>
          <cell r="AH403">
            <v>0</v>
          </cell>
          <cell r="AI403">
            <v>0</v>
          </cell>
          <cell r="AJ403">
            <v>0</v>
          </cell>
          <cell r="AK403">
            <v>0</v>
          </cell>
          <cell r="AM403">
            <v>0</v>
          </cell>
          <cell r="AN403">
            <v>0</v>
          </cell>
          <cell r="AO403">
            <v>0</v>
          </cell>
          <cell r="AP403">
            <v>0</v>
          </cell>
          <cell r="AR403">
            <v>0</v>
          </cell>
          <cell r="AS403">
            <v>0</v>
          </cell>
          <cell r="AT403">
            <v>0</v>
          </cell>
          <cell r="AU403">
            <v>0</v>
          </cell>
          <cell r="AW403">
            <v>0.2069051376254018</v>
          </cell>
          <cell r="AX403">
            <v>1.369</v>
          </cell>
          <cell r="AY403">
            <v>-5.2409999999999997</v>
          </cell>
          <cell r="AZ403">
            <v>-0.6479999999999998</v>
          </cell>
          <cell r="BA403">
            <v>-59.510999999999996</v>
          </cell>
          <cell r="BB403">
            <v>1.4220000000000002</v>
          </cell>
          <cell r="BC403">
            <v>0</v>
          </cell>
          <cell r="BD403">
            <v>0</v>
          </cell>
          <cell r="BE403">
            <v>0</v>
          </cell>
          <cell r="BF403">
            <v>0.38046455000168677</v>
          </cell>
          <cell r="BG403" t="str">
            <v>--</v>
          </cell>
          <cell r="BH403" t="str">
            <v>--</v>
          </cell>
          <cell r="BI403" t="str">
            <v>--</v>
          </cell>
          <cell r="BJ403" t="str">
            <v>--</v>
          </cell>
          <cell r="BK403" t="str">
            <v>--</v>
          </cell>
          <cell r="BL403" t="str">
            <v>--</v>
          </cell>
          <cell r="BM403" t="str">
            <v>--</v>
          </cell>
          <cell r="BN403" t="str">
            <v>--</v>
          </cell>
          <cell r="BO403" t="str">
            <v>--</v>
          </cell>
          <cell r="BP403" t="str">
            <v>--</v>
          </cell>
          <cell r="BQ403" t="str">
            <v>--</v>
          </cell>
          <cell r="BR403" t="str">
            <v>--</v>
          </cell>
          <cell r="BS403" t="str">
            <v>--</v>
          </cell>
          <cell r="BT403" t="str">
            <v>--</v>
          </cell>
          <cell r="BU403" t="str">
            <v>--</v>
          </cell>
          <cell r="BV403">
            <v>5.6644583551823766E-4</v>
          </cell>
          <cell r="BW403">
            <v>4.8370604659282008E-4</v>
          </cell>
          <cell r="BX403">
            <v>4.6818094646721705E-4</v>
          </cell>
          <cell r="BY403">
            <v>4.3213206382903673E-4</v>
          </cell>
          <cell r="BZ403">
            <v>3.8712567942962128E-4</v>
          </cell>
          <cell r="CA403">
            <v>3.4846310227431567E-4</v>
          </cell>
        </row>
        <row r="404">
          <cell r="A404" t="str">
            <v>Other</v>
          </cell>
          <cell r="B404" t="str">
            <v>invx</v>
          </cell>
          <cell r="D404" t="str">
            <v>--</v>
          </cell>
          <cell r="E404" t="str">
            <v>--</v>
          </cell>
          <cell r="F404" t="str">
            <v>--</v>
          </cell>
          <cell r="G404" t="str">
            <v>--</v>
          </cell>
          <cell r="I404" t="str">
            <v xml:space="preserve"> --</v>
          </cell>
          <cell r="J404" t="str">
            <v xml:space="preserve"> --</v>
          </cell>
          <cell r="K404" t="str">
            <v xml:space="preserve"> --</v>
          </cell>
          <cell r="L404">
            <v>9.5685124381297744</v>
          </cell>
          <cell r="N404">
            <v>-1.242</v>
          </cell>
          <cell r="O404">
            <v>-3.0569999999999999</v>
          </cell>
          <cell r="P404">
            <v>-0.441</v>
          </cell>
          <cell r="Q404">
            <v>-0.501</v>
          </cell>
          <cell r="S404">
            <v>-2.2879999999999998</v>
          </cell>
          <cell r="T404">
            <v>0.84299999999999997</v>
          </cell>
          <cell r="U404">
            <v>-2.1000000000000001E-2</v>
          </cell>
          <cell r="V404">
            <v>0.81799999999999995</v>
          </cell>
          <cell r="X404">
            <v>0.55900000000000005</v>
          </cell>
          <cell r="Y404">
            <v>21.088000000000001</v>
          </cell>
          <cell r="Z404">
            <v>0.73499999999999999</v>
          </cell>
          <cell r="AA404">
            <v>-81.893000000000001</v>
          </cell>
          <cell r="AC404">
            <v>-0.38600000000000001</v>
          </cell>
          <cell r="AD404">
            <v>1.3080000000000001</v>
          </cell>
          <cell r="AE404">
            <v>0.4</v>
          </cell>
          <cell r="AF404">
            <v>0.1</v>
          </cell>
          <cell r="AH404">
            <v>0</v>
          </cell>
          <cell r="AI404">
            <v>20.9</v>
          </cell>
          <cell r="AJ404">
            <v>0</v>
          </cell>
          <cell r="AK404">
            <v>0</v>
          </cell>
          <cell r="AM404">
            <v>0</v>
          </cell>
          <cell r="AN404">
            <v>0</v>
          </cell>
          <cell r="AO404">
            <v>0</v>
          </cell>
          <cell r="AP404">
            <v>0</v>
          </cell>
          <cell r="AR404">
            <v>0</v>
          </cell>
          <cell r="AS404">
            <v>0</v>
          </cell>
          <cell r="AT404">
            <v>0</v>
          </cell>
          <cell r="AU404">
            <v>0</v>
          </cell>
          <cell r="AW404">
            <v>7.612888922274502</v>
          </cell>
          <cell r="AX404">
            <v>1.369</v>
          </cell>
          <cell r="AY404">
            <v>-5.2409999999999997</v>
          </cell>
          <cell r="AZ404">
            <v>-0.6479999999999998</v>
          </cell>
          <cell r="BA404">
            <v>-59.510999999999996</v>
          </cell>
          <cell r="BB404">
            <v>1.4220000000000002</v>
          </cell>
          <cell r="BC404">
            <v>20.9</v>
          </cell>
          <cell r="BD404">
            <v>0</v>
          </cell>
          <cell r="BE404">
            <v>0</v>
          </cell>
          <cell r="BF404">
            <v>7.5956871530944987</v>
          </cell>
          <cell r="BG404" t="str">
            <v>--</v>
          </cell>
          <cell r="BH404" t="str">
            <v>--</v>
          </cell>
          <cell r="BI404" t="str">
            <v>--</v>
          </cell>
          <cell r="BJ404" t="str">
            <v>--</v>
          </cell>
          <cell r="BK404" t="str">
            <v>--</v>
          </cell>
          <cell r="BL404" t="str">
            <v>--</v>
          </cell>
          <cell r="BM404" t="str">
            <v>--</v>
          </cell>
          <cell r="BN404" t="str">
            <v>--</v>
          </cell>
          <cell r="BO404" t="str">
            <v>--</v>
          </cell>
          <cell r="BP404" t="str">
            <v>--</v>
          </cell>
          <cell r="BQ404" t="str">
            <v>--</v>
          </cell>
          <cell r="BR404" t="str">
            <v>--</v>
          </cell>
          <cell r="BS404" t="str">
            <v>--</v>
          </cell>
          <cell r="BT404" t="str">
            <v>--</v>
          </cell>
          <cell r="BU404">
            <v>8.7607011711430047</v>
          </cell>
          <cell r="BV404">
            <v>9.1027439463439617</v>
          </cell>
          <cell r="BW404">
            <v>9.1730540097505084</v>
          </cell>
          <cell r="BX404">
            <v>7.6513494733257561</v>
          </cell>
          <cell r="BY404">
            <v>7.9445498120624833</v>
          </cell>
          <cell r="BZ404">
            <v>8.4138219895287953</v>
          </cell>
          <cell r="CA404">
            <v>8.5072834509638788</v>
          </cell>
        </row>
        <row r="405">
          <cell r="A405" t="str">
            <v>Cash From Financing</v>
          </cell>
          <cell r="B405" t="str">
            <v>dih</v>
          </cell>
          <cell r="D405" t="str">
            <v>--</v>
          </cell>
          <cell r="E405" t="str">
            <v>--</v>
          </cell>
          <cell r="F405" t="str">
            <v>--</v>
          </cell>
          <cell r="G405" t="str">
            <v>--</v>
          </cell>
          <cell r="I405" t="str">
            <v xml:space="preserve"> --</v>
          </cell>
          <cell r="J405" t="str">
            <v xml:space="preserve"> --</v>
          </cell>
          <cell r="K405" t="str">
            <v xml:space="preserve"> --</v>
          </cell>
          <cell r="L405">
            <v>37.623403044910944</v>
          </cell>
          <cell r="N405">
            <v>27.069999999999997</v>
          </cell>
          <cell r="O405">
            <v>41.886000000000003</v>
          </cell>
          <cell r="P405">
            <v>-64.473000000000056</v>
          </cell>
          <cell r="Q405">
            <v>-40.703000000000003</v>
          </cell>
          <cell r="S405">
            <v>253.39300000000003</v>
          </cell>
          <cell r="T405">
            <v>-2.1860000000000004</v>
          </cell>
          <cell r="U405">
            <v>-6.2140000000000004</v>
          </cell>
          <cell r="V405">
            <v>466.42200000000003</v>
          </cell>
          <cell r="X405">
            <v>736.3341999999999</v>
          </cell>
          <cell r="Y405">
            <v>-10.801000000000002</v>
          </cell>
          <cell r="Z405">
            <v>848.1</v>
          </cell>
          <cell r="AA405">
            <v>0.70200000000000018</v>
          </cell>
          <cell r="AC405">
            <v>2.7880000000000003</v>
          </cell>
          <cell r="AD405">
            <v>706.56899999999996</v>
          </cell>
          <cell r="AE405">
            <v>-3.1859999999999999</v>
          </cell>
          <cell r="AF405">
            <v>-40.099999999999994</v>
          </cell>
          <cell r="AH405">
            <v>-4.9000000000000004</v>
          </cell>
          <cell r="AI405">
            <v>0</v>
          </cell>
          <cell r="AJ405">
            <v>0</v>
          </cell>
          <cell r="AK405">
            <v>0</v>
          </cell>
          <cell r="AM405">
            <v>0</v>
          </cell>
          <cell r="AN405">
            <v>0</v>
          </cell>
          <cell r="AO405">
            <v>0</v>
          </cell>
          <cell r="AP405">
            <v>0</v>
          </cell>
          <cell r="AR405">
            <v>0</v>
          </cell>
          <cell r="AS405">
            <v>0</v>
          </cell>
          <cell r="AT405">
            <v>0</v>
          </cell>
          <cell r="AU405">
            <v>0</v>
          </cell>
          <cell r="AW405">
            <v>47.288224440879247</v>
          </cell>
          <cell r="AX405">
            <v>355.87900000000002</v>
          </cell>
          <cell r="AY405">
            <v>-36.219999999999992</v>
          </cell>
          <cell r="AZ405">
            <v>711.41500000000008</v>
          </cell>
          <cell r="BA405">
            <v>1574.3351999999998</v>
          </cell>
          <cell r="BB405">
            <v>666.07099999999991</v>
          </cell>
          <cell r="BC405">
            <v>-4.9000000000000004</v>
          </cell>
          <cell r="BD405">
            <v>0</v>
          </cell>
          <cell r="BE405">
            <v>0</v>
          </cell>
          <cell r="BF405">
            <v>47.395316940263299</v>
          </cell>
          <cell r="BG405">
            <v>0</v>
          </cell>
          <cell r="BH405">
            <v>0</v>
          </cell>
          <cell r="BI405">
            <v>0</v>
          </cell>
          <cell r="BJ405">
            <v>-1000</v>
          </cell>
          <cell r="BK405">
            <v>0</v>
          </cell>
          <cell r="BL405">
            <v>0</v>
          </cell>
          <cell r="BM405">
            <v>0</v>
          </cell>
          <cell r="BN405">
            <v>0</v>
          </cell>
          <cell r="BO405">
            <v>0</v>
          </cell>
          <cell r="BP405">
            <v>0</v>
          </cell>
          <cell r="BQ405">
            <v>0</v>
          </cell>
          <cell r="BR405">
            <v>0</v>
          </cell>
          <cell r="BS405">
            <v>-1303.9569742636545</v>
          </cell>
          <cell r="BT405">
            <v>-1191.8331570795758</v>
          </cell>
          <cell r="BU405">
            <v>41.092601261849794</v>
          </cell>
          <cell r="BV405">
            <v>39.548514395441266</v>
          </cell>
          <cell r="BW405">
            <v>39.245381049467014</v>
          </cell>
          <cell r="BX405">
            <v>47.050523735066228</v>
          </cell>
          <cell r="BY405">
            <v>45.314084311410525</v>
          </cell>
          <cell r="BZ405">
            <v>42.786738351254485</v>
          </cell>
          <cell r="CA405">
            <v>42.316681003406778</v>
          </cell>
        </row>
        <row r="406">
          <cell r="A406" t="str">
            <v>Long Term Debt &amp; Bank Debt</v>
          </cell>
          <cell r="B406" t="str">
            <v>dso</v>
          </cell>
          <cell r="D406" t="str">
            <v>--</v>
          </cell>
          <cell r="E406" t="str">
            <v>--</v>
          </cell>
          <cell r="F406" t="str">
            <v>--</v>
          </cell>
          <cell r="G406" t="str">
            <v>--</v>
          </cell>
          <cell r="I406" t="str">
            <v xml:space="preserve"> --</v>
          </cell>
          <cell r="J406" t="str">
            <v xml:space="preserve"> --</v>
          </cell>
          <cell r="K406" t="str">
            <v xml:space="preserve"> --</v>
          </cell>
          <cell r="L406">
            <v>39.507814112387976</v>
          </cell>
          <cell r="N406">
            <v>26.851999999999997</v>
          </cell>
          <cell r="O406">
            <v>40.263000000000005</v>
          </cell>
          <cell r="P406">
            <v>-452.60900000000004</v>
          </cell>
          <cell r="Q406">
            <v>-38.622</v>
          </cell>
          <cell r="S406">
            <v>0.14899999999999999</v>
          </cell>
          <cell r="T406">
            <v>-2.4940000000000002</v>
          </cell>
          <cell r="U406">
            <v>-6.0179999999999998</v>
          </cell>
          <cell r="V406">
            <v>-1.615</v>
          </cell>
          <cell r="X406" t="str">
            <v>--</v>
          </cell>
          <cell r="Y406">
            <v>-8.8800000000000008</v>
          </cell>
          <cell r="Z406">
            <v>0.249</v>
          </cell>
          <cell r="AA406">
            <v>-2.2519999999999998</v>
          </cell>
          <cell r="AC406">
            <v>-1.2769999999999999</v>
          </cell>
          <cell r="AD406">
            <v>-0.376</v>
          </cell>
          <cell r="AE406">
            <v>-2.6459999999999999</v>
          </cell>
          <cell r="AF406">
            <v>-54.5</v>
          </cell>
          <cell r="AH406">
            <v>-6.9</v>
          </cell>
          <cell r="AI406">
            <v>0</v>
          </cell>
          <cell r="AJ406">
            <v>0</v>
          </cell>
          <cell r="AK406">
            <v>0</v>
          </cell>
          <cell r="AM406">
            <v>0</v>
          </cell>
          <cell r="AN406">
            <v>0</v>
          </cell>
          <cell r="AO406">
            <v>0</v>
          </cell>
          <cell r="AP406">
            <v>0</v>
          </cell>
          <cell r="AR406">
            <v>0</v>
          </cell>
          <cell r="AS406">
            <v>0</v>
          </cell>
          <cell r="AT406">
            <v>0</v>
          </cell>
          <cell r="AU406">
            <v>0</v>
          </cell>
          <cell r="AW406">
            <v>36.445633520601064</v>
          </cell>
          <cell r="AX406">
            <v>194.447</v>
          </cell>
          <cell r="AY406">
            <v>-424.11599999999999</v>
          </cell>
          <cell r="AZ406">
            <v>-9.9779999999999998</v>
          </cell>
          <cell r="BA406">
            <v>-10.882999999999999</v>
          </cell>
          <cell r="BB406">
            <v>-58.798999999999999</v>
          </cell>
          <cell r="BC406">
            <v>-6.9</v>
          </cell>
          <cell r="BD406">
            <v>0</v>
          </cell>
          <cell r="BE406">
            <v>0</v>
          </cell>
          <cell r="BF406">
            <v>46.292591063953061</v>
          </cell>
          <cell r="BG406">
            <v>0</v>
          </cell>
          <cell r="BH406" t="str">
            <v>--</v>
          </cell>
          <cell r="BI406" t="str">
            <v>--</v>
          </cell>
          <cell r="BJ406">
            <v>-1000</v>
          </cell>
          <cell r="BK406" t="str">
            <v>--</v>
          </cell>
          <cell r="BL406" t="str">
            <v>--</v>
          </cell>
          <cell r="BM406" t="str">
            <v>--</v>
          </cell>
          <cell r="BN406" t="str">
            <v>--</v>
          </cell>
          <cell r="BO406" t="str">
            <v>--</v>
          </cell>
          <cell r="BP406" t="str">
            <v>--</v>
          </cell>
          <cell r="BQ406" t="str">
            <v>--</v>
          </cell>
          <cell r="BR406" t="str">
            <v>--</v>
          </cell>
          <cell r="BS406" t="str">
            <v>--</v>
          </cell>
          <cell r="BT406" t="str">
            <v>--</v>
          </cell>
          <cell r="BU406">
            <v>34.716748768472911</v>
          </cell>
          <cell r="BV406">
            <v>33.939024390243901</v>
          </cell>
          <cell r="BW406">
            <v>35.126934984520126</v>
          </cell>
          <cell r="BX406">
            <v>48.466531440162278</v>
          </cell>
          <cell r="BY406">
            <v>41.331168831168831</v>
          </cell>
          <cell r="BZ406">
            <v>38.625</v>
          </cell>
          <cell r="CA406">
            <v>37.960244648318046</v>
          </cell>
        </row>
        <row r="407">
          <cell r="A407" t="str">
            <v>Deferred Financing Costs</v>
          </cell>
          <cell r="B407" t="str">
            <v>dih</v>
          </cell>
          <cell r="D407" t="str">
            <v>--</v>
          </cell>
          <cell r="E407" t="str">
            <v>--</v>
          </cell>
          <cell r="F407" t="str">
            <v>--</v>
          </cell>
          <cell r="G407" t="str">
            <v>--</v>
          </cell>
          <cell r="I407" t="str">
            <v xml:space="preserve"> --</v>
          </cell>
          <cell r="J407" t="str">
            <v xml:space="preserve"> --</v>
          </cell>
          <cell r="K407" t="str">
            <v xml:space="preserve"> --</v>
          </cell>
          <cell r="L407">
            <v>37.623403044910944</v>
          </cell>
          <cell r="N407" t="str">
            <v>--</v>
          </cell>
          <cell r="O407">
            <v>-0.625</v>
          </cell>
          <cell r="P407">
            <v>-1.0980000000000001</v>
          </cell>
          <cell r="Q407">
            <v>-0.45600000000000002</v>
          </cell>
          <cell r="S407">
            <v>-0.41299999999999998</v>
          </cell>
          <cell r="T407">
            <v>-0.73299999999999998</v>
          </cell>
          <cell r="U407">
            <v>-0.115</v>
          </cell>
          <cell r="V407">
            <v>-0.23400000000000001</v>
          </cell>
          <cell r="X407">
            <v>-4.1000000000000002E-2</v>
          </cell>
          <cell r="Y407">
            <v>-6.3E-2</v>
          </cell>
          <cell r="Z407">
            <v>-0.01</v>
          </cell>
          <cell r="AA407">
            <v>-2.9000000000000001E-2</v>
          </cell>
          <cell r="AC407">
            <v>-1.4999999999999999E-2</v>
          </cell>
          <cell r="AD407">
            <v>-4.0000000000000001E-3</v>
          </cell>
          <cell r="AE407">
            <v>-4.0730000000000004</v>
          </cell>
          <cell r="AF407">
            <v>0.2</v>
          </cell>
          <cell r="AH407">
            <v>-0.4</v>
          </cell>
          <cell r="AI407">
            <v>0</v>
          </cell>
          <cell r="AJ407">
            <v>0</v>
          </cell>
          <cell r="AK407">
            <v>0</v>
          </cell>
          <cell r="AM407">
            <v>0</v>
          </cell>
          <cell r="AN407">
            <v>0</v>
          </cell>
          <cell r="AO407">
            <v>0</v>
          </cell>
          <cell r="AP407">
            <v>0</v>
          </cell>
          <cell r="AR407">
            <v>0</v>
          </cell>
          <cell r="AS407">
            <v>0</v>
          </cell>
          <cell r="AT407">
            <v>0</v>
          </cell>
          <cell r="AU407">
            <v>0</v>
          </cell>
          <cell r="AW407">
            <v>320.5</v>
          </cell>
          <cell r="AX407">
            <v>-0.78</v>
          </cell>
          <cell r="AY407">
            <v>-2.1789999999999998</v>
          </cell>
          <cell r="AZ407">
            <v>-1.4949999999999999</v>
          </cell>
          <cell r="BA407">
            <v>-0.14300000000000002</v>
          </cell>
          <cell r="BB407">
            <v>-3.8920000000000003</v>
          </cell>
          <cell r="BC407">
            <v>-0.4</v>
          </cell>
          <cell r="BD407">
            <v>0</v>
          </cell>
          <cell r="BE407">
            <v>0</v>
          </cell>
          <cell r="BF407">
            <v>47.395316940263299</v>
          </cell>
          <cell r="BG407" t="str">
            <v>--</v>
          </cell>
          <cell r="BH407" t="str">
            <v>--</v>
          </cell>
          <cell r="BI407" t="str">
            <v>--</v>
          </cell>
          <cell r="BJ407" t="str">
            <v>--</v>
          </cell>
          <cell r="BK407" t="str">
            <v>--</v>
          </cell>
          <cell r="BL407" t="str">
            <v>--</v>
          </cell>
          <cell r="BM407" t="str">
            <v>--</v>
          </cell>
          <cell r="BN407" t="str">
            <v>--</v>
          </cell>
          <cell r="BO407" t="str">
            <v>--</v>
          </cell>
          <cell r="BP407" t="str">
            <v>--</v>
          </cell>
          <cell r="BQ407" t="str">
            <v>--</v>
          </cell>
          <cell r="BR407" t="str">
            <v>--</v>
          </cell>
          <cell r="BS407" t="str">
            <v>--</v>
          </cell>
          <cell r="BT407" t="str">
            <v>--</v>
          </cell>
          <cell r="BU407" t="str">
            <v>--</v>
          </cell>
          <cell r="BV407">
            <v>38.559250498130169</v>
          </cell>
          <cell r="BW407">
            <v>39.245381049467014</v>
          </cell>
          <cell r="BX407">
            <v>47.050523735066228</v>
          </cell>
          <cell r="BY407">
            <v>45.314084311410511</v>
          </cell>
          <cell r="BZ407">
            <v>42.808874536538696</v>
          </cell>
          <cell r="CA407">
            <v>42.294782657717299</v>
          </cell>
        </row>
        <row r="408">
          <cell r="A408" t="str">
            <v>Issuance of Capital, net</v>
          </cell>
          <cell r="B408" t="str">
            <v>dso</v>
          </cell>
          <cell r="D408" t="str">
            <v>--</v>
          </cell>
          <cell r="E408" t="str">
            <v>--</v>
          </cell>
          <cell r="F408" t="str">
            <v>--</v>
          </cell>
          <cell r="G408" t="str">
            <v>--</v>
          </cell>
          <cell r="I408" t="str">
            <v xml:space="preserve"> --</v>
          </cell>
          <cell r="J408" t="str">
            <v xml:space="preserve"> --</v>
          </cell>
          <cell r="K408" t="str">
            <v xml:space="preserve"> --</v>
          </cell>
          <cell r="L408">
            <v>39.507814112387976</v>
          </cell>
          <cell r="N408">
            <v>1.2999999999999999E-2</v>
          </cell>
          <cell r="O408">
            <v>9.1419999999999995</v>
          </cell>
          <cell r="P408">
            <v>389.262</v>
          </cell>
          <cell r="Q408">
            <v>-1.6079999999999999</v>
          </cell>
          <cell r="S408">
            <v>252.66200000000003</v>
          </cell>
          <cell r="T408">
            <v>1.1439999999999999</v>
          </cell>
          <cell r="U408">
            <v>3.3140000000000001</v>
          </cell>
          <cell r="V408">
            <v>466.786</v>
          </cell>
          <cell r="X408">
            <v>737.25419999999997</v>
          </cell>
          <cell r="Y408">
            <v>0.63100000000000001</v>
          </cell>
          <cell r="Z408">
            <v>1.125</v>
          </cell>
          <cell r="AA408">
            <v>0.78400000000000003</v>
          </cell>
          <cell r="AC408">
            <v>4.08</v>
          </cell>
          <cell r="AD408">
            <v>707.94899999999996</v>
          </cell>
          <cell r="AE408">
            <v>2.6160000000000001</v>
          </cell>
          <cell r="AF408">
            <v>13.1</v>
          </cell>
          <cell r="AH408">
            <v>3.2</v>
          </cell>
          <cell r="AI408">
            <v>0</v>
          </cell>
          <cell r="AJ408">
            <v>0</v>
          </cell>
          <cell r="AK408">
            <v>0</v>
          </cell>
          <cell r="AM408">
            <v>0</v>
          </cell>
          <cell r="AN408">
            <v>0</v>
          </cell>
          <cell r="AO408">
            <v>0</v>
          </cell>
          <cell r="AP408">
            <v>0</v>
          </cell>
          <cell r="AR408">
            <v>0</v>
          </cell>
          <cell r="AS408">
            <v>0</v>
          </cell>
          <cell r="AT408">
            <v>0</v>
          </cell>
          <cell r="AU408">
            <v>0</v>
          </cell>
          <cell r="AW408">
            <v>51.790713482895711</v>
          </cell>
          <cell r="AX408">
            <v>163.124</v>
          </cell>
          <cell r="AY408">
            <v>396.80899999999997</v>
          </cell>
          <cell r="AZ408">
            <v>723.90600000000006</v>
          </cell>
          <cell r="BA408">
            <v>739.79419999999993</v>
          </cell>
          <cell r="BB408">
            <v>727.745</v>
          </cell>
          <cell r="BC408">
            <v>3.2</v>
          </cell>
          <cell r="BD408">
            <v>0</v>
          </cell>
          <cell r="BE408">
            <v>0</v>
          </cell>
          <cell r="BF408">
            <v>46.292591063953061</v>
          </cell>
          <cell r="BG408" t="str">
            <v>--</v>
          </cell>
          <cell r="BH408" t="str">
            <v>--</v>
          </cell>
          <cell r="BI408" t="str">
            <v>--</v>
          </cell>
          <cell r="BJ408" t="str">
            <v>--</v>
          </cell>
          <cell r="BK408">
            <v>0</v>
          </cell>
          <cell r="BL408">
            <v>0</v>
          </cell>
          <cell r="BM408">
            <v>0</v>
          </cell>
          <cell r="BN408">
            <v>0</v>
          </cell>
          <cell r="BO408">
            <v>0</v>
          </cell>
          <cell r="BP408">
            <v>0</v>
          </cell>
          <cell r="BQ408">
            <v>0</v>
          </cell>
          <cell r="BR408">
            <v>0</v>
          </cell>
          <cell r="BS408">
            <v>-1303.9569742636545</v>
          </cell>
          <cell r="BT408">
            <v>-1191.8331570795758</v>
          </cell>
          <cell r="BU408">
            <v>-1240.7209491341682</v>
          </cell>
          <cell r="BV408">
            <v>33.026923076923076</v>
          </cell>
          <cell r="BW408">
            <v>35.126934984520119</v>
          </cell>
          <cell r="BX408">
            <v>48.466531440162271</v>
          </cell>
          <cell r="BY408">
            <v>41.331168831168831</v>
          </cell>
          <cell r="BZ408">
            <v>38.624999999999993</v>
          </cell>
          <cell r="CA408">
            <v>37.939857288481143</v>
          </cell>
        </row>
        <row r="409">
          <cell r="A409" t="str">
            <v>Issuance of Convertible Debt, net</v>
          </cell>
          <cell r="B409" t="str">
            <v>dpo</v>
          </cell>
          <cell r="D409" t="str">
            <v>--</v>
          </cell>
          <cell r="E409" t="str">
            <v>--</v>
          </cell>
          <cell r="F409" t="str">
            <v>--</v>
          </cell>
          <cell r="G409" t="str">
            <v>--</v>
          </cell>
          <cell r="I409" t="str">
            <v xml:space="preserve"> --</v>
          </cell>
          <cell r="J409" t="str">
            <v xml:space="preserve"> --</v>
          </cell>
          <cell r="K409" t="str">
            <v xml:space="preserve"> --</v>
          </cell>
          <cell r="L409">
            <v>51.372802241528476</v>
          </cell>
          <cell r="N409" t="str">
            <v>--</v>
          </cell>
          <cell r="O409" t="str">
            <v>--</v>
          </cell>
          <cell r="P409" t="str">
            <v>--</v>
          </cell>
          <cell r="Q409" t="str">
            <v>--</v>
          </cell>
          <cell r="S409" t="str">
            <v>--</v>
          </cell>
          <cell r="T409" t="str">
            <v>--</v>
          </cell>
          <cell r="U409" t="str">
            <v>--</v>
          </cell>
          <cell r="V409" t="str">
            <v>--</v>
          </cell>
          <cell r="X409" t="str">
            <v>--</v>
          </cell>
          <cell r="Y409" t="str">
            <v>--</v>
          </cell>
          <cell r="Z409">
            <v>843.46</v>
          </cell>
          <cell r="AA409" t="str">
            <v>--</v>
          </cell>
          <cell r="AC409" t="str">
            <v>--</v>
          </cell>
          <cell r="AD409" t="str">
            <v>--</v>
          </cell>
          <cell r="AE409" t="str">
            <v xml:space="preserve"> --</v>
          </cell>
          <cell r="AF409" t="str">
            <v xml:space="preserve"> --</v>
          </cell>
          <cell r="AH409">
            <v>0</v>
          </cell>
          <cell r="AI409">
            <v>0</v>
          </cell>
          <cell r="AJ409">
            <v>0</v>
          </cell>
          <cell r="AK409">
            <v>0</v>
          </cell>
          <cell r="AM409">
            <v>0</v>
          </cell>
          <cell r="AN409">
            <v>0</v>
          </cell>
          <cell r="AO409">
            <v>0</v>
          </cell>
          <cell r="AP409">
            <v>0</v>
          </cell>
          <cell r="AR409">
            <v>0</v>
          </cell>
          <cell r="AS409">
            <v>0</v>
          </cell>
          <cell r="AT409">
            <v>0</v>
          </cell>
          <cell r="AU409">
            <v>0</v>
          </cell>
          <cell r="AW409">
            <v>49.525105550716155</v>
          </cell>
          <cell r="AX409" t="str">
            <v>--</v>
          </cell>
          <cell r="AY409" t="str">
            <v>--</v>
          </cell>
          <cell r="AZ409" t="str">
            <v>--</v>
          </cell>
          <cell r="BA409">
            <v>843.46</v>
          </cell>
          <cell r="BB409">
            <v>0</v>
          </cell>
          <cell r="BC409">
            <v>0</v>
          </cell>
          <cell r="BD409">
            <v>0</v>
          </cell>
          <cell r="BE409">
            <v>0</v>
          </cell>
          <cell r="BF409">
            <v>60.919136361861128</v>
          </cell>
          <cell r="BG409" t="str">
            <v>--</v>
          </cell>
          <cell r="BH409" t="str">
            <v>--</v>
          </cell>
          <cell r="BI409" t="str">
            <v>--</v>
          </cell>
          <cell r="BJ409" t="str">
            <v>--</v>
          </cell>
          <cell r="BK409" t="str">
            <v>--</v>
          </cell>
          <cell r="BL409" t="str">
            <v>--</v>
          </cell>
          <cell r="BM409" t="str">
            <v>--</v>
          </cell>
          <cell r="BN409" t="str">
            <v>--</v>
          </cell>
          <cell r="BO409" t="str">
            <v>--</v>
          </cell>
          <cell r="BP409" t="str">
            <v>--</v>
          </cell>
          <cell r="BQ409" t="str">
            <v>--</v>
          </cell>
          <cell r="BR409" t="str">
            <v>--</v>
          </cell>
          <cell r="BS409" t="str">
            <v>--</v>
          </cell>
          <cell r="BT409" t="str">
            <v>--</v>
          </cell>
          <cell r="BU409">
            <v>50.16198704103671</v>
          </cell>
          <cell r="BV409">
            <v>47.913382008006636</v>
          </cell>
          <cell r="BW409">
            <v>51.096671798673277</v>
          </cell>
          <cell r="BX409">
            <v>61.89443996776793</v>
          </cell>
          <cell r="BY409">
            <v>55.254010695187162</v>
          </cell>
          <cell r="BZ409">
            <v>47.349462365591393</v>
          </cell>
          <cell r="CA409">
            <v>47.952921294060843</v>
          </cell>
        </row>
        <row r="410">
          <cell r="A410" t="str">
            <v>Other</v>
          </cell>
          <cell r="B410" t="str">
            <v>ccycle</v>
          </cell>
          <cell r="D410" t="str">
            <v>--</v>
          </cell>
          <cell r="E410" t="str">
            <v>--</v>
          </cell>
          <cell r="F410" t="str">
            <v>--</v>
          </cell>
          <cell r="G410" t="str">
            <v>--</v>
          </cell>
          <cell r="I410" t="str">
            <v xml:space="preserve"> --</v>
          </cell>
          <cell r="J410" t="str">
            <v xml:space="preserve"> --</v>
          </cell>
          <cell r="K410" t="str">
            <v xml:space="preserve"> --</v>
          </cell>
          <cell r="L410">
            <v>25.758414915770445</v>
          </cell>
          <cell r="N410">
            <v>0.20499999999999999</v>
          </cell>
          <cell r="O410">
            <v>-6.8940000000000001</v>
          </cell>
          <cell r="P410">
            <v>-2.8000000000000001E-2</v>
          </cell>
          <cell r="Q410">
            <v>-1.7000000000000001E-2</v>
          </cell>
          <cell r="S410">
            <v>0.995</v>
          </cell>
          <cell r="T410">
            <v>-0.10299999999999999</v>
          </cell>
          <cell r="U410">
            <v>-3.395</v>
          </cell>
          <cell r="V410">
            <v>1.4850000000000001</v>
          </cell>
          <cell r="X410">
            <v>-0.879</v>
          </cell>
          <cell r="Y410">
            <v>-2.4889999999999999</v>
          </cell>
          <cell r="Z410">
            <v>3.2759999999999998</v>
          </cell>
          <cell r="AA410">
            <v>2.1989999999999998</v>
          </cell>
          <cell r="AC410" t="str">
            <v>--</v>
          </cell>
          <cell r="AD410">
            <v>-1</v>
          </cell>
          <cell r="AE410">
            <v>0.91700000000000004</v>
          </cell>
          <cell r="AF410">
            <v>1.1000000000000001</v>
          </cell>
          <cell r="AH410">
            <v>-0.8</v>
          </cell>
          <cell r="AI410">
            <v>0</v>
          </cell>
          <cell r="AJ410">
            <v>0</v>
          </cell>
          <cell r="AK410">
            <v>0</v>
          </cell>
          <cell r="AM410">
            <v>0</v>
          </cell>
          <cell r="AN410">
            <v>0</v>
          </cell>
          <cell r="AO410">
            <v>0</v>
          </cell>
          <cell r="AP410">
            <v>0</v>
          </cell>
          <cell r="AR410">
            <v>0</v>
          </cell>
          <cell r="AS410">
            <v>0</v>
          </cell>
          <cell r="AT410">
            <v>0</v>
          </cell>
          <cell r="AU410">
            <v>0</v>
          </cell>
          <cell r="AW410">
            <v>34.208752410764156</v>
          </cell>
          <cell r="AX410">
            <v>-0.91200000000000003</v>
          </cell>
          <cell r="AY410">
            <v>-6.734</v>
          </cell>
          <cell r="AZ410">
            <v>-1.018</v>
          </cell>
          <cell r="BA410">
            <v>2.1069999999999998</v>
          </cell>
          <cell r="BB410">
            <v>1.0170000000000001</v>
          </cell>
          <cell r="BC410">
            <v>-0.8</v>
          </cell>
          <cell r="BD410">
            <v>0</v>
          </cell>
          <cell r="BE410">
            <v>0</v>
          </cell>
          <cell r="BF410">
            <v>32.768771642355226</v>
          </cell>
          <cell r="BG410" t="str">
            <v>--</v>
          </cell>
          <cell r="BH410" t="str">
            <v>--</v>
          </cell>
          <cell r="BI410" t="str">
            <v>--</v>
          </cell>
          <cell r="BJ410" t="str">
            <v>--</v>
          </cell>
          <cell r="BK410" t="str">
            <v>--</v>
          </cell>
          <cell r="BL410" t="str">
            <v>--</v>
          </cell>
          <cell r="BM410" t="str">
            <v>--</v>
          </cell>
          <cell r="BN410" t="str">
            <v>--</v>
          </cell>
          <cell r="BO410" t="str">
            <v>--</v>
          </cell>
          <cell r="BP410" t="str">
            <v>--</v>
          </cell>
          <cell r="BQ410" t="str">
            <v>--</v>
          </cell>
          <cell r="BR410" t="str">
            <v>--</v>
          </cell>
          <cell r="BS410" t="str">
            <v>--</v>
          </cell>
          <cell r="BT410" t="str">
            <v>--</v>
          </cell>
          <cell r="BU410">
            <v>25.647362989285995</v>
          </cell>
          <cell r="BV410">
            <v>25.574156777678525</v>
          </cell>
          <cell r="BW410">
            <v>23.27564423531387</v>
          </cell>
          <cell r="BX410">
            <v>33.622615207460576</v>
          </cell>
          <cell r="BY410">
            <v>31.391242447392187</v>
          </cell>
          <cell r="BZ410">
            <v>34.062275985663092</v>
          </cell>
          <cell r="CA410">
            <v>32.324004357663981</v>
          </cell>
        </row>
        <row r="411">
          <cell r="A411" t="str">
            <v>Other</v>
          </cell>
          <cell r="B411" t="str">
            <v>dpo</v>
          </cell>
          <cell r="D411" t="str">
            <v>--</v>
          </cell>
          <cell r="E411" t="str">
            <v>--</v>
          </cell>
          <cell r="F411" t="str">
            <v>--</v>
          </cell>
          <cell r="G411" t="str">
            <v>--</v>
          </cell>
          <cell r="I411" t="str">
            <v xml:space="preserve"> --</v>
          </cell>
          <cell r="J411" t="str">
            <v xml:space="preserve"> --</v>
          </cell>
          <cell r="K411" t="str">
            <v xml:space="preserve"> --</v>
          </cell>
          <cell r="L411">
            <v>51.372802241528476</v>
          </cell>
          <cell r="N411">
            <v>0.20499999999999999</v>
          </cell>
          <cell r="O411">
            <v>-6.8940000000000001</v>
          </cell>
          <cell r="P411">
            <v>-2.8000000000000001E-2</v>
          </cell>
          <cell r="Q411">
            <v>-1.7000000000000001E-2</v>
          </cell>
          <cell r="S411">
            <v>0.995</v>
          </cell>
          <cell r="T411">
            <v>-0.10299999999999999</v>
          </cell>
          <cell r="U411">
            <v>-3.395</v>
          </cell>
          <cell r="V411">
            <v>1.4850000000000001</v>
          </cell>
          <cell r="X411">
            <v>-0.879</v>
          </cell>
          <cell r="Y411">
            <v>-2.4889999999999999</v>
          </cell>
          <cell r="Z411">
            <v>3.2759999999999998</v>
          </cell>
          <cell r="AA411">
            <v>2.1989999999999998</v>
          </cell>
          <cell r="AC411" t="str">
            <v>--</v>
          </cell>
          <cell r="AD411">
            <v>-1</v>
          </cell>
          <cell r="AE411">
            <v>0.91700000000000004</v>
          </cell>
          <cell r="AF411">
            <v>1.1000000000000001</v>
          </cell>
          <cell r="AH411">
            <v>-0.8</v>
          </cell>
          <cell r="AI411">
            <v>0.7</v>
          </cell>
          <cell r="AJ411">
            <v>0</v>
          </cell>
          <cell r="AK411">
            <v>0</v>
          </cell>
          <cell r="AM411">
            <v>0</v>
          </cell>
          <cell r="AN411">
            <v>0</v>
          </cell>
          <cell r="AO411">
            <v>0</v>
          </cell>
          <cell r="AP411">
            <v>0</v>
          </cell>
          <cell r="AR411">
            <v>0</v>
          </cell>
          <cell r="AS411">
            <v>0</v>
          </cell>
          <cell r="AT411">
            <v>0</v>
          </cell>
          <cell r="AU411">
            <v>0</v>
          </cell>
          <cell r="AW411">
            <v>49.553832373058803</v>
          </cell>
          <cell r="AX411">
            <v>-0.91200000000000003</v>
          </cell>
          <cell r="AY411">
            <v>-6.734</v>
          </cell>
          <cell r="AZ411">
            <v>-1.018</v>
          </cell>
          <cell r="BA411">
            <v>2.1069999999999998</v>
          </cell>
          <cell r="BB411">
            <v>1.0170000000000001</v>
          </cell>
          <cell r="BC411">
            <v>-0.10000000000000009</v>
          </cell>
          <cell r="BD411">
            <v>0</v>
          </cell>
          <cell r="BE411">
            <v>0</v>
          </cell>
          <cell r="BF411">
            <v>60.919136361861128</v>
          </cell>
          <cell r="BG411" t="str">
            <v>--</v>
          </cell>
          <cell r="BH411" t="str">
            <v>--</v>
          </cell>
          <cell r="BI411" t="str">
            <v>--</v>
          </cell>
          <cell r="BJ411" t="str">
            <v>--</v>
          </cell>
          <cell r="BK411" t="str">
            <v>--</v>
          </cell>
          <cell r="BL411" t="str">
            <v>--</v>
          </cell>
          <cell r="BM411" t="str">
            <v>--</v>
          </cell>
          <cell r="BN411" t="str">
            <v>--</v>
          </cell>
          <cell r="BO411" t="str">
            <v>--</v>
          </cell>
          <cell r="BP411" t="str">
            <v>--</v>
          </cell>
          <cell r="BQ411" t="str">
            <v>--</v>
          </cell>
          <cell r="BR411" t="str">
            <v>--</v>
          </cell>
          <cell r="BS411" t="str">
            <v>--</v>
          </cell>
          <cell r="BT411" t="str">
            <v>--</v>
          </cell>
          <cell r="BU411" t="str">
            <v>--</v>
          </cell>
          <cell r="BV411">
            <v>46.814199899883199</v>
          </cell>
          <cell r="BW411">
            <v>51.09667179867327</v>
          </cell>
          <cell r="BX411">
            <v>61.89443996776793</v>
          </cell>
          <cell r="BY411">
            <v>55.254010695187162</v>
          </cell>
          <cell r="BZ411">
            <v>47.374058127018294</v>
          </cell>
          <cell r="CA411">
            <v>47.928778367938193</v>
          </cell>
        </row>
        <row r="412">
          <cell r="A412" t="str">
            <v>Total Cash Generated</v>
          </cell>
          <cell r="B412" t="str">
            <v>ccycle</v>
          </cell>
          <cell r="D412" t="str">
            <v>--</v>
          </cell>
          <cell r="E412" t="str">
            <v>--</v>
          </cell>
          <cell r="F412" t="str">
            <v>--</v>
          </cell>
          <cell r="G412" t="str">
            <v>--</v>
          </cell>
          <cell r="I412" t="str">
            <v xml:space="preserve"> --</v>
          </cell>
          <cell r="J412" t="str">
            <v xml:space="preserve"> --</v>
          </cell>
          <cell r="K412" t="str">
            <v xml:space="preserve"> --</v>
          </cell>
          <cell r="L412">
            <v>8.7623520353870887E-2</v>
          </cell>
          <cell r="N412">
            <v>0.74600000000000222</v>
          </cell>
          <cell r="O412">
            <v>0.59400000000000119</v>
          </cell>
          <cell r="P412">
            <v>-59.799000000000063</v>
          </cell>
          <cell r="Q412">
            <v>-12.591000000000008</v>
          </cell>
          <cell r="S412">
            <v>177.01400000000004</v>
          </cell>
          <cell r="T412">
            <v>-114.8</v>
          </cell>
          <cell r="U412">
            <v>-20.488000000000014</v>
          </cell>
          <cell r="V412">
            <v>298.07500000000005</v>
          </cell>
          <cell r="X412">
            <v>558.86619999999994</v>
          </cell>
          <cell r="Y412">
            <v>-646.74099999999999</v>
          </cell>
          <cell r="Z412">
            <v>658.846</v>
          </cell>
          <cell r="AA412">
            <v>-58.737000000000023</v>
          </cell>
          <cell r="AC412">
            <v>-400.89599999999996</v>
          </cell>
          <cell r="AD412">
            <v>778.39900000000011</v>
          </cell>
          <cell r="AE412">
            <v>-295.35999999999996</v>
          </cell>
          <cell r="AF412">
            <v>376.8950000000001</v>
          </cell>
          <cell r="AH412">
            <v>139.99999999999986</v>
          </cell>
          <cell r="AI412">
            <v>114.29005534211417</v>
          </cell>
          <cell r="AJ412">
            <v>77.221072691670145</v>
          </cell>
          <cell r="AK412">
            <v>134.64945784761204</v>
          </cell>
          <cell r="AM412">
            <v>59.282418202204006</v>
          </cell>
          <cell r="AN412">
            <v>94.35359112470907</v>
          </cell>
          <cell r="AO412">
            <v>60.770210102186624</v>
          </cell>
          <cell r="AP412">
            <v>53.936783336794349</v>
          </cell>
          <cell r="AR412">
            <v>88.09355115169636</v>
          </cell>
          <cell r="AS412">
            <v>109.21456638966953</v>
          </cell>
          <cell r="AT412">
            <v>76.052849675669506</v>
          </cell>
          <cell r="AU412">
            <v>112.2179729352018</v>
          </cell>
          <cell r="AW412">
            <v>0.10369186324482377</v>
          </cell>
          <cell r="AX412">
            <v>82.925000000000011</v>
          </cell>
          <cell r="AY412">
            <v>-74.330999999999989</v>
          </cell>
          <cell r="AZ412">
            <v>339.80100000000004</v>
          </cell>
          <cell r="BA412">
            <v>512.23419999999987</v>
          </cell>
          <cell r="BB412">
            <v>459.0380000000003</v>
          </cell>
          <cell r="BC412">
            <v>466.16058588139623</v>
          </cell>
          <cell r="BD412">
            <v>268.34300276589403</v>
          </cell>
          <cell r="BE412">
            <v>385.57894015223724</v>
          </cell>
          <cell r="BF412">
            <v>0.12311103021664624</v>
          </cell>
          <cell r="BG412">
            <v>207.26759914132015</v>
          </cell>
          <cell r="BH412">
            <v>-529.56115480631865</v>
          </cell>
          <cell r="BI412">
            <v>-280.35917460383212</v>
          </cell>
          <cell r="BJ412">
            <v>-1070.0295230137308</v>
          </cell>
          <cell r="BK412">
            <v>199.51265497235102</v>
          </cell>
          <cell r="BL412">
            <v>192.64863133178869</v>
          </cell>
          <cell r="BM412">
            <v>-378.93629657358883</v>
          </cell>
          <cell r="BN412">
            <v>-306.57316517392587</v>
          </cell>
          <cell r="BO412">
            <v>-194.58717646817445</v>
          </cell>
          <cell r="BP412">
            <v>408.99584567288048</v>
          </cell>
          <cell r="BQ412">
            <v>873.47520676542217</v>
          </cell>
          <cell r="BR412">
            <v>1339.3035270194628</v>
          </cell>
          <cell r="BS412">
            <v>587.69957866077402</v>
          </cell>
          <cell r="BT412">
            <v>1153.0536521615841</v>
          </cell>
          <cell r="BU412">
            <v>8.4361111111111109E-2</v>
          </cell>
          <cell r="BV412">
            <v>6.2053921568627435E-2</v>
          </cell>
          <cell r="BW412">
            <v>6.764195402298849E-2</v>
          </cell>
          <cell r="BX412">
            <v>0.10425230880230879</v>
          </cell>
          <cell r="BY412">
            <v>9.8125000000000004E-2</v>
          </cell>
          <cell r="BZ412">
            <v>9.6564814814814812E-2</v>
          </cell>
          <cell r="CA412">
            <v>8.7200474254742588E-2</v>
          </cell>
        </row>
        <row r="413">
          <cell r="A413" t="str">
            <v>Total Cash Generated</v>
          </cell>
          <cell r="B413" t="str">
            <v>ccycle</v>
          </cell>
          <cell r="D413" t="str">
            <v>--</v>
          </cell>
          <cell r="E413" t="str">
            <v>--</v>
          </cell>
          <cell r="F413" t="str">
            <v>--</v>
          </cell>
          <cell r="G413" t="str">
            <v>--</v>
          </cell>
          <cell r="I413" t="str">
            <v xml:space="preserve"> --</v>
          </cell>
          <cell r="J413" t="str">
            <v xml:space="preserve"> --</v>
          </cell>
          <cell r="K413" t="str">
            <v xml:space="preserve"> --</v>
          </cell>
          <cell r="L413">
            <v>8.7623520353870887E-2</v>
          </cell>
          <cell r="N413">
            <v>0.74600000000000222</v>
          </cell>
          <cell r="O413">
            <v>0.59400000000000119</v>
          </cell>
          <cell r="P413">
            <v>-59.799000000000063</v>
          </cell>
          <cell r="Q413">
            <v>-12.591000000000008</v>
          </cell>
          <cell r="S413">
            <v>177.01400000000004</v>
          </cell>
          <cell r="T413">
            <v>-114.8</v>
          </cell>
          <cell r="U413">
            <v>-20.488000000000014</v>
          </cell>
          <cell r="V413">
            <v>298.07500000000005</v>
          </cell>
          <cell r="X413">
            <v>558.86619999999994</v>
          </cell>
          <cell r="Y413">
            <v>-646.74099999999999</v>
          </cell>
          <cell r="Z413">
            <v>658.846</v>
          </cell>
          <cell r="AA413">
            <v>-58.737000000000023</v>
          </cell>
          <cell r="AC413">
            <v>-400.89599999999996</v>
          </cell>
          <cell r="AD413">
            <v>778.39900000000011</v>
          </cell>
          <cell r="AE413">
            <v>-295.35999999999996</v>
          </cell>
          <cell r="AF413">
            <v>376.8950000000001</v>
          </cell>
          <cell r="AH413">
            <v>139.99999999999986</v>
          </cell>
          <cell r="AI413">
            <v>200.89999999999998</v>
          </cell>
          <cell r="AJ413">
            <v>7.4828932556773964</v>
          </cell>
          <cell r="AK413">
            <v>138.22089364957333</v>
          </cell>
          <cell r="AM413">
            <v>22.402308268742665</v>
          </cell>
          <cell r="AN413">
            <v>98.820088464092876</v>
          </cell>
          <cell r="AO413">
            <v>55.737443784518618</v>
          </cell>
          <cell r="AP413">
            <v>172.65581943534079</v>
          </cell>
          <cell r="AR413">
            <v>-6.3667307497151313</v>
          </cell>
          <cell r="AS413">
            <v>95.348778646304694</v>
          </cell>
          <cell r="AT413">
            <v>58.878906336730907</v>
          </cell>
          <cell r="AU413">
            <v>172.05402600283202</v>
          </cell>
          <cell r="AW413">
            <v>46.044453735575345</v>
          </cell>
          <cell r="AX413">
            <v>82.925000000000011</v>
          </cell>
          <cell r="AY413">
            <v>-74.330999999999989</v>
          </cell>
          <cell r="AZ413">
            <v>339.80100000000004</v>
          </cell>
          <cell r="BA413">
            <v>512.23419999999987</v>
          </cell>
          <cell r="BB413">
            <v>459.0380000000003</v>
          </cell>
          <cell r="BC413">
            <v>486.60378690525056</v>
          </cell>
          <cell r="BD413">
            <v>349.61565995269495</v>
          </cell>
          <cell r="BE413">
            <v>319.91498023615247</v>
          </cell>
          <cell r="BF413">
            <v>0.12311103021664624</v>
          </cell>
          <cell r="BG413">
            <v>293.54924252972251</v>
          </cell>
          <cell r="BH413">
            <v>-421.75453431673969</v>
          </cell>
          <cell r="BI413">
            <v>-351.8008669732987</v>
          </cell>
          <cell r="BJ413">
            <v>-1620.9659364774827</v>
          </cell>
          <cell r="BK413">
            <v>223.45190909222254</v>
          </cell>
          <cell r="BL413">
            <v>212.84814566675846</v>
          </cell>
          <cell r="BM413">
            <v>-378.04971451552251</v>
          </cell>
          <cell r="BN413">
            <v>-304.25668992670489</v>
          </cell>
          <cell r="BO413">
            <v>-188.45731121342442</v>
          </cell>
          <cell r="BP413">
            <v>434.35296770445939</v>
          </cell>
          <cell r="BQ413">
            <v>914.41457594977373</v>
          </cell>
          <cell r="BR413">
            <v>1395.4879718214547</v>
          </cell>
          <cell r="BS413">
            <v>914.63280229075326</v>
          </cell>
          <cell r="BT413">
            <v>1216.1032895467015</v>
          </cell>
          <cell r="BU413">
            <v>1663.2281787645061</v>
          </cell>
          <cell r="BV413">
            <v>24.771973675170038</v>
          </cell>
          <cell r="BW413">
            <v>23.275644235313862</v>
          </cell>
          <cell r="BX413">
            <v>33.622615207460576</v>
          </cell>
          <cell r="BY413">
            <v>31.391242447392187</v>
          </cell>
          <cell r="BZ413">
            <v>34.059816409520401</v>
          </cell>
          <cell r="CA413">
            <v>32.305861578260249</v>
          </cell>
        </row>
        <row r="414">
          <cell r="A414" t="str">
            <v>Free Cash Flow</v>
          </cell>
          <cell r="B414" t="str">
            <v>roe</v>
          </cell>
          <cell r="D414" t="str">
            <v xml:space="preserve"> --</v>
          </cell>
          <cell r="E414" t="str">
            <v xml:space="preserve"> --</v>
          </cell>
          <cell r="F414" t="str">
            <v xml:space="preserve"> --</v>
          </cell>
          <cell r="G414" t="str">
            <v xml:space="preserve"> --</v>
          </cell>
          <cell r="I414" t="str">
            <v xml:space="preserve"> --</v>
          </cell>
          <cell r="J414" t="str">
            <v xml:space="preserve"> --</v>
          </cell>
          <cell r="K414" t="str">
            <v xml:space="preserve"> --</v>
          </cell>
          <cell r="L414">
            <v>2.2134742998537835E-2</v>
          </cell>
          <cell r="N414">
            <v>-5.2029999999999959</v>
          </cell>
          <cell r="O414">
            <v>-8.5450000000000017</v>
          </cell>
          <cell r="P414">
            <v>7.5589999999999886</v>
          </cell>
          <cell r="Q414">
            <v>25.277999999999999</v>
          </cell>
          <cell r="S414">
            <v>-74.090999999999994</v>
          </cell>
          <cell r="T414">
            <v>-108.125</v>
          </cell>
          <cell r="U414">
            <v>-5.6990000000000123</v>
          </cell>
          <cell r="V414">
            <v>-118.273</v>
          </cell>
          <cell r="X414">
            <v>-42.915999999999997</v>
          </cell>
          <cell r="Y414">
            <v>-195.40599999999998</v>
          </cell>
          <cell r="Z414">
            <v>-164.06200000000001</v>
          </cell>
          <cell r="AA414">
            <v>34.47799999999998</v>
          </cell>
          <cell r="AC414">
            <v>-337.57799999999997</v>
          </cell>
          <cell r="AD414">
            <v>152.91900000000021</v>
          </cell>
          <cell r="AE414">
            <v>423.73</v>
          </cell>
          <cell r="AF414">
            <v>852.19500000000005</v>
          </cell>
          <cell r="AH414">
            <v>247.79999999999987</v>
          </cell>
          <cell r="AI414">
            <v>114.29005534211417</v>
          </cell>
          <cell r="AJ414">
            <v>77.221072691670145</v>
          </cell>
          <cell r="AK414">
            <v>134.64945784761204</v>
          </cell>
          <cell r="AM414">
            <v>59.282418202204006</v>
          </cell>
          <cell r="AN414">
            <v>94.35359112470907</v>
          </cell>
          <cell r="AO414">
            <v>60.770210102186624</v>
          </cell>
          <cell r="AP414">
            <v>53.936783336794349</v>
          </cell>
          <cell r="AR414">
            <v>88.09355115169636</v>
          </cell>
          <cell r="AS414">
            <v>109.21456638966953</v>
          </cell>
          <cell r="AT414">
            <v>76.052849675669506</v>
          </cell>
          <cell r="AU414">
            <v>112.2179729352018</v>
          </cell>
          <cell r="AW414">
            <v>2.2480912490569622E-2</v>
          </cell>
          <cell r="AX414">
            <v>1.3950000000000031</v>
          </cell>
          <cell r="AY414">
            <v>15.808000000000007</v>
          </cell>
          <cell r="AZ414">
            <v>-306.18799999999999</v>
          </cell>
          <cell r="BA414">
            <v>-367.90599999999995</v>
          </cell>
          <cell r="BB414">
            <v>1091.2660000000003</v>
          </cell>
          <cell r="BC414">
            <v>573.96058588139624</v>
          </cell>
          <cell r="BD414">
            <v>268.34300276589403</v>
          </cell>
          <cell r="BE414">
            <v>385.57894015223724</v>
          </cell>
          <cell r="BF414">
            <v>9.6878366859450935E-2</v>
          </cell>
          <cell r="BG414">
            <v>188.27082261087131</v>
          </cell>
          <cell r="BH414">
            <v>113.61297293520181</v>
          </cell>
          <cell r="BI414">
            <v>17.20300000000001</v>
          </cell>
          <cell r="BJ414">
            <v>-288.98499999999996</v>
          </cell>
          <cell r="BK414">
            <v>-656.89099999999985</v>
          </cell>
          <cell r="BL414">
            <v>432.98000000000036</v>
          </cell>
          <cell r="BM414">
            <v>991.13258588139661</v>
          </cell>
          <cell r="BN414">
            <v>1565.6635886472907</v>
          </cell>
          <cell r="BO414">
            <v>2319.1485287995279</v>
          </cell>
          <cell r="BP414">
            <v>1227.8825287995276</v>
          </cell>
          <cell r="BQ414">
            <v>842.19276552900249</v>
          </cell>
          <cell r="BR414">
            <v>687.46273569831033</v>
          </cell>
          <cell r="BS414">
            <v>319.08679554607312</v>
          </cell>
          <cell r="BT414">
            <v>30.101795546073163</v>
          </cell>
          <cell r="BU414">
            <v>0.10659029421200156</v>
          </cell>
          <cell r="BV414">
            <v>0.1310605921746881</v>
          </cell>
          <cell r="BW414">
            <v>0.12408330667973014</v>
          </cell>
          <cell r="BX414">
            <v>2.6276703454949441E-2</v>
          </cell>
          <cell r="BY414">
            <v>6.5105366448974827E-2</v>
          </cell>
          <cell r="BZ414">
            <v>8.8686843949503213E-2</v>
          </cell>
          <cell r="CA414">
            <v>8.6460120777510946E-2</v>
          </cell>
        </row>
        <row r="415">
          <cell r="A415" t="str">
            <v>Cash From Operations</v>
          </cell>
          <cell r="B415" t="str">
            <v>roe</v>
          </cell>
          <cell r="D415" t="str">
            <v xml:space="preserve"> --</v>
          </cell>
          <cell r="E415" t="str">
            <v xml:space="preserve"> --</v>
          </cell>
          <cell r="F415" t="str">
            <v xml:space="preserve"> --</v>
          </cell>
          <cell r="G415" t="str">
            <v xml:space="preserve"> --</v>
          </cell>
          <cell r="I415" t="str">
            <v xml:space="preserve"> --</v>
          </cell>
          <cell r="J415" t="str">
            <v xml:space="preserve"> --</v>
          </cell>
          <cell r="K415" t="str">
            <v xml:space="preserve"> --</v>
          </cell>
          <cell r="L415">
            <v>2.2134742998537835E-2</v>
          </cell>
          <cell r="N415">
            <v>13.235000000000003</v>
          </cell>
          <cell r="O415">
            <v>11.004999999999999</v>
          </cell>
          <cell r="P415">
            <v>22.455999999999989</v>
          </cell>
          <cell r="Q415">
            <v>38.162999999999997</v>
          </cell>
          <cell r="S415">
            <v>-32.258999999999993</v>
          </cell>
          <cell r="T415">
            <v>-70.85499999999999</v>
          </cell>
          <cell r="U415">
            <v>70.408999999999992</v>
          </cell>
          <cell r="V415">
            <v>-61.652000000000001</v>
          </cell>
          <cell r="X415">
            <v>25.676000000000002</v>
          </cell>
          <cell r="Y415">
            <v>-166.09499999999997</v>
          </cell>
          <cell r="Z415">
            <v>-98.028999999999996</v>
          </cell>
          <cell r="AA415">
            <v>153.32199999999997</v>
          </cell>
          <cell r="AC415">
            <v>-261.04499999999996</v>
          </cell>
          <cell r="AD415">
            <v>212.17100000000022</v>
          </cell>
          <cell r="AE415">
            <v>449.71500000000003</v>
          </cell>
          <cell r="AF415">
            <v>889.3950000000001</v>
          </cell>
          <cell r="AH415">
            <v>273.89999999999986</v>
          </cell>
          <cell r="AI415">
            <v>143.18196709211418</v>
          </cell>
          <cell r="AJ415">
            <v>111.06731535417015</v>
          </cell>
          <cell r="AK415">
            <v>170.84861135473705</v>
          </cell>
          <cell r="AM415">
            <v>106.56960341971401</v>
          </cell>
          <cell r="AN415">
            <v>143.18122311263548</v>
          </cell>
          <cell r="AO415">
            <v>111.95736892238594</v>
          </cell>
          <cell r="AP415">
            <v>110.35747597085879</v>
          </cell>
          <cell r="AR415">
            <v>168.43831588437348</v>
          </cell>
          <cell r="AS415">
            <v>192.63417652805714</v>
          </cell>
          <cell r="AT415">
            <v>164.07332043645005</v>
          </cell>
          <cell r="AU415">
            <v>209.58131571300191</v>
          </cell>
          <cell r="AW415">
            <v>1.6871689638601452E-2</v>
          </cell>
          <cell r="AX415">
            <v>33.484000000000002</v>
          </cell>
          <cell r="AY415">
            <v>81.578000000000003</v>
          </cell>
          <cell r="AZ415">
            <v>-94.356999999999999</v>
          </cell>
          <cell r="BA415">
            <v>-85.125999999999976</v>
          </cell>
          <cell r="BB415">
            <v>1290.2360000000003</v>
          </cell>
          <cell r="BC415">
            <v>698.99789380102118</v>
          </cell>
          <cell r="BD415">
            <v>472.06567142559425</v>
          </cell>
          <cell r="BE415">
            <v>734.72712856188264</v>
          </cell>
          <cell r="BF415">
            <v>9.4347179941374898E-2</v>
          </cell>
          <cell r="BG415">
            <v>373.65463614945196</v>
          </cell>
          <cell r="BH415">
            <v>243.06531571300192</v>
          </cell>
          <cell r="BI415">
            <v>115.06200000000001</v>
          </cell>
          <cell r="BJ415">
            <v>20.705000000000013</v>
          </cell>
          <cell r="BK415">
            <v>-64.420999999999964</v>
          </cell>
          <cell r="BL415">
            <v>1192.3310000000004</v>
          </cell>
          <cell r="BM415">
            <v>1809.7508938010214</v>
          </cell>
          <cell r="BN415">
            <v>2376.1735652266157</v>
          </cell>
          <cell r="BO415">
            <v>3196.0266937884985</v>
          </cell>
          <cell r="BP415">
            <v>1905.7906937884982</v>
          </cell>
          <cell r="BQ415">
            <v>1580.4474361369289</v>
          </cell>
          <cell r="BR415">
            <v>1351.4470804243365</v>
          </cell>
          <cell r="BS415">
            <v>731.78195186245387</v>
          </cell>
          <cell r="BT415">
            <v>752.48695186245391</v>
          </cell>
          <cell r="BU415">
            <v>0.10285367913861278</v>
          </cell>
          <cell r="BV415">
            <v>0.1277455160624901</v>
          </cell>
          <cell r="BW415">
            <v>0.12116513220766909</v>
          </cell>
          <cell r="BX415">
            <v>2.3565101268360436E-2</v>
          </cell>
          <cell r="BY415">
            <v>6.2516053493735138E-2</v>
          </cell>
          <cell r="BZ415">
            <v>8.6290361911886132E-2</v>
          </cell>
          <cell r="CA415">
            <v>8.4264595889658719E-2</v>
          </cell>
        </row>
        <row r="416">
          <cell r="A416" t="str">
            <v>PP&amp;E</v>
          </cell>
          <cell r="B416" t="str">
            <v>roa</v>
          </cell>
          <cell r="D416" t="str">
            <v xml:space="preserve"> --</v>
          </cell>
          <cell r="E416" t="str">
            <v xml:space="preserve"> --</v>
          </cell>
          <cell r="F416" t="str">
            <v xml:space="preserve"> --</v>
          </cell>
          <cell r="G416" t="str">
            <v xml:space="preserve"> --</v>
          </cell>
          <cell r="I416" t="str">
            <v xml:space="preserve"> --</v>
          </cell>
          <cell r="J416" t="str">
            <v xml:space="preserve"> --</v>
          </cell>
          <cell r="K416" t="str">
            <v xml:space="preserve"> --</v>
          </cell>
          <cell r="L416">
            <v>6.4578608582014675E-3</v>
          </cell>
          <cell r="N416">
            <v>-18.437999999999999</v>
          </cell>
          <cell r="O416">
            <v>-19.55</v>
          </cell>
          <cell r="P416">
            <v>-14.897</v>
          </cell>
          <cell r="Q416">
            <v>-12.885</v>
          </cell>
          <cell r="S416">
            <v>-41.832000000000001</v>
          </cell>
          <cell r="T416">
            <v>-37.270000000000003</v>
          </cell>
          <cell r="U416">
            <v>-76.108000000000004</v>
          </cell>
          <cell r="V416">
            <v>-56.621000000000002</v>
          </cell>
          <cell r="X416">
            <v>-68.591999999999999</v>
          </cell>
          <cell r="Y416">
            <v>-29.311</v>
          </cell>
          <cell r="Z416">
            <v>-66.033000000000001</v>
          </cell>
          <cell r="AA416">
            <v>-118.84399999999999</v>
          </cell>
          <cell r="AC416">
            <v>-76.533000000000001</v>
          </cell>
          <cell r="AD416">
            <v>-59.252000000000002</v>
          </cell>
          <cell r="AE416">
            <v>-25.984999999999999</v>
          </cell>
          <cell r="AF416">
            <v>-37.200000000000003</v>
          </cell>
          <cell r="AH416">
            <v>-26.1</v>
          </cell>
          <cell r="AI416">
            <v>-28.891911750000002</v>
          </cell>
          <cell r="AJ416">
            <v>-33.846242662500003</v>
          </cell>
          <cell r="AK416">
            <v>-36.199153507125004</v>
          </cell>
          <cell r="AM416">
            <v>-47.287185217510007</v>
          </cell>
          <cell r="AN416">
            <v>-48.827631987926409</v>
          </cell>
          <cell r="AO416">
            <v>-51.187158820199315</v>
          </cell>
          <cell r="AP416">
            <v>-56.420692634064437</v>
          </cell>
          <cell r="AR416">
            <v>-80.34476473267712</v>
          </cell>
          <cell r="AS416">
            <v>-83.419610138387611</v>
          </cell>
          <cell r="AT416">
            <v>-88.02047076078054</v>
          </cell>
          <cell r="AU416">
            <v>-97.363342777800113</v>
          </cell>
          <cell r="AW416">
            <v>1.2906100300236803E-2</v>
          </cell>
          <cell r="AX416">
            <v>-32.088999999999999</v>
          </cell>
          <cell r="AY416">
            <v>-65.77</v>
          </cell>
          <cell r="AZ416">
            <v>-211.83100000000002</v>
          </cell>
          <cell r="BA416">
            <v>-282.77999999999997</v>
          </cell>
          <cell r="BB416">
            <v>-198.96999999999997</v>
          </cell>
          <cell r="BC416">
            <v>-125.03730791962501</v>
          </cell>
          <cell r="BD416">
            <v>-203.72266865970016</v>
          </cell>
          <cell r="BE416">
            <v>-349.1481884096454</v>
          </cell>
          <cell r="BF416">
            <v>4.8100819507597238E-2</v>
          </cell>
          <cell r="BG416">
            <v>-185.38381353858065</v>
          </cell>
          <cell r="BH416">
            <v>-129.45234277780011</v>
          </cell>
          <cell r="BI416">
            <v>-97.858999999999995</v>
          </cell>
          <cell r="BJ416">
            <v>-309.69</v>
          </cell>
          <cell r="BK416">
            <v>-592.47</v>
          </cell>
          <cell r="BL416">
            <v>-759.35099999999989</v>
          </cell>
          <cell r="BM416">
            <v>-818.61830791962495</v>
          </cell>
          <cell r="BN416">
            <v>-810.5099765793251</v>
          </cell>
          <cell r="BO416">
            <v>-876.87816498897052</v>
          </cell>
          <cell r="BP416">
            <v>-677.90816498897061</v>
          </cell>
          <cell r="BQ416">
            <v>-738.25467060792619</v>
          </cell>
          <cell r="BR416">
            <v>-663.98434472602617</v>
          </cell>
          <cell r="BS416">
            <v>-412.69515631638075</v>
          </cell>
          <cell r="BT416">
            <v>-722.38515631638074</v>
          </cell>
          <cell r="BU416">
            <v>6.8429277331296778E-2</v>
          </cell>
          <cell r="BV416">
            <v>8.4355104100966902E-2</v>
          </cell>
          <cell r="BW416">
            <v>7.9290841673329976E-2</v>
          </cell>
          <cell r="BX416">
            <v>1.6968213287809654E-2</v>
          </cell>
          <cell r="BY416">
            <v>4.372315977591118E-2</v>
          </cell>
          <cell r="BZ416">
            <v>6.1971929416112688E-2</v>
          </cell>
          <cell r="CA416">
            <v>6.0625569197734444E-2</v>
          </cell>
        </row>
        <row r="417">
          <cell r="A417" t="str">
            <v>PP&amp;E</v>
          </cell>
          <cell r="B417" t="str">
            <v>roa</v>
          </cell>
          <cell r="D417" t="str">
            <v xml:space="preserve"> --</v>
          </cell>
          <cell r="E417" t="str">
            <v xml:space="preserve"> --</v>
          </cell>
          <cell r="F417" t="str">
            <v xml:space="preserve"> --</v>
          </cell>
          <cell r="G417" t="str">
            <v xml:space="preserve"> --</v>
          </cell>
          <cell r="I417" t="str">
            <v xml:space="preserve"> --</v>
          </cell>
          <cell r="J417" t="str">
            <v xml:space="preserve"> --</v>
          </cell>
          <cell r="K417" t="str">
            <v xml:space="preserve"> --</v>
          </cell>
          <cell r="L417">
            <v>6.4578608582014675E-3</v>
          </cell>
          <cell r="N417">
            <v>-18.437999999999999</v>
          </cell>
          <cell r="O417">
            <v>-19.55</v>
          </cell>
          <cell r="P417">
            <v>-14.897</v>
          </cell>
          <cell r="Q417">
            <v>-12.885</v>
          </cell>
          <cell r="S417">
            <v>-41.832000000000001</v>
          </cell>
          <cell r="T417">
            <v>-37.270000000000003</v>
          </cell>
          <cell r="U417">
            <v>-76.108000000000004</v>
          </cell>
          <cell r="V417">
            <v>-56.621000000000002</v>
          </cell>
          <cell r="X417">
            <v>-68.591999999999999</v>
          </cell>
          <cell r="Y417">
            <v>-29.311</v>
          </cell>
          <cell r="Z417">
            <v>-66.033000000000001</v>
          </cell>
          <cell r="AA417">
            <v>-118.84399999999999</v>
          </cell>
          <cell r="AC417">
            <v>-76.533000000000001</v>
          </cell>
          <cell r="AD417">
            <v>-59.252000000000002</v>
          </cell>
          <cell r="AE417">
            <v>-25.984999999999999</v>
          </cell>
          <cell r="AF417">
            <v>-37.200000000000003</v>
          </cell>
          <cell r="AH417">
            <v>-26.1</v>
          </cell>
          <cell r="AI417">
            <v>-48.9</v>
          </cell>
          <cell r="AJ417">
            <v>-49.076040000000013</v>
          </cell>
          <cell r="AK417">
            <v>-52.506375000000006</v>
          </cell>
          <cell r="AM417">
            <v>-58.543035890064012</v>
          </cell>
          <cell r="AN417">
            <v>-60.459939718711681</v>
          </cell>
          <cell r="AO417">
            <v>-76.21105212141812</v>
          </cell>
          <cell r="AP417">
            <v>-84.025890967846394</v>
          </cell>
          <cell r="AR417">
            <v>-93.178278161102909</v>
          </cell>
          <cell r="AS417">
            <v>-96.752378961231656</v>
          </cell>
          <cell r="AT417">
            <v>-116.79090664530422</v>
          </cell>
          <cell r="AU417">
            <v>-129.22091296949327</v>
          </cell>
          <cell r="AW417">
            <v>9.8344259150112794E-3</v>
          </cell>
          <cell r="AX417">
            <v>-32.088999999999999</v>
          </cell>
          <cell r="AY417">
            <v>-65.77</v>
          </cell>
          <cell r="AZ417">
            <v>-211.83100000000002</v>
          </cell>
          <cell r="BA417">
            <v>-282.77999999999997</v>
          </cell>
          <cell r="BB417">
            <v>-198.96999999999997</v>
          </cell>
          <cell r="BC417">
            <v>-176.58241500000003</v>
          </cell>
          <cell r="BD417">
            <v>-279.23991869804024</v>
          </cell>
          <cell r="BE417">
            <v>-435.94247673713204</v>
          </cell>
          <cell r="BF417">
            <v>4.6844066642811627E-2</v>
          </cell>
          <cell r="BG417">
            <v>-246.0118196147975</v>
          </cell>
          <cell r="BH417">
            <v>-161.30991296949327</v>
          </cell>
          <cell r="BI417">
            <v>-97.858999999999995</v>
          </cell>
          <cell r="BJ417">
            <v>-309.69</v>
          </cell>
          <cell r="BK417">
            <v>-592.47</v>
          </cell>
          <cell r="BL417">
            <v>-759.35099999999989</v>
          </cell>
          <cell r="BM417">
            <v>-870.16341499999999</v>
          </cell>
          <cell r="BN417">
            <v>-937.57233369804021</v>
          </cell>
          <cell r="BO417">
            <v>-1090.7348104351722</v>
          </cell>
          <cell r="BP417">
            <v>-891.76481043517231</v>
          </cell>
          <cell r="BQ417">
            <v>-961.1942150499699</v>
          </cell>
          <cell r="BR417">
            <v>-843.26420932142287</v>
          </cell>
          <cell r="BS417">
            <v>-505.18073258429075</v>
          </cell>
          <cell r="BT417">
            <v>-814.87073258429075</v>
          </cell>
          <cell r="BU417">
            <v>6.6030429753029793E-2</v>
          </cell>
          <cell r="BV417">
            <v>8.2221407114657252E-2</v>
          </cell>
          <cell r="BW417">
            <v>7.7426090352376145E-2</v>
          </cell>
          <cell r="BX417">
            <v>1.5217192870327767E-2</v>
          </cell>
          <cell r="BY417">
            <v>4.1984241001212161E-2</v>
          </cell>
          <cell r="BZ417">
            <v>6.0297333624128591E-2</v>
          </cell>
          <cell r="CA417">
            <v>5.908607393891617E-2</v>
          </cell>
        </row>
        <row r="418">
          <cell r="A418" t="str">
            <v>Free Cash Flow (after acq.)</v>
          </cell>
          <cell r="B418" t="str">
            <v>roa</v>
          </cell>
          <cell r="D418" t="str">
            <v xml:space="preserve"> --</v>
          </cell>
          <cell r="E418" t="str">
            <v xml:space="preserve"> --</v>
          </cell>
          <cell r="F418" t="str">
            <v xml:space="preserve"> --</v>
          </cell>
          <cell r="G418" t="str">
            <v xml:space="preserve"> --</v>
          </cell>
          <cell r="I418" t="str">
            <v xml:space="preserve"> --</v>
          </cell>
          <cell r="J418" t="str">
            <v xml:space="preserve"> --</v>
          </cell>
          <cell r="K418" t="str">
            <v xml:space="preserve"> --</v>
          </cell>
          <cell r="L418">
            <v>6.4578608582014675E-3</v>
          </cell>
          <cell r="N418">
            <v>-25.081999999999997</v>
          </cell>
          <cell r="O418">
            <v>-38.234999999999999</v>
          </cell>
          <cell r="P418">
            <v>5.1149999999999887</v>
          </cell>
          <cell r="Q418">
            <v>28.613</v>
          </cell>
          <cell r="S418">
            <v>-74.090999999999994</v>
          </cell>
          <cell r="T418">
            <v>-113.45699999999999</v>
          </cell>
          <cell r="U418">
            <v>-14.253000000000013</v>
          </cell>
          <cell r="V418">
            <v>-169.16499999999999</v>
          </cell>
          <cell r="X418">
            <v>-178.02699999999999</v>
          </cell>
          <cell r="Y418">
            <v>-657.02800000000002</v>
          </cell>
          <cell r="Z418">
            <v>-189.989</v>
          </cell>
          <cell r="AA418">
            <v>22.453999999999979</v>
          </cell>
          <cell r="AC418">
            <v>-403.298</v>
          </cell>
          <cell r="AD418">
            <v>70.522000000000205</v>
          </cell>
          <cell r="AE418">
            <v>-292.57399999999996</v>
          </cell>
          <cell r="AF418">
            <v>416.89500000000004</v>
          </cell>
          <cell r="AH418">
            <v>144.89999999999986</v>
          </cell>
          <cell r="AI418">
            <v>114.29005534211417</v>
          </cell>
          <cell r="AJ418">
            <v>77.221072691670145</v>
          </cell>
          <cell r="AK418">
            <v>134.64945784761204</v>
          </cell>
          <cell r="AM418">
            <v>59.282418202204006</v>
          </cell>
          <cell r="AN418">
            <v>94.35359112470907</v>
          </cell>
          <cell r="AO418">
            <v>60.770210102186624</v>
          </cell>
          <cell r="AP418">
            <v>53.936783336794349</v>
          </cell>
          <cell r="AR418">
            <v>88.09355115169636</v>
          </cell>
          <cell r="AS418">
            <v>109.21456638966953</v>
          </cell>
          <cell r="AT418">
            <v>76.052849675669506</v>
          </cell>
          <cell r="AU418">
            <v>112.2179729352018</v>
          </cell>
          <cell r="AW418">
            <v>2.7793491924492108E-2</v>
          </cell>
          <cell r="AX418">
            <v>-274.32300000000004</v>
          </cell>
          <cell r="AY418">
            <v>-32.86999999999999</v>
          </cell>
          <cell r="AZ418">
            <v>-370.96600000000001</v>
          </cell>
          <cell r="BA418">
            <v>-1002.5899999999999</v>
          </cell>
          <cell r="BB418">
            <v>-208.45499999999964</v>
          </cell>
          <cell r="BC418">
            <v>471.06058588139621</v>
          </cell>
          <cell r="BD418">
            <v>268.34300276589403</v>
          </cell>
          <cell r="BE418">
            <v>385.57894015223724</v>
          </cell>
          <cell r="BF418">
            <v>4.8100819507597238E-2</v>
          </cell>
          <cell r="BG418">
            <v>188.27082261087131</v>
          </cell>
          <cell r="BH418">
            <v>-286.38702706479819</v>
          </cell>
          <cell r="BI418">
            <v>-282.79699999999997</v>
          </cell>
          <cell r="BJ418">
            <v>-529.13226973116912</v>
          </cell>
          <cell r="BK418">
            <v>-656.89099999999985</v>
          </cell>
          <cell r="BL418">
            <v>432.98000000000036</v>
          </cell>
          <cell r="BM418">
            <v>991.13258588139661</v>
          </cell>
          <cell r="BN418">
            <v>1565.6635886472907</v>
          </cell>
          <cell r="BO418">
            <v>2319.1485287995279</v>
          </cell>
          <cell r="BP418">
            <v>1227.8825287995276</v>
          </cell>
          <cell r="BQ418">
            <v>842.19276552900249</v>
          </cell>
          <cell r="BR418">
            <v>687.46273569831033</v>
          </cell>
          <cell r="BS418">
            <v>319.08679554607312</v>
          </cell>
          <cell r="BT418">
            <v>30.101795546073163</v>
          </cell>
          <cell r="BU418">
            <v>-815.06002706479796</v>
          </cell>
          <cell r="BV418">
            <v>0.10332319027914781</v>
          </cell>
          <cell r="BW418">
            <v>9.3664402277516476E-2</v>
          </cell>
          <cell r="BX418">
            <v>1.9748729448060665E-2</v>
          </cell>
          <cell r="BY418">
            <v>5.0921414656954739E-2</v>
          </cell>
          <cell r="BZ418">
            <v>7.3541016623145314E-2</v>
          </cell>
          <cell r="CA418">
            <v>7.0991923336115023E-2</v>
          </cell>
        </row>
        <row r="419">
          <cell r="A419" t="str">
            <v>Free Cash Flow (after acq.)</v>
          </cell>
          <cell r="B419" t="str">
            <v>roa</v>
          </cell>
          <cell r="D419" t="str">
            <v xml:space="preserve"> --</v>
          </cell>
          <cell r="E419" t="str">
            <v xml:space="preserve"> --</v>
          </cell>
          <cell r="F419" t="str">
            <v xml:space="preserve"> --</v>
          </cell>
          <cell r="G419" t="str">
            <v xml:space="preserve"> --</v>
          </cell>
          <cell r="I419" t="str">
            <v xml:space="preserve"> --</v>
          </cell>
          <cell r="J419" t="str">
            <v xml:space="preserve"> --</v>
          </cell>
          <cell r="K419" t="str">
            <v xml:space="preserve"> --</v>
          </cell>
          <cell r="L419">
            <v>2.2134742998537835E-2</v>
          </cell>
          <cell r="N419">
            <v>-25.081999999999997</v>
          </cell>
          <cell r="O419">
            <v>-38.234999999999999</v>
          </cell>
          <cell r="P419">
            <v>5.1149999999999887</v>
          </cell>
          <cell r="Q419">
            <v>28.613</v>
          </cell>
          <cell r="S419">
            <v>-74.090999999999994</v>
          </cell>
          <cell r="T419">
            <v>-113.45699999999999</v>
          </cell>
          <cell r="U419">
            <v>-14.253000000000013</v>
          </cell>
          <cell r="V419">
            <v>-169.16499999999999</v>
          </cell>
          <cell r="X419">
            <v>-178.02699999999999</v>
          </cell>
          <cell r="Y419">
            <v>-657.02800000000002</v>
          </cell>
          <cell r="Z419">
            <v>-189.989</v>
          </cell>
          <cell r="AA419">
            <v>22.453999999999979</v>
          </cell>
          <cell r="AC419">
            <v>-403.298</v>
          </cell>
          <cell r="AD419">
            <v>70.522000000000205</v>
          </cell>
          <cell r="AE419">
            <v>-292.57399999999996</v>
          </cell>
          <cell r="AF419">
            <v>416.89500000000004</v>
          </cell>
          <cell r="AH419">
            <v>144.89999999999986</v>
          </cell>
          <cell r="AI419">
            <v>187.79999999999998</v>
          </cell>
          <cell r="AJ419">
            <v>75.882893255677402</v>
          </cell>
          <cell r="AK419">
            <v>206.62089364957336</v>
          </cell>
          <cell r="AM419">
            <v>22.402308268742665</v>
          </cell>
          <cell r="AN419">
            <v>98.820088464092876</v>
          </cell>
          <cell r="AO419">
            <v>55.737443784518618</v>
          </cell>
          <cell r="AP419">
            <v>172.65581943534079</v>
          </cell>
          <cell r="AR419">
            <v>-6.3667307497151313</v>
          </cell>
          <cell r="AS419">
            <v>95.348778646304694</v>
          </cell>
          <cell r="AT419">
            <v>58.878906336730907</v>
          </cell>
          <cell r="AU419">
            <v>172.05402600283202</v>
          </cell>
          <cell r="AW419">
            <v>2.2480912490569622E-2</v>
          </cell>
          <cell r="AX419">
            <v>-274.32300000000004</v>
          </cell>
          <cell r="AY419">
            <v>-32.86999999999999</v>
          </cell>
          <cell r="AZ419">
            <v>-370.96600000000001</v>
          </cell>
          <cell r="BA419">
            <v>-1002.5899999999999</v>
          </cell>
          <cell r="BB419">
            <v>-208.45499999999964</v>
          </cell>
          <cell r="BC419">
            <v>615.20378690525058</v>
          </cell>
          <cell r="BD419">
            <v>349.61565995269495</v>
          </cell>
          <cell r="BE419">
            <v>319.91498023615247</v>
          </cell>
          <cell r="BF419">
            <v>9.6878366859450935E-2</v>
          </cell>
          <cell r="BG419">
            <v>230.93293233956291</v>
          </cell>
          <cell r="BH419">
            <v>-226.55097399716797</v>
          </cell>
          <cell r="BI419">
            <v>-282.79699999999997</v>
          </cell>
          <cell r="BJ419">
            <v>-651.77884123968397</v>
          </cell>
          <cell r="BK419">
            <v>-656.89099999999985</v>
          </cell>
          <cell r="BL419">
            <v>432.98000000000036</v>
          </cell>
          <cell r="BM419">
            <v>1135.2757869052512</v>
          </cell>
          <cell r="BN419">
            <v>1791.0794468579461</v>
          </cell>
          <cell r="BO419">
            <v>2478.9004270940986</v>
          </cell>
          <cell r="BP419">
            <v>1387.6344270940981</v>
          </cell>
          <cell r="BQ419">
            <v>900.4635725284104</v>
          </cell>
          <cell r="BR419">
            <v>724.29693857854738</v>
          </cell>
          <cell r="BS419">
            <v>421.58495834239494</v>
          </cell>
          <cell r="BT419">
            <v>132.59995834239498</v>
          </cell>
          <cell r="BU419">
            <v>0.10659029421200156</v>
          </cell>
          <cell r="BV419">
            <v>0.1310605921746881</v>
          </cell>
          <cell r="BW419">
            <v>0.12408330667973014</v>
          </cell>
          <cell r="BX419">
            <v>2.6276703454949441E-2</v>
          </cell>
          <cell r="BY419">
            <v>6.5105366448974827E-2</v>
          </cell>
          <cell r="BZ419">
            <v>8.8686843949503213E-2</v>
          </cell>
          <cell r="CA419">
            <v>8.6460120777510946E-2</v>
          </cell>
        </row>
        <row r="420">
          <cell r="A420" t="str">
            <v>RI Input:</v>
          </cell>
          <cell r="D420" t="str">
            <v xml:space="preserve"> --</v>
          </cell>
          <cell r="E420" t="str">
            <v xml:space="preserve"> --</v>
          </cell>
          <cell r="F420" t="str">
            <v xml:space="preserve"> --</v>
          </cell>
          <cell r="G420" t="str">
            <v xml:space="preserve"> --</v>
          </cell>
          <cell r="I420" t="str">
            <v xml:space="preserve"> --</v>
          </cell>
          <cell r="J420" t="str">
            <v xml:space="preserve"> --</v>
          </cell>
          <cell r="K420" t="str">
            <v xml:space="preserve"> --</v>
          </cell>
          <cell r="L420">
            <v>2.2134742998537835E-2</v>
          </cell>
          <cell r="N420">
            <v>-0.35410905165458256</v>
          </cell>
          <cell r="O420">
            <v>-0.22182768489618038</v>
          </cell>
          <cell r="P420">
            <v>4.7558739526095385E-2</v>
          </cell>
          <cell r="Q420">
            <v>-1.8880301564541152E-2</v>
          </cell>
          <cell r="S420">
            <v>3.8014265363806844E-2</v>
          </cell>
          <cell r="T420">
            <v>4.6741008656575177E-2</v>
          </cell>
          <cell r="U420">
            <v>6.7490859673838666E-2</v>
          </cell>
          <cell r="V420">
            <v>7.4251006039956963E-2</v>
          </cell>
          <cell r="X420">
            <v>5.1069999652684855E-2</v>
          </cell>
          <cell r="Y420">
            <v>6.7730506092487944E-2</v>
          </cell>
          <cell r="Z420">
            <v>8.9408737212189546E-2</v>
          </cell>
          <cell r="AA420">
            <v>0.13023547892936993</v>
          </cell>
          <cell r="AC420">
            <v>8.3086138881403884E-2</v>
          </cell>
          <cell r="AD420">
            <v>2.0754725019885616E-2</v>
          </cell>
          <cell r="AE420">
            <v>-4.3993141499170677E-2</v>
          </cell>
          <cell r="AF420">
            <v>-7.5905638946987236E-2</v>
          </cell>
          <cell r="AH420">
            <v>4.0352705003430384E-2</v>
          </cell>
          <cell r="AI420">
            <v>4.1157818330001136E-2</v>
          </cell>
          <cell r="AJ420">
            <v>-9.1583376505224676E-2</v>
          </cell>
          <cell r="AK420">
            <v>-0.44538196642517525</v>
          </cell>
          <cell r="AM420">
            <v>3.7673765008635301E-3</v>
          </cell>
          <cell r="AN420">
            <v>-4.8784716955476405E-2</v>
          </cell>
          <cell r="AO420">
            <v>-8.2851378786626836E-2</v>
          </cell>
          <cell r="AP420">
            <v>-0.21628538383929527</v>
          </cell>
          <cell r="AR420">
            <v>-3.6786079762291278E-2</v>
          </cell>
          <cell r="AS420">
            <v>-3.0475847910856175E-3</v>
          </cell>
          <cell r="AT420">
            <v>1.1674248757810413E-2</v>
          </cell>
          <cell r="AU420">
            <v>3.3469202684086652E-2</v>
          </cell>
          <cell r="AW420">
            <v>4.4207194806878895E-2</v>
          </cell>
          <cell r="AX420">
            <v>5.4412629600608789E-2</v>
          </cell>
          <cell r="AY420">
            <v>5.5831478941597797E-2</v>
          </cell>
          <cell r="AZ420">
            <v>6.7825980647360243E-2</v>
          </cell>
          <cell r="BC420" t="str">
            <v xml:space="preserve"> --</v>
          </cell>
          <cell r="BD420">
            <v>-7.5672890158608799E-2</v>
          </cell>
          <cell r="BE420">
            <v>5.330750117235835E-2</v>
          </cell>
          <cell r="BF420">
            <v>9.6878366859450935E-2</v>
          </cell>
          <cell r="BG420">
            <v>-1.189802654459215E-2</v>
          </cell>
          <cell r="BH420">
            <v>-0.11066534053226806</v>
          </cell>
          <cell r="BI420">
            <v>-7.5511193666291776E-2</v>
          </cell>
          <cell r="BJ420">
            <v>1.1082231553812612E-3</v>
          </cell>
          <cell r="BK420">
            <v>5.5417458703987808E-2</v>
          </cell>
          <cell r="BM420" t="str">
            <v>--</v>
          </cell>
          <cell r="BN420">
            <v>-7.5511193666291776E-2</v>
          </cell>
          <cell r="BO420">
            <v>1.1082231553812612E-3</v>
          </cell>
          <cell r="BP420">
            <v>5.5417458703987808E-2</v>
          </cell>
          <cell r="BQ420">
            <v>0.1239676587160576</v>
          </cell>
          <cell r="BR420">
            <v>6.5630682357066747E-2</v>
          </cell>
          <cell r="BS420">
            <v>0.10050804573657711</v>
          </cell>
          <cell r="BT420">
            <v>0.11557471164280304</v>
          </cell>
          <cell r="BU420">
            <v>0.14355827267763338</v>
          </cell>
          <cell r="BV420">
            <v>0.10180075033592059</v>
          </cell>
          <cell r="BW420">
            <v>9.2378330740682996E-2</v>
          </cell>
          <cell r="BX420">
            <v>1.8554287446291059E-2</v>
          </cell>
          <cell r="BY420">
            <v>4.9736453964701145E-2</v>
          </cell>
          <cell r="BZ420">
            <v>7.2407601400991631E-2</v>
          </cell>
          <cell r="CA420">
            <v>6.9964872390843161E-2</v>
          </cell>
        </row>
        <row r="421">
          <cell r="A421" t="str">
            <v>Depreciation</v>
          </cell>
          <cell r="I421">
            <v>4.9000000000000004</v>
          </cell>
          <cell r="J421">
            <v>5.8</v>
          </cell>
          <cell r="K421">
            <v>5.5</v>
          </cell>
          <cell r="L421">
            <v>3</v>
          </cell>
          <cell r="N421">
            <v>7.5</v>
          </cell>
          <cell r="O421">
            <v>9.1999999999999993</v>
          </cell>
          <cell r="P421">
            <v>10.4</v>
          </cell>
          <cell r="Q421">
            <v>12.5</v>
          </cell>
          <cell r="S421">
            <v>14.349</v>
          </cell>
          <cell r="T421">
            <v>15.797000000000002</v>
          </cell>
          <cell r="U421">
            <v>18.847999999999999</v>
          </cell>
          <cell r="V421">
            <v>22</v>
          </cell>
          <cell r="X421">
            <v>23.569000000000003</v>
          </cell>
          <cell r="Y421">
            <v>29.108999999999998</v>
          </cell>
          <cell r="Z421">
            <v>32.728000000000002</v>
          </cell>
          <cell r="AA421">
            <v>38.155000000000001</v>
          </cell>
          <cell r="AC421">
            <v>40.158000000000001</v>
          </cell>
          <cell r="AD421">
            <v>43.190999999999995</v>
          </cell>
          <cell r="AE421">
            <v>52.138999999999996</v>
          </cell>
          <cell r="AF421">
            <v>59.1</v>
          </cell>
          <cell r="AH421">
            <v>57</v>
          </cell>
          <cell r="AI421">
            <v>58.031853991071429</v>
          </cell>
          <cell r="AJ421">
            <v>59.240648371875004</v>
          </cell>
          <cell r="AK421">
            <v>60.533475282843753</v>
          </cell>
          <cell r="AM421">
            <v>62.222303326326255</v>
          </cell>
          <cell r="AN421">
            <v>63.966147325895058</v>
          </cell>
          <cell r="AO421">
            <v>65.794260140902182</v>
          </cell>
          <cell r="AP421">
            <v>67.809284877833051</v>
          </cell>
          <cell r="AR421">
            <v>70.678740761142947</v>
          </cell>
          <cell r="AS421">
            <v>73.658012551799644</v>
          </cell>
          <cell r="AT421">
            <v>76.801600793256085</v>
          </cell>
          <cell r="AU421">
            <v>80.27886303532037</v>
          </cell>
          <cell r="AW421">
            <v>5.5947217644469451E-2</v>
          </cell>
          <cell r="AX421">
            <v>21.787000000000003</v>
          </cell>
          <cell r="AY421">
            <v>41.563000000000002</v>
          </cell>
          <cell r="AZ421">
            <v>70.974999999999994</v>
          </cell>
          <cell r="BA421">
            <v>123.56100000000001</v>
          </cell>
          <cell r="BB421">
            <v>194.55799999999999</v>
          </cell>
          <cell r="BC421">
            <v>234.80597764579016</v>
          </cell>
          <cell r="BD421">
            <v>259.79199567095657</v>
          </cell>
          <cell r="BE421">
            <v>301.41721714151902</v>
          </cell>
          <cell r="BF421">
            <v>9.6878366859450935E-2</v>
          </cell>
          <cell r="BG421">
            <v>222.98228571428569</v>
          </cell>
          <cell r="BH421">
            <v>297.98761541708927</v>
          </cell>
          <cell r="BI421">
            <v>374.51938034711981</v>
          </cell>
          <cell r="BJ421">
            <v>471.68192608302485</v>
          </cell>
          <cell r="BK421">
            <v>563.01634639361419</v>
          </cell>
          <cell r="BL421">
            <v>696.72993772831705</v>
          </cell>
          <cell r="BM421">
            <v>895.70849626210111</v>
          </cell>
          <cell r="BN421">
            <v>1144.4316944293312</v>
          </cell>
          <cell r="BO421">
            <v>1409.2721558377975</v>
          </cell>
          <cell r="BP421">
            <v>1690.9661011540754</v>
          </cell>
          <cell r="BQ421">
            <v>2009.2802593614695</v>
          </cell>
          <cell r="BR421">
            <v>2359.4258333896032</v>
          </cell>
          <cell r="BS421">
            <v>2737.5830533399876</v>
          </cell>
          <cell r="BT421">
            <v>3138.4297064873949</v>
          </cell>
          <cell r="BU421">
            <v>3576.1542517243638</v>
          </cell>
          <cell r="BV421">
            <v>0.17320125821078516</v>
          </cell>
          <cell r="BW421">
            <v>0.1575768045267715</v>
          </cell>
          <cell r="BX421">
            <v>3.2619628671875144E-2</v>
          </cell>
          <cell r="BY421">
            <v>8.0080776854081173E-2</v>
          </cell>
          <cell r="BZ421">
            <v>0.10987112363539998</v>
          </cell>
          <cell r="CA421">
            <v>0.10512008371238805</v>
          </cell>
        </row>
        <row r="422">
          <cell r="A422" t="str">
            <v>Amortization</v>
          </cell>
          <cell r="I422">
            <v>3.2719999999999998</v>
          </cell>
          <cell r="J422">
            <v>3.3010000000000002</v>
          </cell>
          <cell r="K422">
            <v>3.8809999999999998</v>
          </cell>
          <cell r="L422">
            <v>4.806</v>
          </cell>
          <cell r="N422">
            <v>13.259</v>
          </cell>
          <cell r="O422">
            <v>10.537000000000001</v>
          </cell>
          <cell r="P422">
            <v>10.782</v>
          </cell>
          <cell r="Q422">
            <v>10.794</v>
          </cell>
          <cell r="S422">
            <v>13.814</v>
          </cell>
          <cell r="T422">
            <v>13.744999999999999</v>
          </cell>
          <cell r="U422">
            <v>14.07</v>
          </cell>
          <cell r="V422">
            <v>13.94</v>
          </cell>
          <cell r="X422">
            <v>15.323</v>
          </cell>
          <cell r="Y422">
            <v>19.248000000000001</v>
          </cell>
          <cell r="Z422">
            <v>25.606999999999999</v>
          </cell>
          <cell r="AA422">
            <v>28.760999999999999</v>
          </cell>
          <cell r="AC422">
            <v>29.577999999999999</v>
          </cell>
          <cell r="AD422">
            <v>28.13</v>
          </cell>
          <cell r="AE422">
            <v>32.158000000000001</v>
          </cell>
          <cell r="AF422">
            <v>35.1</v>
          </cell>
          <cell r="AH422">
            <v>22</v>
          </cell>
          <cell r="AI422">
            <v>22</v>
          </cell>
          <cell r="AJ422">
            <v>22</v>
          </cell>
          <cell r="AK422">
            <v>22</v>
          </cell>
          <cell r="AM422">
            <v>22</v>
          </cell>
          <cell r="AN422">
            <v>22</v>
          </cell>
          <cell r="AO422">
            <v>22</v>
          </cell>
          <cell r="AP422">
            <v>22</v>
          </cell>
          <cell r="AR422">
            <v>22</v>
          </cell>
          <cell r="AS422">
            <v>22</v>
          </cell>
          <cell r="AT422">
            <v>22</v>
          </cell>
          <cell r="AU422">
            <v>22</v>
          </cell>
          <cell r="AW422">
            <v>8.6393339906354477E-2</v>
          </cell>
          <cell r="AX422">
            <v>15.3</v>
          </cell>
          <cell r="AY422">
            <v>45.372</v>
          </cell>
          <cell r="AZ422">
            <v>55.568999999999996</v>
          </cell>
          <cell r="BA422">
            <v>88.938999999999993</v>
          </cell>
          <cell r="BB422">
            <v>124.96600000000001</v>
          </cell>
          <cell r="BC422">
            <v>88</v>
          </cell>
          <cell r="BD422">
            <v>88</v>
          </cell>
          <cell r="BE422">
            <v>88</v>
          </cell>
          <cell r="BF422">
            <v>9.6878366859450935E-2</v>
          </cell>
          <cell r="BG422">
            <v>88</v>
          </cell>
          <cell r="BH422">
            <v>88</v>
          </cell>
          <cell r="BI422">
            <v>88</v>
          </cell>
          <cell r="BJ422">
            <v>88</v>
          </cell>
          <cell r="BK422">
            <v>88</v>
          </cell>
          <cell r="BL422">
            <v>88</v>
          </cell>
          <cell r="BM422">
            <v>88</v>
          </cell>
          <cell r="BN422">
            <v>88</v>
          </cell>
          <cell r="BO422">
            <v>88</v>
          </cell>
          <cell r="BP422">
            <v>88</v>
          </cell>
          <cell r="BQ422">
            <v>88</v>
          </cell>
          <cell r="BR422">
            <v>88</v>
          </cell>
          <cell r="BS422">
            <v>88</v>
          </cell>
          <cell r="BT422">
            <v>88</v>
          </cell>
          <cell r="BU422">
            <v>88</v>
          </cell>
          <cell r="BV422">
            <v>0.17320125821078516</v>
          </cell>
          <cell r="BW422">
            <v>0.1575768045267715</v>
          </cell>
          <cell r="BX422">
            <v>3.2619628671875144E-2</v>
          </cell>
          <cell r="BY422">
            <v>8.0080776854081173E-2</v>
          </cell>
          <cell r="BZ422">
            <v>0.10987112363539998</v>
          </cell>
          <cell r="CA422">
            <v>0.10512008371238805</v>
          </cell>
        </row>
        <row r="423">
          <cell r="A423" t="str">
            <v>Amortization</v>
          </cell>
          <cell r="B423" t="str">
            <v>sinvx</v>
          </cell>
          <cell r="I423">
            <v>3.2719999999999998</v>
          </cell>
          <cell r="J423">
            <v>3.3010000000000002</v>
          </cell>
          <cell r="K423">
            <v>3.8809999999999998</v>
          </cell>
          <cell r="L423">
            <v>4.806</v>
          </cell>
          <cell r="N423">
            <v>13.259</v>
          </cell>
          <cell r="O423">
            <v>10.537000000000001</v>
          </cell>
          <cell r="P423">
            <v>10.782</v>
          </cell>
          <cell r="Q423">
            <v>10.794</v>
          </cell>
          <cell r="S423">
            <v>13.814</v>
          </cell>
          <cell r="T423">
            <v>13.744999999999999</v>
          </cell>
          <cell r="U423">
            <v>14.07</v>
          </cell>
          <cell r="V423">
            <v>13.94</v>
          </cell>
          <cell r="X423">
            <v>15.323</v>
          </cell>
          <cell r="Y423">
            <v>19.248000000000001</v>
          </cell>
          <cell r="Z423">
            <v>25.606999999999999</v>
          </cell>
          <cell r="AA423">
            <v>28.760999999999999</v>
          </cell>
          <cell r="AC423">
            <v>29.577999999999999</v>
          </cell>
          <cell r="AD423">
            <v>28.13</v>
          </cell>
          <cell r="AE423">
            <v>32.158000000000001</v>
          </cell>
          <cell r="AF423">
            <v>35.1</v>
          </cell>
          <cell r="AH423">
            <v>22</v>
          </cell>
          <cell r="AI423">
            <v>21.7</v>
          </cell>
          <cell r="AJ423">
            <v>21.7</v>
          </cell>
          <cell r="AK423">
            <v>21.7</v>
          </cell>
          <cell r="AM423">
            <v>21.7</v>
          </cell>
          <cell r="AN423">
            <v>21.7</v>
          </cell>
          <cell r="AO423">
            <v>21.7</v>
          </cell>
          <cell r="AP423">
            <v>21.7</v>
          </cell>
          <cell r="AR423">
            <v>21.7</v>
          </cell>
          <cell r="AS423">
            <v>21.7</v>
          </cell>
          <cell r="AT423">
            <v>21.7</v>
          </cell>
          <cell r="AU423">
            <v>21.7</v>
          </cell>
          <cell r="AW423">
            <v>7.6</v>
          </cell>
          <cell r="AX423">
            <v>15.3</v>
          </cell>
          <cell r="AY423">
            <v>45.372</v>
          </cell>
          <cell r="AZ423">
            <v>55.568999999999996</v>
          </cell>
          <cell r="BA423">
            <v>88.938999999999993</v>
          </cell>
          <cell r="BB423">
            <v>124.96600000000001</v>
          </cell>
          <cell r="BC423">
            <v>87.100000000000009</v>
          </cell>
          <cell r="BD423">
            <v>86.8</v>
          </cell>
          <cell r="BE423">
            <v>86.8</v>
          </cell>
          <cell r="BF423">
            <v>5.4461648833386196</v>
          </cell>
          <cell r="BG423">
            <v>87.100000000000009</v>
          </cell>
          <cell r="BH423">
            <v>86.8</v>
          </cell>
          <cell r="BI423">
            <v>86.8</v>
          </cell>
          <cell r="BJ423">
            <v>86.8</v>
          </cell>
          <cell r="BK423">
            <v>86.8</v>
          </cell>
          <cell r="BL423">
            <v>86.8</v>
          </cell>
          <cell r="BM423">
            <v>86.8</v>
          </cell>
          <cell r="BN423">
            <v>86.8</v>
          </cell>
          <cell r="BO423">
            <v>86.8</v>
          </cell>
          <cell r="BP423">
            <v>86.8</v>
          </cell>
          <cell r="BQ423">
            <v>86.8</v>
          </cell>
          <cell r="BR423">
            <v>86.8</v>
          </cell>
          <cell r="BS423">
            <v>86.8</v>
          </cell>
          <cell r="BT423">
            <v>86.8</v>
          </cell>
          <cell r="BU423">
            <v>8</v>
          </cell>
          <cell r="BV423">
            <v>8.5</v>
          </cell>
          <cell r="BW423">
            <v>8.6999999999999993</v>
          </cell>
          <cell r="BX423">
            <v>7.7</v>
          </cell>
          <cell r="BY423">
            <v>8</v>
          </cell>
          <cell r="BZ423">
            <v>8.1</v>
          </cell>
          <cell r="CA423">
            <v>8.1999999999999993</v>
          </cell>
        </row>
        <row r="424">
          <cell r="A424" t="str">
            <v>Cap Ex/Depreciation</v>
          </cell>
          <cell r="B424" t="str">
            <v>capex/dep</v>
          </cell>
          <cell r="I424">
            <v>38.355404766904655</v>
          </cell>
          <cell r="J424">
            <v>46.693386222213327</v>
          </cell>
          <cell r="K424">
            <v>52.18134975928556</v>
          </cell>
          <cell r="L424">
            <v>44.381980153395936</v>
          </cell>
          <cell r="N424">
            <v>2.4583999999999997</v>
          </cell>
          <cell r="O424">
            <v>2.1250000000000004</v>
          </cell>
          <cell r="P424">
            <v>1.4324038461538462</v>
          </cell>
          <cell r="Q424">
            <v>1.0307999999999999</v>
          </cell>
          <cell r="S424">
            <v>2.9153251097637467</v>
          </cell>
          <cell r="T424">
            <v>2.3593087295056021</v>
          </cell>
          <cell r="U424">
            <v>4.0379881154499158</v>
          </cell>
          <cell r="V424">
            <v>2.5736818181818184</v>
          </cell>
          <cell r="X424">
            <v>2.910263481692053</v>
          </cell>
          <cell r="Y424">
            <v>1.006939434539146</v>
          </cell>
          <cell r="Z424">
            <v>2.0176301637741383</v>
          </cell>
          <cell r="AA424">
            <v>3.1147687065915344</v>
          </cell>
          <cell r="AC424">
            <v>1.9057971014492754</v>
          </cell>
          <cell r="AD424">
            <v>1.3718598782153693</v>
          </cell>
          <cell r="AE424">
            <v>0.49837933216977698</v>
          </cell>
          <cell r="AF424">
            <v>0.62944162436548223</v>
          </cell>
          <cell r="AH424">
            <v>0.4578947368421053</v>
          </cell>
          <cell r="AI424">
            <v>0.4978629797773686</v>
          </cell>
          <cell r="AJ424">
            <v>0.57133477760126594</v>
          </cell>
          <cell r="AK424">
            <v>0.59800223492842275</v>
          </cell>
          <cell r="AM424">
            <v>0.75997162897540638</v>
          </cell>
          <cell r="AN424">
            <v>0.76333551463024862</v>
          </cell>
          <cell r="AO424">
            <v>0.7779882122023879</v>
          </cell>
          <cell r="AP424">
            <v>0.83204966304707983</v>
          </cell>
          <cell r="AR424">
            <v>1.1367599912992261</v>
          </cell>
          <cell r="AS424">
            <v>1.1325259431853822</v>
          </cell>
          <cell r="AT424">
            <v>1.1460759912768586</v>
          </cell>
          <cell r="AU424">
            <v>1.2128141717074776</v>
          </cell>
          <cell r="AW424">
            <v>47.368421052631582</v>
          </cell>
          <cell r="AX424">
            <v>1.4728507825767658</v>
          </cell>
          <cell r="AY424">
            <v>1.5824170536294297</v>
          </cell>
          <cell r="AZ424">
            <v>2.9845861218738996</v>
          </cell>
          <cell r="BA424">
            <v>2.2885862043848784</v>
          </cell>
          <cell r="BB424">
            <v>1.0226770423215699</v>
          </cell>
          <cell r="BC424">
            <v>0.53251330810771125</v>
          </cell>
          <cell r="BD424">
            <v>0.78417607953452173</v>
          </cell>
          <cell r="BE424">
            <v>1.1583551587423624</v>
          </cell>
          <cell r="BF424">
            <v>66.101560953716856</v>
          </cell>
          <cell r="BG424">
            <v>0.56074996055892656</v>
          </cell>
          <cell r="BH424">
            <v>0.79104748759533661</v>
          </cell>
          <cell r="BI424">
            <v>1.1748138374371038</v>
          </cell>
          <cell r="BJ424">
            <v>1.3554493119619548</v>
          </cell>
          <cell r="BK424">
            <v>1.6624653002322423</v>
          </cell>
          <cell r="BL424">
            <v>1.999124530629278</v>
          </cell>
          <cell r="BM424">
            <v>1.943782373881985</v>
          </cell>
          <cell r="BN424">
            <v>1.6199160149821794</v>
          </cell>
          <cell r="BO424">
            <v>1.3992028502412985</v>
          </cell>
          <cell r="BP424">
            <v>1.3177077328345166</v>
          </cell>
          <cell r="BQ424">
            <v>1.2198492503857306</v>
          </cell>
          <cell r="BR424">
            <v>1.1219257253998136</v>
          </cell>
          <cell r="BS424">
            <v>1.0249649115150976</v>
          </cell>
          <cell r="BT424">
            <v>0.97630729479939948</v>
          </cell>
          <cell r="BU424">
            <v>45</v>
          </cell>
          <cell r="BV424">
            <v>42.352941176470587</v>
          </cell>
          <cell r="BW424">
            <v>41.379310344827587</v>
          </cell>
          <cell r="BX424">
            <v>46.753246753246749</v>
          </cell>
          <cell r="BY424">
            <v>45</v>
          </cell>
          <cell r="BZ424">
            <v>44.444444444444443</v>
          </cell>
          <cell r="CA424">
            <v>43.902439024390247</v>
          </cell>
        </row>
        <row r="425">
          <cell r="A425" t="str">
            <v>Capital Ex/sales</v>
          </cell>
          <cell r="B425" t="str">
            <v>capexpct</v>
          </cell>
          <cell r="I425">
            <v>45.133808933002484</v>
          </cell>
          <cell r="J425">
            <v>45.770628461297321</v>
          </cell>
          <cell r="K425">
            <v>50.081785894988471</v>
          </cell>
          <cell r="L425">
            <v>49.024849711718751</v>
          </cell>
          <cell r="N425">
            <v>2.4960064979017191E-2</v>
          </cell>
          <cell r="O425">
            <v>2.527077212226659E-2</v>
          </cell>
          <cell r="P425">
            <v>1.8355101034992608E-2</v>
          </cell>
          <cell r="Q425">
            <v>1.392524354316123E-2</v>
          </cell>
          <cell r="S425">
            <v>3.8668027331617713E-2</v>
          </cell>
          <cell r="T425">
            <v>2.9823157557813878E-2</v>
          </cell>
          <cell r="U425">
            <v>5.6087673284218181E-2</v>
          </cell>
          <cell r="V425">
            <v>3.5195626918025226E-2</v>
          </cell>
          <cell r="X425">
            <v>4.2542344182896354E-2</v>
          </cell>
          <cell r="Y425">
            <v>1.4011777905360866E-2</v>
          </cell>
          <cell r="Z425">
            <v>2.5395852314617356E-2</v>
          </cell>
          <cell r="AA425">
            <v>3.4470316615038347E-2</v>
          </cell>
          <cell r="AC425">
            <v>2.8423720787721794E-2</v>
          </cell>
          <cell r="AD425">
            <v>2.226927740231352E-2</v>
          </cell>
          <cell r="AE425">
            <v>1.1795546880319573E-2</v>
          </cell>
          <cell r="AF425">
            <v>1.5194837023119028E-2</v>
          </cell>
          <cell r="AH425">
            <v>1.2131071345572857E-2</v>
          </cell>
          <cell r="AI425">
            <v>1.2999999999999999E-2</v>
          </cell>
          <cell r="AJ425">
            <v>1.4999999999999999E-2</v>
          </cell>
          <cell r="AK425">
            <v>1.4999999999999999E-2</v>
          </cell>
          <cell r="AM425">
            <v>0.02</v>
          </cell>
          <cell r="AN425">
            <v>0.02</v>
          </cell>
          <cell r="AO425">
            <v>0.02</v>
          </cell>
          <cell r="AP425">
            <v>0.02</v>
          </cell>
          <cell r="AR425">
            <v>0.03</v>
          </cell>
          <cell r="AS425">
            <v>0.03</v>
          </cell>
          <cell r="AT425">
            <v>0.03</v>
          </cell>
          <cell r="AU425">
            <v>0.03</v>
          </cell>
          <cell r="AW425">
            <v>36.596846846846844</v>
          </cell>
          <cell r="AX425">
            <v>1.5992054058714445E-2</v>
          </cell>
          <cell r="AY425">
            <v>2.0241787334125523E-2</v>
          </cell>
          <cell r="AZ425">
            <v>3.9989073518157253E-2</v>
          </cell>
          <cell r="BA425">
            <v>2.8996905786717188E-2</v>
          </cell>
          <cell r="BB425">
            <v>1.9888187544099205E-2</v>
          </cell>
          <cell r="BC425">
            <v>1.3825981539533546E-2</v>
          </cell>
          <cell r="BD425">
            <v>1.9999803656571082E-2</v>
          </cell>
          <cell r="BE425">
            <v>2.9999999999999995E-2</v>
          </cell>
          <cell r="BF425">
            <v>65.920100081264764</v>
          </cell>
          <cell r="BG425">
            <v>1.3825981539533546E-2</v>
          </cell>
          <cell r="BH425">
            <v>1.9999803656571082E-2</v>
          </cell>
          <cell r="BI425">
            <v>2.9999999999999995E-2</v>
          </cell>
          <cell r="BJ425">
            <v>3.5000000000000003E-2</v>
          </cell>
          <cell r="BK425">
            <v>4.2000000000000003E-2</v>
          </cell>
          <cell r="BL425">
            <v>0.05</v>
          </cell>
          <cell r="BM425">
            <v>0.05</v>
          </cell>
          <cell r="BN425">
            <v>4.3999999999999997E-2</v>
          </cell>
          <cell r="BO425">
            <v>0.04</v>
          </cell>
          <cell r="BP425">
            <v>0.04</v>
          </cell>
          <cell r="BQ425">
            <v>0.04</v>
          </cell>
          <cell r="BR425">
            <v>0.04</v>
          </cell>
          <cell r="BS425">
            <v>0.04</v>
          </cell>
          <cell r="BT425">
            <v>4.2000000000000003E-2</v>
          </cell>
          <cell r="BU425">
            <v>35</v>
          </cell>
          <cell r="BV425">
            <v>34</v>
          </cell>
          <cell r="BW425">
            <v>36</v>
          </cell>
          <cell r="BX425">
            <v>52</v>
          </cell>
          <cell r="BY425">
            <v>40</v>
          </cell>
          <cell r="BZ425">
            <v>39</v>
          </cell>
          <cell r="CA425">
            <v>38</v>
          </cell>
        </row>
        <row r="426">
          <cell r="A426" t="str">
            <v>Ann. Depr. % of PP&amp;E (prior qtr)</v>
          </cell>
          <cell r="B426" t="str">
            <v>capexpct</v>
          </cell>
          <cell r="I426">
            <v>51.711925136497257</v>
          </cell>
          <cell r="J426">
            <v>55.137582784769606</v>
          </cell>
          <cell r="K426">
            <v>66.85456691381971</v>
          </cell>
          <cell r="L426">
            <v>63.201695014080471</v>
          </cell>
          <cell r="N426">
            <v>0.24146423914618245</v>
          </cell>
          <cell r="O426">
            <v>0.24714573539288109</v>
          </cell>
          <cell r="P426">
            <v>0.23716541717738948</v>
          </cell>
          <cell r="Q426">
            <v>0.277078923160473</v>
          </cell>
          <cell r="S426">
            <v>0.26705005443734126</v>
          </cell>
          <cell r="T426">
            <v>0.26034683795687807</v>
          </cell>
          <cell r="U426">
            <v>0.28208178995023758</v>
          </cell>
          <cell r="V426">
            <v>0.26974006866110839</v>
          </cell>
          <cell r="X426">
            <v>0.25797448056763361</v>
          </cell>
          <cell r="Y426">
            <v>0.2788231744404906</v>
          </cell>
          <cell r="Z426">
            <v>0.25767187539980752</v>
          </cell>
          <cell r="AA426">
            <v>0.28035717894032997</v>
          </cell>
          <cell r="AC426">
            <v>0.25358756500241542</v>
          </cell>
          <cell r="AD426">
            <v>0.24393529284688598</v>
          </cell>
          <cell r="AE426">
            <v>0.27708933698435029</v>
          </cell>
          <cell r="AF426">
            <v>0.26537228453656392</v>
          </cell>
          <cell r="AH426">
            <v>0.24915309802207408</v>
          </cell>
          <cell r="AI426">
            <v>0.24728605088344061</v>
          </cell>
          <cell r="AJ426">
            <v>0.24489931200326615</v>
          </cell>
          <cell r="AK426">
            <v>0.24178617527651958</v>
          </cell>
          <cell r="AM426">
            <v>0.23986147318113188</v>
          </cell>
          <cell r="AN426">
            <v>0.235836310196786</v>
          </cell>
          <cell r="AO426">
            <v>0.23212925888414829</v>
          </cell>
          <cell r="AP426">
            <v>0.22890382923945846</v>
          </cell>
          <cell r="AR426">
            <v>0.22774615613403076</v>
          </cell>
          <cell r="AS426">
            <v>0.22291820631189485</v>
          </cell>
          <cell r="AT426">
            <v>0.21863289384738183</v>
          </cell>
          <cell r="AU426">
            <v>0.21505981694779452</v>
          </cell>
          <cell r="AW426">
            <v>46.596846846846844</v>
          </cell>
          <cell r="AX426">
            <v>0.3237055196493574</v>
          </cell>
          <cell r="AY426">
            <v>0.33453260572109272</v>
          </cell>
          <cell r="AZ426">
            <v>0.3302299396071206</v>
          </cell>
          <cell r="BA426">
            <v>0.33810921966796831</v>
          </cell>
          <cell r="BB426">
            <v>0.30714608217378814</v>
          </cell>
          <cell r="BC426">
            <v>0.25659051212522144</v>
          </cell>
          <cell r="BD426">
            <v>0.25036878848527289</v>
          </cell>
          <cell r="BE426">
            <v>0.2428120954665384</v>
          </cell>
          <cell r="BF426">
            <v>89.341230003197239</v>
          </cell>
          <cell r="BG426">
            <v>0.24366985653402437</v>
          </cell>
          <cell r="BH426">
            <v>0.27633659739814032</v>
          </cell>
          <cell r="BI426">
            <v>0.20622349731014011</v>
          </cell>
          <cell r="BJ426">
            <v>0.19007506257122914</v>
          </cell>
          <cell r="BK426">
            <v>0.17990561237953981</v>
          </cell>
          <cell r="BL426">
            <v>0.19892426573246907</v>
          </cell>
          <cell r="BM426">
            <v>0.21333461281703084</v>
          </cell>
          <cell r="BN426">
            <v>0.22689140592618209</v>
          </cell>
          <cell r="BO426">
            <v>0.24494538367374788</v>
          </cell>
          <cell r="BP426">
            <v>0.26772740551943658</v>
          </cell>
          <cell r="BQ426">
            <v>0.29318723993337936</v>
          </cell>
          <cell r="BR426">
            <v>0.32343182968079692</v>
          </cell>
          <cell r="BS426">
            <v>0.36103269784822389</v>
          </cell>
          <cell r="BT426">
            <v>0.41019920361809142</v>
          </cell>
          <cell r="BU426">
            <v>50</v>
          </cell>
          <cell r="BV426">
            <v>55</v>
          </cell>
          <cell r="BW426">
            <v>54</v>
          </cell>
          <cell r="BX426">
            <v>62</v>
          </cell>
          <cell r="BY426">
            <v>50</v>
          </cell>
          <cell r="BZ426">
            <v>49</v>
          </cell>
          <cell r="CA426">
            <v>51</v>
          </cell>
        </row>
        <row r="427">
          <cell r="A427" t="str">
            <v>Ann. Depr. % of PP&amp;E (prior qtr)</v>
          </cell>
          <cell r="B427" t="str">
            <v>sccycle</v>
          </cell>
          <cell r="I427">
            <v>31.777288563409883</v>
          </cell>
          <cell r="J427">
            <v>37.326431898741035</v>
          </cell>
          <cell r="K427">
            <v>35.408568740454328</v>
          </cell>
          <cell r="L427">
            <v>30.205134851034217</v>
          </cell>
          <cell r="N427">
            <v>0.24146423914618245</v>
          </cell>
          <cell r="O427">
            <v>0.24714573539288109</v>
          </cell>
          <cell r="P427">
            <v>0.23716541717738948</v>
          </cell>
          <cell r="Q427">
            <v>0.277078923160473</v>
          </cell>
          <cell r="S427">
            <v>0.26705005443734126</v>
          </cell>
          <cell r="T427">
            <v>0.26034683795687807</v>
          </cell>
          <cell r="U427">
            <v>0.28208178995023758</v>
          </cell>
          <cell r="V427">
            <v>0.26974006866110839</v>
          </cell>
          <cell r="X427">
            <v>0.25797448056763361</v>
          </cell>
          <cell r="Y427">
            <v>0.2788231744404906</v>
          </cell>
          <cell r="Z427">
            <v>0.25767187539980752</v>
          </cell>
          <cell r="AA427">
            <v>0.28035717894032997</v>
          </cell>
          <cell r="AC427">
            <v>0.25358756500241542</v>
          </cell>
          <cell r="AD427">
            <v>0.24393529284688598</v>
          </cell>
          <cell r="AE427">
            <v>0.27708933698435029</v>
          </cell>
          <cell r="AF427">
            <v>0.26537228453656392</v>
          </cell>
          <cell r="AH427">
            <v>0.24915309802207408</v>
          </cell>
          <cell r="AI427">
            <v>0.23777564717162031</v>
          </cell>
          <cell r="AJ427">
            <v>0.2476983676104399</v>
          </cell>
          <cell r="AK427">
            <v>0.24294082210886692</v>
          </cell>
          <cell r="AM427">
            <v>0.23868017614332079</v>
          </cell>
          <cell r="AN427">
            <v>0.23378269727459322</v>
          </cell>
          <cell r="AO427">
            <v>0.23095901390364348</v>
          </cell>
          <cell r="AP427">
            <v>0.22639373338108262</v>
          </cell>
          <cell r="AR427">
            <v>0.22203435679625666</v>
          </cell>
          <cell r="AS427">
            <v>0.21714123463440077</v>
          </cell>
          <cell r="AT427">
            <v>0.21425851812956689</v>
          </cell>
          <cell r="AU427">
            <v>0.21019943099926808</v>
          </cell>
          <cell r="AW427">
            <v>37.368421052631575</v>
          </cell>
          <cell r="AX427">
            <v>0.3237055196493574</v>
          </cell>
          <cell r="AY427">
            <v>0.33453260572109272</v>
          </cell>
          <cell r="AZ427">
            <v>0.3302299396071206</v>
          </cell>
          <cell r="BA427">
            <v>0.33810921966796831</v>
          </cell>
          <cell r="BB427">
            <v>0.30714608217378814</v>
          </cell>
          <cell r="BC427">
            <v>0.25109896088639805</v>
          </cell>
          <cell r="BD427">
            <v>0.25315415913717432</v>
          </cell>
          <cell r="BE427">
            <v>0.23983558483289086</v>
          </cell>
          <cell r="BF427">
            <v>42.680431031784366</v>
          </cell>
          <cell r="BG427">
            <v>0.24366985653402437</v>
          </cell>
          <cell r="BH427">
            <v>0.27024734917578302</v>
          </cell>
          <cell r="BI427">
            <v>0.2024848206326901</v>
          </cell>
          <cell r="BJ427">
            <v>0.19413683454231498</v>
          </cell>
          <cell r="BK427">
            <v>0.17371452612149721</v>
          </cell>
          <cell r="BL427">
            <v>0.19362880441748442</v>
          </cell>
          <cell r="BM427">
            <v>0.2097143577310312</v>
          </cell>
          <cell r="BN427">
            <v>0.22482961886037175</v>
          </cell>
          <cell r="BO427">
            <v>0.24404714196359215</v>
          </cell>
          <cell r="BP427">
            <v>0.26786975479064112</v>
          </cell>
          <cell r="BQ427">
            <v>0.29443123405261712</v>
          </cell>
          <cell r="BR427">
            <v>0.32588438324393165</v>
          </cell>
          <cell r="BS427">
            <v>0.36492264666576274</v>
          </cell>
          <cell r="BT427">
            <v>0.41598652333226449</v>
          </cell>
          <cell r="BU427">
            <v>30</v>
          </cell>
          <cell r="BV427">
            <v>21.35294117647058</v>
          </cell>
          <cell r="BW427">
            <v>23.379310344827587</v>
          </cell>
          <cell r="BX427">
            <v>36.753246753246742</v>
          </cell>
          <cell r="BY427">
            <v>35</v>
          </cell>
          <cell r="BZ427">
            <v>34.444444444444443</v>
          </cell>
          <cell r="CA427">
            <v>30.902439024390247</v>
          </cell>
        </row>
        <row r="428">
          <cell r="A428" t="str">
            <v>Cash Balance (End of Year)</v>
          </cell>
          <cell r="B428" t="str">
            <v>sdpo</v>
          </cell>
          <cell r="I428">
            <v>-0.5893713906868816</v>
          </cell>
          <cell r="J428">
            <v>0.28560503059143438</v>
          </cell>
          <cell r="K428">
            <v>2.805373785445171</v>
          </cell>
          <cell r="L428">
            <v>-0.46996343676992958</v>
          </cell>
          <cell r="N428">
            <v>0.30755366213337743</v>
          </cell>
          <cell r="O428">
            <v>8.0150375939849416E-2</v>
          </cell>
          <cell r="P428">
            <v>0.29496728386468063</v>
          </cell>
          <cell r="Q428">
            <v>-8.6784744806085001E-2</v>
          </cell>
          <cell r="S428">
            <v>0.16631349696862663</v>
          </cell>
          <cell r="T428">
            <v>-8.8992068098275867E-3</v>
          </cell>
          <cell r="U428">
            <v>3.8929295843977085E-2</v>
          </cell>
          <cell r="V428">
            <v>-0.32265390145079065</v>
          </cell>
          <cell r="X428">
            <v>0.59945970718058827</v>
          </cell>
          <cell r="Y428">
            <v>6.9090059114488955E-2</v>
          </cell>
          <cell r="Z428">
            <v>0.49708365364948826</v>
          </cell>
          <cell r="AA428">
            <v>0.43719466520938299</v>
          </cell>
          <cell r="AC428">
            <v>-1.2666773746267239</v>
          </cell>
          <cell r="AD428">
            <v>-3.7357138467211599</v>
          </cell>
          <cell r="AE428">
            <v>-1.8684243633291993</v>
          </cell>
          <cell r="AF428">
            <v>-0.33567880794701943</v>
          </cell>
          <cell r="AH428">
            <v>0.35669781931464217</v>
          </cell>
          <cell r="AI428">
            <v>0.15212399540757682</v>
          </cell>
          <cell r="AJ428">
            <v>-2.7404085700050151E-2</v>
          </cell>
          <cell r="AK428">
            <v>-0.26997950819672101</v>
          </cell>
          <cell r="AM428">
            <v>-0.75298245614035131</v>
          </cell>
          <cell r="AN428">
            <v>-1.1335227272727288</v>
          </cell>
          <cell r="AO428">
            <v>2.2772772772772676E-2</v>
          </cell>
          <cell r="AP428">
            <v>6.7300000000000137E-2</v>
          </cell>
          <cell r="AR428">
            <v>-4.5502670289515601E-2</v>
          </cell>
          <cell r="AS428">
            <v>4.5780894933422189E-2</v>
          </cell>
          <cell r="AT428">
            <v>3.3197845338010845E-2</v>
          </cell>
          <cell r="AU428">
            <v>9.5859002482715075E-2</v>
          </cell>
          <cell r="AW428">
            <v>-4.67722955324259E-2</v>
          </cell>
          <cell r="AX428">
            <v>6.3596138173242389E-2</v>
          </cell>
          <cell r="AY428">
            <v>5.1837316587468596E-2</v>
          </cell>
          <cell r="AZ428">
            <v>0.10521615115749651</v>
          </cell>
          <cell r="BB428" t="str">
            <v>--</v>
          </cell>
          <cell r="BC428">
            <v>6.4780082697977859E-2</v>
          </cell>
          <cell r="BD428">
            <v>0.67022775684089808</v>
          </cell>
          <cell r="BE428">
            <v>-0.18655208272019141</v>
          </cell>
          <cell r="BF428">
            <v>2.6791649581514272</v>
          </cell>
          <cell r="BG428">
            <v>1550.06759914132</v>
          </cell>
          <cell r="BH428">
            <v>1020.5064443350013</v>
          </cell>
          <cell r="BI428">
            <v>740.14726973116922</v>
          </cell>
          <cell r="BJ428">
            <v>-329.88225328256158</v>
          </cell>
          <cell r="BK428">
            <v>-130.36959831021056</v>
          </cell>
          <cell r="BL428">
            <v>62.27903302157813</v>
          </cell>
          <cell r="BM428">
            <v>-316.6572635520107</v>
          </cell>
          <cell r="BN428">
            <v>-623.23042872593658</v>
          </cell>
          <cell r="BO428">
            <v>-817.81760519411102</v>
          </cell>
          <cell r="BP428">
            <v>-408.82175952123055</v>
          </cell>
          <cell r="BQ428">
            <v>464.65344724419163</v>
          </cell>
          <cell r="BR428">
            <v>1803.9569742636545</v>
          </cell>
          <cell r="BS428">
            <v>2391.6565529244285</v>
          </cell>
          <cell r="BT428">
            <v>3544.7102050860126</v>
          </cell>
          <cell r="BU428">
            <v>0.16</v>
          </cell>
          <cell r="BV428">
            <v>0.23</v>
          </cell>
          <cell r="BW428">
            <v>0.14000000000000001</v>
          </cell>
          <cell r="BX428">
            <v>-0.15</v>
          </cell>
          <cell r="BY428">
            <v>0.04</v>
          </cell>
          <cell r="BZ428">
            <v>0.1</v>
          </cell>
          <cell r="CA428">
            <v>0.09</v>
          </cell>
        </row>
        <row r="429">
          <cell r="A429" t="str">
            <v>Cash Balance (End of Year)</v>
          </cell>
          <cell r="B429" t="str">
            <v>sccycle</v>
          </cell>
          <cell r="I429">
            <v>31.777288563409883</v>
          </cell>
          <cell r="J429">
            <v>37.326431898741035</v>
          </cell>
          <cell r="K429">
            <v>35.408568740454328</v>
          </cell>
          <cell r="L429">
            <v>30.205134851034217</v>
          </cell>
          <cell r="N429">
            <v>26.504479929096249</v>
          </cell>
          <cell r="O429">
            <v>25.402923207133703</v>
          </cell>
          <cell r="P429">
            <v>20.989047341932469</v>
          </cell>
          <cell r="Q429">
            <v>24.952869539600343</v>
          </cell>
          <cell r="S429">
            <v>26.631722627361647</v>
          </cell>
          <cell r="T429">
            <v>31.342159992092064</v>
          </cell>
          <cell r="U429">
            <v>27.743925585533717</v>
          </cell>
          <cell r="V429">
            <v>33.406632100092693</v>
          </cell>
          <cell r="X429">
            <v>36.649161628936255</v>
          </cell>
          <cell r="Y429">
            <v>45.884075686521058</v>
          </cell>
          <cell r="Z429">
            <v>41.366680290070803</v>
          </cell>
          <cell r="AA429">
            <v>30.156145875588074</v>
          </cell>
          <cell r="AC429">
            <v>2.1429999999999154</v>
          </cell>
          <cell r="AD429">
            <v>708.29099999999949</v>
          </cell>
          <cell r="AE429">
            <v>177.44099999999997</v>
          </cell>
          <cell r="AF429">
            <v>400.72100000000006</v>
          </cell>
          <cell r="AH429">
            <v>-7.815970093361102E-14</v>
          </cell>
          <cell r="AI429">
            <v>-2.9999999999999005</v>
          </cell>
          <cell r="AJ429">
            <v>-16.099999999999795</v>
          </cell>
          <cell r="AK429">
            <v>-21.491000000000554</v>
          </cell>
          <cell r="AM429">
            <v>-125.27499999999984</v>
          </cell>
          <cell r="AN429">
            <v>-172.00000000000014</v>
          </cell>
          <cell r="AO429">
            <v>-79.400000000000048</v>
          </cell>
          <cell r="AP429">
            <v>0</v>
          </cell>
          <cell r="AR429">
            <v>0</v>
          </cell>
          <cell r="AS429">
            <v>0</v>
          </cell>
          <cell r="AT429">
            <v>0</v>
          </cell>
          <cell r="AU429">
            <v>0</v>
          </cell>
          <cell r="AW429">
            <v>0</v>
          </cell>
          <cell r="AX429">
            <v>0</v>
          </cell>
          <cell r="AY429">
            <v>0</v>
          </cell>
          <cell r="AZ429">
            <v>0</v>
          </cell>
          <cell r="BB429">
            <v>27.330131543348777</v>
          </cell>
          <cell r="BC429">
            <v>41.179612529533941</v>
          </cell>
          <cell r="BD429">
            <v>28.518119926762992</v>
          </cell>
          <cell r="BE429">
            <v>40.601765395727824</v>
          </cell>
          <cell r="BF429">
            <v>42.680431031784366</v>
          </cell>
          <cell r="BG429">
            <v>1636.3492425297225</v>
          </cell>
          <cell r="BH429">
            <v>1214.5947082129828</v>
          </cell>
          <cell r="BI429">
            <v>862.79384123968407</v>
          </cell>
          <cell r="BJ429">
            <v>-758.17209523779866</v>
          </cell>
          <cell r="BK429">
            <v>-534.72018614557612</v>
          </cell>
          <cell r="BL429">
            <v>-321.87204047881767</v>
          </cell>
          <cell r="BM429">
            <v>-699.92175499434018</v>
          </cell>
          <cell r="BN429">
            <v>-1004.1784449210451</v>
          </cell>
          <cell r="BO429">
            <v>-1192.6357561344694</v>
          </cell>
          <cell r="BP429">
            <v>-758.28278843000999</v>
          </cell>
          <cell r="BQ429">
            <v>156.13178751976375</v>
          </cell>
          <cell r="BR429">
            <v>1551.6197593412185</v>
          </cell>
          <cell r="BS429">
            <v>2466.2525616319717</v>
          </cell>
          <cell r="BT429">
            <v>3682.3558511786732</v>
          </cell>
          <cell r="BU429">
            <v>30</v>
          </cell>
          <cell r="BV429">
            <v>21.35294117647058</v>
          </cell>
          <cell r="BW429">
            <v>23.379310344827587</v>
          </cell>
          <cell r="BX429">
            <v>36.753246753246742</v>
          </cell>
          <cell r="BY429">
            <v>35</v>
          </cell>
          <cell r="BZ429">
            <v>34.444444444444443</v>
          </cell>
          <cell r="CA429">
            <v>30.902439024390247</v>
          </cell>
        </row>
        <row r="430">
          <cell r="A430" t="str">
            <v>OEM Asset Divestiture</v>
          </cell>
          <cell r="B430" t="str">
            <v>sccycle</v>
          </cell>
          <cell r="I430">
            <v>-0.5893713906868816</v>
          </cell>
          <cell r="J430">
            <v>0.28560503059143438</v>
          </cell>
          <cell r="K430">
            <v>2.805373785445171</v>
          </cell>
          <cell r="L430">
            <v>-0.46996343676992958</v>
          </cell>
          <cell r="N430">
            <v>0.30755366213337743</v>
          </cell>
          <cell r="O430">
            <v>8.0150375939849416E-2</v>
          </cell>
          <cell r="P430">
            <v>0.29496728386468063</v>
          </cell>
          <cell r="Q430">
            <v>-8.6784744806085001E-2</v>
          </cell>
          <cell r="S430">
            <v>0.16631349696862663</v>
          </cell>
          <cell r="T430">
            <v>-8.8992068098275867E-3</v>
          </cell>
          <cell r="U430">
            <v>3.8929295843977085E-2</v>
          </cell>
          <cell r="V430">
            <v>-0.32265390145079065</v>
          </cell>
          <cell r="X430">
            <v>0.59945970718058827</v>
          </cell>
          <cell r="Y430">
            <v>6.9090059114488955E-2</v>
          </cell>
          <cell r="Z430">
            <v>0.49708365364948826</v>
          </cell>
          <cell r="AA430">
            <v>0.43719466520938299</v>
          </cell>
          <cell r="AC430">
            <v>-1.2666773746267239</v>
          </cell>
          <cell r="AD430">
            <v>-3.7357138467211599</v>
          </cell>
          <cell r="AE430">
            <v>-1.8684243633291993</v>
          </cell>
          <cell r="AF430">
            <v>-0.33567880794701943</v>
          </cell>
          <cell r="AH430">
            <v>0.35669781931464217</v>
          </cell>
          <cell r="AI430">
            <v>0.15212399540757682</v>
          </cell>
          <cell r="AJ430">
            <v>-2.7404085700050151E-2</v>
          </cell>
          <cell r="AK430">
            <v>-0.26997950819672101</v>
          </cell>
          <cell r="AM430">
            <v>-0.75298245614035131</v>
          </cell>
          <cell r="AN430">
            <v>-1.1335227272727288</v>
          </cell>
          <cell r="AO430">
            <v>10.702127659574355</v>
          </cell>
          <cell r="AP430">
            <v>0.17127477367262056</v>
          </cell>
          <cell r="AR430">
            <v>4.6746104031752722E-2</v>
          </cell>
          <cell r="AS430">
            <v>0.15717666918736861</v>
          </cell>
          <cell r="AT430">
            <v>2.7861349625534881E-2</v>
          </cell>
          <cell r="AU430">
            <v>0.21375395348129758</v>
          </cell>
          <cell r="AW430">
            <v>-2.4905773790308006E-3</v>
          </cell>
          <cell r="AX430">
            <v>5.4169670787255209E-2</v>
          </cell>
          <cell r="AY430">
            <v>-1.9117903408291004E-2</v>
          </cell>
          <cell r="AZ430">
            <v>0.10371718189779532</v>
          </cell>
          <cell r="BB430" t="str">
            <v>--</v>
          </cell>
          <cell r="BC430">
            <v>6.4780082697977859E-2</v>
          </cell>
          <cell r="BD430">
            <v>0.67022775684089808</v>
          </cell>
          <cell r="BE430">
            <v>-0.18655208272019141</v>
          </cell>
          <cell r="BF430">
            <v>2.6791649581514272</v>
          </cell>
          <cell r="BG430">
            <v>-1.4208883891840862</v>
          </cell>
          <cell r="BH430">
            <v>0.10981308411214918</v>
          </cell>
          <cell r="BI430">
            <v>-0.89754385964912264</v>
          </cell>
          <cell r="BJ430">
            <v>9.7040766960368536</v>
          </cell>
          <cell r="BK430">
            <v>0.39061866162357917</v>
          </cell>
          <cell r="BM430">
            <v>0.10981308411214918</v>
          </cell>
          <cell r="BN430">
            <v>-0.89754385964912264</v>
          </cell>
          <cell r="BO430">
            <v>9.7040766960368536</v>
          </cell>
          <cell r="BP430">
            <v>0.39061866162357917</v>
          </cell>
          <cell r="BQ430">
            <v>0.16</v>
          </cell>
          <cell r="BR430">
            <v>-0.01</v>
          </cell>
          <cell r="BS430">
            <v>0.11</v>
          </cell>
          <cell r="BT430">
            <v>0.18</v>
          </cell>
          <cell r="BU430">
            <v>0.24</v>
          </cell>
          <cell r="BV430">
            <v>0.3</v>
          </cell>
          <cell r="BW430">
            <v>0.14000000000000001</v>
          </cell>
          <cell r="BX430">
            <v>-0.15</v>
          </cell>
          <cell r="BY430">
            <v>0.04</v>
          </cell>
          <cell r="BZ430">
            <v>0.1</v>
          </cell>
          <cell r="CA430">
            <v>0.09</v>
          </cell>
        </row>
        <row r="431">
          <cell r="A431" t="str">
            <v>Purchase Price</v>
          </cell>
          <cell r="I431">
            <v>-0.5893713906868816</v>
          </cell>
          <cell r="J431">
            <v>0.28560503059143438</v>
          </cell>
          <cell r="K431">
            <v>2.805373785445171</v>
          </cell>
          <cell r="L431">
            <v>-0.46996343676992958</v>
          </cell>
          <cell r="N431">
            <v>0.30755366213337743</v>
          </cell>
          <cell r="O431">
            <v>8.0150375939849416E-2</v>
          </cell>
          <cell r="P431">
            <v>0.29496728386468063</v>
          </cell>
          <cell r="Q431">
            <v>-8.6784744806085001E-2</v>
          </cell>
          <cell r="S431">
            <v>0.16631349696862663</v>
          </cell>
          <cell r="T431">
            <v>-8.8992068098275867E-3</v>
          </cell>
          <cell r="U431">
            <v>3.8929295843977085E-2</v>
          </cell>
          <cell r="V431">
            <v>-0.32265390145079065</v>
          </cell>
          <cell r="X431">
            <v>0.59945970718058827</v>
          </cell>
          <cell r="Y431">
            <v>6.9090059114488955E-2</v>
          </cell>
          <cell r="Z431">
            <v>0.49708365364948826</v>
          </cell>
          <cell r="AA431">
            <v>0.43719466520938299</v>
          </cell>
          <cell r="AC431">
            <v>997.84</v>
          </cell>
          <cell r="AD431">
            <v>1003.9450000000001</v>
          </cell>
          <cell r="AE431">
            <v>1010.335</v>
          </cell>
          <cell r="AF431">
            <v>1034.2</v>
          </cell>
          <cell r="AH431">
            <v>1035.6000000000001</v>
          </cell>
          <cell r="AI431">
            <v>1039.0999999999999</v>
          </cell>
          <cell r="AJ431">
            <v>861.60000000000014</v>
          </cell>
          <cell r="AK431">
            <v>811.50000000000011</v>
          </cell>
          <cell r="AM431">
            <v>739.30000000000007</v>
          </cell>
          <cell r="AN431">
            <v>685.4</v>
          </cell>
          <cell r="AO431">
            <v>618.19999999999993</v>
          </cell>
          <cell r="AP431">
            <v>618.19999999999993</v>
          </cell>
          <cell r="AR431">
            <v>618.19999999999993</v>
          </cell>
          <cell r="AS431">
            <v>618.19999999999993</v>
          </cell>
          <cell r="AT431">
            <v>618.19999999999993</v>
          </cell>
          <cell r="AU431">
            <v>618.19999999999993</v>
          </cell>
          <cell r="AW431">
            <v>618.19999999999993</v>
          </cell>
          <cell r="AX431">
            <v>618.19999999999993</v>
          </cell>
          <cell r="AY431">
            <v>3.1</v>
          </cell>
          <cell r="AZ431">
            <v>3.1</v>
          </cell>
          <cell r="BB431">
            <v>325.36800000000005</v>
          </cell>
          <cell r="BC431">
            <v>519.81500000000005</v>
          </cell>
          <cell r="BD431">
            <v>135.804</v>
          </cell>
          <cell r="BE431">
            <v>134.197</v>
          </cell>
          <cell r="BF431">
            <v>992.49200000000008</v>
          </cell>
          <cell r="BG431">
            <v>0</v>
          </cell>
          <cell r="BH431">
            <v>400</v>
          </cell>
          <cell r="BI431">
            <v>300</v>
          </cell>
          <cell r="BJ431">
            <v>240.14726973116922</v>
          </cell>
          <cell r="BK431">
            <v>0</v>
          </cell>
          <cell r="BL431">
            <v>0</v>
          </cell>
          <cell r="BM431">
            <v>0</v>
          </cell>
          <cell r="BN431">
            <v>0</v>
          </cell>
          <cell r="BO431">
            <v>0</v>
          </cell>
          <cell r="BP431">
            <v>0</v>
          </cell>
          <cell r="BQ431">
            <v>3.1</v>
          </cell>
          <cell r="BR431">
            <v>3.1</v>
          </cell>
          <cell r="BS431">
            <v>3.1</v>
          </cell>
          <cell r="BT431">
            <v>3.1</v>
          </cell>
          <cell r="BU431">
            <v>3.1</v>
          </cell>
          <cell r="BV431">
            <v>3.1</v>
          </cell>
          <cell r="BW431">
            <v>3.1</v>
          </cell>
          <cell r="BX431">
            <v>3.1</v>
          </cell>
          <cell r="BY431">
            <v>3.1</v>
          </cell>
          <cell r="BZ431">
            <v>3.1</v>
          </cell>
          <cell r="CA431">
            <v>3.1</v>
          </cell>
        </row>
        <row r="432">
          <cell r="A432" t="str">
            <v>Incremental Revenue</v>
          </cell>
          <cell r="AC432">
            <v>1.7369518159223923E-2</v>
          </cell>
          <cell r="AD432">
            <v>2.0441755733008288E-2</v>
          </cell>
          <cell r="AE432">
            <v>1.7725440355859164E-2</v>
          </cell>
          <cell r="AF432">
            <v>2.3085933965424903E-2</v>
          </cell>
          <cell r="AH432">
            <v>2.0871581795342545E-2</v>
          </cell>
          <cell r="AI432">
            <v>2.1207885477418423E-2</v>
          </cell>
          <cell r="AJ432">
            <v>1.473141474193718E-2</v>
          </cell>
          <cell r="AK432">
            <v>7.6504691889307261E-3</v>
          </cell>
          <cell r="AM432">
            <v>6.1903533660046415E-3</v>
          </cell>
          <cell r="AN432">
            <v>7.8613041342036911E-3</v>
          </cell>
          <cell r="AO432">
            <v>8.5915925130408098E-3</v>
          </cell>
          <cell r="AP432">
            <v>8.5915925130408098E-3</v>
          </cell>
          <cell r="AR432">
            <v>8.5915925130408098E-3</v>
          </cell>
          <cell r="AS432">
            <v>8.5915925130408098E-3</v>
          </cell>
          <cell r="AT432">
            <v>8.5915925130408098E-3</v>
          </cell>
          <cell r="AU432">
            <v>8.5915925130408098E-3</v>
          </cell>
          <cell r="AW432">
            <v>8.5915925130408098E-3</v>
          </cell>
          <cell r="AX432">
            <v>8.5915925130408098E-3</v>
          </cell>
          <cell r="AY432">
            <v>8.5915925130408098E-3</v>
          </cell>
          <cell r="AZ432">
            <v>8.5915925130408098E-3</v>
          </cell>
          <cell r="BB432">
            <v>325.36800000000005</v>
          </cell>
          <cell r="BC432">
            <v>519.81500000000005</v>
          </cell>
          <cell r="BD432">
            <v>135.804</v>
          </cell>
          <cell r="BE432">
            <v>134.197</v>
          </cell>
          <cell r="BF432">
            <v>992.49200000000008</v>
          </cell>
          <cell r="BG432">
            <v>0</v>
          </cell>
          <cell r="BH432">
            <v>1600</v>
          </cell>
          <cell r="BI432">
            <v>1200</v>
          </cell>
          <cell r="BJ432">
            <v>960.58907892467687</v>
          </cell>
          <cell r="BK432">
            <v>0</v>
          </cell>
          <cell r="BL432">
            <v>0</v>
          </cell>
          <cell r="BM432">
            <v>0</v>
          </cell>
          <cell r="BN432">
            <v>0</v>
          </cell>
          <cell r="BO432">
            <v>0</v>
          </cell>
          <cell r="BP432">
            <v>0</v>
          </cell>
          <cell r="BQ432">
            <v>0.06</v>
          </cell>
          <cell r="BR432">
            <v>0.06</v>
          </cell>
          <cell r="BS432">
            <v>0.06</v>
          </cell>
          <cell r="BT432">
            <v>0.06</v>
          </cell>
          <cell r="BU432">
            <v>0.06</v>
          </cell>
          <cell r="BV432">
            <v>0.06</v>
          </cell>
          <cell r="BW432">
            <v>0.06</v>
          </cell>
          <cell r="BX432">
            <v>0.06</v>
          </cell>
          <cell r="BY432">
            <v>0.06</v>
          </cell>
          <cell r="BZ432">
            <v>0.06</v>
          </cell>
          <cell r="CA432">
            <v>0.06</v>
          </cell>
        </row>
        <row r="433">
          <cell r="A433" t="str">
            <v>Incremental Revenue</v>
          </cell>
          <cell r="AC433">
            <v>997.84</v>
          </cell>
          <cell r="AD433">
            <v>1003.9450000000001</v>
          </cell>
          <cell r="AE433">
            <v>1010.335</v>
          </cell>
          <cell r="AF433">
            <v>1034.2</v>
          </cell>
          <cell r="AH433">
            <v>1.102174560619601E-2</v>
          </cell>
          <cell r="AI433">
            <v>1.1060156460749933E-2</v>
          </cell>
          <cell r="AJ433">
            <v>1.0928312644770444E-2</v>
          </cell>
          <cell r="AK433">
            <v>1.0171508954174107E-2</v>
          </cell>
          <cell r="AM433">
            <v>9.9406209970766997E-3</v>
          </cell>
          <cell r="AN433">
            <v>6.5793205150019851E-3</v>
          </cell>
          <cell r="AO433">
            <v>4.6741820181468241E-3</v>
          </cell>
          <cell r="AP433">
            <v>5.4999999999999997E-3</v>
          </cell>
          <cell r="AR433">
            <v>5.4999999999999997E-3</v>
          </cell>
          <cell r="AS433">
            <v>6.0000000000000001E-3</v>
          </cell>
          <cell r="AT433">
            <v>6.0000000000000001E-3</v>
          </cell>
          <cell r="AU433">
            <v>6.0000000000000001E-3</v>
          </cell>
          <cell r="AW433">
            <v>8.0000000000000002E-3</v>
          </cell>
          <cell r="AX433">
            <v>8.9999999999999993E-3</v>
          </cell>
          <cell r="AY433">
            <v>8.9999999999999993E-3</v>
          </cell>
          <cell r="AZ433">
            <v>0.01</v>
          </cell>
          <cell r="BB433">
            <v>325.36800000000005</v>
          </cell>
          <cell r="BC433">
            <v>519.81500000000005</v>
          </cell>
          <cell r="BD433">
            <v>135.804</v>
          </cell>
          <cell r="BE433">
            <v>134.197</v>
          </cell>
          <cell r="BF433">
            <v>992.49200000000008</v>
          </cell>
          <cell r="BG433">
            <v>0</v>
          </cell>
          <cell r="BH433">
            <v>1600</v>
          </cell>
          <cell r="BI433">
            <v>1200</v>
          </cell>
          <cell r="BJ433">
            <v>1451.1753649587363</v>
          </cell>
          <cell r="BK433">
            <v>0</v>
          </cell>
          <cell r="BL433">
            <v>0</v>
          </cell>
          <cell r="BM433">
            <v>0</v>
          </cell>
          <cell r="BN433">
            <v>0</v>
          </cell>
          <cell r="BO433">
            <v>0</v>
          </cell>
          <cell r="BP433">
            <v>0</v>
          </cell>
          <cell r="BQ433">
            <v>6.4481304125664106E-3</v>
          </cell>
          <cell r="BR433">
            <v>6.4481304125664106E-3</v>
          </cell>
          <cell r="BS433">
            <v>6.4481304125664106E-3</v>
          </cell>
          <cell r="BT433">
            <v>6.4481304125664106E-3</v>
          </cell>
          <cell r="BU433">
            <v>6.4481304125664106E-3</v>
          </cell>
          <cell r="BV433">
            <v>6.4481304125664106E-3</v>
          </cell>
          <cell r="BW433">
            <v>6.4481304125664106E-3</v>
          </cell>
          <cell r="BX433">
            <v>6.4481304125664106E-3</v>
          </cell>
          <cell r="BY433">
            <v>6.4481304125664106E-3</v>
          </cell>
          <cell r="BZ433">
            <v>6.4481304125664106E-3</v>
          </cell>
          <cell r="CA433">
            <v>6.4481304125664106E-3</v>
          </cell>
        </row>
        <row r="434">
          <cell r="A434" t="str">
            <v>Company Acqusition</v>
          </cell>
          <cell r="AC434">
            <v>6.75</v>
          </cell>
          <cell r="AD434">
            <v>6.75</v>
          </cell>
          <cell r="AE434">
            <v>6.75</v>
          </cell>
          <cell r="AF434">
            <v>6.75</v>
          </cell>
          <cell r="AH434">
            <v>6.75</v>
          </cell>
          <cell r="AI434">
            <v>6.75</v>
          </cell>
          <cell r="AJ434">
            <v>6.75</v>
          </cell>
          <cell r="AK434">
            <v>6.75</v>
          </cell>
          <cell r="AM434">
            <v>6.75</v>
          </cell>
          <cell r="AN434">
            <v>6.75</v>
          </cell>
          <cell r="AO434">
            <v>6.75</v>
          </cell>
          <cell r="AP434">
            <v>6.75</v>
          </cell>
          <cell r="AR434">
            <v>6.75</v>
          </cell>
          <cell r="AS434">
            <v>6.75</v>
          </cell>
          <cell r="AT434">
            <v>6.75</v>
          </cell>
          <cell r="AU434">
            <v>6.75</v>
          </cell>
          <cell r="AW434">
            <v>6.75</v>
          </cell>
          <cell r="AX434">
            <v>6.75</v>
          </cell>
          <cell r="AY434">
            <v>6.75</v>
          </cell>
          <cell r="AZ434">
            <v>6.75</v>
          </cell>
          <cell r="BB434">
            <v>325.36800000000005</v>
          </cell>
          <cell r="BC434">
            <v>6.75</v>
          </cell>
          <cell r="BD434">
            <v>6.75</v>
          </cell>
          <cell r="BE434">
            <v>6.75</v>
          </cell>
          <cell r="BF434">
            <v>6.75</v>
          </cell>
          <cell r="BG434">
            <v>1.9550084571311278E-2</v>
          </cell>
          <cell r="BH434">
            <v>1.7337595492225171E-2</v>
          </cell>
          <cell r="BI434">
            <v>7.6142131979695417E-3</v>
          </cell>
          <cell r="BJ434">
            <v>9.1421108480940327E-3</v>
          </cell>
          <cell r="BK434">
            <v>1.1407392743770875E-2</v>
          </cell>
          <cell r="BM434">
            <v>6.75</v>
          </cell>
          <cell r="BN434">
            <v>6.75</v>
          </cell>
          <cell r="BO434">
            <v>6.75</v>
          </cell>
          <cell r="BP434">
            <v>6.75</v>
          </cell>
          <cell r="BQ434">
            <v>6.75</v>
          </cell>
          <cell r="BR434">
            <v>6.75</v>
          </cell>
          <cell r="BS434">
            <v>6.75</v>
          </cell>
          <cell r="BT434">
            <v>6.75</v>
          </cell>
          <cell r="BU434">
            <v>6.75</v>
          </cell>
          <cell r="BV434">
            <v>6.75</v>
          </cell>
          <cell r="BW434">
            <v>6.75</v>
          </cell>
          <cell r="BX434">
            <v>6.75</v>
          </cell>
          <cell r="BY434">
            <v>6.75</v>
          </cell>
          <cell r="BZ434">
            <v>6.75</v>
          </cell>
          <cell r="CA434">
            <v>6.75</v>
          </cell>
        </row>
        <row r="435">
          <cell r="A435" t="str">
            <v>Purchase Price</v>
          </cell>
          <cell r="AC435">
            <v>6.75</v>
          </cell>
          <cell r="AD435">
            <v>6.75</v>
          </cell>
          <cell r="AE435">
            <v>6.75</v>
          </cell>
          <cell r="AF435">
            <v>6.75</v>
          </cell>
          <cell r="AH435">
            <v>1.102174560619601E-2</v>
          </cell>
          <cell r="AI435">
            <v>1.1060156460749933E-2</v>
          </cell>
          <cell r="AJ435">
            <v>1.0928312644770444E-2</v>
          </cell>
          <cell r="AK435">
            <v>1.0171508954174107E-2</v>
          </cell>
          <cell r="AM435">
            <v>9.9406209970766997E-3</v>
          </cell>
          <cell r="AN435">
            <v>6.5793205150019851E-3</v>
          </cell>
          <cell r="AO435">
            <v>4.6741820181468241E-3</v>
          </cell>
          <cell r="AP435">
            <v>9.9214551467548566E-4</v>
          </cell>
          <cell r="AR435">
            <v>5.4999999999999997E-3</v>
          </cell>
          <cell r="AS435">
            <v>6.0000000000000001E-3</v>
          </cell>
          <cell r="AT435">
            <v>6.0000000000000001E-3</v>
          </cell>
          <cell r="AU435">
            <v>6.0000000000000001E-3</v>
          </cell>
          <cell r="AW435">
            <v>8.0000000000000002E-3</v>
          </cell>
          <cell r="AX435">
            <v>8.9999999999999993E-3</v>
          </cell>
          <cell r="AY435">
            <v>8.9999999999999993E-3</v>
          </cell>
          <cell r="AZ435">
            <v>0.01</v>
          </cell>
          <cell r="BC435">
            <v>6.75</v>
          </cell>
          <cell r="BD435">
            <v>6.75</v>
          </cell>
          <cell r="BE435">
            <v>6.75</v>
          </cell>
          <cell r="BF435">
            <v>6.75</v>
          </cell>
          <cell r="BG435">
            <v>0</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6.7789289924381664E-3</v>
          </cell>
          <cell r="BW435">
            <v>6.7789289924381664E-3</v>
          </cell>
          <cell r="BX435">
            <v>6.7789289924381664E-3</v>
          </cell>
          <cell r="BY435">
            <v>6.7789289924381664E-3</v>
          </cell>
          <cell r="BZ435">
            <v>6.7789289924381664E-3</v>
          </cell>
          <cell r="CA435">
            <v>6.7789289924381664E-3</v>
          </cell>
        </row>
        <row r="436">
          <cell r="A436" t="str">
            <v>Fixed Assets</v>
          </cell>
          <cell r="AC436">
            <v>6.75</v>
          </cell>
          <cell r="AD436">
            <v>6.75</v>
          </cell>
          <cell r="AE436">
            <v>6.75</v>
          </cell>
          <cell r="AF436">
            <v>6.75</v>
          </cell>
          <cell r="AH436">
            <v>6.75</v>
          </cell>
          <cell r="AI436">
            <v>6.75</v>
          </cell>
          <cell r="AJ436">
            <v>6.75</v>
          </cell>
          <cell r="AK436">
            <v>6.75</v>
          </cell>
          <cell r="AM436">
            <v>6.75</v>
          </cell>
          <cell r="AN436">
            <v>6.75</v>
          </cell>
          <cell r="AO436">
            <v>6.75</v>
          </cell>
          <cell r="AP436">
            <v>6.75</v>
          </cell>
          <cell r="AR436">
            <v>6.75</v>
          </cell>
          <cell r="AS436">
            <v>6.75</v>
          </cell>
          <cell r="AT436">
            <v>6.75</v>
          </cell>
          <cell r="AU436">
            <v>6.75</v>
          </cell>
          <cell r="AW436">
            <v>6.75</v>
          </cell>
          <cell r="AX436">
            <v>6.75</v>
          </cell>
          <cell r="AY436">
            <v>6.75</v>
          </cell>
          <cell r="AZ436">
            <v>6.75</v>
          </cell>
          <cell r="BC436">
            <v>6.75</v>
          </cell>
          <cell r="BD436">
            <v>6.75</v>
          </cell>
          <cell r="BE436">
            <v>6.75</v>
          </cell>
          <cell r="BF436">
            <v>6.75</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0</v>
          </cell>
          <cell r="BV436">
            <v>6.75</v>
          </cell>
          <cell r="BW436">
            <v>6.75</v>
          </cell>
          <cell r="BX436">
            <v>6.75</v>
          </cell>
          <cell r="BY436">
            <v>6.75</v>
          </cell>
          <cell r="BZ436">
            <v>6.75</v>
          </cell>
          <cell r="CA436">
            <v>6.75</v>
          </cell>
        </row>
        <row r="437">
          <cell r="A437" t="str">
            <v>Debt</v>
          </cell>
          <cell r="AC437">
            <v>6.75</v>
          </cell>
          <cell r="AD437">
            <v>6.75</v>
          </cell>
          <cell r="AE437">
            <v>6.75</v>
          </cell>
          <cell r="AF437">
            <v>6.75</v>
          </cell>
          <cell r="AH437">
            <v>6.75</v>
          </cell>
          <cell r="AI437">
            <v>6.75</v>
          </cell>
          <cell r="AJ437">
            <v>6.75</v>
          </cell>
          <cell r="AK437">
            <v>6.75</v>
          </cell>
          <cell r="AM437">
            <v>6.75</v>
          </cell>
          <cell r="AN437">
            <v>6.75</v>
          </cell>
          <cell r="AO437">
            <v>6.75</v>
          </cell>
          <cell r="AP437">
            <v>6.75</v>
          </cell>
          <cell r="AR437">
            <v>6.75</v>
          </cell>
          <cell r="AS437">
            <v>6.75</v>
          </cell>
          <cell r="AT437">
            <v>6.75</v>
          </cell>
          <cell r="AU437">
            <v>6.75</v>
          </cell>
          <cell r="AW437">
            <v>6.75</v>
          </cell>
          <cell r="AX437">
            <v>6.75</v>
          </cell>
          <cell r="AY437">
            <v>6.75</v>
          </cell>
          <cell r="AZ437">
            <v>6.75</v>
          </cell>
          <cell r="BC437">
            <v>6.75</v>
          </cell>
          <cell r="BD437">
            <v>6.75</v>
          </cell>
          <cell r="BE437">
            <v>6.75</v>
          </cell>
          <cell r="BF437">
            <v>6.75</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6.75</v>
          </cell>
          <cell r="BW437">
            <v>6.75</v>
          </cell>
          <cell r="BX437">
            <v>6.75</v>
          </cell>
          <cell r="BY437">
            <v>6.75</v>
          </cell>
          <cell r="BZ437">
            <v>6.75</v>
          </cell>
          <cell r="CA437">
            <v>6.75</v>
          </cell>
        </row>
        <row r="438">
          <cell r="A438" t="str">
            <v>Goodwill</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row>
        <row r="439">
          <cell r="A439" t="str">
            <v>% Equity Funded (enter 100% to 0%)</v>
          </cell>
          <cell r="BG439">
            <v>0</v>
          </cell>
          <cell r="BH439">
            <v>0</v>
          </cell>
          <cell r="BI439">
            <v>0</v>
          </cell>
          <cell r="BJ439">
            <v>0</v>
          </cell>
          <cell r="BK439">
            <v>0</v>
          </cell>
          <cell r="BL439">
            <v>0</v>
          </cell>
          <cell r="BM439">
            <v>0</v>
          </cell>
          <cell r="BN439">
            <v>0</v>
          </cell>
          <cell r="BO439">
            <v>0</v>
          </cell>
          <cell r="BP439">
            <v>0</v>
          </cell>
          <cell r="BQ439">
            <v>0</v>
          </cell>
          <cell r="BR439">
            <v>0</v>
          </cell>
          <cell r="BS439">
            <v>0</v>
          </cell>
          <cell r="BT439">
            <v>0</v>
          </cell>
          <cell r="BU439">
            <v>0</v>
          </cell>
        </row>
        <row r="440">
          <cell r="A440" t="str">
            <v>Incremental Revenue</v>
          </cell>
          <cell r="S440" t="str">
            <v xml:space="preserve"> </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row>
        <row r="441">
          <cell r="A441" t="str">
            <v>Revenue Growth Rate</v>
          </cell>
          <cell r="D441">
            <v>1996</v>
          </cell>
          <cell r="I441">
            <v>1997</v>
          </cell>
          <cell r="N441">
            <v>1998</v>
          </cell>
          <cell r="S441">
            <v>1999</v>
          </cell>
          <cell r="X441">
            <v>2000</v>
          </cell>
          <cell r="AC441">
            <v>2001</v>
          </cell>
          <cell r="AH441">
            <v>2002</v>
          </cell>
          <cell r="AM441" t="str">
            <v>2003E</v>
          </cell>
          <cell r="AR441" t="str">
            <v>2004E</v>
          </cell>
          <cell r="AW441" t="str">
            <v>2005E</v>
          </cell>
          <cell r="BA441" t="str">
            <v xml:space="preserve"> </v>
          </cell>
          <cell r="BE441" t="str">
            <v xml:space="preserve"> </v>
          </cell>
          <cell r="BG441">
            <v>0</v>
          </cell>
          <cell r="BH441">
            <v>0.2</v>
          </cell>
          <cell r="BI441">
            <v>0.18928571428571431</v>
          </cell>
          <cell r="BJ441">
            <v>0.1785714285714286</v>
          </cell>
          <cell r="BK441">
            <v>0.1678571428571429</v>
          </cell>
          <cell r="BL441">
            <v>0.1571428571428572</v>
          </cell>
          <cell r="BM441">
            <v>0.14642857142857149</v>
          </cell>
          <cell r="BN441">
            <v>0.13571428571428579</v>
          </cell>
          <cell r="BO441">
            <v>0.12500000000000008</v>
          </cell>
          <cell r="BP441">
            <v>0.11428571428571437</v>
          </cell>
          <cell r="BQ441">
            <v>0.10357142857142865</v>
          </cell>
          <cell r="BR441">
            <v>9.285714285714293E-2</v>
          </cell>
          <cell r="BS441">
            <v>8.2142857142857212E-2</v>
          </cell>
          <cell r="BT441">
            <v>7.1428571428571494E-2</v>
          </cell>
          <cell r="BU441">
            <v>0.05</v>
          </cell>
        </row>
        <row r="442">
          <cell r="A442" t="str">
            <v>Revenue Growth Rate</v>
          </cell>
          <cell r="D442">
            <v>35125</v>
          </cell>
          <cell r="E442">
            <v>35217</v>
          </cell>
          <cell r="F442">
            <v>35309</v>
          </cell>
          <cell r="G442">
            <v>35400</v>
          </cell>
          <cell r="I442">
            <v>35490</v>
          </cell>
          <cell r="J442">
            <v>35582</v>
          </cell>
          <cell r="K442">
            <v>35674</v>
          </cell>
          <cell r="L442">
            <v>35765</v>
          </cell>
          <cell r="N442">
            <v>35855</v>
          </cell>
          <cell r="O442">
            <v>35947</v>
          </cell>
          <cell r="P442">
            <v>36039</v>
          </cell>
          <cell r="Q442">
            <v>36130</v>
          </cell>
          <cell r="S442">
            <v>36220</v>
          </cell>
          <cell r="T442">
            <v>36312</v>
          </cell>
          <cell r="U442">
            <v>36404</v>
          </cell>
          <cell r="V442">
            <v>36495</v>
          </cell>
          <cell r="X442">
            <v>36586</v>
          </cell>
          <cell r="Y442">
            <v>36678</v>
          </cell>
          <cell r="Z442">
            <v>36770</v>
          </cell>
          <cell r="AA442">
            <v>36861</v>
          </cell>
          <cell r="AC442">
            <v>36951</v>
          </cell>
          <cell r="AD442">
            <v>37043</v>
          </cell>
          <cell r="AE442">
            <v>37135</v>
          </cell>
          <cell r="AF442">
            <v>37226</v>
          </cell>
          <cell r="AH442" t="str">
            <v xml:space="preserve"> 3/02</v>
          </cell>
          <cell r="AI442" t="str">
            <v xml:space="preserve"> 6/02</v>
          </cell>
          <cell r="AJ442" t="str">
            <v xml:space="preserve"> 9/02</v>
          </cell>
          <cell r="AK442" t="str">
            <v>12/02</v>
          </cell>
          <cell r="AM442" t="str">
            <v xml:space="preserve"> 3/03</v>
          </cell>
          <cell r="AN442" t="str">
            <v xml:space="preserve"> 6/03</v>
          </cell>
          <cell r="AO442" t="str">
            <v xml:space="preserve"> 9/03</v>
          </cell>
          <cell r="AP442" t="str">
            <v>12/03E</v>
          </cell>
          <cell r="AR442" t="str">
            <v xml:space="preserve"> 3/04E</v>
          </cell>
          <cell r="AS442" t="str">
            <v xml:space="preserve"> 6/04E</v>
          </cell>
          <cell r="AT442" t="str">
            <v xml:space="preserve"> 9/04E</v>
          </cell>
          <cell r="AU442" t="str">
            <v>12/04E</v>
          </cell>
          <cell r="AW442" t="str">
            <v xml:space="preserve"> 3/05E</v>
          </cell>
          <cell r="AX442" t="str">
            <v xml:space="preserve"> 6/05E</v>
          </cell>
          <cell r="AY442" t="str">
            <v xml:space="preserve"> 9/05E</v>
          </cell>
          <cell r="AZ442" t="str">
            <v>12/05E</v>
          </cell>
          <cell r="BA442" t="str">
            <v xml:space="preserve"> </v>
          </cell>
          <cell r="BB442">
            <v>1996</v>
          </cell>
          <cell r="BC442">
            <v>1997</v>
          </cell>
          <cell r="BD442">
            <v>1998</v>
          </cell>
          <cell r="BE442">
            <v>1999</v>
          </cell>
          <cell r="BF442">
            <v>2000</v>
          </cell>
          <cell r="BG442">
            <v>2001</v>
          </cell>
          <cell r="BH442">
            <v>0.2</v>
          </cell>
          <cell r="BI442">
            <v>0.18928571428571431</v>
          </cell>
          <cell r="BJ442">
            <v>0.1785714285714286</v>
          </cell>
          <cell r="BK442">
            <v>0.1678571428571429</v>
          </cell>
          <cell r="BL442">
            <v>0.1571428571428572</v>
          </cell>
          <cell r="BM442">
            <v>0.14642857142857149</v>
          </cell>
          <cell r="BN442">
            <v>0.13571428571428579</v>
          </cell>
          <cell r="BO442">
            <v>0.12500000000000008</v>
          </cell>
          <cell r="BP442">
            <v>0.11428571428571437</v>
          </cell>
          <cell r="BQ442">
            <v>0.10357142857142865</v>
          </cell>
          <cell r="BR442">
            <v>9.285714285714293E-2</v>
          </cell>
          <cell r="BS442">
            <v>8.2142857142857212E-2</v>
          </cell>
          <cell r="BT442">
            <v>7.1428571428571494E-2</v>
          </cell>
          <cell r="BU442">
            <v>2010</v>
          </cell>
          <cell r="BV442">
            <v>2011</v>
          </cell>
          <cell r="BW442">
            <v>2012</v>
          </cell>
          <cell r="BX442">
            <v>2013</v>
          </cell>
          <cell r="BY442">
            <v>2014</v>
          </cell>
          <cell r="BZ442">
            <v>2015</v>
          </cell>
          <cell r="CA442">
            <v>2016</v>
          </cell>
        </row>
        <row r="443">
          <cell r="A443" t="str">
            <v xml:space="preserve"> </v>
          </cell>
          <cell r="D443">
            <v>1996</v>
          </cell>
          <cell r="E443">
            <v>35217</v>
          </cell>
          <cell r="F443">
            <v>35309</v>
          </cell>
          <cell r="G443">
            <v>35400</v>
          </cell>
          <cell r="I443">
            <v>1997</v>
          </cell>
          <cell r="J443">
            <v>35582</v>
          </cell>
          <cell r="K443">
            <v>35674</v>
          </cell>
          <cell r="L443">
            <v>35765</v>
          </cell>
          <cell r="N443">
            <v>1998</v>
          </cell>
          <cell r="O443">
            <v>35947</v>
          </cell>
          <cell r="P443">
            <v>36039</v>
          </cell>
          <cell r="Q443">
            <v>36130</v>
          </cell>
          <cell r="S443">
            <v>1999</v>
          </cell>
          <cell r="T443">
            <v>36312</v>
          </cell>
          <cell r="U443">
            <v>36404</v>
          </cell>
          <cell r="V443">
            <v>36495</v>
          </cell>
          <cell r="X443">
            <v>2000</v>
          </cell>
          <cell r="Y443">
            <v>36678</v>
          </cell>
          <cell r="Z443">
            <v>36770</v>
          </cell>
          <cell r="AA443">
            <v>36861</v>
          </cell>
          <cell r="AC443">
            <v>2001</v>
          </cell>
          <cell r="AD443">
            <v>37043</v>
          </cell>
          <cell r="AE443">
            <v>37135</v>
          </cell>
          <cell r="AF443">
            <v>37226</v>
          </cell>
          <cell r="AH443">
            <v>2002</v>
          </cell>
          <cell r="AI443" t="str">
            <v xml:space="preserve"> 6/02</v>
          </cell>
          <cell r="AJ443" t="str">
            <v xml:space="preserve"> 9/02</v>
          </cell>
          <cell r="AK443" t="str">
            <v>12/02</v>
          </cell>
          <cell r="AM443">
            <v>2003</v>
          </cell>
          <cell r="AN443" t="str">
            <v xml:space="preserve"> 6/03</v>
          </cell>
          <cell r="AO443" t="str">
            <v xml:space="preserve"> 9/03</v>
          </cell>
          <cell r="AP443">
            <v>37958</v>
          </cell>
          <cell r="AR443" t="str">
            <v>2004E</v>
          </cell>
          <cell r="AS443" t="str">
            <v xml:space="preserve"> 6/04E</v>
          </cell>
          <cell r="AT443" t="str">
            <v xml:space="preserve"> 9/04E</v>
          </cell>
          <cell r="AU443" t="str">
            <v>12/04E</v>
          </cell>
          <cell r="AW443" t="str">
            <v>2005E</v>
          </cell>
          <cell r="AX443" t="str">
            <v xml:space="preserve"> 6/05E</v>
          </cell>
          <cell r="AY443" t="str">
            <v xml:space="preserve"> 9/05E</v>
          </cell>
          <cell r="AZ443" t="str">
            <v>12/05E</v>
          </cell>
          <cell r="BA443" t="str">
            <v xml:space="preserve"> </v>
          </cell>
          <cell r="BB443">
            <v>1996</v>
          </cell>
          <cell r="BC443">
            <v>1997</v>
          </cell>
          <cell r="BD443">
            <v>1998</v>
          </cell>
          <cell r="BE443" t="str">
            <v xml:space="preserve"> </v>
          </cell>
          <cell r="BF443">
            <v>2000</v>
          </cell>
          <cell r="BG443">
            <v>2001</v>
          </cell>
          <cell r="BH443">
            <v>2002</v>
          </cell>
          <cell r="BI443">
            <v>2003</v>
          </cell>
          <cell r="BJ443" t="str">
            <v>2004E</v>
          </cell>
          <cell r="BK443" t="str">
            <v>2005E</v>
          </cell>
          <cell r="BM443">
            <v>2002</v>
          </cell>
          <cell r="BN443">
            <v>2003</v>
          </cell>
          <cell r="BO443">
            <v>2004</v>
          </cell>
          <cell r="BP443">
            <v>2005</v>
          </cell>
          <cell r="BQ443">
            <v>2006</v>
          </cell>
          <cell r="BR443">
            <v>2007</v>
          </cell>
          <cell r="BS443">
            <v>2008</v>
          </cell>
          <cell r="BT443">
            <v>2009</v>
          </cell>
          <cell r="BU443">
            <v>2010</v>
          </cell>
        </row>
        <row r="444">
          <cell r="A444" t="str">
            <v>Cash From Operations</v>
          </cell>
          <cell r="B444" t="str">
            <v>cfo</v>
          </cell>
          <cell r="D444">
            <v>35125</v>
          </cell>
          <cell r="E444">
            <v>35217</v>
          </cell>
          <cell r="F444">
            <v>35309</v>
          </cell>
          <cell r="G444">
            <v>35400</v>
          </cell>
          <cell r="I444">
            <v>35490</v>
          </cell>
          <cell r="J444">
            <v>35582</v>
          </cell>
          <cell r="K444">
            <v>35674</v>
          </cell>
          <cell r="L444">
            <v>35765</v>
          </cell>
          <cell r="N444">
            <v>13.235000000000003</v>
          </cell>
          <cell r="O444">
            <v>11.004999999999999</v>
          </cell>
          <cell r="P444">
            <v>22.455999999999989</v>
          </cell>
          <cell r="Q444">
            <v>38.162999999999997</v>
          </cell>
          <cell r="S444">
            <v>-32.258999999999993</v>
          </cell>
          <cell r="T444">
            <v>-70.85499999999999</v>
          </cell>
          <cell r="U444">
            <v>70.408999999999992</v>
          </cell>
          <cell r="V444">
            <v>-61.652000000000001</v>
          </cell>
          <cell r="X444">
            <v>25.676000000000002</v>
          </cell>
          <cell r="Y444">
            <v>-166.09499999999997</v>
          </cell>
          <cell r="Z444">
            <v>-98.028999999999996</v>
          </cell>
          <cell r="AA444">
            <v>153.32199999999997</v>
          </cell>
          <cell r="AC444">
            <v>-261.04499999999996</v>
          </cell>
          <cell r="AD444">
            <v>212.17100000000022</v>
          </cell>
          <cell r="AE444">
            <v>449.71500000000003</v>
          </cell>
          <cell r="AF444">
            <v>889.3950000000001</v>
          </cell>
          <cell r="AH444">
            <v>273.89999999999986</v>
          </cell>
          <cell r="AI444">
            <v>236.7</v>
          </cell>
          <cell r="AJ444">
            <v>371.4000000000002</v>
          </cell>
          <cell r="AK444">
            <v>100.69100000000014</v>
          </cell>
          <cell r="AM444">
            <v>85.40900000000002</v>
          </cell>
          <cell r="AN444">
            <v>-100.20000000000005</v>
          </cell>
          <cell r="AO444">
            <v>-71.30000000000004</v>
          </cell>
          <cell r="AP444">
            <v>102.79509309439607</v>
          </cell>
          <cell r="AR444">
            <v>-60.170650310481875</v>
          </cell>
          <cell r="AS444">
            <v>36.005328371840136</v>
          </cell>
          <cell r="AT444">
            <v>56.004309311242494</v>
          </cell>
          <cell r="AU444">
            <v>84.896436875241534</v>
          </cell>
          <cell r="AW444">
            <v>-72.768411697672889</v>
          </cell>
          <cell r="AX444">
            <v>76.971801488822095</v>
          </cell>
          <cell r="AY444">
            <v>83.042546721694066</v>
          </cell>
          <cell r="AZ444">
            <v>124.44269030910826</v>
          </cell>
          <cell r="BA444" t="str">
            <v xml:space="preserve"> </v>
          </cell>
          <cell r="BB444">
            <v>1996</v>
          </cell>
          <cell r="BC444">
            <v>33.484000000000002</v>
          </cell>
          <cell r="BD444">
            <v>81.578000000000003</v>
          </cell>
          <cell r="BE444">
            <v>-94.356999999999999</v>
          </cell>
          <cell r="BF444">
            <v>-85.125999999999976</v>
          </cell>
          <cell r="BG444">
            <v>1290.2360000000003</v>
          </cell>
          <cell r="BH444">
            <v>982.69100000000014</v>
          </cell>
          <cell r="BI444">
            <v>16.704093094396001</v>
          </cell>
          <cell r="BJ444">
            <v>116.73542424784229</v>
          </cell>
          <cell r="BK444">
            <v>211.68862682195152</v>
          </cell>
          <cell r="BM444">
            <v>982.69100000000014</v>
          </cell>
          <cell r="BN444">
            <v>16.704093094396001</v>
          </cell>
          <cell r="BO444">
            <v>116.73542424784229</v>
          </cell>
          <cell r="BP444">
            <v>211.68862682195152</v>
          </cell>
          <cell r="BQ444">
            <v>512.22258937685274</v>
          </cell>
          <cell r="BR444">
            <v>531.83818762759688</v>
          </cell>
          <cell r="BS444">
            <v>174.89181746144322</v>
          </cell>
          <cell r="BT444">
            <v>931.41442891761221</v>
          </cell>
          <cell r="BU444">
            <v>410.86136837636093</v>
          </cell>
          <cell r="BV444">
            <v>1065.1960041697532</v>
          </cell>
          <cell r="BW444">
            <v>895.96618475472781</v>
          </cell>
          <cell r="BX444">
            <v>626.3960837033643</v>
          </cell>
          <cell r="BY444">
            <v>983.53702283797008</v>
          </cell>
          <cell r="BZ444">
            <v>947.50030530517881</v>
          </cell>
          <cell r="CA444">
            <v>1201.6255343556463</v>
          </cell>
        </row>
        <row r="445">
          <cell r="A445" t="str">
            <v>Celestica Inc.</v>
          </cell>
          <cell r="B445" t="str">
            <v>cfo</v>
          </cell>
          <cell r="D445">
            <v>35125</v>
          </cell>
          <cell r="E445">
            <v>35217</v>
          </cell>
          <cell r="F445">
            <v>35309</v>
          </cell>
          <cell r="G445">
            <v>35400</v>
          </cell>
          <cell r="I445">
            <v>35490</v>
          </cell>
          <cell r="J445">
            <v>35582</v>
          </cell>
          <cell r="K445">
            <v>35674</v>
          </cell>
          <cell r="L445">
            <v>35765</v>
          </cell>
          <cell r="N445">
            <v>-31.818999999999999</v>
          </cell>
          <cell r="O445">
            <v>-19.216999999999999</v>
          </cell>
          <cell r="P445">
            <v>6.3389999999999933</v>
          </cell>
          <cell r="Q445">
            <v>-3.774</v>
          </cell>
          <cell r="S445">
            <v>9.490000000000002</v>
          </cell>
          <cell r="T445">
            <v>13.250999999999996</v>
          </cell>
          <cell r="U445">
            <v>19.467999999999996</v>
          </cell>
          <cell r="V445">
            <v>26.216999999999999</v>
          </cell>
          <cell r="X445">
            <v>26.099999999999994</v>
          </cell>
          <cell r="Y445">
            <v>41.427000000000014</v>
          </cell>
          <cell r="Z445">
            <v>55.676999999999992</v>
          </cell>
          <cell r="AA445">
            <v>83.47499999999998</v>
          </cell>
          <cell r="AC445">
            <v>54.807999999999993</v>
          </cell>
          <cell r="AD445">
            <v>15.832000000000285</v>
          </cell>
          <cell r="AE445">
            <v>-38.656999999999996</v>
          </cell>
          <cell r="AF445">
            <v>-71.804999999999978</v>
          </cell>
          <cell r="AH445">
            <v>39.699999999999896</v>
          </cell>
          <cell r="AI445">
            <v>40.399999999999991</v>
          </cell>
          <cell r="AJ445">
            <v>-90.599999999999824</v>
          </cell>
          <cell r="AK445">
            <v>-434.70899999999983</v>
          </cell>
          <cell r="AM445">
            <v>3.3750000000000302</v>
          </cell>
          <cell r="AN445">
            <v>-39.6</v>
          </cell>
          <cell r="AO445">
            <v>-64.8</v>
          </cell>
          <cell r="AP445">
            <v>-15.474566714799064</v>
          </cell>
          <cell r="AR445">
            <v>-16.95200899499509</v>
          </cell>
          <cell r="AS445">
            <v>-8.65777055680093</v>
          </cell>
          <cell r="AT445">
            <v>3.2766563737743866</v>
          </cell>
          <cell r="AU445">
            <v>17.51806885594609</v>
          </cell>
          <cell r="AW445">
            <v>16.976453230285415</v>
          </cell>
          <cell r="AX445">
            <v>28.23820626425514</v>
          </cell>
          <cell r="AY445">
            <v>42.842720493333196</v>
          </cell>
          <cell r="AZ445">
            <v>57.144506278192161</v>
          </cell>
          <cell r="BB445">
            <v>1996</v>
          </cell>
          <cell r="BC445">
            <v>-6.9189999999999996</v>
          </cell>
          <cell r="BD445">
            <v>-48.470999999999997</v>
          </cell>
          <cell r="BE445">
            <v>68.425999999999988</v>
          </cell>
          <cell r="BF445">
            <v>206.67899999999997</v>
          </cell>
          <cell r="BG445">
            <v>-39.821999999999704</v>
          </cell>
          <cell r="BH445">
            <v>-445.20899999999978</v>
          </cell>
          <cell r="BI445">
            <v>-116.49956671479904</v>
          </cell>
          <cell r="BJ445">
            <v>-4.8150543220755431</v>
          </cell>
          <cell r="BK445">
            <v>145.20188626606591</v>
          </cell>
          <cell r="BM445">
            <v>-445.20899999999978</v>
          </cell>
          <cell r="BN445">
            <v>-116.49956671479904</v>
          </cell>
          <cell r="BO445">
            <v>-4.8150543220755431</v>
          </cell>
          <cell r="BP445">
            <v>145.20188626606591</v>
          </cell>
          <cell r="BQ445">
            <v>316.08850330232525</v>
          </cell>
          <cell r="BR445">
            <v>360.67167094936275</v>
          </cell>
          <cell r="BS445">
            <v>220.72929135027084</v>
          </cell>
          <cell r="BT445">
            <v>353.64391230444949</v>
          </cell>
          <cell r="BU445">
            <v>496.35059615782251</v>
          </cell>
          <cell r="BV445">
            <v>687.90405609346942</v>
          </cell>
          <cell r="BW445">
            <v>739.86307429466581</v>
          </cell>
          <cell r="BX445">
            <v>168.61420247313742</v>
          </cell>
          <cell r="BY445">
            <v>437.5034597188324</v>
          </cell>
          <cell r="BZ445">
            <v>643.92349306142432</v>
          </cell>
          <cell r="CA445">
            <v>685.21477932339531</v>
          </cell>
        </row>
        <row r="446">
          <cell r="A446" t="str">
            <v>Return on Net Operating Assets</v>
          </cell>
          <cell r="B446" t="str">
            <v>cfo</v>
          </cell>
          <cell r="N446">
            <v>21.443000000000001</v>
          </cell>
          <cell r="O446">
            <v>20.431999999999999</v>
          </cell>
          <cell r="P446">
            <v>21.405999999999999</v>
          </cell>
          <cell r="Q446">
            <v>23.654</v>
          </cell>
          <cell r="S446">
            <v>28.163</v>
          </cell>
          <cell r="T446">
            <v>29.542000000000002</v>
          </cell>
          <cell r="U446">
            <v>32.917999999999999</v>
          </cell>
          <cell r="V446">
            <v>35.920999999999999</v>
          </cell>
          <cell r="X446">
            <v>38.892000000000003</v>
          </cell>
          <cell r="Y446">
            <v>48.356999999999999</v>
          </cell>
          <cell r="Z446">
            <v>58.335000000000001</v>
          </cell>
          <cell r="AA446">
            <v>66.915999999999997</v>
          </cell>
          <cell r="AC446">
            <v>69.736000000000004</v>
          </cell>
          <cell r="AD446">
            <v>71.290999999999997</v>
          </cell>
          <cell r="AE446">
            <v>84.296999999999997</v>
          </cell>
          <cell r="AF446">
            <v>94.2</v>
          </cell>
          <cell r="AH446">
            <v>79</v>
          </cell>
          <cell r="AI446">
            <v>77.5</v>
          </cell>
          <cell r="AJ446">
            <v>82.7</v>
          </cell>
          <cell r="AK446">
            <v>71.900000000000006</v>
          </cell>
          <cell r="AM446">
            <v>56.2</v>
          </cell>
          <cell r="AN446">
            <v>56.4</v>
          </cell>
          <cell r="AO446">
            <v>54.7</v>
          </cell>
          <cell r="AP446">
            <v>54.93675380471381</v>
          </cell>
          <cell r="AR446">
            <v>54.02065222812795</v>
          </cell>
          <cell r="AS446">
            <v>53.18142557412876</v>
          </cell>
          <cell r="AT446">
            <v>52.600440181551434</v>
          </cell>
          <cell r="AU446">
            <v>52.212544383253615</v>
          </cell>
          <cell r="AW446">
            <v>50.669940235919846</v>
          </cell>
          <cell r="AX446">
            <v>51.315165247909675</v>
          </cell>
          <cell r="AY446">
            <v>51.993836993116176</v>
          </cell>
          <cell r="AZ446">
            <v>52.743915967252647</v>
          </cell>
          <cell r="BC446">
            <v>37.087000000000003</v>
          </cell>
          <cell r="BD446">
            <v>86.935000000000002</v>
          </cell>
          <cell r="BE446">
            <v>126.54399999999998</v>
          </cell>
          <cell r="BF446">
            <v>212.5</v>
          </cell>
          <cell r="BG446">
            <v>319.524</v>
          </cell>
          <cell r="BH446">
            <v>311.10000000000002</v>
          </cell>
          <cell r="BI446">
            <v>222.23675380471383</v>
          </cell>
          <cell r="BJ446">
            <v>212.01506236706177</v>
          </cell>
          <cell r="BK446">
            <v>206.72285844419832</v>
          </cell>
          <cell r="BM446">
            <v>311.10000000000002</v>
          </cell>
          <cell r="BN446">
            <v>222.23675380471383</v>
          </cell>
          <cell r="BO446">
            <v>212.01506236706177</v>
          </cell>
          <cell r="BP446">
            <v>206.72285844419832</v>
          </cell>
          <cell r="BQ446">
            <v>246.80947238105642</v>
          </cell>
          <cell r="BR446">
            <v>296.94302408803105</v>
          </cell>
          <cell r="BS446">
            <v>316.20462689763082</v>
          </cell>
          <cell r="BT446">
            <v>360.55213863870324</v>
          </cell>
          <cell r="BU446">
            <v>431.78024228934214</v>
          </cell>
          <cell r="BV446">
            <v>544.40336014565094</v>
          </cell>
          <cell r="BW446">
            <v>627.21420977700939</v>
          </cell>
          <cell r="BX446">
            <v>615.85324936772247</v>
          </cell>
          <cell r="BY446">
            <v>567.16199807016267</v>
          </cell>
          <cell r="BZ446">
            <v>596.22371212042208</v>
          </cell>
          <cell r="CA446">
            <v>636.92791717977764</v>
          </cell>
        </row>
        <row r="447">
          <cell r="A447" t="str">
            <v>($ Millions)</v>
          </cell>
          <cell r="B447" t="str">
            <v>cfo</v>
          </cell>
          <cell r="N447">
            <v>23.611000000000001</v>
          </cell>
          <cell r="O447">
            <v>9.7899999999999991</v>
          </cell>
          <cell r="P447">
            <v>-5.2889999999999997</v>
          </cell>
          <cell r="Q447">
            <v>18.283000000000001</v>
          </cell>
          <cell r="S447">
            <v>-2.3980000000000001</v>
          </cell>
          <cell r="T447">
            <v>-3.7949999999999999</v>
          </cell>
          <cell r="U447">
            <v>1.891</v>
          </cell>
          <cell r="V447">
            <v>6.6440000000000001</v>
          </cell>
          <cell r="X447">
            <v>-1.91</v>
          </cell>
          <cell r="Y447">
            <v>-13.003</v>
          </cell>
          <cell r="Z447">
            <v>-5.8049999999999997</v>
          </cell>
          <cell r="AA447">
            <v>5.4649999999999999</v>
          </cell>
          <cell r="AC447">
            <v>6.0540000000000003</v>
          </cell>
          <cell r="AD447">
            <v>13.401</v>
          </cell>
          <cell r="AE447">
            <v>56.989000000000004</v>
          </cell>
          <cell r="AF447">
            <v>31.799999999999994</v>
          </cell>
          <cell r="AH447">
            <v>1.1000000000000001</v>
          </cell>
          <cell r="AI447">
            <v>0.5</v>
          </cell>
          <cell r="AJ447">
            <v>65.3</v>
          </cell>
          <cell r="AK447">
            <v>305.8</v>
          </cell>
          <cell r="AM447">
            <v>-0.59999999999999964</v>
          </cell>
          <cell r="AN447">
            <v>-16</v>
          </cell>
          <cell r="AO447">
            <v>-6.5000000000000009</v>
          </cell>
          <cell r="AP447">
            <v>0</v>
          </cell>
          <cell r="AR447">
            <v>0</v>
          </cell>
          <cell r="AS447">
            <v>0</v>
          </cell>
          <cell r="AT447">
            <v>0</v>
          </cell>
          <cell r="AU447">
            <v>0</v>
          </cell>
          <cell r="AW447">
            <v>0</v>
          </cell>
          <cell r="AX447">
            <v>0</v>
          </cell>
          <cell r="AY447">
            <v>0</v>
          </cell>
          <cell r="AZ447">
            <v>0</v>
          </cell>
          <cell r="BC447">
            <v>-7.7050000000000001</v>
          </cell>
          <cell r="BD447">
            <v>46.395000000000003</v>
          </cell>
          <cell r="BE447">
            <v>2.3420000000000005</v>
          </cell>
          <cell r="BF447">
            <v>-10.917</v>
          </cell>
          <cell r="BG447">
            <v>108.244</v>
          </cell>
          <cell r="BH447">
            <v>372.7</v>
          </cell>
          <cell r="BI447">
            <v>-23.1</v>
          </cell>
          <cell r="BJ447">
            <v>0</v>
          </cell>
          <cell r="BK447">
            <v>0</v>
          </cell>
          <cell r="BM447">
            <v>-445.20899999999978</v>
          </cell>
          <cell r="BN447">
            <v>-265.82499999999999</v>
          </cell>
          <cell r="BO447">
            <v>27.686707350569421</v>
          </cell>
          <cell r="BP447">
            <v>210.43003502113353</v>
          </cell>
          <cell r="BQ447">
            <v>459.47016892569383</v>
          </cell>
          <cell r="BR447">
            <v>267.00245519226723</v>
          </cell>
          <cell r="BS447">
            <v>443.56009899184079</v>
          </cell>
          <cell r="BT447">
            <v>568.58835417575608</v>
          </cell>
          <cell r="BU447">
            <v>804.29544256908218</v>
          </cell>
          <cell r="BV447">
            <v>1153.7363050408194</v>
          </cell>
          <cell r="BW447">
            <v>1238.1075182164939</v>
          </cell>
          <cell r="BX447">
            <v>281.07551485935619</v>
          </cell>
          <cell r="BY447">
            <v>730.54241784331793</v>
          </cell>
          <cell r="BZ447">
            <v>1103.0355496883876</v>
          </cell>
          <cell r="CA447">
            <v>1175.0757859382527</v>
          </cell>
        </row>
        <row r="448">
          <cell r="A448" t="str">
            <v>($ Millions)</v>
          </cell>
          <cell r="D448">
            <v>1996</v>
          </cell>
          <cell r="I448">
            <v>1997</v>
          </cell>
          <cell r="N448">
            <v>1998</v>
          </cell>
          <cell r="O448">
            <v>20.431999999999999</v>
          </cell>
          <cell r="P448">
            <v>21.405999999999999</v>
          </cell>
          <cell r="Q448">
            <v>23.654</v>
          </cell>
          <cell r="S448">
            <v>1999</v>
          </cell>
          <cell r="T448">
            <v>-109.85299999999999</v>
          </cell>
          <cell r="U448">
            <v>16.132000000000001</v>
          </cell>
          <cell r="V448">
            <v>-130.434</v>
          </cell>
          <cell r="X448">
            <v>2000</v>
          </cell>
          <cell r="Y448">
            <v>-242.876</v>
          </cell>
          <cell r="Z448">
            <v>-206.23599999999999</v>
          </cell>
          <cell r="AA448">
            <v>-2.5339999999999998</v>
          </cell>
          <cell r="AC448">
            <v>2001</v>
          </cell>
          <cell r="AD448">
            <v>111.64699999999996</v>
          </cell>
          <cell r="AE448">
            <v>347.08600000000001</v>
          </cell>
          <cell r="AF448">
            <v>835.2</v>
          </cell>
          <cell r="AH448" t="str">
            <v>2002E</v>
          </cell>
          <cell r="AI448">
            <v>118.29999999999998</v>
          </cell>
          <cell r="AJ448">
            <v>314.00000000000006</v>
          </cell>
          <cell r="AK448">
            <v>157.69999999999999</v>
          </cell>
          <cell r="AM448" t="str">
            <v>2003E</v>
          </cell>
          <cell r="AN448">
            <v>-101.00000000000004</v>
          </cell>
          <cell r="AO448">
            <v>-54.700000000000045</v>
          </cell>
          <cell r="AP448">
            <v>63.332906004481316</v>
          </cell>
          <cell r="AR448" t="str">
            <v>2004E</v>
          </cell>
          <cell r="AS448">
            <v>-8.51832664548769</v>
          </cell>
          <cell r="AT448">
            <v>0.12721275591667336</v>
          </cell>
          <cell r="AU448">
            <v>15.165823636041836</v>
          </cell>
          <cell r="AV448" t="str">
            <v xml:space="preserve"> </v>
          </cell>
          <cell r="AW448">
            <v>-140.41480516387816</v>
          </cell>
          <cell r="AX448">
            <v>-2.5815700233427208</v>
          </cell>
          <cell r="AY448">
            <v>-11.794010764755313</v>
          </cell>
          <cell r="AZ448" t="str">
            <v xml:space="preserve"> </v>
          </cell>
          <cell r="BC448">
            <v>11.020999999999999</v>
          </cell>
          <cell r="BD448">
            <v>-3.2809999999999997</v>
          </cell>
          <cell r="BE448">
            <v>-291.66899999999998</v>
          </cell>
          <cell r="BF448">
            <v>-493.38799999999998</v>
          </cell>
          <cell r="BG448">
            <v>902.29000000000008</v>
          </cell>
          <cell r="BH448">
            <v>744.10000000000014</v>
          </cell>
          <cell r="BI448">
            <v>-65.933093995518789</v>
          </cell>
          <cell r="BJ448">
            <v>-90.464583797143916</v>
          </cell>
          <cell r="BK448">
            <v>-140.23611788831275</v>
          </cell>
          <cell r="BM448">
            <v>744.10000000000014</v>
          </cell>
          <cell r="BN448">
            <v>-65.933093995518789</v>
          </cell>
          <cell r="BO448">
            <v>-90.464583797143916</v>
          </cell>
          <cell r="BP448">
            <v>-140.23611788831275</v>
          </cell>
          <cell r="BQ448">
            <v>-50.675386306528878</v>
          </cell>
          <cell r="BR448">
            <v>-125.77650740979703</v>
          </cell>
          <cell r="BS448">
            <v>-362.04210078645838</v>
          </cell>
          <cell r="BT448">
            <v>217.21837797445954</v>
          </cell>
          <cell r="BU448">
            <v>-517.26947007080378</v>
          </cell>
          <cell r="BV448">
            <v>-167.11141206936719</v>
          </cell>
          <cell r="BW448">
            <v>-471.11109931694739</v>
          </cell>
          <cell r="BX448">
            <v>-158.0713681374956</v>
          </cell>
          <cell r="BY448">
            <v>-21.128434951025042</v>
          </cell>
          <cell r="BZ448">
            <v>-292.64689987666759</v>
          </cell>
          <cell r="CA448">
            <v>-120.51716214752651</v>
          </cell>
        </row>
        <row r="449">
          <cell r="A449" t="str">
            <v xml:space="preserve"> </v>
          </cell>
          <cell r="D449">
            <v>35125</v>
          </cell>
          <cell r="E449">
            <v>35217</v>
          </cell>
          <cell r="F449">
            <v>35309</v>
          </cell>
          <cell r="G449">
            <v>35400</v>
          </cell>
          <cell r="I449">
            <v>35490</v>
          </cell>
          <cell r="J449">
            <v>35582</v>
          </cell>
          <cell r="K449">
            <v>35674</v>
          </cell>
          <cell r="L449">
            <v>35765</v>
          </cell>
          <cell r="N449">
            <v>35855</v>
          </cell>
          <cell r="O449">
            <v>35947</v>
          </cell>
          <cell r="P449">
            <v>36039</v>
          </cell>
          <cell r="Q449">
            <v>36130</v>
          </cell>
          <cell r="S449">
            <v>36220</v>
          </cell>
          <cell r="T449">
            <v>36312</v>
          </cell>
          <cell r="U449">
            <v>36404</v>
          </cell>
          <cell r="V449">
            <v>36495</v>
          </cell>
          <cell r="X449">
            <v>36586</v>
          </cell>
          <cell r="Y449">
            <v>36678</v>
          </cell>
          <cell r="Z449">
            <v>36770</v>
          </cell>
          <cell r="AA449">
            <v>36861</v>
          </cell>
          <cell r="AC449">
            <v>36951</v>
          </cell>
          <cell r="AD449">
            <v>37043</v>
          </cell>
          <cell r="AE449">
            <v>37135</v>
          </cell>
          <cell r="AF449">
            <v>37226</v>
          </cell>
          <cell r="AH449" t="str">
            <v xml:space="preserve"> 3/02</v>
          </cell>
          <cell r="AI449" t="str">
            <v xml:space="preserve"> 6/02E</v>
          </cell>
          <cell r="AJ449" t="str">
            <v xml:space="preserve"> 9/02E</v>
          </cell>
          <cell r="AK449" t="str">
            <v>12/02E</v>
          </cell>
          <cell r="AM449" t="str">
            <v xml:space="preserve"> 3/03E</v>
          </cell>
          <cell r="AN449" t="str">
            <v xml:space="preserve"> 6/03E</v>
          </cell>
          <cell r="AO449" t="str">
            <v xml:space="preserve"> 9/03E</v>
          </cell>
          <cell r="AP449" t="str">
            <v>12/03E</v>
          </cell>
          <cell r="AR449" t="str">
            <v xml:space="preserve"> 3/04E</v>
          </cell>
          <cell r="AS449" t="str">
            <v xml:space="preserve"> 6/04E</v>
          </cell>
          <cell r="AT449" t="str">
            <v xml:space="preserve"> 9/04E</v>
          </cell>
          <cell r="AU449" t="str">
            <v>12/04E</v>
          </cell>
          <cell r="AV449" t="str">
            <v xml:space="preserve"> </v>
          </cell>
          <cell r="AW449">
            <v>1996</v>
          </cell>
          <cell r="AX449">
            <v>1997</v>
          </cell>
          <cell r="AY449">
            <v>1998</v>
          </cell>
          <cell r="AZ449">
            <v>1999</v>
          </cell>
          <cell r="BA449">
            <v>2000</v>
          </cell>
          <cell r="BB449">
            <v>2001</v>
          </cell>
          <cell r="BC449" t="str">
            <v>2002E</v>
          </cell>
          <cell r="BD449" t="str">
            <v>2003E</v>
          </cell>
          <cell r="BE449" t="str">
            <v>2004E</v>
          </cell>
          <cell r="BF449">
            <v>-995.33699999999999</v>
          </cell>
          <cell r="BG449">
            <v>2002</v>
          </cell>
          <cell r="BH449">
            <v>2003</v>
          </cell>
          <cell r="BI449">
            <v>2004</v>
          </cell>
          <cell r="BJ449">
            <v>2005</v>
          </cell>
          <cell r="BK449">
            <v>2006</v>
          </cell>
          <cell r="BL449">
            <v>2007</v>
          </cell>
          <cell r="BM449">
            <v>2008</v>
          </cell>
          <cell r="BN449">
            <v>2009</v>
          </cell>
          <cell r="BO449">
            <v>2010</v>
          </cell>
          <cell r="BP449">
            <v>2011</v>
          </cell>
          <cell r="BQ449">
            <v>2012</v>
          </cell>
          <cell r="BR449">
            <v>2013</v>
          </cell>
          <cell r="BS449">
            <v>2014</v>
          </cell>
          <cell r="BT449">
            <v>2015</v>
          </cell>
          <cell r="BU449">
            <v>-54.017014089286704</v>
          </cell>
          <cell r="BV449">
            <v>-267.08712616447883</v>
          </cell>
          <cell r="BW449">
            <v>-339.11449309141653</v>
          </cell>
          <cell r="BX449">
            <v>-450.29009679240835</v>
          </cell>
          <cell r="BY449">
            <v>485.43468971279162</v>
          </cell>
          <cell r="BZ449">
            <v>-140.77606001670983</v>
          </cell>
          <cell r="CA449">
            <v>-129.22271440154555</v>
          </cell>
        </row>
        <row r="450">
          <cell r="A450" t="str">
            <v xml:space="preserve"> </v>
          </cell>
          <cell r="D450">
            <v>35125</v>
          </cell>
          <cell r="E450">
            <v>35217</v>
          </cell>
          <cell r="F450">
            <v>35309</v>
          </cell>
          <cell r="G450">
            <v>35400</v>
          </cell>
          <cell r="I450">
            <v>35490</v>
          </cell>
          <cell r="J450">
            <v>35582</v>
          </cell>
          <cell r="K450">
            <v>35674</v>
          </cell>
          <cell r="L450">
            <v>35765</v>
          </cell>
          <cell r="N450">
            <v>35855</v>
          </cell>
          <cell r="O450">
            <v>35947</v>
          </cell>
          <cell r="P450">
            <v>36039</v>
          </cell>
          <cell r="Q450">
            <v>36130</v>
          </cell>
          <cell r="S450">
            <v>36220</v>
          </cell>
          <cell r="T450">
            <v>36312</v>
          </cell>
          <cell r="U450">
            <v>36404</v>
          </cell>
          <cell r="V450">
            <v>36495</v>
          </cell>
          <cell r="X450">
            <v>36586</v>
          </cell>
          <cell r="Y450">
            <v>36678</v>
          </cell>
          <cell r="Z450">
            <v>36770</v>
          </cell>
          <cell r="AA450">
            <v>36861</v>
          </cell>
          <cell r="AC450">
            <v>36951</v>
          </cell>
          <cell r="AD450">
            <v>37043</v>
          </cell>
          <cell r="AE450">
            <v>37135</v>
          </cell>
          <cell r="AF450">
            <v>37226</v>
          </cell>
          <cell r="AH450" t="str">
            <v xml:space="preserve"> 3/02</v>
          </cell>
          <cell r="AI450" t="str">
            <v xml:space="preserve"> 6/02</v>
          </cell>
          <cell r="AJ450" t="str">
            <v xml:space="preserve"> 9/02E</v>
          </cell>
          <cell r="AK450" t="str">
            <v>12/02E</v>
          </cell>
          <cell r="AM450" t="str">
            <v xml:space="preserve"> 3/03E</v>
          </cell>
          <cell r="AN450" t="str">
            <v xml:space="preserve"> 6/03E</v>
          </cell>
          <cell r="AO450" t="str">
            <v xml:space="preserve"> 9/03E</v>
          </cell>
          <cell r="AP450" t="str">
            <v>12/03E</v>
          </cell>
          <cell r="AR450" t="str">
            <v xml:space="preserve"> 3/04E</v>
          </cell>
          <cell r="AS450" t="str">
            <v xml:space="preserve"> 6/04E</v>
          </cell>
          <cell r="AT450" t="str">
            <v xml:space="preserve"> 9/04E</v>
          </cell>
          <cell r="AU450" t="str">
            <v>12/04E</v>
          </cell>
          <cell r="AW450">
            <v>1996</v>
          </cell>
          <cell r="AX450">
            <v>1997</v>
          </cell>
          <cell r="AY450">
            <v>1998</v>
          </cell>
          <cell r="AZ450">
            <v>1999</v>
          </cell>
          <cell r="BA450">
            <v>2000</v>
          </cell>
          <cell r="BB450">
            <v>2001</v>
          </cell>
          <cell r="BC450" t="str">
            <v>2002E</v>
          </cell>
          <cell r="BD450" t="str">
            <v>2003E</v>
          </cell>
          <cell r="BE450" t="str">
            <v>2004E</v>
          </cell>
          <cell r="BF450">
            <v>-656.71299999999997</v>
          </cell>
          <cell r="BG450">
            <v>2002</v>
          </cell>
          <cell r="BH450">
            <v>2003</v>
          </cell>
          <cell r="BI450">
            <v>2004</v>
          </cell>
          <cell r="BJ450">
            <v>2005</v>
          </cell>
          <cell r="BK450">
            <v>2006</v>
          </cell>
          <cell r="BL450">
            <v>2007</v>
          </cell>
          <cell r="BM450">
            <v>2008</v>
          </cell>
          <cell r="BN450">
            <v>2009</v>
          </cell>
          <cell r="BO450">
            <v>2010</v>
          </cell>
          <cell r="BP450">
            <v>2011</v>
          </cell>
          <cell r="BQ450">
            <v>2012</v>
          </cell>
          <cell r="BR450">
            <v>2013</v>
          </cell>
          <cell r="BS450">
            <v>2014</v>
          </cell>
          <cell r="BT450">
            <v>2015</v>
          </cell>
          <cell r="BU450">
            <v>-283.39833524036908</v>
          </cell>
          <cell r="BV450">
            <v>-249.10286036716275</v>
          </cell>
          <cell r="BW450">
            <v>-216.31680788450058</v>
          </cell>
          <cell r="BX450">
            <v>26.336312095664198</v>
          </cell>
          <cell r="BY450">
            <v>28.511407587352096</v>
          </cell>
          <cell r="BZ450">
            <v>-164.64326559425581</v>
          </cell>
          <cell r="CA450">
            <v>-171.85674615091739</v>
          </cell>
        </row>
        <row r="451">
          <cell r="A451" t="str">
            <v>Operating Income</v>
          </cell>
          <cell r="D451" t="str">
            <v>--</v>
          </cell>
          <cell r="E451" t="str">
            <v>--</v>
          </cell>
          <cell r="F451" t="str">
            <v>--</v>
          </cell>
          <cell r="G451" t="str">
            <v>--</v>
          </cell>
          <cell r="I451">
            <v>8.0760000000000005</v>
          </cell>
          <cell r="J451">
            <v>8.009999999999998</v>
          </cell>
          <cell r="K451">
            <v>11.653000000000006</v>
          </cell>
          <cell r="L451">
            <v>15.106999999999999</v>
          </cell>
          <cell r="N451">
            <v>5.3459999999999965</v>
          </cell>
          <cell r="O451">
            <v>9.0690000000000026</v>
          </cell>
          <cell r="P451">
            <v>12.831999999999994</v>
          </cell>
          <cell r="Q451">
            <v>19.244</v>
          </cell>
          <cell r="S451">
            <v>18.786000000000001</v>
          </cell>
          <cell r="T451">
            <v>23.986999999999995</v>
          </cell>
          <cell r="U451">
            <v>31.623999999999995</v>
          </cell>
          <cell r="V451">
            <v>40.762</v>
          </cell>
          <cell r="X451">
            <v>36.570999999999998</v>
          </cell>
          <cell r="Y451">
            <v>48.227000000000018</v>
          </cell>
          <cell r="Z451">
            <v>67.932999999999993</v>
          </cell>
          <cell r="AA451">
            <v>104.17599999999999</v>
          </cell>
          <cell r="AC451">
            <v>72.36</v>
          </cell>
          <cell r="AD451">
            <v>69.829000000000278</v>
          </cell>
          <cell r="AE451">
            <v>27.964999999999876</v>
          </cell>
          <cell r="AF451">
            <v>53.200000000000017</v>
          </cell>
          <cell r="AH451">
            <v>49.499999999999901</v>
          </cell>
          <cell r="AI451">
            <v>50.230825750000008</v>
          </cell>
          <cell r="AJ451">
            <v>51.487398567499994</v>
          </cell>
          <cell r="AK451">
            <v>68.944352919474994</v>
          </cell>
          <cell r="AM451">
            <v>64.210011174144483</v>
          </cell>
          <cell r="AN451">
            <v>74.096645575249127</v>
          </cell>
          <cell r="AO451">
            <v>79.933675581408565</v>
          </cell>
          <cell r="AP451">
            <v>99.125523794941756</v>
          </cell>
          <cell r="AR451">
            <v>93.160829450170539</v>
          </cell>
          <cell r="AS451">
            <v>100.34876153630184</v>
          </cell>
          <cell r="AT451">
            <v>110.03070614117082</v>
          </cell>
          <cell r="AU451">
            <v>133.78134844448019</v>
          </cell>
          <cell r="AW451">
            <v>68.779000000000011</v>
          </cell>
          <cell r="AX451">
            <v>42.846000000000004</v>
          </cell>
          <cell r="AY451">
            <v>46.490999999999993</v>
          </cell>
          <cell r="AZ451">
            <v>115.15899999999999</v>
          </cell>
          <cell r="BA451">
            <v>256.90699999999998</v>
          </cell>
          <cell r="BB451">
            <v>223.35400000000018</v>
          </cell>
          <cell r="BC451">
            <v>220.1625772369749</v>
          </cell>
          <cell r="BD451">
            <v>317.3658561257439</v>
          </cell>
          <cell r="BE451">
            <v>437.32164557212343</v>
          </cell>
          <cell r="BF451">
            <v>1230.414</v>
          </cell>
          <cell r="BG451">
            <v>220.16257723697424</v>
          </cell>
          <cell r="BH451">
            <v>383.55178974258473</v>
          </cell>
          <cell r="BI451">
            <v>574.00131536045706</v>
          </cell>
          <cell r="BJ451">
            <v>880.14485529224748</v>
          </cell>
          <cell r="BK451">
            <v>1182.2791176796773</v>
          </cell>
          <cell r="BL451">
            <v>1639.1338880732449</v>
          </cell>
          <cell r="BM451">
            <v>1861.9898736310834</v>
          </cell>
          <cell r="BN451">
            <v>1976.5517787069095</v>
          </cell>
          <cell r="BO451">
            <v>2081.0433789353401</v>
          </cell>
          <cell r="BP451">
            <v>2363.0190181969347</v>
          </cell>
          <cell r="BQ451">
            <v>2608.1209200166281</v>
          </cell>
          <cell r="BR451">
            <v>2823.8105936179586</v>
          </cell>
          <cell r="BS451">
            <v>2998.5192292350366</v>
          </cell>
          <cell r="BT451">
            <v>3121.979998404438</v>
          </cell>
          <cell r="BU451">
            <v>-11.748700564420005</v>
          </cell>
          <cell r="BV451">
            <v>629.46796260696829</v>
          </cell>
          <cell r="BW451">
            <v>294.31091747860592</v>
          </cell>
          <cell r="BX451">
            <v>9.3517565224074133</v>
          </cell>
          <cell r="BY451">
            <v>-476.9395826428181</v>
          </cell>
          <cell r="BZ451">
            <v>163.93129471601014</v>
          </cell>
          <cell r="CA451">
            <v>330.22757869683119</v>
          </cell>
        </row>
        <row r="452">
          <cell r="A452" t="str">
            <v xml:space="preserve">  Add-back Amortization</v>
          </cell>
          <cell r="D452" t="str">
            <v>--</v>
          </cell>
          <cell r="E452" t="str">
            <v>--</v>
          </cell>
          <cell r="F452" t="str">
            <v>--</v>
          </cell>
          <cell r="G452" t="str">
            <v>--</v>
          </cell>
          <cell r="I452">
            <v>3.2719999999999998</v>
          </cell>
          <cell r="J452">
            <v>3.3010000000000002</v>
          </cell>
          <cell r="K452">
            <v>3.8809999999999998</v>
          </cell>
          <cell r="L452">
            <v>4.806</v>
          </cell>
          <cell r="N452">
            <v>13.259</v>
          </cell>
          <cell r="O452">
            <v>10.537000000000001</v>
          </cell>
          <cell r="P452">
            <v>10.782</v>
          </cell>
          <cell r="Q452">
            <v>10.794</v>
          </cell>
          <cell r="S452">
            <v>13.814</v>
          </cell>
          <cell r="T452">
            <v>13.744999999999999</v>
          </cell>
          <cell r="U452">
            <v>14.07</v>
          </cell>
          <cell r="V452">
            <v>13.94</v>
          </cell>
          <cell r="X452">
            <v>15.323</v>
          </cell>
          <cell r="Y452">
            <v>19.248000000000001</v>
          </cell>
          <cell r="Z452">
            <v>25.606999999999999</v>
          </cell>
          <cell r="AA452">
            <v>28.760999999999999</v>
          </cell>
          <cell r="AC452">
            <v>29.577999999999999</v>
          </cell>
          <cell r="AD452">
            <v>28.13</v>
          </cell>
          <cell r="AE452">
            <v>32.158000000000001</v>
          </cell>
          <cell r="AF452">
            <v>35.1</v>
          </cell>
          <cell r="AH452">
            <v>22</v>
          </cell>
          <cell r="AI452">
            <v>22</v>
          </cell>
          <cell r="AJ452">
            <v>22</v>
          </cell>
          <cell r="AK452">
            <v>22</v>
          </cell>
          <cell r="AM452">
            <v>22</v>
          </cell>
          <cell r="AN452">
            <v>22</v>
          </cell>
          <cell r="AO452">
            <v>22</v>
          </cell>
          <cell r="AP452">
            <v>22</v>
          </cell>
          <cell r="AR452">
            <v>22</v>
          </cell>
          <cell r="AS452">
            <v>22</v>
          </cell>
          <cell r="AT452">
            <v>22</v>
          </cell>
          <cell r="AU452">
            <v>22</v>
          </cell>
          <cell r="AW452">
            <v>1.8360000000000001</v>
          </cell>
          <cell r="AX452">
            <v>15.3</v>
          </cell>
          <cell r="AY452">
            <v>45.372</v>
          </cell>
          <cell r="AZ452">
            <v>55.568999999999996</v>
          </cell>
          <cell r="BA452">
            <v>88.938999999999993</v>
          </cell>
          <cell r="BB452">
            <v>124.96600000000001</v>
          </cell>
          <cell r="BC452">
            <v>88</v>
          </cell>
          <cell r="BD452">
            <v>88</v>
          </cell>
          <cell r="BE452">
            <v>88</v>
          </cell>
          <cell r="BF452">
            <v>27.292999999999999</v>
          </cell>
          <cell r="BG452">
            <v>88</v>
          </cell>
          <cell r="BH452">
            <v>88</v>
          </cell>
          <cell r="BI452">
            <v>88</v>
          </cell>
          <cell r="BJ452">
            <v>88</v>
          </cell>
          <cell r="BK452">
            <v>88</v>
          </cell>
          <cell r="BL452">
            <v>88</v>
          </cell>
          <cell r="BM452">
            <v>88</v>
          </cell>
          <cell r="BN452">
            <v>88</v>
          </cell>
          <cell r="BO452">
            <v>88</v>
          </cell>
          <cell r="BP452">
            <v>88</v>
          </cell>
          <cell r="BQ452">
            <v>88</v>
          </cell>
          <cell r="BR452">
            <v>88</v>
          </cell>
          <cell r="BS452">
            <v>88</v>
          </cell>
          <cell r="BT452">
            <v>88</v>
          </cell>
          <cell r="BU452" t="str">
            <v xml:space="preserve"> --</v>
          </cell>
          <cell r="BV452" t="str">
            <v xml:space="preserve"> --</v>
          </cell>
          <cell r="BW452" t="str">
            <v xml:space="preserve"> --</v>
          </cell>
          <cell r="BX452" t="str">
            <v xml:space="preserve"> --</v>
          </cell>
          <cell r="BY452" t="str">
            <v xml:space="preserve"> --</v>
          </cell>
          <cell r="BZ452" t="str">
            <v xml:space="preserve"> --</v>
          </cell>
          <cell r="CA452" t="str">
            <v xml:space="preserve"> --</v>
          </cell>
        </row>
        <row r="453">
          <cell r="A453" t="str">
            <v xml:space="preserve">  Less Taxes </v>
          </cell>
          <cell r="D453" t="str">
            <v>--</v>
          </cell>
          <cell r="E453" t="str">
            <v>--</v>
          </cell>
          <cell r="F453" t="str">
            <v>--</v>
          </cell>
          <cell r="G453" t="str">
            <v>--</v>
          </cell>
          <cell r="I453">
            <v>4.3122400000000001</v>
          </cell>
          <cell r="J453">
            <v>4.2981799999999994</v>
          </cell>
          <cell r="K453">
            <v>5.9029200000000026</v>
          </cell>
          <cell r="L453">
            <v>7.5669399999999998</v>
          </cell>
          <cell r="N453">
            <v>7.0698999999999987</v>
          </cell>
          <cell r="O453">
            <v>7.4502800000000011</v>
          </cell>
          <cell r="P453">
            <v>8.9733199999999975</v>
          </cell>
          <cell r="Q453">
            <v>11.414440000000001</v>
          </cell>
          <cell r="S453">
            <v>12.713518030468599</v>
          </cell>
          <cell r="T453">
            <v>14.743047312520115</v>
          </cell>
          <cell r="U453">
            <v>14.621633099304901</v>
          </cell>
          <cell r="V453">
            <v>17.505207521722213</v>
          </cell>
          <cell r="X453">
            <v>16.606674882109267</v>
          </cell>
          <cell r="Y453">
            <v>16.19380194096388</v>
          </cell>
          <cell r="Z453">
            <v>22.355142013613623</v>
          </cell>
          <cell r="AA453">
            <v>31.90531571615864</v>
          </cell>
          <cell r="AC453">
            <v>24.407917091483895</v>
          </cell>
          <cell r="AD453">
            <v>16.671449919056894</v>
          </cell>
          <cell r="AE453">
            <v>10.220909999999979</v>
          </cell>
          <cell r="AF453">
            <v>15.019830000000004</v>
          </cell>
          <cell r="AH453">
            <v>12.116108786610887</v>
          </cell>
          <cell r="AI453">
            <v>12.279240377500001</v>
          </cell>
          <cell r="AJ453">
            <v>12.492857756474997</v>
          </cell>
          <cell r="AK453">
            <v>15.46053999631075</v>
          </cell>
          <cell r="AM453">
            <v>14.655701899604562</v>
          </cell>
          <cell r="AN453">
            <v>16.336429747792351</v>
          </cell>
          <cell r="AO453">
            <v>17.328724848839457</v>
          </cell>
          <cell r="AP453">
            <v>20.591339045140099</v>
          </cell>
          <cell r="AR453">
            <v>19.577341006528989</v>
          </cell>
          <cell r="AS453">
            <v>20.799289461171313</v>
          </cell>
          <cell r="AT453">
            <v>22.44522004399904</v>
          </cell>
          <cell r="AU453">
            <v>26.482829235561631</v>
          </cell>
          <cell r="AW453">
            <v>26.833700000000004</v>
          </cell>
          <cell r="AX453">
            <v>22.095480000000002</v>
          </cell>
          <cell r="AY453">
            <v>34.907940000000004</v>
          </cell>
          <cell r="AZ453">
            <v>115.15899999999999</v>
          </cell>
          <cell r="BA453">
            <v>256.90699999999998</v>
          </cell>
          <cell r="BB453">
            <v>223.35400000000018</v>
          </cell>
          <cell r="BC453">
            <v>144.40705060000008</v>
          </cell>
          <cell r="BD453">
            <v>111.59482760278325</v>
          </cell>
          <cell r="BE453">
            <v>89.304679747260977</v>
          </cell>
          <cell r="BF453">
            <v>-99.045000000000002</v>
          </cell>
          <cell r="BG453">
            <v>73.959018536873813</v>
          </cell>
          <cell r="BH453">
            <v>113.17242953822033</v>
          </cell>
          <cell r="BI453">
            <v>158.88031568650968</v>
          </cell>
          <cell r="BJ453">
            <v>232.35476527013938</v>
          </cell>
          <cell r="BK453">
            <v>304.86698824312253</v>
          </cell>
          <cell r="BL453">
            <v>414.51213313757876</v>
          </cell>
          <cell r="BM453">
            <v>467.99756967145998</v>
          </cell>
          <cell r="BN453">
            <v>495.49242688965819</v>
          </cell>
          <cell r="BO453">
            <v>520.57041094448164</v>
          </cell>
          <cell r="BP453">
            <v>588.24456436726427</v>
          </cell>
          <cell r="BQ453">
            <v>647.06902080399072</v>
          </cell>
          <cell r="BR453">
            <v>698.83454246831002</v>
          </cell>
          <cell r="BS453">
            <v>740.76461501640881</v>
          </cell>
          <cell r="BT453">
            <v>770.39519961706515</v>
          </cell>
          <cell r="BU453">
            <v>-168.10542017672799</v>
          </cell>
          <cell r="BV453">
            <v>-280.3893881446939</v>
          </cell>
          <cell r="BW453">
            <v>-209.99071581963619</v>
          </cell>
          <cell r="BX453">
            <v>256.53066003684114</v>
          </cell>
          <cell r="BY453">
            <v>-58.134949608350666</v>
          </cell>
          <cell r="BZ453">
            <v>-151.15886898171209</v>
          </cell>
          <cell r="CA453">
            <v>-149.66528029189476</v>
          </cell>
        </row>
        <row r="454">
          <cell r="A454" t="str">
            <v>After-tax Op. Income</v>
          </cell>
          <cell r="D454" t="str">
            <v>--</v>
          </cell>
          <cell r="E454" t="str">
            <v>--</v>
          </cell>
          <cell r="F454" t="str">
            <v>--</v>
          </cell>
          <cell r="G454" t="str">
            <v>--</v>
          </cell>
          <cell r="I454">
            <v>7.0357600000000007</v>
          </cell>
          <cell r="J454">
            <v>7.0128199999999987</v>
          </cell>
          <cell r="K454">
            <v>9.6310800000000043</v>
          </cell>
          <cell r="L454">
            <v>12.346060000000001</v>
          </cell>
          <cell r="N454">
            <v>11.535099999999998</v>
          </cell>
          <cell r="O454">
            <v>12.155720000000001</v>
          </cell>
          <cell r="P454">
            <v>14.640679999999996</v>
          </cell>
          <cell r="Q454">
            <v>18.623559999999998</v>
          </cell>
          <cell r="S454">
            <v>19.886481969531403</v>
          </cell>
          <cell r="T454">
            <v>22.988952687479877</v>
          </cell>
          <cell r="U454">
            <v>31.072366900695094</v>
          </cell>
          <cell r="V454">
            <v>37.196792478277786</v>
          </cell>
          <cell r="X454">
            <v>35.287325117890731</v>
          </cell>
          <cell r="Y454">
            <v>51.281198059036143</v>
          </cell>
          <cell r="Z454">
            <v>71.184857986386362</v>
          </cell>
          <cell r="AA454">
            <v>101.03168428384134</v>
          </cell>
          <cell r="AC454">
            <v>77.530082908516107</v>
          </cell>
          <cell r="AD454">
            <v>81.287550080943376</v>
          </cell>
          <cell r="AE454">
            <v>49.902089999999902</v>
          </cell>
          <cell r="AF454">
            <v>73.280170000000012</v>
          </cell>
          <cell r="AH454">
            <v>59.383891213389013</v>
          </cell>
          <cell r="AI454">
            <v>59.951585372500006</v>
          </cell>
          <cell r="AJ454">
            <v>60.994540811024997</v>
          </cell>
          <cell r="AK454">
            <v>75.483812923164237</v>
          </cell>
          <cell r="AM454">
            <v>71.554309274539918</v>
          </cell>
          <cell r="AN454">
            <v>79.760215827456776</v>
          </cell>
          <cell r="AO454">
            <v>84.604950732569108</v>
          </cell>
          <cell r="AP454">
            <v>100.53418474980165</v>
          </cell>
          <cell r="AR454">
            <v>95.583488443641556</v>
          </cell>
          <cell r="AS454">
            <v>101.54947207513052</v>
          </cell>
          <cell r="AT454">
            <v>109.58548609717177</v>
          </cell>
          <cell r="AU454">
            <v>129.29851920891855</v>
          </cell>
          <cell r="AW454">
            <v>43.781300000000002</v>
          </cell>
          <cell r="AX454">
            <v>36.050519999999999</v>
          </cell>
          <cell r="AY454">
            <v>56.955059999999996</v>
          </cell>
          <cell r="AZ454">
            <v>55.568999999999996</v>
          </cell>
          <cell r="BA454">
            <v>88.938999999999993</v>
          </cell>
          <cell r="BB454">
            <v>124.96600000000001</v>
          </cell>
          <cell r="BC454">
            <v>96.7</v>
          </cell>
          <cell r="BD454">
            <v>96</v>
          </cell>
          <cell r="BE454">
            <v>436.01696582486244</v>
          </cell>
          <cell r="BF454">
            <v>27.292999999999999</v>
          </cell>
          <cell r="BG454">
            <v>234.20355870010042</v>
          </cell>
          <cell r="BH454">
            <v>358.37936020436439</v>
          </cell>
          <cell r="BI454">
            <v>503.12099967394738</v>
          </cell>
          <cell r="BJ454">
            <v>735.79009002210807</v>
          </cell>
          <cell r="BK454">
            <v>965.41212943655478</v>
          </cell>
          <cell r="BL454">
            <v>1312.6217549356661</v>
          </cell>
          <cell r="BM454">
            <v>1481.9923039596233</v>
          </cell>
          <cell r="BN454">
            <v>1569.0593518172511</v>
          </cell>
          <cell r="BO454">
            <v>1648.4729679908585</v>
          </cell>
          <cell r="BP454">
            <v>1862.7744538296704</v>
          </cell>
          <cell r="BQ454">
            <v>2049.0518992126372</v>
          </cell>
          <cell r="BR454">
            <v>2212.9760511496488</v>
          </cell>
          <cell r="BS454">
            <v>2345.7546142186279</v>
          </cell>
          <cell r="BT454">
            <v>2439.5847987873731</v>
          </cell>
          <cell r="BU454">
            <v>2512.7723427509941</v>
          </cell>
          <cell r="BV454" t="str">
            <v xml:space="preserve"> --</v>
          </cell>
          <cell r="BW454" t="str">
            <v xml:space="preserve"> --</v>
          </cell>
          <cell r="BX454" t="str">
            <v xml:space="preserve"> --</v>
          </cell>
          <cell r="BY454" t="str">
            <v xml:space="preserve"> --</v>
          </cell>
          <cell r="BZ454" t="str">
            <v xml:space="preserve"> --</v>
          </cell>
          <cell r="CA454" t="str">
            <v xml:space="preserve"> --</v>
          </cell>
        </row>
        <row r="455">
          <cell r="A455" t="str">
            <v>After-tax Op. Income Margin (A)</v>
          </cell>
          <cell r="D455" t="str">
            <v>--</v>
          </cell>
          <cell r="E455" t="str">
            <v>--</v>
          </cell>
          <cell r="F455" t="str">
            <v>--</v>
          </cell>
          <cell r="G455" t="str">
            <v>--</v>
          </cell>
          <cell r="I455">
            <v>1.4548717948717949E-2</v>
          </cell>
          <cell r="J455">
            <v>1.6284078903066258E-2</v>
          </cell>
          <cell r="K455">
            <v>2.3541138598493837E-2</v>
          </cell>
          <cell r="L455">
            <v>1.8071274775427519E-2</v>
          </cell>
          <cell r="N455">
            <v>1.5615405441992686E-2</v>
          </cell>
          <cell r="O455">
            <v>1.5712758572996338E-2</v>
          </cell>
          <cell r="P455">
            <v>1.8039280433711183E-2</v>
          </cell>
          <cell r="Q455">
            <v>2.012709419019602E-2</v>
          </cell>
          <cell r="S455">
            <v>1.8382363461645703E-2</v>
          </cell>
          <cell r="T455">
            <v>1.8395577088485136E-2</v>
          </cell>
          <cell r="U455">
            <v>2.28987328913326E-2</v>
          </cell>
          <cell r="V455">
            <v>2.3121534953686299E-2</v>
          </cell>
          <cell r="X455">
            <v>2.1886014848073697E-2</v>
          </cell>
          <cell r="Y455">
            <v>2.4514372007916382E-2</v>
          </cell>
          <cell r="Z455">
            <v>2.7377222607776079E-2</v>
          </cell>
          <cell r="AA455">
            <v>2.9303912232965947E-2</v>
          </cell>
          <cell r="AC455">
            <v>2.8794029101702315E-2</v>
          </cell>
          <cell r="AD455">
            <v>3.0551120672837724E-2</v>
          </cell>
          <cell r="AE455">
            <v>2.2652393381601899E-2</v>
          </cell>
          <cell r="AF455">
            <v>2.9932264520872484E-2</v>
          </cell>
          <cell r="AH455">
            <v>2.7601157896067402E-2</v>
          </cell>
          <cell r="AI455">
            <v>2.6975390780172238E-2</v>
          </cell>
          <cell r="AJ455">
            <v>2.7031600561649931E-2</v>
          </cell>
          <cell r="AK455">
            <v>3.1278554445329884E-2</v>
          </cell>
          <cell r="AM455">
            <v>3.0263721109813076E-2</v>
          </cell>
          <cell r="AN455">
            <v>3.2670114269387082E-2</v>
          </cell>
          <cell r="AO455">
            <v>3.3057099742438756E-2</v>
          </cell>
          <cell r="AP455">
            <v>3.5637345114442408E-2</v>
          </cell>
          <cell r="AR455">
            <v>3.569E-2</v>
          </cell>
          <cell r="AS455">
            <v>3.6519999999999997E-2</v>
          </cell>
          <cell r="AT455">
            <v>3.7349999999999994E-2</v>
          </cell>
          <cell r="AU455">
            <v>3.9839999999999993E-2</v>
          </cell>
          <cell r="AW455">
            <v>2.1707998897278303E-2</v>
          </cell>
          <cell r="AX455">
            <v>1.7966339389970588E-2</v>
          </cell>
          <cell r="AY455">
            <v>1.7528846162724026E-2</v>
          </cell>
          <cell r="AZ455">
            <v>58.925587060962783</v>
          </cell>
          <cell r="BA455">
            <v>86.760475211134874</v>
          </cell>
          <cell r="BB455">
            <v>67.183273721175581</v>
          </cell>
          <cell r="BC455">
            <v>40.988198602000011</v>
          </cell>
          <cell r="BD455">
            <v>35.291120692473157</v>
          </cell>
          <cell r="BE455">
            <v>3.7464060845702835E-2</v>
          </cell>
          <cell r="BF455">
            <v>-976.97499999999991</v>
          </cell>
          <cell r="BG455">
            <v>2.5897023320128762E-2</v>
          </cell>
          <cell r="BH455">
            <v>3.0406606337984306E-2</v>
          </cell>
          <cell r="BI455">
            <v>3.4304441256306203E-2</v>
          </cell>
          <cell r="BJ455">
            <v>4.0280000000000003E-2</v>
          </cell>
          <cell r="BK455">
            <v>4.3320000000000011E-2</v>
          </cell>
          <cell r="BL455">
            <v>4.7120000000000002E-2</v>
          </cell>
          <cell r="BM455">
            <v>4.2560000000000008E-2</v>
          </cell>
          <cell r="BN455">
            <v>3.7240000000000002E-2</v>
          </cell>
          <cell r="BO455">
            <v>3.3439999999999998E-2</v>
          </cell>
          <cell r="BP455">
            <v>3.3440000000000004E-2</v>
          </cell>
          <cell r="BQ455">
            <v>3.3439999999999998E-2</v>
          </cell>
          <cell r="BR455">
            <v>3.3439999999999998E-2</v>
          </cell>
          <cell r="BS455">
            <v>3.3440000000000004E-2</v>
          </cell>
          <cell r="BT455">
            <v>3.3440000000000004E-2</v>
          </cell>
          <cell r="BU455">
            <v>-608.85477964181268</v>
          </cell>
          <cell r="BV455">
            <v>-1006.9378711579321</v>
          </cell>
          <cell r="BW455">
            <v>-941.90917312004274</v>
          </cell>
          <cell r="BX455">
            <v>-419.26666131110539</v>
          </cell>
          <cell r="BY455">
            <v>-357.03732776354963</v>
          </cell>
          <cell r="BZ455">
            <v>-715.14283880404992</v>
          </cell>
          <cell r="CA455">
            <v>-703.59908840288847</v>
          </cell>
        </row>
        <row r="456">
          <cell r="A456" t="str">
            <v>After-tax Op. Income Margin (A)</v>
          </cell>
          <cell r="B456" t="str">
            <v>capex</v>
          </cell>
          <cell r="D456" t="str">
            <v>--</v>
          </cell>
          <cell r="E456" t="str">
            <v>--</v>
          </cell>
          <cell r="F456" t="str">
            <v>--</v>
          </cell>
          <cell r="G456" t="str">
            <v>--</v>
          </cell>
          <cell r="I456">
            <v>1.4548717948717949E-2</v>
          </cell>
          <cell r="J456">
            <v>1.6284078903066258E-2</v>
          </cell>
          <cell r="K456">
            <v>2.3541138598493837E-2</v>
          </cell>
          <cell r="L456">
            <v>1.8071274775427519E-2</v>
          </cell>
          <cell r="N456">
            <v>1.5615405441992686E-2</v>
          </cell>
          <cell r="O456">
            <v>1.5712758572996338E-2</v>
          </cell>
          <cell r="P456">
            <v>1.8039280433711183E-2</v>
          </cell>
          <cell r="Q456">
            <v>2.012709419019602E-2</v>
          </cell>
          <cell r="S456">
            <v>1.8382363461645703E-2</v>
          </cell>
          <cell r="T456">
            <v>1.8395577088485136E-2</v>
          </cell>
          <cell r="U456">
            <v>2.28987328913326E-2</v>
          </cell>
          <cell r="V456">
            <v>2.3121534953686299E-2</v>
          </cell>
          <cell r="X456">
            <v>2.1886014848073697E-2</v>
          </cell>
          <cell r="Y456">
            <v>2.4514372007916382E-2</v>
          </cell>
          <cell r="Z456">
            <v>2.7377222607776079E-2</v>
          </cell>
          <cell r="AA456">
            <v>2.9303912232965947E-2</v>
          </cell>
          <cell r="AC456">
            <v>2.8794029101702315E-2</v>
          </cell>
          <cell r="AD456">
            <v>3.0551120672837724E-2</v>
          </cell>
          <cell r="AE456">
            <v>2.2652393381601899E-2</v>
          </cell>
          <cell r="AF456">
            <v>2.9932264520872484E-2</v>
          </cell>
          <cell r="AH456">
            <v>2.7601157896067402E-2</v>
          </cell>
          <cell r="AI456">
            <v>2.6481877562855114E-2</v>
          </cell>
          <cell r="AJ456">
            <v>2.7033036109663754E-2</v>
          </cell>
          <cell r="AK456">
            <v>3.0450606967848036E-2</v>
          </cell>
          <cell r="AM456">
            <v>2.9020385944661439E-2</v>
          </cell>
          <cell r="AN456">
            <v>3.1841408986405959E-2</v>
          </cell>
          <cell r="AO456">
            <v>3.2228287288696311E-2</v>
          </cell>
          <cell r="AP456">
            <v>3.480866155496587E-2</v>
          </cell>
          <cell r="AR456">
            <v>3.4860000000000002E-2</v>
          </cell>
          <cell r="AS456">
            <v>3.569E-2</v>
          </cell>
          <cell r="AT456">
            <v>3.651999999999999E-2</v>
          </cell>
          <cell r="AU456">
            <v>3.9010000000000003E-2</v>
          </cell>
          <cell r="AW456">
            <v>2.1707998897278303E-2</v>
          </cell>
          <cell r="AX456">
            <v>1.7966339389970588E-2</v>
          </cell>
          <cell r="AY456">
            <v>1.7528846162724026E-2</v>
          </cell>
          <cell r="AZ456">
            <v>2.1105857549303612E-2</v>
          </cell>
          <cell r="BA456">
            <v>2.6567220287873623E-2</v>
          </cell>
          <cell r="BB456">
            <v>2.8101220976867607E-2</v>
          </cell>
          <cell r="BC456">
            <v>2.7940721945847312E-2</v>
          </cell>
          <cell r="BD456">
            <v>3.2105802362907158E-2</v>
          </cell>
          <cell r="BE456">
            <v>3.6634317682172721E-2</v>
          </cell>
          <cell r="BF456">
            <v>-282.77999999999997</v>
          </cell>
          <cell r="BG456">
            <v>2.5583560761108223E-2</v>
          </cell>
          <cell r="BH456">
            <v>2.9559798332997413E-2</v>
          </cell>
          <cell r="BI456">
            <v>3.3544676431868994E-2</v>
          </cell>
          <cell r="BJ456">
            <v>4.0280000000000003E-2</v>
          </cell>
          <cell r="BK456">
            <v>4.3320000000000011E-2</v>
          </cell>
          <cell r="BL456">
            <v>4.7120000000000002E-2</v>
          </cell>
          <cell r="BM456">
            <v>4.2560000000000008E-2</v>
          </cell>
          <cell r="BN456">
            <v>3.7240000000000002E-2</v>
          </cell>
          <cell r="BO456">
            <v>3.3440000000000011E-2</v>
          </cell>
          <cell r="BP456">
            <v>3.3440000000000004E-2</v>
          </cell>
          <cell r="BQ456">
            <v>3.3440000000000004E-2</v>
          </cell>
          <cell r="BR456">
            <v>3.3440000000000004E-2</v>
          </cell>
          <cell r="BS456">
            <v>3.3439999999999991E-2</v>
          </cell>
          <cell r="BT456">
            <v>3.3439999999999998E-2</v>
          </cell>
          <cell r="BU456">
            <v>-408.85477964181263</v>
          </cell>
          <cell r="BV456">
            <v>-606.93787115793214</v>
          </cell>
          <cell r="BW456">
            <v>-691.90917312004274</v>
          </cell>
          <cell r="BX456">
            <v>-319.26666131110539</v>
          </cell>
          <cell r="BY456">
            <v>-332.03732776354963</v>
          </cell>
          <cell r="BZ456">
            <v>-615.14283880404992</v>
          </cell>
          <cell r="CA456">
            <v>-628.59908840288847</v>
          </cell>
        </row>
        <row r="457">
          <cell r="A457" t="str">
            <v>Net Operating Assets</v>
          </cell>
          <cell r="B457" t="str">
            <v>acq</v>
          </cell>
          <cell r="D457" t="str">
            <v>--</v>
          </cell>
          <cell r="E457" t="str">
            <v>--</v>
          </cell>
          <cell r="F457" t="str">
            <v>--</v>
          </cell>
          <cell r="G457" t="str">
            <v>--</v>
          </cell>
          <cell r="I457">
            <v>554.16100000000006</v>
          </cell>
          <cell r="J457">
            <v>587.61699999999996</v>
          </cell>
          <cell r="K457">
            <v>670.03399999999988</v>
          </cell>
          <cell r="L457">
            <v>776.98899999999981</v>
          </cell>
          <cell r="N457">
            <v>764.00000000000011</v>
          </cell>
          <cell r="O457">
            <v>796.90200000000004</v>
          </cell>
          <cell r="P457">
            <v>794.89999999999986</v>
          </cell>
          <cell r="Q457">
            <v>963.34900000000016</v>
          </cell>
          <cell r="S457">
            <v>1054.1219999999998</v>
          </cell>
          <cell r="T457">
            <v>1182.9490000000001</v>
          </cell>
          <cell r="U457">
            <v>1228.8159999999998</v>
          </cell>
          <cell r="V457">
            <v>1420.8159999999998</v>
          </cell>
          <cell r="X457">
            <v>1633.537</v>
          </cell>
          <cell r="Y457">
            <v>2311.6610000000001</v>
          </cell>
          <cell r="Z457">
            <v>2562.8940000000002</v>
          </cell>
          <cell r="AA457">
            <v>2717.3669999999993</v>
          </cell>
          <cell r="AC457">
            <v>3180.64</v>
          </cell>
          <cell r="AD457">
            <v>3132.4690000000001</v>
          </cell>
          <cell r="AE457">
            <v>3574.0729999999994</v>
          </cell>
          <cell r="AF457">
            <v>3550.2</v>
          </cell>
          <cell r="AH457">
            <v>3451.2999999999997</v>
          </cell>
          <cell r="AI457">
            <v>3435.3472840214577</v>
          </cell>
          <cell r="AJ457">
            <v>3458.7402005126869</v>
          </cell>
          <cell r="AK457">
            <v>3440.5117308710824</v>
          </cell>
          <cell r="AM457">
            <v>3495.4345252697458</v>
          </cell>
          <cell r="AN457">
            <v>3525.2607972983888</v>
          </cell>
          <cell r="AO457">
            <v>3595.3681980696729</v>
          </cell>
          <cell r="AP457">
            <v>3690.278184360513</v>
          </cell>
          <cell r="AR457">
            <v>3748.9501624136019</v>
          </cell>
          <cell r="AS457">
            <v>3795.4463806508611</v>
          </cell>
          <cell r="AT457">
            <v>3886.2839178656204</v>
          </cell>
          <cell r="AU457">
            <v>3964.1466271746576</v>
          </cell>
          <cell r="AW457">
            <v>505.42399999999986</v>
          </cell>
          <cell r="AX457">
            <v>776.98899999999981</v>
          </cell>
          <cell r="AY457">
            <v>963.34900000000016</v>
          </cell>
          <cell r="AZ457">
            <v>1420.8159999999998</v>
          </cell>
          <cell r="BA457">
            <v>2717.3669999999993</v>
          </cell>
          <cell r="BB457">
            <v>3550.2</v>
          </cell>
          <cell r="BC457">
            <v>3440.5117308710824</v>
          </cell>
          <cell r="BD457">
            <v>3690.278184360513</v>
          </cell>
          <cell r="BE457">
            <v>3964.1466271746576</v>
          </cell>
          <cell r="BF457">
            <v>-634.68399999999997</v>
          </cell>
          <cell r="BG457">
            <v>3781.3938828225109</v>
          </cell>
          <cell r="BH457">
            <v>5024.2068231151752</v>
          </cell>
          <cell r="BI457">
            <v>6037.7201799321301</v>
          </cell>
          <cell r="BJ457">
            <v>7028.1693495859017</v>
          </cell>
          <cell r="BK457">
            <v>7799.4567741809451</v>
          </cell>
          <cell r="BL457">
            <v>8961.765546952025</v>
          </cell>
          <cell r="BM457">
            <v>10885.426666561649</v>
          </cell>
          <cell r="BN457">
            <v>12822.375522199869</v>
          </cell>
          <cell r="BO457">
            <v>14726.432745509097</v>
          </cell>
          <cell r="BP457">
            <v>16256.10150657034</v>
          </cell>
          <cell r="BQ457">
            <v>17534.909481606643</v>
          </cell>
          <cell r="BR457">
            <v>18548.661098126464</v>
          </cell>
          <cell r="BS457">
            <v>19188.416514126278</v>
          </cell>
          <cell r="BT457">
            <v>19492.047831728622</v>
          </cell>
          <cell r="BU457">
            <v>-200</v>
          </cell>
          <cell r="BV457">
            <v>-400</v>
          </cell>
          <cell r="BW457">
            <v>-250</v>
          </cell>
          <cell r="BX457">
            <v>-100</v>
          </cell>
          <cell r="BY457">
            <v>-25</v>
          </cell>
          <cell r="BZ457">
            <v>-100</v>
          </cell>
          <cell r="CA457">
            <v>-75</v>
          </cell>
        </row>
        <row r="458">
          <cell r="A458" t="str">
            <v>Op. Asset Turnover (B)</v>
          </cell>
          <cell r="B458" t="str">
            <v>capex</v>
          </cell>
          <cell r="D458" t="str">
            <v>--</v>
          </cell>
          <cell r="E458" t="str">
            <v>--</v>
          </cell>
          <cell r="F458" t="str">
            <v>--</v>
          </cell>
          <cell r="G458" t="str">
            <v>--</v>
          </cell>
          <cell r="I458" t="str">
            <v>--</v>
          </cell>
          <cell r="J458">
            <v>3.0174342122549214</v>
          </cell>
          <cell r="K458">
            <v>2.6024199082257322</v>
          </cell>
          <cell r="L458">
            <v>3.7770622858102474</v>
          </cell>
          <cell r="N458">
            <v>3.8349397692001697</v>
          </cell>
          <cell r="O458">
            <v>3.9649945992765718</v>
          </cell>
          <cell r="P458">
            <v>4.0788992600838547</v>
          </cell>
          <cell r="Q458">
            <v>4.2100885596977449</v>
          </cell>
          <cell r="S458">
            <v>4.2898222576681402</v>
          </cell>
          <cell r="T458">
            <v>4.4690579780436117</v>
          </cell>
          <cell r="U458">
            <v>4.5010919388912267</v>
          </cell>
          <cell r="V458">
            <v>4.8572813130276211</v>
          </cell>
          <cell r="X458">
            <v>4.2230167894804564</v>
          </cell>
          <cell r="Y458">
            <v>4.2418819030122181</v>
          </cell>
          <cell r="Z458">
            <v>4.2673007074491922</v>
          </cell>
          <cell r="AA458">
            <v>5.2235599717513965</v>
          </cell>
          <cell r="AC458">
            <v>3.6521828475279872</v>
          </cell>
          <cell r="AD458">
            <v>3.3716585599900144</v>
          </cell>
          <cell r="AE458">
            <v>2.627822207033073</v>
          </cell>
          <cell r="AF458">
            <v>2.7491366487499849</v>
          </cell>
          <cell r="AH458">
            <v>2.4583303577804756</v>
          </cell>
          <cell r="AI458">
            <v>2.5817552818847989</v>
          </cell>
          <cell r="AJ458">
            <v>2.6183783510864149</v>
          </cell>
          <cell r="AK458">
            <v>2.7983055838240412</v>
          </cell>
          <cell r="AM458">
            <v>2.7270791018972327</v>
          </cell>
          <cell r="AN458">
            <v>2.7819257064735012</v>
          </cell>
          <cell r="AO458">
            <v>2.8754290585001034</v>
          </cell>
          <cell r="AP458">
            <v>3.0976355245638403</v>
          </cell>
          <cell r="AR458">
            <v>2.8800393799810222</v>
          </cell>
          <cell r="AS458">
            <v>2.948576369661621</v>
          </cell>
          <cell r="AT458">
            <v>3.0555779263353142</v>
          </cell>
          <cell r="AU458">
            <v>3.3072782346292091</v>
          </cell>
          <cell r="AW458" t="str">
            <v>--</v>
          </cell>
          <cell r="AX458">
            <v>3.1293491254377503</v>
          </cell>
          <cell r="AY458">
            <v>3.7340091407531184</v>
          </cell>
          <cell r="AZ458">
            <v>4.4436706352119089</v>
          </cell>
          <cell r="BA458">
            <v>4.7132159210938722</v>
          </cell>
          <cell r="BB458">
            <v>3.1924448514072532</v>
          </cell>
          <cell r="BC458">
            <v>2.5873324995044849</v>
          </cell>
          <cell r="BD458">
            <v>2.8569719635764019</v>
          </cell>
          <cell r="BE458">
            <v>3.0409268452018434</v>
          </cell>
          <cell r="BF458">
            <v>-59.510999999999996</v>
          </cell>
          <cell r="BG458">
            <v>2.4670345827975364</v>
          </cell>
          <cell r="BH458">
            <v>2.6769856655066033</v>
          </cell>
          <cell r="BI458">
            <v>2.6516811540397911</v>
          </cell>
          <cell r="BJ458">
            <v>2.7961179406652605</v>
          </cell>
          <cell r="BK458">
            <v>3.0059563641226092</v>
          </cell>
          <cell r="BL458">
            <v>3.3239817074208191</v>
          </cell>
          <cell r="BM458">
            <v>3.5089343992650912</v>
          </cell>
          <cell r="BN458">
            <v>3.5544171858749425</v>
          </cell>
          <cell r="BO458">
            <v>3.5788437707580205</v>
          </cell>
          <cell r="BP458">
            <v>3.595895496028072</v>
          </cell>
          <cell r="BQ458">
            <v>3.6267322973179366</v>
          </cell>
          <cell r="BR458">
            <v>3.6680135822526876</v>
          </cell>
          <cell r="BS458">
            <v>3.7177316707756973</v>
          </cell>
          <cell r="BT458">
            <v>3.7721414210812645</v>
          </cell>
          <cell r="BU458" t="str">
            <v>--</v>
          </cell>
          <cell r="BV458" t="str">
            <v>--</v>
          </cell>
          <cell r="BW458" t="str">
            <v>--</v>
          </cell>
          <cell r="BX458" t="str">
            <v>--</v>
          </cell>
          <cell r="BY458" t="str">
            <v>--</v>
          </cell>
          <cell r="BZ458" t="str">
            <v>--</v>
          </cell>
          <cell r="CA458" t="str">
            <v>--</v>
          </cell>
        </row>
        <row r="459">
          <cell r="A459" t="str">
            <v>Op. Asset Turnover (B)</v>
          </cell>
          <cell r="B459" t="str">
            <v>acq</v>
          </cell>
          <cell r="D459" t="str">
            <v>--</v>
          </cell>
          <cell r="E459" t="str">
            <v>--</v>
          </cell>
          <cell r="F459" t="str">
            <v>--</v>
          </cell>
          <cell r="G459" t="str">
            <v>--</v>
          </cell>
          <cell r="I459" t="str">
            <v>--</v>
          </cell>
          <cell r="J459">
            <v>3.0174342122549214</v>
          </cell>
          <cell r="K459">
            <v>2.6024199082257322</v>
          </cell>
          <cell r="L459">
            <v>3.7770622858102474</v>
          </cell>
          <cell r="N459">
            <v>3.8349397692001697</v>
          </cell>
          <cell r="O459">
            <v>3.9649945992765718</v>
          </cell>
          <cell r="P459">
            <v>4.0788992600838547</v>
          </cell>
          <cell r="Q459">
            <v>4.2100885596977449</v>
          </cell>
          <cell r="S459">
            <v>4.2898222576681402</v>
          </cell>
          <cell r="T459">
            <v>4.4690579780436117</v>
          </cell>
          <cell r="U459">
            <v>4.5010919388912267</v>
          </cell>
          <cell r="V459">
            <v>4.8572813130276211</v>
          </cell>
          <cell r="X459">
            <v>4.2230167894804564</v>
          </cell>
          <cell r="Y459">
            <v>4.2418819030122181</v>
          </cell>
          <cell r="Z459">
            <v>4.2673007074491922</v>
          </cell>
          <cell r="AA459">
            <v>5.2235599717513965</v>
          </cell>
          <cell r="AC459">
            <v>3.6521828475279872</v>
          </cell>
          <cell r="AD459">
            <v>3.3716585599900144</v>
          </cell>
          <cell r="AE459">
            <v>2.627822207033073</v>
          </cell>
          <cell r="AF459">
            <v>2.7491366487499849</v>
          </cell>
          <cell r="AH459">
            <v>2.4583303577804756</v>
          </cell>
          <cell r="AI459">
            <v>2.5817552818847989</v>
          </cell>
          <cell r="AJ459">
            <v>2.6183783510864149</v>
          </cell>
          <cell r="AK459">
            <v>2.7983055838240412</v>
          </cell>
          <cell r="AM459">
            <v>2.7270791018972327</v>
          </cell>
          <cell r="AN459">
            <v>2.7819257064735012</v>
          </cell>
          <cell r="AO459">
            <v>2.8754290585001034</v>
          </cell>
          <cell r="AP459">
            <v>3.0976355245638403</v>
          </cell>
          <cell r="AR459">
            <v>2.8800393799810222</v>
          </cell>
          <cell r="AS459">
            <v>2.948576369661621</v>
          </cell>
          <cell r="AT459">
            <v>3.0555779263353142</v>
          </cell>
          <cell r="AU459">
            <v>3.3072782346292091</v>
          </cell>
          <cell r="AW459" t="str">
            <v>--</v>
          </cell>
          <cell r="AX459">
            <v>3.1293491254377503</v>
          </cell>
          <cell r="AY459">
            <v>3.7340091407531184</v>
          </cell>
          <cell r="AZ459">
            <v>1420.8159999999998</v>
          </cell>
          <cell r="BA459">
            <v>2717.3669999999993</v>
          </cell>
          <cell r="BB459">
            <v>3550.2</v>
          </cell>
          <cell r="BC459">
            <v>2824.9183871307941</v>
          </cell>
          <cell r="BD459">
            <v>2958.3745744616281</v>
          </cell>
          <cell r="BE459">
            <v>3.0409268452018434</v>
          </cell>
          <cell r="BF459">
            <v>-634.68399999999997</v>
          </cell>
          <cell r="BG459">
            <v>2.4670345827975364</v>
          </cell>
          <cell r="BH459">
            <v>2.6769856655066033</v>
          </cell>
          <cell r="BI459">
            <v>2.6516811540397911</v>
          </cell>
          <cell r="BJ459">
            <v>2.7961179406652605</v>
          </cell>
          <cell r="BK459">
            <v>3.0059563641226092</v>
          </cell>
          <cell r="BL459">
            <v>3.3239817074208191</v>
          </cell>
          <cell r="BM459">
            <v>3.5089343992650912</v>
          </cell>
          <cell r="BN459">
            <v>3.5544171858749425</v>
          </cell>
          <cell r="BO459">
            <v>3.5788437707580205</v>
          </cell>
          <cell r="BP459">
            <v>3.595895496028072</v>
          </cell>
          <cell r="BQ459">
            <v>3.6267322973179366</v>
          </cell>
          <cell r="BR459">
            <v>3.6680135822526876</v>
          </cell>
          <cell r="BS459">
            <v>3.7177316707756973</v>
          </cell>
          <cell r="BT459">
            <v>3.7721414210812645</v>
          </cell>
          <cell r="BU459">
            <v>3.8619338826176994</v>
          </cell>
          <cell r="BV459">
            <v>-400</v>
          </cell>
          <cell r="BW459">
            <v>-250</v>
          </cell>
          <cell r="BX459">
            <v>-100</v>
          </cell>
          <cell r="BY459">
            <v>-25</v>
          </cell>
          <cell r="BZ459">
            <v>-100</v>
          </cell>
          <cell r="CA459">
            <v>-75</v>
          </cell>
        </row>
        <row r="460">
          <cell r="A460" t="str">
            <v>RNOA (A x B=C)</v>
          </cell>
          <cell r="B460" t="str">
            <v>rnoa</v>
          </cell>
          <cell r="D460" t="str">
            <v>--</v>
          </cell>
          <cell r="E460" t="str">
            <v>--</v>
          </cell>
          <cell r="F460" t="str">
            <v>--</v>
          </cell>
          <cell r="G460" t="str">
            <v>--</v>
          </cell>
          <cell r="I460" t="str">
            <v>--</v>
          </cell>
          <cell r="J460">
            <v>4.9136136797170715E-2</v>
          </cell>
          <cell r="K460">
            <v>6.1263927751021574E-2</v>
          </cell>
          <cell r="L460">
            <v>6.825633041078133E-2</v>
          </cell>
          <cell r="N460">
            <v>5.9884139341682505E-2</v>
          </cell>
          <cell r="O460">
            <v>6.2301002881667136E-2</v>
          </cell>
          <cell r="P460">
            <v>7.3580407613509702E-2</v>
          </cell>
          <cell r="Q460">
            <v>8.4736848990103211E-2</v>
          </cell>
          <cell r="S460">
            <v>7.8857071926313305E-2</v>
          </cell>
          <cell r="T460">
            <v>8.2210900548010765E-2</v>
          </cell>
          <cell r="U460">
            <v>0.10306930202800056</v>
          </cell>
          <cell r="V460">
            <v>0.11230779965905542</v>
          </cell>
          <cell r="X460">
            <v>9.2425008158233776E-2</v>
          </cell>
          <cell r="Y460">
            <v>0.1039870709840898</v>
          </cell>
          <cell r="Z460">
            <v>0.11682684140215688</v>
          </cell>
          <cell r="AA460">
            <v>0.153070742955837</v>
          </cell>
          <cell r="AC460">
            <v>0.10516105919645889</v>
          </cell>
          <cell r="AD460">
            <v>0.10300794753386119</v>
          </cell>
          <cell r="AE460">
            <v>5.9526462370622479E-2</v>
          </cell>
          <cell r="AF460">
            <v>8.2287885374409453E-2</v>
          </cell>
          <cell r="AH460">
            <v>6.7852764365794779E-2</v>
          </cell>
          <cell r="AI460">
            <v>6.9643857627616185E-2</v>
          </cell>
          <cell r="AJ460">
            <v>7.0778957705839557E-2</v>
          </cell>
          <cell r="AK460">
            <v>8.7526953558310902E-2</v>
          </cell>
          <cell r="AM460">
            <v>8.253156138421737E-2</v>
          </cell>
          <cell r="AN460">
            <v>9.0885830719434665E-2</v>
          </cell>
          <cell r="AO460">
            <v>9.5053345189144683E-2</v>
          </cell>
          <cell r="AP460">
            <v>0.11039150622763842</v>
          </cell>
          <cell r="AR460">
            <v>0.10278860547152269</v>
          </cell>
          <cell r="AS460">
            <v>0.10768200902004239</v>
          </cell>
          <cell r="AT460">
            <v>0.11412583554862397</v>
          </cell>
          <cell r="AU460">
            <v>0.13176196486762767</v>
          </cell>
          <cell r="AW460" t="str">
            <v>--</v>
          </cell>
          <cell r="AX460">
            <v>5.6222948457322265E-2</v>
          </cell>
          <cell r="AY460">
            <v>6.5452871798466733E-2</v>
          </cell>
          <cell r="AZ460">
            <v>9.3787479422806047E-2</v>
          </cell>
          <cell r="BA460">
            <v>0.1252170456400141</v>
          </cell>
          <cell r="BB460">
            <v>8.9711598225858502E-2</v>
          </cell>
          <cell r="BC460">
            <v>7.3186384868322893E-2</v>
          </cell>
          <cell r="BD460">
            <v>9.4366448762062571E-2</v>
          </cell>
          <cell r="BE460">
            <v>0.11392546835597303</v>
          </cell>
          <cell r="BF460">
            <v>1574.3351999999998</v>
          </cell>
          <cell r="BG460">
            <v>6.3888852122271925E-2</v>
          </cell>
          <cell r="BH460">
            <v>8.1398049303486222E-2</v>
          </cell>
          <cell r="BI460">
            <v>9.0964440379212252E-2</v>
          </cell>
          <cell r="BJ460">
            <v>0.1126276306499967</v>
          </cell>
          <cell r="BK460">
            <v>0.13021802969379145</v>
          </cell>
          <cell r="BL460">
            <v>0.15662601805366899</v>
          </cell>
          <cell r="BM460">
            <v>0.14934024803272231</v>
          </cell>
          <cell r="BN460">
            <v>0.13236649600198286</v>
          </cell>
          <cell r="BO460">
            <v>0.1196765356941482</v>
          </cell>
          <cell r="BP460">
            <v>0.12024674538717875</v>
          </cell>
          <cell r="BQ460">
            <v>0.12127792802231178</v>
          </cell>
          <cell r="BR460">
            <v>0.12265837419052987</v>
          </cell>
          <cell r="BS460">
            <v>0.12432094707073933</v>
          </cell>
          <cell r="BT460">
            <v>0.1261404091209575</v>
          </cell>
          <cell r="BU460">
            <v>0</v>
          </cell>
          <cell r="BV460">
            <v>0</v>
          </cell>
          <cell r="BW460">
            <v>0</v>
          </cell>
          <cell r="BX460">
            <v>0</v>
          </cell>
          <cell r="BY460">
            <v>0</v>
          </cell>
          <cell r="BZ460">
            <v>0</v>
          </cell>
          <cell r="CA460">
            <v>0</v>
          </cell>
        </row>
        <row r="461">
          <cell r="A461" t="str">
            <v>Tangible Op. Asset Turn</v>
          </cell>
          <cell r="N461">
            <v>26.851999999999997</v>
          </cell>
          <cell r="O461">
            <v>40.263000000000005</v>
          </cell>
          <cell r="P461">
            <v>-452.60900000000004</v>
          </cell>
          <cell r="Q461">
            <v>-38.622</v>
          </cell>
          <cell r="S461">
            <v>0.14899999999999999</v>
          </cell>
          <cell r="T461">
            <v>-2.4940000000000002</v>
          </cell>
          <cell r="U461">
            <v>-6.0179999999999998</v>
          </cell>
          <cell r="V461">
            <v>-1.615</v>
          </cell>
          <cell r="X461" t="str">
            <v>--</v>
          </cell>
          <cell r="Y461">
            <v>-8.8800000000000008</v>
          </cell>
          <cell r="Z461">
            <v>0.249</v>
          </cell>
          <cell r="AA461">
            <v>-2.2519999999999998</v>
          </cell>
          <cell r="AC461">
            <v>-1.2769999999999999</v>
          </cell>
          <cell r="AD461">
            <v>-0.376</v>
          </cell>
          <cell r="AE461">
            <v>-2.6459999999999999</v>
          </cell>
          <cell r="AF461">
            <v>-54.5</v>
          </cell>
          <cell r="AH461">
            <v>-6.9</v>
          </cell>
          <cell r="AI461">
            <v>-9.7000000000000011</v>
          </cell>
          <cell r="AJ461">
            <v>-137.5</v>
          </cell>
          <cell r="AK461">
            <v>-1</v>
          </cell>
          <cell r="AM461">
            <v>-1.1000000000000001</v>
          </cell>
          <cell r="AN461">
            <v>-0.8</v>
          </cell>
          <cell r="AO461">
            <v>-0.6</v>
          </cell>
          <cell r="AP461">
            <v>0</v>
          </cell>
          <cell r="AR461">
            <v>0</v>
          </cell>
          <cell r="AS461">
            <v>0</v>
          </cell>
          <cell r="AT461">
            <v>0</v>
          </cell>
          <cell r="AU461">
            <v>0</v>
          </cell>
          <cell r="AW461">
            <v>0</v>
          </cell>
          <cell r="AX461">
            <v>5.7224555214439645</v>
          </cell>
          <cell r="AY461">
            <v>6.4114601318513058</v>
          </cell>
          <cell r="AZ461">
            <v>6.4517497064741338</v>
          </cell>
          <cell r="BA461">
            <v>6.1096374529423088</v>
          </cell>
          <cell r="BB461">
            <v>4.8408986051080323</v>
          </cell>
          <cell r="BC461">
            <v>4.8751812150241589</v>
          </cell>
          <cell r="BD461">
            <v>5.4924995886842813</v>
          </cell>
          <cell r="BE461">
            <v>5.2856284237046065</v>
          </cell>
          <cell r="BF461">
            <v>-10.882999999999999</v>
          </cell>
          <cell r="BG461">
            <v>-58.798999999999999</v>
          </cell>
          <cell r="BH461">
            <v>-155.1</v>
          </cell>
          <cell r="BI461">
            <v>-2.5</v>
          </cell>
          <cell r="BJ461">
            <v>0</v>
          </cell>
          <cell r="BK461">
            <v>0</v>
          </cell>
          <cell r="BM461">
            <v>-155.1</v>
          </cell>
          <cell r="BN461">
            <v>-2.5</v>
          </cell>
          <cell r="BO461">
            <v>0</v>
          </cell>
          <cell r="BP461">
            <v>0</v>
          </cell>
          <cell r="BQ461" t="str">
            <v>--</v>
          </cell>
          <cell r="BR461" t="str">
            <v>--</v>
          </cell>
          <cell r="BS461" t="str">
            <v>--</v>
          </cell>
          <cell r="BT461" t="str">
            <v>--</v>
          </cell>
          <cell r="BU461" t="str">
            <v>--</v>
          </cell>
          <cell r="BV461" t="str">
            <v>--</v>
          </cell>
          <cell r="BW461" t="str">
            <v>--</v>
          </cell>
          <cell r="BX461" t="str">
            <v>--</v>
          </cell>
          <cell r="BY461" t="str">
            <v>--</v>
          </cell>
          <cell r="BZ461" t="str">
            <v>--</v>
          </cell>
          <cell r="CA461" t="str">
            <v>--</v>
          </cell>
        </row>
        <row r="462">
          <cell r="A462" t="str">
            <v>Incremental Change in RNOA</v>
          </cell>
          <cell r="B462" t="str">
            <v>rnoa</v>
          </cell>
          <cell r="D462" t="str">
            <v>--</v>
          </cell>
          <cell r="E462" t="str">
            <v>--</v>
          </cell>
          <cell r="F462" t="str">
            <v>--</v>
          </cell>
          <cell r="G462" t="str">
            <v>--</v>
          </cell>
          <cell r="I462" t="str">
            <v>--</v>
          </cell>
          <cell r="J462" t="str">
            <v>--</v>
          </cell>
          <cell r="K462" t="str">
            <v>--</v>
          </cell>
          <cell r="L462">
            <v>5.6726881356961023E-4</v>
          </cell>
          <cell r="N462">
            <v>-8.51433060565252E-3</v>
          </cell>
          <cell r="O462">
            <v>2.4295247848947149E-3</v>
          </cell>
          <cell r="P462">
            <v>1.154440641524802E-2</v>
          </cell>
          <cell r="Q462">
            <v>1.1430340201031002E-2</v>
          </cell>
          <cell r="S462">
            <v>-6.0188908967398116E-3</v>
          </cell>
          <cell r="T462">
            <v>3.3561969756228101E-3</v>
          </cell>
          <cell r="U462">
            <v>2.1002655396668915E-2</v>
          </cell>
          <cell r="V462">
            <v>9.3178573582009296E-3</v>
          </cell>
          <cell r="X462">
            <v>-1.9099144929702324E-2</v>
          </cell>
          <cell r="Y462">
            <v>1.1611647082078465E-2</v>
          </cell>
          <cell r="Z462">
            <v>1.2912540657597194E-2</v>
          </cell>
          <cell r="AA462">
            <v>3.8086316357202873E-2</v>
          </cell>
          <cell r="AC462">
            <v>-4.7108465070883038E-2</v>
          </cell>
          <cell r="AD462">
            <v>-2.6460185237294296E-3</v>
          </cell>
          <cell r="AE462">
            <v>-3.7606124661924402E-2</v>
          </cell>
          <cell r="AF462">
            <v>2.3644576506818643E-2</v>
          </cell>
          <cell r="AH462">
            <v>-1.3757220537200658E-2</v>
          </cell>
          <cell r="AI462">
            <v>1.7138580030350622E-3</v>
          </cell>
          <cell r="AJ462">
            <v>1.1371586529402389E-3</v>
          </cell>
          <cell r="AK462">
            <v>1.7512138512326195E-2</v>
          </cell>
          <cell r="AM462">
            <v>-4.9231091658626233E-3</v>
          </cell>
          <cell r="AN462">
            <v>8.4862518292955005E-3</v>
          </cell>
          <cell r="AO462">
            <v>4.2036989086259432E-3</v>
          </cell>
          <cell r="AP462">
            <v>1.591150824418398E-2</v>
          </cell>
          <cell r="AR462">
            <v>-7.6143582562065186E-3</v>
          </cell>
          <cell r="AS462">
            <v>4.950289249954604E-3</v>
          </cell>
          <cell r="AT462">
            <v>6.5326378206207458E-3</v>
          </cell>
          <cell r="AU462">
            <v>1.8262863086655499E-2</v>
          </cell>
          <cell r="AW462" t="str">
            <v>--</v>
          </cell>
          <cell r="AX462" t="str">
            <v>--</v>
          </cell>
          <cell r="AY462">
            <v>8.9653886796571963E-3</v>
          </cell>
          <cell r="AZ462">
            <v>3.0873074870635481E-2</v>
          </cell>
          <cell r="BA462">
            <v>3.2901650797881002E-2</v>
          </cell>
          <cell r="BB462">
            <v>-3.7838311282856987E-2</v>
          </cell>
          <cell r="BC462">
            <v>-1.6637282171804001E-2</v>
          </cell>
          <cell r="BD462">
            <v>2.2459181849079402E-2</v>
          </cell>
          <cell r="BE462">
            <v>2.0374643926389005E-2</v>
          </cell>
          <cell r="BF462">
            <v>-0.14300000000000002</v>
          </cell>
          <cell r="BG462">
            <v>-2.4223798489342731E-2</v>
          </cell>
          <cell r="BH462">
            <v>1.8455989018379484E-2</v>
          </cell>
          <cell r="BI462">
            <v>9.4677582673396172E-3</v>
          </cell>
          <cell r="BJ462">
            <v>2.2526280774015309E-2</v>
          </cell>
          <cell r="BK462">
            <v>1.8228307851105106E-2</v>
          </cell>
          <cell r="BL462">
            <v>2.7616484664410735E-2</v>
          </cell>
          <cell r="BM462">
            <v>-8.1291542957565785E-3</v>
          </cell>
          <cell r="BN462">
            <v>-1.721572045550385E-2</v>
          </cell>
          <cell r="BO462">
            <v>-1.2782781330390364E-2</v>
          </cell>
          <cell r="BP462">
            <v>5.7020969303054714E-4</v>
          </cell>
          <cell r="BQ462">
            <v>1.0311826351330452E-3</v>
          </cell>
          <cell r="BR462">
            <v>1.3804461682180745E-3</v>
          </cell>
          <cell r="BS462">
            <v>1.6625728802094717E-3</v>
          </cell>
          <cell r="BT462">
            <v>1.8194620502181664E-3</v>
          </cell>
          <cell r="BU462" t="str">
            <v>--</v>
          </cell>
          <cell r="BV462" t="str">
            <v>--</v>
          </cell>
          <cell r="BW462" t="str">
            <v>--</v>
          </cell>
          <cell r="BX462" t="str">
            <v>--</v>
          </cell>
          <cell r="BY462" t="str">
            <v>--</v>
          </cell>
          <cell r="BZ462" t="str">
            <v>--</v>
          </cell>
          <cell r="CA462" t="str">
            <v>--</v>
          </cell>
        </row>
        <row r="463">
          <cell r="A463" t="str">
            <v>Change in Profit Margin</v>
          </cell>
          <cell r="B463" t="str">
            <v>rnoa</v>
          </cell>
          <cell r="D463" t="str">
            <v>--</v>
          </cell>
          <cell r="E463" t="str">
            <v>--</v>
          </cell>
          <cell r="F463" t="str">
            <v>--</v>
          </cell>
          <cell r="G463" t="str">
            <v>--</v>
          </cell>
          <cell r="I463" t="str">
            <v>--</v>
          </cell>
          <cell r="J463" t="str">
            <v>--</v>
          </cell>
          <cell r="K463" t="str">
            <v>--</v>
          </cell>
          <cell r="L463">
            <v>-2.0660016354621646</v>
          </cell>
          <cell r="N463">
            <v>-0.94181109747483538</v>
          </cell>
          <cell r="O463">
            <v>3.8600463865214499E-2</v>
          </cell>
          <cell r="P463">
            <v>0.9489648296238693</v>
          </cell>
          <cell r="Q463">
            <v>0.87898808109563875</v>
          </cell>
          <cell r="S463">
            <v>-0.74845847129727006</v>
          </cell>
          <cell r="T463">
            <v>5.9052464445657265E-3</v>
          </cell>
          <cell r="U463">
            <v>2.0269118283767971</v>
          </cell>
          <cell r="V463">
            <v>0.10822122939746404</v>
          </cell>
          <cell r="X463">
            <v>-0.52176221497426867</v>
          </cell>
          <cell r="Y463">
            <v>1.114918067098928</v>
          </cell>
          <cell r="Z463">
            <v>1.2216644390102627</v>
          </cell>
          <cell r="AA463">
            <v>1.0064178804130492</v>
          </cell>
          <cell r="AC463">
            <v>-0.18621864262448948</v>
          </cell>
          <cell r="AD463">
            <v>0.59243128365050035</v>
          </cell>
          <cell r="AE463">
            <v>-2.075645098320769</v>
          </cell>
          <cell r="AF463">
            <v>2.0013360547146068</v>
          </cell>
          <cell r="AH463">
            <v>-0.57306301829815143</v>
          </cell>
          <cell r="AI463">
            <v>-0.16155775566921574</v>
          </cell>
          <cell r="AJ463">
            <v>1.4717847494048975E-2</v>
          </cell>
          <cell r="AK463">
            <v>1.1884274766944811</v>
          </cell>
          <cell r="AM463">
            <v>-0.2767530781196551</v>
          </cell>
          <cell r="AN463">
            <v>0.66944069905009196</v>
          </cell>
          <cell r="AO463">
            <v>0.11127492744301912</v>
          </cell>
          <cell r="AP463">
            <v>0.79926597264099541</v>
          </cell>
          <cell r="AR463">
            <v>1.5164814395425818E-2</v>
          </cell>
          <cell r="AS463">
            <v>0.24473183868191378</v>
          </cell>
          <cell r="AT463">
            <v>0.25361296788583026</v>
          </cell>
          <cell r="AU463">
            <v>0.82351228042267277</v>
          </cell>
          <cell r="AW463" t="str">
            <v>--</v>
          </cell>
          <cell r="AX463" t="str">
            <v>--</v>
          </cell>
          <cell r="AY463">
            <v>-0.16336037095562453</v>
          </cell>
          <cell r="AZ463">
            <v>1.5895060460362338</v>
          </cell>
          <cell r="BA463">
            <v>2.574058181029701</v>
          </cell>
          <cell r="BB463">
            <v>0.48972126016340234</v>
          </cell>
          <cell r="BC463">
            <v>4.7918255911616789E-2</v>
          </cell>
          <cell r="BD463">
            <v>1.3552927606836076</v>
          </cell>
          <cell r="BE463">
            <v>1.3482947048309402</v>
          </cell>
          <cell r="BF463">
            <v>739.79419999999993</v>
          </cell>
          <cell r="BG463">
            <v>-0.54378318464960251</v>
          </cell>
          <cell r="BH463">
            <v>1.2072089096211303</v>
          </cell>
          <cell r="BI463">
            <v>1.0335815394472403</v>
          </cell>
          <cell r="BJ463">
            <v>1.6708367008741398</v>
          </cell>
          <cell r="BK463">
            <v>0.91381073469327567</v>
          </cell>
          <cell r="BL463">
            <v>1.2631130488199083</v>
          </cell>
          <cell r="BM463">
            <v>-1.6000740860648799</v>
          </cell>
          <cell r="BN463">
            <v>-1.8909499428854712</v>
          </cell>
          <cell r="BO463">
            <v>-1.3599606328880494</v>
          </cell>
          <cell r="BP463">
            <v>2.4951537336476649E-15</v>
          </cell>
          <cell r="BQ463">
            <v>-2.5165510628962887E-15</v>
          </cell>
          <cell r="BR463">
            <v>0</v>
          </cell>
          <cell r="BS463">
            <v>2.5796945626708321E-15</v>
          </cell>
          <cell r="BT463">
            <v>0</v>
          </cell>
          <cell r="BU463">
            <v>0</v>
          </cell>
          <cell r="BV463">
            <v>0</v>
          </cell>
          <cell r="BW463">
            <v>0</v>
          </cell>
          <cell r="BX463">
            <v>0</v>
          </cell>
          <cell r="BY463">
            <v>0</v>
          </cell>
          <cell r="BZ463">
            <v>0</v>
          </cell>
          <cell r="CA463">
            <v>0</v>
          </cell>
        </row>
        <row r="464">
          <cell r="A464" t="str">
            <v>Change in Op. Asset Turns</v>
          </cell>
          <cell r="D464" t="str">
            <v>--</v>
          </cell>
          <cell r="E464" t="str">
            <v>--</v>
          </cell>
          <cell r="F464" t="str">
            <v>--</v>
          </cell>
          <cell r="G464" t="str">
            <v>--</v>
          </cell>
          <cell r="I464" t="str">
            <v>--</v>
          </cell>
          <cell r="J464" t="str">
            <v>--</v>
          </cell>
          <cell r="K464" t="str">
            <v>--</v>
          </cell>
          <cell r="L464">
            <v>2.1227285168191257</v>
          </cell>
          <cell r="N464">
            <v>9.0378036909583348E-2</v>
          </cell>
          <cell r="O464">
            <v>0.20435201462425701</v>
          </cell>
          <cell r="P464">
            <v>0.20547581190093275</v>
          </cell>
          <cell r="Q464">
            <v>0.26404593900746132</v>
          </cell>
          <cell r="S464">
            <v>0.14656938162328889</v>
          </cell>
          <cell r="T464">
            <v>0.32971445111771525</v>
          </cell>
          <cell r="U464">
            <v>7.3353711290094242E-2</v>
          </cell>
          <cell r="V464">
            <v>0.82356450642262891</v>
          </cell>
          <cell r="X464">
            <v>-1.3881522779959636</v>
          </cell>
          <cell r="Y464">
            <v>4.624664110891831E-2</v>
          </cell>
          <cell r="Z464">
            <v>6.9589626749456582E-2</v>
          </cell>
          <cell r="AA464">
            <v>2.8022137553072382</v>
          </cell>
          <cell r="AC464">
            <v>-4.524627864463814</v>
          </cell>
          <cell r="AD464">
            <v>-0.85703313602344333</v>
          </cell>
          <cell r="AE464">
            <v>-1.6849673678716715</v>
          </cell>
          <cell r="AF464">
            <v>0.36312159596725735</v>
          </cell>
          <cell r="AH464">
            <v>-0.80265903542191452</v>
          </cell>
          <cell r="AI464">
            <v>0.33294355597272196</v>
          </cell>
          <cell r="AJ464">
            <v>9.8998017799974913E-2</v>
          </cell>
          <cell r="AK464">
            <v>0.5627863745381384</v>
          </cell>
          <cell r="AM464">
            <v>-0.21555783846660728</v>
          </cell>
          <cell r="AN464">
            <v>0.17918448387945821</v>
          </cell>
          <cell r="AO464">
            <v>0.30909496341957521</v>
          </cell>
          <cell r="AP464">
            <v>0.79188485177740242</v>
          </cell>
          <cell r="AR464">
            <v>-0.77660064001607765</v>
          </cell>
          <cell r="AS464">
            <v>0.25029708631354658</v>
          </cell>
          <cell r="AT464">
            <v>0.39965081417624432</v>
          </cell>
          <cell r="AU464">
            <v>1.0027740282428772</v>
          </cell>
          <cell r="AW464" t="str">
            <v>--</v>
          </cell>
          <cell r="AX464" t="str">
            <v>--</v>
          </cell>
          <cell r="AY464">
            <v>1.0598992389213442</v>
          </cell>
          <cell r="AZ464">
            <v>1.4978014410273144</v>
          </cell>
          <cell r="BA464">
            <v>0.71610689875839928</v>
          </cell>
          <cell r="BB464">
            <v>-4.2735523884491009</v>
          </cell>
          <cell r="BC464">
            <v>-1.7116464730920169</v>
          </cell>
          <cell r="BD464">
            <v>0.89062542422433266</v>
          </cell>
          <cell r="BE464">
            <v>0.68916968780796017</v>
          </cell>
          <cell r="BF464">
            <v>843.46</v>
          </cell>
          <cell r="BG464">
            <v>-1.8785966642846703</v>
          </cell>
          <cell r="BH464">
            <v>0.63838999221681814</v>
          </cell>
          <cell r="BI464">
            <v>-8.6805712713278679E-2</v>
          </cell>
          <cell r="BJ464">
            <v>0.58179137652739099</v>
          </cell>
          <cell r="BK464">
            <v>0.90902005041723499</v>
          </cell>
          <cell r="BL464">
            <v>1.4985354176211649</v>
          </cell>
          <cell r="BM464">
            <v>0.78715865648922212</v>
          </cell>
          <cell r="BN464">
            <v>0.16937789733508618</v>
          </cell>
          <cell r="BO464">
            <v>8.1682499849012921E-2</v>
          </cell>
          <cell r="BP464">
            <v>5.702096930305222E-2</v>
          </cell>
          <cell r="BQ464">
            <v>0.10311826351330704</v>
          </cell>
          <cell r="BR464">
            <v>0.13804461682180744</v>
          </cell>
          <cell r="BS464">
            <v>0.16625728802094458</v>
          </cell>
          <cell r="BT464">
            <v>0.18194620502181663</v>
          </cell>
          <cell r="BU464" t="str">
            <v>--</v>
          </cell>
          <cell r="BV464" t="str">
            <v>--</v>
          </cell>
          <cell r="BW464" t="str">
            <v>--</v>
          </cell>
          <cell r="BX464" t="str">
            <v>--</v>
          </cell>
          <cell r="BY464" t="str">
            <v>--</v>
          </cell>
          <cell r="BZ464" t="str">
            <v>--</v>
          </cell>
          <cell r="CA464" t="str">
            <v>--</v>
          </cell>
        </row>
        <row r="465">
          <cell r="A465" t="str">
            <v>Incremental Change in RNOA</v>
          </cell>
          <cell r="D465" t="str">
            <v>--</v>
          </cell>
          <cell r="E465" t="str">
            <v>--</v>
          </cell>
          <cell r="F465" t="str">
            <v>--</v>
          </cell>
          <cell r="G465" t="str">
            <v>--</v>
          </cell>
          <cell r="I465" t="str">
            <v>--</v>
          </cell>
          <cell r="J465" t="str">
            <v>--</v>
          </cell>
          <cell r="K465" t="str">
            <v>--</v>
          </cell>
          <cell r="L465">
            <v>5.6726881356961023E-4</v>
          </cell>
          <cell r="N465">
            <v>-8.51433060565252E-3</v>
          </cell>
          <cell r="O465">
            <v>2.4295247848947149E-3</v>
          </cell>
          <cell r="P465">
            <v>1.154440641524802E-2</v>
          </cell>
          <cell r="Q465">
            <v>1.1430340201031002E-2</v>
          </cell>
          <cell r="S465">
            <v>-6.0188908967398116E-3</v>
          </cell>
          <cell r="T465">
            <v>3.3561969756228101E-3</v>
          </cell>
          <cell r="U465">
            <v>2.1002655396668915E-2</v>
          </cell>
          <cell r="V465">
            <v>9.3178573582009296E-3</v>
          </cell>
          <cell r="X465">
            <v>-1.9099144929702324E-2</v>
          </cell>
          <cell r="Y465">
            <v>1.1611647082078465E-2</v>
          </cell>
          <cell r="Z465">
            <v>1.2912540657597194E-2</v>
          </cell>
          <cell r="AA465">
            <v>3.8086316357202873E-2</v>
          </cell>
          <cell r="AC465">
            <v>-4.7108465070883038E-2</v>
          </cell>
          <cell r="AD465">
            <v>-2.6460185237294296E-3</v>
          </cell>
          <cell r="AE465">
            <v>-3.7606124661924402E-2</v>
          </cell>
          <cell r="AF465">
            <v>2.3644576506818643E-2</v>
          </cell>
          <cell r="AH465">
            <v>-1.3757220537200658E-2</v>
          </cell>
          <cell r="AI465">
            <v>1.7138580030350622E-3</v>
          </cell>
          <cell r="AJ465">
            <v>1.1371586529402389E-3</v>
          </cell>
          <cell r="AK465">
            <v>1.7512138512326195E-2</v>
          </cell>
          <cell r="AM465">
            <v>-4.9231091658626233E-3</v>
          </cell>
          <cell r="AN465">
            <v>8.4862518292955005E-3</v>
          </cell>
          <cell r="AO465">
            <v>4.2036989086259432E-3</v>
          </cell>
          <cell r="AP465">
            <v>1.591150824418398E-2</v>
          </cell>
          <cell r="AR465">
            <v>-7.6143582562065186E-3</v>
          </cell>
          <cell r="AS465">
            <v>4.950289249954604E-3</v>
          </cell>
          <cell r="AT465">
            <v>6.5326378206207458E-3</v>
          </cell>
          <cell r="AU465">
            <v>1.8262863086655499E-2</v>
          </cell>
          <cell r="AW465" t="str">
            <v>--</v>
          </cell>
          <cell r="AX465" t="str">
            <v>--</v>
          </cell>
          <cell r="AY465">
            <v>8.9653886796571963E-3</v>
          </cell>
          <cell r="AZ465">
            <v>3.0873074870635481E-2</v>
          </cell>
          <cell r="BA465">
            <v>3.2901650797881002E-2</v>
          </cell>
          <cell r="BB465">
            <v>-3.7838311282856987E-2</v>
          </cell>
          <cell r="BC465">
            <v>-1.6637282171804001E-2</v>
          </cell>
          <cell r="BD465">
            <v>2.2459181849079402E-2</v>
          </cell>
          <cell r="BE465">
            <v>2.0374643926389005E-2</v>
          </cell>
          <cell r="BF465">
            <v>2.1069999999999998</v>
          </cell>
          <cell r="BG465">
            <v>-2.4223798489342731E-2</v>
          </cell>
          <cell r="BH465">
            <v>1.8455989018379484E-2</v>
          </cell>
          <cell r="BI465">
            <v>9.4677582673396172E-3</v>
          </cell>
          <cell r="BJ465">
            <v>2.2526280774015309E-2</v>
          </cell>
          <cell r="BK465">
            <v>1.8228307851105106E-2</v>
          </cell>
          <cell r="BL465">
            <v>2.7616484664410735E-2</v>
          </cell>
          <cell r="BM465">
            <v>-8.1291542957565785E-3</v>
          </cell>
          <cell r="BN465">
            <v>-1.721572045550385E-2</v>
          </cell>
          <cell r="BO465">
            <v>-1.2782781330390364E-2</v>
          </cell>
          <cell r="BP465">
            <v>5.7020969303054714E-4</v>
          </cell>
          <cell r="BQ465">
            <v>1.0311826351330452E-3</v>
          </cell>
          <cell r="BR465">
            <v>1.3804461682180745E-3</v>
          </cell>
          <cell r="BS465">
            <v>1.6625728802094717E-3</v>
          </cell>
          <cell r="BT465">
            <v>1.8194620502181664E-3</v>
          </cell>
          <cell r="BU465" t="str">
            <v>--</v>
          </cell>
          <cell r="BV465" t="str">
            <v>--</v>
          </cell>
          <cell r="BW465" t="str">
            <v>--</v>
          </cell>
          <cell r="BX465" t="str">
            <v>--</v>
          </cell>
          <cell r="BY465" t="str">
            <v>--</v>
          </cell>
          <cell r="BZ465" t="str">
            <v>--</v>
          </cell>
          <cell r="CA465" t="str">
            <v>--</v>
          </cell>
        </row>
        <row r="466">
          <cell r="A466" t="str">
            <v>Net Financial Obligations</v>
          </cell>
          <cell r="D466" t="str">
            <v>--</v>
          </cell>
          <cell r="E466" t="str">
            <v>--</v>
          </cell>
          <cell r="F466" t="str">
            <v>--</v>
          </cell>
          <cell r="G466" t="str">
            <v>--</v>
          </cell>
          <cell r="I466">
            <v>207.59099999999998</v>
          </cell>
          <cell r="J466">
            <v>240.25500000000002</v>
          </cell>
          <cell r="K466">
            <v>321.98</v>
          </cell>
          <cell r="L466">
            <v>413.76300000000003</v>
          </cell>
          <cell r="N466">
            <v>432.69999999999993</v>
          </cell>
          <cell r="O466">
            <v>473.99599999999998</v>
          </cell>
          <cell r="P466">
            <v>66.013999999999996</v>
          </cell>
          <cell r="Q466">
            <v>104.083</v>
          </cell>
          <cell r="S466">
            <v>-72.782000000000011</v>
          </cell>
          <cell r="T466">
            <v>41.865999999999985</v>
          </cell>
          <cell r="U466">
            <v>62.268000000000001</v>
          </cell>
          <cell r="V466">
            <v>-237.32499999999999</v>
          </cell>
          <cell r="X466">
            <v>-796.82799999999997</v>
          </cell>
          <cell r="Y466">
            <v>-151.13100000000003</v>
          </cell>
          <cell r="Z466">
            <v>43.890999999999963</v>
          </cell>
          <cell r="AA466">
            <v>108.73500000000013</v>
          </cell>
          <cell r="AC466">
            <v>514.98</v>
          </cell>
          <cell r="AD466">
            <v>-257.31399999999996</v>
          </cell>
          <cell r="AE466">
            <v>44.436000000000035</v>
          </cell>
          <cell r="AF466">
            <v>-308.59999999999991</v>
          </cell>
          <cell r="AH466">
            <v>-447.19999999999982</v>
          </cell>
          <cell r="AI466">
            <v>-556.89005534211401</v>
          </cell>
          <cell r="AJ466">
            <v>-634.1111280337841</v>
          </cell>
          <cell r="AK466">
            <v>-768.76058588139608</v>
          </cell>
          <cell r="AM466">
            <v>-828.04300408360018</v>
          </cell>
          <cell r="AN466">
            <v>-922.39659520830924</v>
          </cell>
          <cell r="AO466">
            <v>-983.16680531049587</v>
          </cell>
          <cell r="AP466">
            <v>-1037.1035886472903</v>
          </cell>
          <cell r="AR466">
            <v>-1125.1971397989867</v>
          </cell>
          <cell r="AS466">
            <v>-1234.4117061886561</v>
          </cell>
          <cell r="AT466">
            <v>-1310.4645558643258</v>
          </cell>
          <cell r="AU466">
            <v>-1422.6825287995277</v>
          </cell>
          <cell r="AW466" t="str">
            <v>--</v>
          </cell>
          <cell r="AX466">
            <v>413.76300000000003</v>
          </cell>
          <cell r="AY466">
            <v>104.083</v>
          </cell>
          <cell r="AZ466">
            <v>-237.32499999999999</v>
          </cell>
          <cell r="BA466">
            <v>108.73500000000013</v>
          </cell>
          <cell r="BB466">
            <v>-308.5</v>
          </cell>
          <cell r="BC466">
            <v>-768.76058588139608</v>
          </cell>
          <cell r="BD466">
            <v>-1037.1035886472903</v>
          </cell>
          <cell r="BE466">
            <v>-1422.6825287995277</v>
          </cell>
          <cell r="BF466">
            <v>843.46</v>
          </cell>
          <cell r="BG466">
            <v>-515.76759914132003</v>
          </cell>
          <cell r="BH466">
            <v>13.793555664998621</v>
          </cell>
          <cell r="BI466">
            <v>294.15273026883074</v>
          </cell>
          <cell r="BJ466">
            <v>364.18225328256153</v>
          </cell>
          <cell r="BK466">
            <v>164.66959831021052</v>
          </cell>
          <cell r="BL466">
            <v>-27.979033021578175</v>
          </cell>
          <cell r="BM466">
            <v>350.95726355201066</v>
          </cell>
          <cell r="BN466">
            <v>657.53042872593653</v>
          </cell>
          <cell r="BO466">
            <v>852.11760519411098</v>
          </cell>
          <cell r="BP466">
            <v>443.1217595212305</v>
          </cell>
          <cell r="BQ466">
            <v>-430.35344724419167</v>
          </cell>
          <cell r="BR466">
            <v>-1769.6569742636545</v>
          </cell>
          <cell r="BS466">
            <v>-2357.3565529244288</v>
          </cell>
          <cell r="BT466">
            <v>-3510.4102050860129</v>
          </cell>
          <cell r="BU466">
            <v>-5096.3905058650989</v>
          </cell>
          <cell r="BV466" t="str">
            <v>--</v>
          </cell>
          <cell r="BW466" t="str">
            <v>--</v>
          </cell>
          <cell r="BX466" t="str">
            <v>--</v>
          </cell>
          <cell r="BY466" t="str">
            <v>--</v>
          </cell>
          <cell r="BZ466" t="str">
            <v>--</v>
          </cell>
          <cell r="CA466" t="str">
            <v>--</v>
          </cell>
        </row>
        <row r="467">
          <cell r="A467" t="str">
            <v>NFO/Equity</v>
          </cell>
          <cell r="D467" t="str">
            <v>--</v>
          </cell>
          <cell r="E467" t="str">
            <v>--</v>
          </cell>
          <cell r="F467" t="str">
            <v>--</v>
          </cell>
          <cell r="G467" t="str">
            <v>--</v>
          </cell>
          <cell r="I467">
            <v>0.59898721758952023</v>
          </cell>
          <cell r="J467">
            <v>0.69165596697393539</v>
          </cell>
          <cell r="K467">
            <v>0.9250863371775645</v>
          </cell>
          <cell r="L467">
            <v>1.1391337624509259</v>
          </cell>
          <cell r="N467">
            <v>1.3060670087533957</v>
          </cell>
          <cell r="O467">
            <v>1.4679070689302771</v>
          </cell>
          <cell r="P467">
            <v>9.0568346764789018E-2</v>
          </cell>
          <cell r="Q467">
            <v>0.12113012734124241</v>
          </cell>
          <cell r="S467">
            <v>-6.4585803227249175E-2</v>
          </cell>
          <cell r="T467">
            <v>3.668970618263525E-2</v>
          </cell>
          <cell r="U467">
            <v>5.3378000733788934E-2</v>
          </cell>
          <cell r="V467">
            <v>-0.14312715263659723</v>
          </cell>
          <cell r="X467">
            <v>-0.32786351021348642</v>
          </cell>
          <cell r="Y467">
            <v>-6.1365718257977125E-2</v>
          </cell>
          <cell r="Z467">
            <v>1.7423957017915402E-2</v>
          </cell>
          <cell r="AA467">
            <v>4.1682767059516304E-2</v>
          </cell>
          <cell r="AC467">
            <v>0.1931904293870936</v>
          </cell>
          <cell r="AD467">
            <v>-7.590869386034442E-2</v>
          </cell>
          <cell r="AE467">
            <v>1.2589396586674505E-2</v>
          </cell>
          <cell r="AF467">
            <v>-7.997304861615008E-2</v>
          </cell>
          <cell r="AH467">
            <v>-0.11471078619982039</v>
          </cell>
          <cell r="AI467">
            <v>-0.13949322347425652</v>
          </cell>
          <cell r="AJ467">
            <v>-0.15493138575814855</v>
          </cell>
          <cell r="AK467">
            <v>-0.18263503238358009</v>
          </cell>
          <cell r="AM467">
            <v>-0.19152244887634445</v>
          </cell>
          <cell r="AN467">
            <v>-0.20738930942890074</v>
          </cell>
          <cell r="AO467">
            <v>-0.214733927901536</v>
          </cell>
          <cell r="AP467">
            <v>-0.2193822370278827</v>
          </cell>
          <cell r="AR467">
            <v>-0.23085004823063318</v>
          </cell>
          <cell r="AS467">
            <v>-0.24541680597678481</v>
          </cell>
          <cell r="AT467">
            <v>-0.25217009491393472</v>
          </cell>
          <cell r="AU467">
            <v>-0.26410388887528052</v>
          </cell>
          <cell r="AW467" t="str">
            <v>--</v>
          </cell>
          <cell r="AX467">
            <v>1.1391337624509259</v>
          </cell>
          <cell r="AY467">
            <v>0.12113012734124239</v>
          </cell>
          <cell r="AZ467">
            <v>-0.14312715263659723</v>
          </cell>
          <cell r="BA467">
            <v>4.1682767059516304E-2</v>
          </cell>
          <cell r="BB467">
            <v>-7.9949205691035849E-2</v>
          </cell>
          <cell r="BC467">
            <v>-0.18263503238358009</v>
          </cell>
          <cell r="BD467">
            <v>-0.2193822370278827</v>
          </cell>
          <cell r="BE467">
            <v>-0.26410388887528052</v>
          </cell>
          <cell r="BF467">
            <v>512.23419999999987</v>
          </cell>
          <cell r="BG467">
            <v>-0.12002518437022081</v>
          </cell>
          <cell r="BH467">
            <v>2.7529776345211988E-3</v>
          </cell>
          <cell r="BI467">
            <v>5.1214290220631897E-2</v>
          </cell>
          <cell r="BJ467">
            <v>5.4649303490485662E-2</v>
          </cell>
          <cell r="BK467">
            <v>2.1568328562011321E-2</v>
          </cell>
          <cell r="BL467">
            <v>-3.1123279168472576E-3</v>
          </cell>
          <cell r="BM467">
            <v>3.3315134358047886E-2</v>
          </cell>
          <cell r="BN467">
            <v>5.4051689411045732E-2</v>
          </cell>
          <cell r="BO467">
            <v>6.1416912948595859E-2</v>
          </cell>
          <cell r="BP467">
            <v>2.8022660283487825E-2</v>
          </cell>
          <cell r="BQ467">
            <v>-2.3954753623620897E-2</v>
          </cell>
          <cell r="BR467">
            <v>-8.7096627189254525E-2</v>
          </cell>
          <cell r="BS467">
            <v>-0.10941155583456237</v>
          </cell>
          <cell r="BT467">
            <v>-0.15261022102367158</v>
          </cell>
          <cell r="BU467">
            <v>-197.99341126545175</v>
          </cell>
          <cell r="BV467">
            <v>58.258133011821087</v>
          </cell>
          <cell r="BW467">
            <v>-45.942988365314932</v>
          </cell>
          <cell r="BX467">
            <v>207.1294223922589</v>
          </cell>
          <cell r="BY467">
            <v>626.49969507442052</v>
          </cell>
          <cell r="BZ467">
            <v>232.3574665011289</v>
          </cell>
          <cell r="CA467">
            <v>498.02644595275785</v>
          </cell>
        </row>
        <row r="468">
          <cell r="A468" t="str">
            <v>Leverage Effect (D)</v>
          </cell>
          <cell r="D468" t="str">
            <v>--</v>
          </cell>
          <cell r="E468" t="str">
            <v>--</v>
          </cell>
          <cell r="F468" t="str">
            <v>--</v>
          </cell>
          <cell r="G468" t="str">
            <v>--</v>
          </cell>
          <cell r="I468" t="str">
            <v>--</v>
          </cell>
          <cell r="J468" t="str">
            <v>--</v>
          </cell>
          <cell r="K468" t="str">
            <v>--</v>
          </cell>
          <cell r="L468">
            <v>2.1227285168191257</v>
          </cell>
          <cell r="N468">
            <v>9.0378036909583348E-2</v>
          </cell>
          <cell r="O468">
            <v>0.20435201462425701</v>
          </cell>
          <cell r="P468">
            <v>0.20547581190093275</v>
          </cell>
          <cell r="Q468">
            <v>0.26404593900746132</v>
          </cell>
          <cell r="S468">
            <v>0.14656938162328889</v>
          </cell>
          <cell r="T468">
            <v>0.32971445111771525</v>
          </cell>
          <cell r="U468">
            <v>7.3353711290094242E-2</v>
          </cell>
          <cell r="V468">
            <v>0.82356450642262891</v>
          </cell>
          <cell r="X468">
            <v>-1.3881522779959636</v>
          </cell>
          <cell r="Y468">
            <v>4.624664110891831E-2</v>
          </cell>
          <cell r="Z468">
            <v>6.9589626749456582E-2</v>
          </cell>
          <cell r="AA468">
            <v>2.8022137553072382</v>
          </cell>
          <cell r="AC468">
            <v>-4.524627864463814</v>
          </cell>
          <cell r="AD468">
            <v>-0.85703313602344333</v>
          </cell>
          <cell r="AE468">
            <v>-1.6849673678716715</v>
          </cell>
          <cell r="AF468">
            <v>0.36312159596725735</v>
          </cell>
          <cell r="AH468">
            <v>-0.80265903542191452</v>
          </cell>
          <cell r="AI468">
            <v>0.53782166687517852</v>
          </cell>
          <cell r="AJ468">
            <v>0.15371944454696959</v>
          </cell>
          <cell r="AK468">
            <v>0.66832269993573912</v>
          </cell>
          <cell r="AM468">
            <v>-0.17239385501997387</v>
          </cell>
          <cell r="AN468">
            <v>0.13557843895023508</v>
          </cell>
          <cell r="AO468">
            <v>0.30960001818117006</v>
          </cell>
          <cell r="AP468">
            <v>0.98505541946762254</v>
          </cell>
          <cell r="AR468">
            <v>-0.79203003098861136</v>
          </cell>
          <cell r="AS468">
            <v>7.4644462080157847E-2</v>
          </cell>
          <cell r="AT468">
            <v>0.34121107685271901</v>
          </cell>
          <cell r="AU468">
            <v>1.0767956794772104</v>
          </cell>
          <cell r="AW468" t="str">
            <v>--</v>
          </cell>
          <cell r="AX468" t="str">
            <v>--</v>
          </cell>
          <cell r="AY468">
            <v>1.3619119444101227E-2</v>
          </cell>
          <cell r="AZ468">
            <v>2.3079254017071366E-2</v>
          </cell>
          <cell r="BA468">
            <v>3.2567659587400294E-2</v>
          </cell>
          <cell r="BB468">
            <v>1.4858869298529809E-2</v>
          </cell>
          <cell r="BC468">
            <v>-1.2136371697924163E-2</v>
          </cell>
          <cell r="BD468">
            <v>-2.1119173009588016E-2</v>
          </cell>
          <cell r="BE468">
            <v>-2.9649266024642032E-2</v>
          </cell>
          <cell r="BF468">
            <v>512.23419999999987</v>
          </cell>
          <cell r="BG468">
            <v>-2.8388389518733265E-3</v>
          </cell>
          <cell r="BH468">
            <v>2.3652164237822904E-3</v>
          </cell>
          <cell r="BI468">
            <v>4.5955031103109834E-3</v>
          </cell>
          <cell r="BJ468">
            <v>1.0798784239971118E-2</v>
          </cell>
          <cell r="BK468">
            <v>1.6868167046058896E-2</v>
          </cell>
          <cell r="BL468">
            <v>1.8790026718572328E-2</v>
          </cell>
          <cell r="BM468">
            <v>1.9729408206268451E-2</v>
          </cell>
          <cell r="BN468">
            <v>1.9909180217884015E-2</v>
          </cell>
          <cell r="BO468">
            <v>1.8611779504040374E-2</v>
          </cell>
          <cell r="BP468">
            <v>1.6862086827004685E-2</v>
          </cell>
          <cell r="BQ468">
            <v>1.2102553433259486E-2</v>
          </cell>
          <cell r="BR468">
            <v>5.6429940807905671E-3</v>
          </cell>
          <cell r="BS468">
            <v>-2.2493301094645285E-3</v>
          </cell>
          <cell r="BT468">
            <v>-5.9086704007779017E-3</v>
          </cell>
          <cell r="BU468">
            <v>-1.2026575136779988E-2</v>
          </cell>
          <cell r="BV468" t="str">
            <v>--</v>
          </cell>
          <cell r="BW468" t="str">
            <v>--</v>
          </cell>
          <cell r="BX468" t="str">
            <v>--</v>
          </cell>
          <cell r="BY468" t="str">
            <v>--</v>
          </cell>
          <cell r="BZ468" t="str">
            <v>--</v>
          </cell>
          <cell r="CA468" t="str">
            <v>--</v>
          </cell>
        </row>
        <row r="469">
          <cell r="A469" t="str">
            <v>ROE (C+D)</v>
          </cell>
          <cell r="D469" t="str">
            <v>--</v>
          </cell>
          <cell r="E469" t="str">
            <v>--</v>
          </cell>
          <cell r="F469" t="str">
            <v>--</v>
          </cell>
          <cell r="G469" t="str">
            <v>--</v>
          </cell>
          <cell r="I469">
            <v>207.59099999999998</v>
          </cell>
          <cell r="J469">
            <v>240.25500000000002</v>
          </cell>
          <cell r="K469">
            <v>321.98</v>
          </cell>
          <cell r="L469">
            <v>413.76300000000003</v>
          </cell>
          <cell r="N469">
            <v>432.69999999999993</v>
          </cell>
          <cell r="O469">
            <v>473.99599999999998</v>
          </cell>
          <cell r="P469">
            <v>66.013999999999996</v>
          </cell>
          <cell r="Q469">
            <v>104.083</v>
          </cell>
          <cell r="S469">
            <v>-72.782000000000011</v>
          </cell>
          <cell r="T469">
            <v>41.865999999999985</v>
          </cell>
          <cell r="U469">
            <v>62.268000000000001</v>
          </cell>
          <cell r="V469">
            <v>-237.32499999999999</v>
          </cell>
          <cell r="X469">
            <v>-796.82799999999997</v>
          </cell>
          <cell r="Y469">
            <v>-151.13100000000003</v>
          </cell>
          <cell r="Z469">
            <v>43.890999999999963</v>
          </cell>
          <cell r="AA469">
            <v>108.73500000000013</v>
          </cell>
          <cell r="AC469">
            <v>514.98</v>
          </cell>
          <cell r="AD469">
            <v>-257.31399999999996</v>
          </cell>
          <cell r="AE469">
            <v>44.436000000000035</v>
          </cell>
          <cell r="AF469">
            <v>-308.59999999999991</v>
          </cell>
          <cell r="AH469">
            <v>-447.19999999999982</v>
          </cell>
          <cell r="AI469">
            <v>-556.89005534211401</v>
          </cell>
          <cell r="AJ469">
            <v>-634.1111280337841</v>
          </cell>
          <cell r="AK469">
            <v>-768.76058588139608</v>
          </cell>
          <cell r="AM469">
            <v>-828.04300408360018</v>
          </cell>
          <cell r="AN469">
            <v>-922.39659520830924</v>
          </cell>
          <cell r="AO469">
            <v>-983.16680531049587</v>
          </cell>
          <cell r="AP469">
            <v>-1037.1035886472903</v>
          </cell>
          <cell r="AR469">
            <v>-1125.1971397989867</v>
          </cell>
          <cell r="AS469">
            <v>-1234.4117061886561</v>
          </cell>
          <cell r="AT469">
            <v>-1310.4645558643258</v>
          </cell>
          <cell r="AU469">
            <v>-1422.6825287995277</v>
          </cell>
          <cell r="AW469" t="str">
            <v>--</v>
          </cell>
          <cell r="AX469" t="str">
            <v>--</v>
          </cell>
          <cell r="AY469">
            <v>7.907199124256796E-2</v>
          </cell>
          <cell r="AZ469">
            <v>0.11686673343987741</v>
          </cell>
          <cell r="BA469">
            <v>0.15778470522741439</v>
          </cell>
          <cell r="BB469">
            <v>0.10457046752438831</v>
          </cell>
          <cell r="BC469">
            <v>6.105001317039873E-2</v>
          </cell>
          <cell r="BD469">
            <v>7.3247275752474555E-2</v>
          </cell>
          <cell r="BE469">
            <v>8.4276202331330999E-2</v>
          </cell>
          <cell r="BF469">
            <v>-367.90599999999995</v>
          </cell>
          <cell r="BG469">
            <v>6.1050013170398598E-2</v>
          </cell>
          <cell r="BH469">
            <v>8.3763265727268513E-2</v>
          </cell>
          <cell r="BI469">
            <v>9.5559943489523236E-2</v>
          </cell>
          <cell r="BJ469">
            <v>0.12342641488996782</v>
          </cell>
          <cell r="BK469">
            <v>0.14708619673985035</v>
          </cell>
          <cell r="BL469">
            <v>0.17541604477224132</v>
          </cell>
          <cell r="BM469">
            <v>0.16906965623899076</v>
          </cell>
          <cell r="BN469">
            <v>0.15227567621986687</v>
          </cell>
          <cell r="BO469">
            <v>0.13828831519818857</v>
          </cell>
          <cell r="BP469">
            <v>0.13710883221418343</v>
          </cell>
          <cell r="BQ469">
            <v>0.13338048145557127</v>
          </cell>
          <cell r="BR469">
            <v>0.12830136827132044</v>
          </cell>
          <cell r="BS469">
            <v>0.1220716169612748</v>
          </cell>
          <cell r="BT469">
            <v>0.1202317387201796</v>
          </cell>
          <cell r="BU469">
            <v>1725.0933617143912</v>
          </cell>
          <cell r="BV469">
            <v>596.3300504279689</v>
          </cell>
          <cell r="BW469">
            <v>596.3300504279689</v>
          </cell>
          <cell r="BX469">
            <v>596.3300504279689</v>
          </cell>
          <cell r="BY469">
            <v>633.82736171439092</v>
          </cell>
          <cell r="BZ469">
            <v>596.3300504279689</v>
          </cell>
          <cell r="CA469">
            <v>-895.25194957203098</v>
          </cell>
        </row>
        <row r="470">
          <cell r="A470" t="str">
            <v>NFO/Equity</v>
          </cell>
          <cell r="D470" t="str">
            <v>--</v>
          </cell>
          <cell r="E470" t="str">
            <v>--</v>
          </cell>
          <cell r="F470" t="str">
            <v>--</v>
          </cell>
          <cell r="G470" t="str">
            <v>--</v>
          </cell>
          <cell r="I470">
            <v>0.59898721758952023</v>
          </cell>
          <cell r="J470">
            <v>0.69165596697393539</v>
          </cell>
          <cell r="K470">
            <v>0.9250863371775645</v>
          </cell>
          <cell r="L470">
            <v>1.1391337624509259</v>
          </cell>
          <cell r="N470">
            <v>1.3060670087533957</v>
          </cell>
          <cell r="O470">
            <v>1.4679070689302771</v>
          </cell>
          <cell r="P470">
            <v>9.0568346764789018E-2</v>
          </cell>
          <cell r="Q470">
            <v>0.12113012734124241</v>
          </cell>
          <cell r="S470">
            <v>-6.4585803227249175E-2</v>
          </cell>
          <cell r="T470">
            <v>3.668970618263525E-2</v>
          </cell>
          <cell r="U470">
            <v>5.3378000733788934E-2</v>
          </cell>
          <cell r="V470">
            <v>-0.14312715263659723</v>
          </cell>
          <cell r="X470">
            <v>-0.32786351021348642</v>
          </cell>
          <cell r="Y470">
            <v>-6.1365718257977125E-2</v>
          </cell>
          <cell r="Z470">
            <v>1.7423957017915402E-2</v>
          </cell>
          <cell r="AA470">
            <v>4.1682767059516304E-2</v>
          </cell>
          <cell r="AC470">
            <v>0.1931904293870936</v>
          </cell>
          <cell r="AD470">
            <v>-7.590869386034442E-2</v>
          </cell>
          <cell r="AE470">
            <v>1.2589396586674505E-2</v>
          </cell>
          <cell r="AF470">
            <v>-7.997304861615008E-2</v>
          </cell>
          <cell r="AH470">
            <v>-0.11471078619982039</v>
          </cell>
          <cell r="AI470">
            <v>-0.13949322347425652</v>
          </cell>
          <cell r="AJ470">
            <v>-0.15493138575814855</v>
          </cell>
          <cell r="AK470">
            <v>-0.18263503238358009</v>
          </cell>
          <cell r="AM470">
            <v>-0.19152244887634445</v>
          </cell>
          <cell r="AN470">
            <v>-0.20738930942890074</v>
          </cell>
          <cell r="AO470">
            <v>-0.214733927901536</v>
          </cell>
          <cell r="AP470">
            <v>-0.2193822370278827</v>
          </cell>
          <cell r="AR470">
            <v>-0.23085004823063318</v>
          </cell>
          <cell r="AS470">
            <v>-0.24541680597678481</v>
          </cell>
          <cell r="AT470">
            <v>-0.25217009491393472</v>
          </cell>
          <cell r="AU470">
            <v>-0.26410388887528052</v>
          </cell>
          <cell r="AW470" t="str">
            <v>--</v>
          </cell>
          <cell r="AX470">
            <v>1.1391337624509259</v>
          </cell>
          <cell r="AY470">
            <v>0.12113012734124239</v>
          </cell>
          <cell r="AZ470">
            <v>-0.14312715263659723</v>
          </cell>
          <cell r="BA470">
            <v>4.1682767059516304E-2</v>
          </cell>
          <cell r="BB470">
            <v>-7.9949205691035849E-2</v>
          </cell>
          <cell r="BC470">
            <v>-0.18263503238358009</v>
          </cell>
          <cell r="BD470">
            <v>-0.2193822370278827</v>
          </cell>
          <cell r="BE470">
            <v>-0.26410388887528052</v>
          </cell>
          <cell r="BF470">
            <v>-85.125999999999976</v>
          </cell>
          <cell r="BG470">
            <v>-0.12002518437022081</v>
          </cell>
          <cell r="BH470">
            <v>2.7529776345211988E-3</v>
          </cell>
          <cell r="BI470">
            <v>5.1214290220631897E-2</v>
          </cell>
          <cell r="BJ470">
            <v>5.4649303490485662E-2</v>
          </cell>
          <cell r="BK470">
            <v>2.1568328562011321E-2</v>
          </cell>
          <cell r="BL470">
            <v>-3.1123279168472576E-3</v>
          </cell>
          <cell r="BM470">
            <v>3.3315134358047886E-2</v>
          </cell>
          <cell r="BN470">
            <v>5.4051689411045732E-2</v>
          </cell>
          <cell r="BO470">
            <v>6.1416912948595859E-2</v>
          </cell>
          <cell r="BP470">
            <v>2.8022660283487825E-2</v>
          </cell>
          <cell r="BQ470">
            <v>-2.3954753623620897E-2</v>
          </cell>
          <cell r="BR470">
            <v>-8.7096627189254525E-2</v>
          </cell>
          <cell r="BS470">
            <v>-0.10941155583456237</v>
          </cell>
          <cell r="BT470">
            <v>-0.15261022102367158</v>
          </cell>
          <cell r="BU470">
            <v>2406.3665173422387</v>
          </cell>
          <cell r="BV470">
            <v>1327.8191441641898</v>
          </cell>
          <cell r="BW470">
            <v>1327.81914416419</v>
          </cell>
          <cell r="BX470">
            <v>1327.81914416419</v>
          </cell>
          <cell r="BY470">
            <v>1116.1305173422384</v>
          </cell>
          <cell r="BZ470">
            <v>1327.8191441641898</v>
          </cell>
          <cell r="CA470">
            <v>280.7071441641898</v>
          </cell>
        </row>
        <row r="471">
          <cell r="A471" t="str">
            <v>Celestica Inc.</v>
          </cell>
          <cell r="D471" t="str">
            <v>--</v>
          </cell>
          <cell r="E471" t="str">
            <v>--</v>
          </cell>
          <cell r="F471" t="str">
            <v>--</v>
          </cell>
          <cell r="G471" t="str">
            <v>--</v>
          </cell>
          <cell r="I471">
            <v>0.59898721758952023</v>
          </cell>
          <cell r="J471">
            <v>0.69165596697393539</v>
          </cell>
          <cell r="K471">
            <v>0.9250863371775645</v>
          </cell>
          <cell r="L471">
            <v>1.1391337624509259</v>
          </cell>
          <cell r="N471">
            <v>1.3060670087533957</v>
          </cell>
          <cell r="O471">
            <v>1.4679070689302771</v>
          </cell>
          <cell r="P471">
            <v>9.0568346764789018E-2</v>
          </cell>
          <cell r="Q471">
            <v>0.12113012734124241</v>
          </cell>
          <cell r="S471">
            <v>-6.4585803227249175E-2</v>
          </cell>
          <cell r="T471">
            <v>3.668970618263525E-2</v>
          </cell>
          <cell r="U471">
            <v>5.3378000733788934E-2</v>
          </cell>
          <cell r="V471">
            <v>-0.14312715263659723</v>
          </cell>
          <cell r="X471">
            <v>-0.32786351021348642</v>
          </cell>
          <cell r="Y471">
            <v>-6.1365718257977125E-2</v>
          </cell>
          <cell r="Z471">
            <v>1.7423957017915402E-2</v>
          </cell>
          <cell r="AA471">
            <v>4.1682767059516304E-2</v>
          </cell>
          <cell r="AC471">
            <v>0.1931904293870936</v>
          </cell>
          <cell r="AD471">
            <v>-7.590869386034442E-2</v>
          </cell>
          <cell r="AE471">
            <v>1.2589396586674505E-2</v>
          </cell>
          <cell r="AF471">
            <v>-7.997304861615008E-2</v>
          </cell>
          <cell r="AH471">
            <v>-0.11471078619982039</v>
          </cell>
          <cell r="AI471">
            <v>-0.16301653937585356</v>
          </cell>
          <cell r="AJ471">
            <v>-0.17631161815548371</v>
          </cell>
          <cell r="AK471">
            <v>-0.2210353109483657</v>
          </cell>
          <cell r="AM471">
            <v>-0.22042730314486994</v>
          </cell>
          <cell r="AN471">
            <v>-0.23664966932288187</v>
          </cell>
          <cell r="AO471">
            <v>-0.2420568345778697</v>
          </cell>
          <cell r="AP471">
            <v>-0.27113109730427193</v>
          </cell>
          <cell r="AR471">
            <v>-0.26144138026068897</v>
          </cell>
          <cell r="AS471">
            <v>-0.27223817353126734</v>
          </cell>
          <cell r="AT471">
            <v>-0.27464287897891759</v>
          </cell>
          <cell r="AU471">
            <v>-0.29677382954434767</v>
          </cell>
          <cell r="AW471" t="str">
            <v>--</v>
          </cell>
          <cell r="AX471" t="str">
            <v>--</v>
          </cell>
          <cell r="AY471">
            <v>1.3619119444101227E-2</v>
          </cell>
          <cell r="AZ471">
            <v>2.3079254017071366E-2</v>
          </cell>
          <cell r="BA471">
            <v>3.2567659587400294E-2</v>
          </cell>
          <cell r="BB471">
            <v>1.4858869298529809E-2</v>
          </cell>
          <cell r="BC471">
            <v>-1.2136371697924163E-2</v>
          </cell>
          <cell r="BD471">
            <v>-2.1119173009588016E-2</v>
          </cell>
          <cell r="BE471">
            <v>-2.9649266024642032E-2</v>
          </cell>
          <cell r="BF471">
            <v>-282.77999999999997</v>
          </cell>
          <cell r="BG471">
            <v>-2.8388389518733265E-3</v>
          </cell>
          <cell r="BH471">
            <v>2.3652164237822904E-3</v>
          </cell>
          <cell r="BI471">
            <v>4.5955031103109834E-3</v>
          </cell>
          <cell r="BJ471">
            <v>1.0798784239971118E-2</v>
          </cell>
          <cell r="BK471">
            <v>1.6868167046058896E-2</v>
          </cell>
          <cell r="BL471">
            <v>1.8790026718572328E-2</v>
          </cell>
          <cell r="BM471">
            <v>1.9729408206268451E-2</v>
          </cell>
          <cell r="BN471">
            <v>1.9909180217884015E-2</v>
          </cell>
          <cell r="BO471">
            <v>1.8611779504040374E-2</v>
          </cell>
          <cell r="BP471">
            <v>1.6862086827004685E-2</v>
          </cell>
          <cell r="BQ471">
            <v>1.2102553433259486E-2</v>
          </cell>
          <cell r="BR471">
            <v>5.6429940807905671E-3</v>
          </cell>
          <cell r="BS471">
            <v>-2.2493301094645285E-3</v>
          </cell>
          <cell r="BT471">
            <v>-5.9086704007779017E-3</v>
          </cell>
          <cell r="BU471">
            <v>-681.27315562784747</v>
          </cell>
          <cell r="BV471">
            <v>-731.48909373622098</v>
          </cell>
          <cell r="BW471">
            <v>-731.48909373622098</v>
          </cell>
          <cell r="BX471">
            <v>-731.48909373622109</v>
          </cell>
          <cell r="BY471">
            <v>-482.30315562784745</v>
          </cell>
          <cell r="BZ471">
            <v>-731.48909373622098</v>
          </cell>
          <cell r="CA471">
            <v>-1175.9590937362209</v>
          </cell>
        </row>
        <row r="472">
          <cell r="A472" t="str">
            <v>Economic Value Add</v>
          </cell>
          <cell r="D472" t="str">
            <v>--</v>
          </cell>
          <cell r="E472" t="str">
            <v>--</v>
          </cell>
          <cell r="F472" t="str">
            <v>--</v>
          </cell>
          <cell r="G472" t="str">
            <v>--</v>
          </cell>
          <cell r="N472">
            <v>13.235000000000003</v>
          </cell>
          <cell r="O472">
            <v>11.004999999999999</v>
          </cell>
          <cell r="P472">
            <v>22.455999999999989</v>
          </cell>
          <cell r="Q472">
            <v>38.162999999999997</v>
          </cell>
          <cell r="S472">
            <v>-32.258999999999993</v>
          </cell>
          <cell r="T472">
            <v>-70.85499999999999</v>
          </cell>
          <cell r="U472">
            <v>70.408999999999992</v>
          </cell>
          <cell r="V472">
            <v>-61.652000000000001</v>
          </cell>
          <cell r="X472">
            <v>25.676000000000002</v>
          </cell>
          <cell r="Y472">
            <v>-166.09499999999997</v>
          </cell>
          <cell r="Z472">
            <v>-98.028999999999996</v>
          </cell>
          <cell r="AA472">
            <v>153.32199999999997</v>
          </cell>
          <cell r="AC472">
            <v>-261.04499999999996</v>
          </cell>
          <cell r="AD472">
            <v>212.17100000000022</v>
          </cell>
          <cell r="AE472">
            <v>449.71500000000003</v>
          </cell>
          <cell r="AF472">
            <v>889.3950000000001</v>
          </cell>
          <cell r="AH472">
            <v>273.89999999999986</v>
          </cell>
          <cell r="AI472">
            <v>236.7</v>
          </cell>
          <cell r="AJ472">
            <v>371.4000000000002</v>
          </cell>
          <cell r="AK472">
            <v>100.69100000000014</v>
          </cell>
          <cell r="AM472">
            <v>85.40900000000002</v>
          </cell>
          <cell r="AN472">
            <v>-100.20000000000005</v>
          </cell>
          <cell r="AO472">
            <v>-71.30000000000004</v>
          </cell>
          <cell r="AP472">
            <v>-72.499999999999872</v>
          </cell>
          <cell r="AR472">
            <v>-5.6164125515575414</v>
          </cell>
          <cell r="AS472">
            <v>-3.69385085287999</v>
          </cell>
          <cell r="AT472">
            <v>73.721743594738115</v>
          </cell>
          <cell r="AU472">
            <v>-25.937265985625146</v>
          </cell>
          <cell r="AW472" t="str">
            <v>--</v>
          </cell>
          <cell r="AX472" t="str">
            <v>--</v>
          </cell>
          <cell r="AY472">
            <v>7.907199124256796E-2</v>
          </cell>
          <cell r="AZ472">
            <v>0.11686673343987741</v>
          </cell>
          <cell r="BA472">
            <v>0.15778470522741439</v>
          </cell>
          <cell r="BB472">
            <v>0.10457046752438831</v>
          </cell>
          <cell r="BC472">
            <v>6.105001317039873E-2</v>
          </cell>
          <cell r="BD472">
            <v>7.3247275752474555E-2</v>
          </cell>
          <cell r="BE472">
            <v>8.4276202331330999E-2</v>
          </cell>
          <cell r="BF472">
            <v>-85.125999999999976</v>
          </cell>
          <cell r="BG472">
            <v>6.1050013170398598E-2</v>
          </cell>
          <cell r="BH472">
            <v>8.3763265727268513E-2</v>
          </cell>
          <cell r="BI472">
            <v>9.5559943489523236E-2</v>
          </cell>
          <cell r="BJ472">
            <v>0.12342641488996782</v>
          </cell>
          <cell r="BK472">
            <v>0.14708619673985035</v>
          </cell>
          <cell r="BL472">
            <v>0.17541604477224132</v>
          </cell>
          <cell r="BM472">
            <v>0.16906965623899076</v>
          </cell>
          <cell r="BN472">
            <v>0.15227567621986687</v>
          </cell>
          <cell r="BO472">
            <v>0.13828831519818857</v>
          </cell>
          <cell r="BP472">
            <v>0.13710883221418343</v>
          </cell>
          <cell r="BQ472">
            <v>0.13338048145557127</v>
          </cell>
          <cell r="BR472">
            <v>0.12830136827132044</v>
          </cell>
          <cell r="BS472">
            <v>0.1220716169612748</v>
          </cell>
          <cell r="BT472">
            <v>0.1202317387201796</v>
          </cell>
          <cell r="BU472">
            <v>0.11711649389795586</v>
          </cell>
          <cell r="BV472">
            <v>1456.1283903823401</v>
          </cell>
          <cell r="BW472">
            <v>1456.1283903823401</v>
          </cell>
          <cell r="BX472">
            <v>1456.1283903823401</v>
          </cell>
          <cell r="BY472">
            <v>854.35021648889256</v>
          </cell>
          <cell r="BZ472">
            <v>1456.1283903823401</v>
          </cell>
          <cell r="CA472">
            <v>409.01639038233998</v>
          </cell>
        </row>
        <row r="473">
          <cell r="A473" t="str">
            <v>($ Millions)</v>
          </cell>
          <cell r="D473" t="str">
            <v>--</v>
          </cell>
          <cell r="E473" t="str">
            <v>--</v>
          </cell>
          <cell r="F473" t="str">
            <v>--</v>
          </cell>
          <cell r="G473" t="str">
            <v>--</v>
          </cell>
          <cell r="N473">
            <v>-25.081999999999997</v>
          </cell>
          <cell r="O473">
            <v>-38.234999999999999</v>
          </cell>
          <cell r="P473">
            <v>5.1149999999999887</v>
          </cell>
          <cell r="Q473">
            <v>28.613</v>
          </cell>
          <cell r="S473">
            <v>-74.090999999999994</v>
          </cell>
          <cell r="T473">
            <v>-113.45699999999999</v>
          </cell>
          <cell r="U473">
            <v>-14.253000000000013</v>
          </cell>
          <cell r="V473">
            <v>-169.16499999999999</v>
          </cell>
          <cell r="X473">
            <v>-178.02699999999999</v>
          </cell>
          <cell r="Y473">
            <v>-657.02800000000002</v>
          </cell>
          <cell r="Z473">
            <v>-189.989</v>
          </cell>
          <cell r="AA473">
            <v>22.453999999999979</v>
          </cell>
          <cell r="AC473">
            <v>-403.298</v>
          </cell>
          <cell r="AD473">
            <v>70.522000000000205</v>
          </cell>
          <cell r="AE473">
            <v>-292.57399999999996</v>
          </cell>
          <cell r="AF473">
            <v>416.89500000000004</v>
          </cell>
          <cell r="AH473">
            <v>144.89999999999986</v>
          </cell>
          <cell r="AI473">
            <v>187.79999999999998</v>
          </cell>
          <cell r="AJ473">
            <v>319.30000000000018</v>
          </cell>
          <cell r="AK473">
            <v>71.691000000000145</v>
          </cell>
          <cell r="AM473">
            <v>68.609000000000023</v>
          </cell>
          <cell r="AN473">
            <v>-129.60000000000005</v>
          </cell>
          <cell r="AO473">
            <v>-110.90000000000003</v>
          </cell>
          <cell r="AP473">
            <v>60.530013094396054</v>
          </cell>
          <cell r="AR473">
            <v>-105.50884024448189</v>
          </cell>
          <cell r="AS473">
            <v>-11.40848447199987</v>
          </cell>
          <cell r="AT473">
            <v>1.6179824090120931</v>
          </cell>
          <cell r="AU473">
            <v>25.296690927464475</v>
          </cell>
          <cell r="AW473" t="str">
            <v>--</v>
          </cell>
          <cell r="AX473" t="str">
            <v>--</v>
          </cell>
          <cell r="AY473">
            <v>7.907199124256796E-2</v>
          </cell>
          <cell r="AZ473">
            <v>0.11686673343987741</v>
          </cell>
          <cell r="BA473">
            <v>0.15778470522741439</v>
          </cell>
          <cell r="BB473">
            <v>0.10457046752438831</v>
          </cell>
          <cell r="BC473">
            <v>6.1281750081745412E-2</v>
          </cell>
          <cell r="BD473">
            <v>7.4003297163144285E-2</v>
          </cell>
          <cell r="BE473">
            <v>8.5044418229083985E-2</v>
          </cell>
          <cell r="BF473">
            <v>-1002.5899999999999</v>
          </cell>
          <cell r="BG473">
            <v>6.1281750081745349E-2</v>
          </cell>
          <cell r="BH473">
            <v>8.3414258972539776E-2</v>
          </cell>
          <cell r="BI473">
            <v>9.4324045297019043E-2</v>
          </cell>
          <cell r="BJ473">
            <v>0.12778370885246421</v>
          </cell>
          <cell r="BK473">
            <v>0.14684551613736427</v>
          </cell>
          <cell r="BL473">
            <v>0.17568044385272122</v>
          </cell>
          <cell r="BM473">
            <v>0.16945909466459902</v>
          </cell>
          <cell r="BN473">
            <v>0.15264509340771867</v>
          </cell>
          <cell r="BO473">
            <v>0.1386327674426896</v>
          </cell>
          <cell r="BP473">
            <v>0.13750518820667165</v>
          </cell>
          <cell r="BQ473">
            <v>0.13379387293591349</v>
          </cell>
          <cell r="BR473">
            <v>0.12871216725012075</v>
          </cell>
          <cell r="BS473">
            <v>0.12246578502848149</v>
          </cell>
          <cell r="BT473">
            <v>0.1194730008779923</v>
          </cell>
          <cell r="BU473">
            <v>1525.0933617143912</v>
          </cell>
          <cell r="BV473">
            <v>196.3300504279689</v>
          </cell>
          <cell r="BW473">
            <v>346.3300504279689</v>
          </cell>
          <cell r="BX473">
            <v>496.3300504279689</v>
          </cell>
          <cell r="BY473">
            <v>608.82736171439092</v>
          </cell>
          <cell r="BZ473">
            <v>496.3300504279689</v>
          </cell>
          <cell r="CA473">
            <v>-970.25194957203098</v>
          </cell>
        </row>
        <row r="474">
          <cell r="A474" t="str">
            <v>Celestica Inc.</v>
          </cell>
          <cell r="D474">
            <v>1996</v>
          </cell>
          <cell r="I474">
            <v>1997</v>
          </cell>
          <cell r="N474">
            <v>1998</v>
          </cell>
          <cell r="O474">
            <v>-38.234999999999999</v>
          </cell>
          <cell r="P474">
            <v>5.1149999999999887</v>
          </cell>
          <cell r="Q474">
            <v>28.613</v>
          </cell>
          <cell r="S474">
            <v>1999</v>
          </cell>
          <cell r="T474">
            <v>-113.45699999999999</v>
          </cell>
          <cell r="U474">
            <v>-14.253000000000013</v>
          </cell>
          <cell r="V474">
            <v>-169.16499999999999</v>
          </cell>
          <cell r="X474">
            <v>2000</v>
          </cell>
          <cell r="Y474">
            <v>-657.02800000000002</v>
          </cell>
          <cell r="Z474">
            <v>-189.989</v>
          </cell>
          <cell r="AA474">
            <v>22.453999999999979</v>
          </cell>
          <cell r="AC474">
            <v>2001</v>
          </cell>
          <cell r="AD474">
            <v>70.522000000000205</v>
          </cell>
          <cell r="AE474">
            <v>-292.57399999999996</v>
          </cell>
          <cell r="AF474">
            <v>416.89500000000004</v>
          </cell>
          <cell r="AH474" t="str">
            <v>2002E</v>
          </cell>
          <cell r="AI474">
            <v>187.79999999999998</v>
          </cell>
          <cell r="AJ474">
            <v>319.30000000000018</v>
          </cell>
          <cell r="AK474">
            <v>71.691000000000145</v>
          </cell>
          <cell r="AM474" t="str">
            <v>2003E</v>
          </cell>
          <cell r="AN474">
            <v>-129.60000000000005</v>
          </cell>
          <cell r="AO474">
            <v>-110.90000000000003</v>
          </cell>
          <cell r="AP474">
            <v>-155.79999999999987</v>
          </cell>
          <cell r="AR474" t="str">
            <v>2004E</v>
          </cell>
          <cell r="AS474">
            <v>-10.602597281450798</v>
          </cell>
          <cell r="AT474">
            <v>1.4419379088960511</v>
          </cell>
          <cell r="AU474">
            <v>-88.884788261522246</v>
          </cell>
          <cell r="AV474" t="str">
            <v xml:space="preserve"> </v>
          </cell>
          <cell r="AW474">
            <v>-267.72342032161339</v>
          </cell>
          <cell r="AX474">
            <v>23.455135844188959</v>
          </cell>
          <cell r="AY474">
            <v>50.504397428061012</v>
          </cell>
          <cell r="AZ474" t="str">
            <v xml:space="preserve"> </v>
          </cell>
          <cell r="BC474">
            <v>-274.32300000000004</v>
          </cell>
          <cell r="BD474">
            <v>-32.86999999999999</v>
          </cell>
          <cell r="BE474">
            <v>-370.96600000000001</v>
          </cell>
          <cell r="BF474">
            <v>-1002.5899999999999</v>
          </cell>
          <cell r="BG474">
            <v>-208.45499999999964</v>
          </cell>
          <cell r="BH474">
            <v>723.69100000000014</v>
          </cell>
          <cell r="BI474">
            <v>-327.69099999999992</v>
          </cell>
          <cell r="BJ474">
            <v>-140.71230614974655</v>
          </cell>
          <cell r="BK474">
            <v>-133.382046530135</v>
          </cell>
          <cell r="BM474">
            <v>723.69100000000014</v>
          </cell>
          <cell r="BN474">
            <v>-327.69099999999992</v>
          </cell>
          <cell r="BO474">
            <v>-140.71230614974655</v>
          </cell>
          <cell r="BP474">
            <v>-133.382046530135</v>
          </cell>
          <cell r="BQ474">
            <v>-806.89099999999985</v>
          </cell>
          <cell r="BR474">
            <v>182.98000000000036</v>
          </cell>
          <cell r="BS474">
            <v>1076.8630000000005</v>
          </cell>
          <cell r="BT474">
            <v>1100.3600000000006</v>
          </cell>
          <cell r="BU474">
            <v>1252.5536938502539</v>
          </cell>
          <cell r="BV474">
            <v>-942.94986654556669</v>
          </cell>
          <cell r="BW474">
            <v>-942.94986654556669</v>
          </cell>
          <cell r="BX474">
            <v>-942.94986654556669</v>
          </cell>
          <cell r="BY474">
            <v>-583.37753260736804</v>
          </cell>
          <cell r="BZ474">
            <v>-942.94986654556669</v>
          </cell>
          <cell r="CA474">
            <v>-1387.4198665455667</v>
          </cell>
        </row>
        <row r="475">
          <cell r="A475" t="str">
            <v xml:space="preserve"> </v>
          </cell>
          <cell r="D475">
            <v>35125</v>
          </cell>
          <cell r="E475">
            <v>35217</v>
          </cell>
          <cell r="F475">
            <v>35309</v>
          </cell>
          <cell r="G475">
            <v>35400</v>
          </cell>
          <cell r="I475">
            <v>35490</v>
          </cell>
          <cell r="J475">
            <v>35582</v>
          </cell>
          <cell r="K475">
            <v>35674</v>
          </cell>
          <cell r="L475">
            <v>35765</v>
          </cell>
          <cell r="N475">
            <v>35855</v>
          </cell>
          <cell r="O475">
            <v>35947</v>
          </cell>
          <cell r="P475">
            <v>36039</v>
          </cell>
          <cell r="Q475">
            <v>36130</v>
          </cell>
          <cell r="S475">
            <v>36220</v>
          </cell>
          <cell r="T475">
            <v>36312</v>
          </cell>
          <cell r="U475">
            <v>36404</v>
          </cell>
          <cell r="V475">
            <v>36495</v>
          </cell>
          <cell r="X475">
            <v>36586</v>
          </cell>
          <cell r="Y475">
            <v>36678</v>
          </cell>
          <cell r="Z475">
            <v>36770</v>
          </cell>
          <cell r="AA475">
            <v>36861</v>
          </cell>
          <cell r="AC475">
            <v>36951</v>
          </cell>
          <cell r="AD475">
            <v>37043</v>
          </cell>
          <cell r="AE475">
            <v>37135</v>
          </cell>
          <cell r="AF475">
            <v>37226</v>
          </cell>
          <cell r="AH475" t="str">
            <v xml:space="preserve"> 3/02</v>
          </cell>
          <cell r="AI475" t="str">
            <v xml:space="preserve"> 6/02E</v>
          </cell>
          <cell r="AJ475" t="str">
            <v xml:space="preserve"> 9/02E</v>
          </cell>
          <cell r="AK475" t="str">
            <v>12/02E</v>
          </cell>
          <cell r="AM475" t="str">
            <v xml:space="preserve"> 3/03E</v>
          </cell>
          <cell r="AN475" t="str">
            <v xml:space="preserve"> 6/03E</v>
          </cell>
          <cell r="AO475" t="str">
            <v xml:space="preserve"> 9/03E</v>
          </cell>
          <cell r="AP475" t="str">
            <v>12/03E</v>
          </cell>
          <cell r="AR475" t="str">
            <v xml:space="preserve"> 3/04E</v>
          </cell>
          <cell r="AS475" t="str">
            <v xml:space="preserve"> 6/04E</v>
          </cell>
          <cell r="AT475" t="str">
            <v xml:space="preserve"> 9/04E</v>
          </cell>
          <cell r="AU475" t="str">
            <v>12/04E</v>
          </cell>
          <cell r="AW475">
            <v>1996</v>
          </cell>
          <cell r="AX475">
            <v>1997</v>
          </cell>
          <cell r="AY475">
            <v>1998</v>
          </cell>
          <cell r="AZ475">
            <v>1999</v>
          </cell>
          <cell r="BA475">
            <v>2000</v>
          </cell>
          <cell r="BB475">
            <v>2001</v>
          </cell>
          <cell r="BC475" t="str">
            <v>2002E</v>
          </cell>
          <cell r="BD475" t="str">
            <v>2003E</v>
          </cell>
          <cell r="BE475" t="str">
            <v>2004E</v>
          </cell>
          <cell r="BF475">
            <v>-1002.5899999999999</v>
          </cell>
          <cell r="BG475">
            <v>2002</v>
          </cell>
          <cell r="BH475">
            <v>2003</v>
          </cell>
          <cell r="BI475">
            <v>2004</v>
          </cell>
          <cell r="BJ475">
            <v>2005</v>
          </cell>
          <cell r="BK475">
            <v>2006</v>
          </cell>
          <cell r="BL475">
            <v>2007</v>
          </cell>
          <cell r="BM475">
            <v>2008</v>
          </cell>
          <cell r="BN475">
            <v>2009</v>
          </cell>
          <cell r="BO475">
            <v>2010</v>
          </cell>
          <cell r="BP475">
            <v>2011</v>
          </cell>
          <cell r="BQ475">
            <v>2012</v>
          </cell>
          <cell r="BR475">
            <v>2013</v>
          </cell>
          <cell r="BS475">
            <v>2014</v>
          </cell>
          <cell r="BT475">
            <v>2015</v>
          </cell>
          <cell r="BU475">
            <v>2016</v>
          </cell>
          <cell r="BV475">
            <v>113.17852383677325</v>
          </cell>
          <cell r="BW475">
            <v>263.17852383677325</v>
          </cell>
          <cell r="BX475">
            <v>413.17852383677325</v>
          </cell>
          <cell r="BY475">
            <v>245.97268388152463</v>
          </cell>
          <cell r="BZ475">
            <v>413.17852383677325</v>
          </cell>
          <cell r="CA475">
            <v>-1053.4034761632267</v>
          </cell>
        </row>
        <row r="476">
          <cell r="A476" t="str">
            <v>($ Millions)</v>
          </cell>
          <cell r="I476">
            <v>4.9000000000000004</v>
          </cell>
          <cell r="J476">
            <v>5.8</v>
          </cell>
          <cell r="K476">
            <v>5.5</v>
          </cell>
          <cell r="L476">
            <v>3</v>
          </cell>
          <cell r="N476">
            <v>7.5</v>
          </cell>
          <cell r="O476">
            <v>9.1999999999999993</v>
          </cell>
          <cell r="P476">
            <v>10.4</v>
          </cell>
          <cell r="Q476">
            <v>12.5</v>
          </cell>
          <cell r="S476">
            <v>14.349</v>
          </cell>
          <cell r="T476">
            <v>15.797000000000002</v>
          </cell>
          <cell r="U476">
            <v>18.847999999999999</v>
          </cell>
          <cell r="V476">
            <v>22</v>
          </cell>
          <cell r="X476">
            <v>23.569000000000003</v>
          </cell>
          <cell r="Y476">
            <v>29.108999999999998</v>
          </cell>
          <cell r="Z476">
            <v>32.728000000000002</v>
          </cell>
          <cell r="AA476">
            <v>38.155000000000001</v>
          </cell>
          <cell r="AC476">
            <v>40.158000000000001</v>
          </cell>
          <cell r="AD476">
            <v>43.190999999999995</v>
          </cell>
          <cell r="AE476">
            <v>52.138999999999996</v>
          </cell>
          <cell r="AF476">
            <v>59.1</v>
          </cell>
          <cell r="AH476">
            <v>57</v>
          </cell>
          <cell r="AI476">
            <v>55.8</v>
          </cell>
          <cell r="AJ476">
            <v>61</v>
          </cell>
          <cell r="AK476">
            <v>50.2</v>
          </cell>
          <cell r="AM476">
            <v>43.800000000000004</v>
          </cell>
          <cell r="AN476">
            <v>44</v>
          </cell>
          <cell r="AO476">
            <v>42.7</v>
          </cell>
          <cell r="AP476">
            <v>42.93675380471381</v>
          </cell>
          <cell r="AR476">
            <v>42.02065222812795</v>
          </cell>
          <cell r="AS476">
            <v>41.18142557412876</v>
          </cell>
          <cell r="AT476">
            <v>40.600440181551434</v>
          </cell>
          <cell r="AU476">
            <v>40.212544383253615</v>
          </cell>
          <cell r="AW476">
            <v>41.894940235919847</v>
          </cell>
          <cell r="AX476">
            <v>42.540165247909677</v>
          </cell>
          <cell r="AY476">
            <v>43.218836993116177</v>
          </cell>
          <cell r="AZ476">
            <v>43.968915967252649</v>
          </cell>
          <cell r="BC476">
            <v>21.787000000000003</v>
          </cell>
          <cell r="BD476">
            <v>41.563000000000002</v>
          </cell>
          <cell r="BE476">
            <v>70.974999999999994</v>
          </cell>
          <cell r="BF476">
            <v>123.56100000000001</v>
          </cell>
          <cell r="BG476">
            <v>194.55799999999999</v>
          </cell>
          <cell r="BH476">
            <v>224</v>
          </cell>
          <cell r="BI476">
            <v>173.43675380471382</v>
          </cell>
          <cell r="BJ476">
            <v>164.01506236706177</v>
          </cell>
          <cell r="BK476">
            <v>171.62285844419836</v>
          </cell>
          <cell r="BM476">
            <v>224</v>
          </cell>
          <cell r="BN476">
            <v>173.43675380471382</v>
          </cell>
          <cell r="BO476">
            <v>164.01506236706177</v>
          </cell>
          <cell r="BP476">
            <v>171.62285844419836</v>
          </cell>
          <cell r="BQ476">
            <v>219.80947238105642</v>
          </cell>
          <cell r="BR476">
            <v>281.64302408803104</v>
          </cell>
          <cell r="BS476">
            <v>305.27962689763081</v>
          </cell>
          <cell r="BT476">
            <v>349.62713863870323</v>
          </cell>
          <cell r="BU476">
            <v>420.85524228934213</v>
          </cell>
          <cell r="BV476">
            <v>539.40336014565094</v>
          </cell>
          <cell r="BW476">
            <v>627.21420977700939</v>
          </cell>
          <cell r="BX476">
            <v>615.85324936772247</v>
          </cell>
          <cell r="BY476">
            <v>567.16199807016267</v>
          </cell>
          <cell r="BZ476">
            <v>596.22371212042208</v>
          </cell>
          <cell r="CA476">
            <v>636.92791717977764</v>
          </cell>
        </row>
        <row r="477">
          <cell r="A477" t="str">
            <v>Amortization</v>
          </cell>
          <cell r="D477">
            <v>1996</v>
          </cell>
          <cell r="I477">
            <v>3.2719999999999998</v>
          </cell>
          <cell r="J477">
            <v>3.3010000000000002</v>
          </cell>
          <cell r="K477">
            <v>3.8809999999999998</v>
          </cell>
          <cell r="L477">
            <v>4.806</v>
          </cell>
          <cell r="N477">
            <v>13.259</v>
          </cell>
          <cell r="O477">
            <v>10.537000000000001</v>
          </cell>
          <cell r="P477">
            <v>10.782</v>
          </cell>
          <cell r="Q477">
            <v>1.38</v>
          </cell>
          <cell r="S477">
            <v>13.814</v>
          </cell>
          <cell r="T477">
            <v>13.744999999999999</v>
          </cell>
          <cell r="U477">
            <v>14.07</v>
          </cell>
          <cell r="V477">
            <v>13.94</v>
          </cell>
          <cell r="X477">
            <v>15.323</v>
          </cell>
          <cell r="Y477">
            <v>19.248000000000001</v>
          </cell>
          <cell r="Z477">
            <v>25.606999999999999</v>
          </cell>
          <cell r="AA477">
            <v>28.760999999999999</v>
          </cell>
          <cell r="AC477">
            <v>29.577999999999999</v>
          </cell>
          <cell r="AD477">
            <v>28.13</v>
          </cell>
          <cell r="AE477">
            <v>32.158000000000001</v>
          </cell>
          <cell r="AF477">
            <v>35.1</v>
          </cell>
          <cell r="AH477">
            <v>22</v>
          </cell>
          <cell r="AI477">
            <v>21.7</v>
          </cell>
          <cell r="AJ477">
            <v>21.7</v>
          </cell>
          <cell r="AK477">
            <v>21.7</v>
          </cell>
          <cell r="AM477">
            <v>12.4</v>
          </cell>
          <cell r="AN477">
            <v>12.4</v>
          </cell>
          <cell r="AO477">
            <v>12</v>
          </cell>
          <cell r="AP477">
            <v>12</v>
          </cell>
          <cell r="AR477">
            <v>12</v>
          </cell>
          <cell r="AS477">
            <v>12</v>
          </cell>
          <cell r="AT477">
            <v>12</v>
          </cell>
          <cell r="AU477">
            <v>12</v>
          </cell>
          <cell r="AV477" t="str">
            <v xml:space="preserve"> </v>
          </cell>
          <cell r="AW477">
            <v>8.7750000000000004</v>
          </cell>
          <cell r="AX477">
            <v>8.7750000000000004</v>
          </cell>
          <cell r="AY477">
            <v>8.7750000000000004</v>
          </cell>
          <cell r="AZ477">
            <v>8.7750000000000004</v>
          </cell>
          <cell r="BA477">
            <v>1.1975</v>
          </cell>
          <cell r="BB477">
            <v>2.7950000000000004</v>
          </cell>
          <cell r="BC477">
            <v>15.3</v>
          </cell>
          <cell r="BD477">
            <v>45.372</v>
          </cell>
          <cell r="BE477">
            <v>55.568999999999996</v>
          </cell>
          <cell r="BF477">
            <v>88.938999999999993</v>
          </cell>
          <cell r="BG477">
            <v>124.96600000000001</v>
          </cell>
          <cell r="BH477">
            <v>87.100000000000009</v>
          </cell>
          <cell r="BI477">
            <v>48.8</v>
          </cell>
          <cell r="BJ477">
            <v>48</v>
          </cell>
          <cell r="BK477">
            <v>35.1</v>
          </cell>
          <cell r="BM477">
            <v>87.100000000000009</v>
          </cell>
          <cell r="BN477">
            <v>48.8</v>
          </cell>
          <cell r="BO477">
            <v>48</v>
          </cell>
          <cell r="BP477">
            <v>35.1</v>
          </cell>
          <cell r="BQ477">
            <v>27</v>
          </cell>
          <cell r="BR477">
            <v>15.3</v>
          </cell>
          <cell r="BS477">
            <v>10.925000000000001</v>
          </cell>
          <cell r="BT477">
            <v>10.925000000000001</v>
          </cell>
          <cell r="BU477">
            <v>10.925000000000001</v>
          </cell>
          <cell r="BV477">
            <v>5</v>
          </cell>
          <cell r="BW477">
            <v>0</v>
          </cell>
          <cell r="BX477">
            <v>0</v>
          </cell>
          <cell r="BY477">
            <v>0</v>
          </cell>
          <cell r="BZ477">
            <v>0</v>
          </cell>
          <cell r="CA477">
            <v>0</v>
          </cell>
        </row>
        <row r="478">
          <cell r="A478" t="str">
            <v>Risk Premium</v>
          </cell>
          <cell r="D478">
            <v>35125</v>
          </cell>
          <cell r="E478">
            <v>35217</v>
          </cell>
          <cell r="F478">
            <v>35309</v>
          </cell>
          <cell r="G478">
            <v>35400</v>
          </cell>
          <cell r="I478">
            <v>35490</v>
          </cell>
          <cell r="J478">
            <v>35582</v>
          </cell>
          <cell r="K478">
            <v>35674</v>
          </cell>
          <cell r="L478">
            <v>35765</v>
          </cell>
          <cell r="N478">
            <v>35855</v>
          </cell>
          <cell r="O478">
            <v>35947</v>
          </cell>
          <cell r="P478">
            <v>36039</v>
          </cell>
          <cell r="Q478">
            <v>3.5000000000000003E-2</v>
          </cell>
          <cell r="S478">
            <v>3.5000000000000003E-2</v>
          </cell>
          <cell r="T478">
            <v>3.5000000000000003E-2</v>
          </cell>
          <cell r="U478">
            <v>3.5000000000000003E-2</v>
          </cell>
          <cell r="V478">
            <v>3.5000000000000003E-2</v>
          </cell>
          <cell r="X478">
            <v>3.5000000000000003E-2</v>
          </cell>
          <cell r="Y478">
            <v>3.5000000000000003E-2</v>
          </cell>
          <cell r="Z478">
            <v>3.5000000000000003E-2</v>
          </cell>
          <cell r="AA478">
            <v>3.5000000000000003E-2</v>
          </cell>
          <cell r="AC478">
            <v>3.5000000000000003E-2</v>
          </cell>
          <cell r="AD478">
            <v>3.5000000000000003E-2</v>
          </cell>
          <cell r="AE478">
            <v>3.5000000000000003E-2</v>
          </cell>
          <cell r="AF478">
            <v>3.5000000000000003E-2</v>
          </cell>
          <cell r="AH478">
            <v>3.5000000000000003E-2</v>
          </cell>
          <cell r="AI478">
            <v>3.5000000000000003E-2</v>
          </cell>
          <cell r="AJ478">
            <v>3.5000000000000003E-2</v>
          </cell>
          <cell r="AK478">
            <v>3.5000000000000003E-2</v>
          </cell>
          <cell r="AM478">
            <v>3.5000000000000003E-2</v>
          </cell>
          <cell r="AN478">
            <v>3.5000000000000003E-2</v>
          </cell>
          <cell r="AO478">
            <v>3.5000000000000003E-2</v>
          </cell>
          <cell r="AP478">
            <v>3.5000000000000003E-2</v>
          </cell>
          <cell r="AR478">
            <v>3.5000000000000003E-2</v>
          </cell>
          <cell r="AS478">
            <v>3.5000000000000003E-2</v>
          </cell>
          <cell r="AT478">
            <v>3.5000000000000003E-2</v>
          </cell>
          <cell r="AU478">
            <v>3.5000000000000003E-2</v>
          </cell>
          <cell r="AV478" t="str">
            <v xml:space="preserve"> </v>
          </cell>
          <cell r="AW478">
            <v>47.200409268175314</v>
          </cell>
          <cell r="AX478">
            <v>48.847777470405362</v>
          </cell>
          <cell r="AY478">
            <v>50.463651446467289</v>
          </cell>
          <cell r="AZ478">
            <v>52.247119317628346</v>
          </cell>
          <cell r="BA478">
            <v>3.5000000000000003E-2</v>
          </cell>
          <cell r="BB478">
            <v>3.5000000000000003E-2</v>
          </cell>
          <cell r="BC478">
            <v>21.787000000000003</v>
          </cell>
          <cell r="BD478">
            <v>41.563000000000002</v>
          </cell>
          <cell r="BE478">
            <v>70.974999999999994</v>
          </cell>
          <cell r="BF478">
            <v>123.56100000000001</v>
          </cell>
          <cell r="BG478">
            <v>2002</v>
          </cell>
          <cell r="BH478">
            <v>2003</v>
          </cell>
          <cell r="BI478">
            <v>2004</v>
          </cell>
          <cell r="BJ478">
            <v>2005</v>
          </cell>
          <cell r="BK478">
            <v>2006</v>
          </cell>
          <cell r="BL478">
            <v>2007</v>
          </cell>
          <cell r="BM478">
            <v>224</v>
          </cell>
          <cell r="BN478">
            <v>173.3</v>
          </cell>
          <cell r="BO478">
            <v>174.71385858960087</v>
          </cell>
          <cell r="BP478">
            <v>198.75895750267631</v>
          </cell>
          <cell r="BQ478">
            <v>269.11970047858119</v>
          </cell>
          <cell r="BR478">
            <v>345.32755968529614</v>
          </cell>
          <cell r="BS478">
            <v>387.16613431761328</v>
          </cell>
          <cell r="BT478">
            <v>454.50819640976221</v>
          </cell>
          <cell r="BU478">
            <v>556.9097296342203</v>
          </cell>
          <cell r="BV478">
            <v>713.75803107235163</v>
          </cell>
          <cell r="BW478">
            <v>854.50006622436103</v>
          </cell>
          <cell r="BX478">
            <v>854.26934205887665</v>
          </cell>
          <cell r="BY478">
            <v>825.88683699102307</v>
          </cell>
          <cell r="BZ478">
            <v>899.60116648737721</v>
          </cell>
          <cell r="CA478">
            <v>981.49190942616474</v>
          </cell>
        </row>
        <row r="479">
          <cell r="A479" t="str">
            <v>Cap Ex/Depreciation</v>
          </cell>
          <cell r="B479" t="str">
            <v>capex/dep</v>
          </cell>
          <cell r="D479">
            <v>35125</v>
          </cell>
          <cell r="E479">
            <v>35217</v>
          </cell>
          <cell r="F479">
            <v>35309</v>
          </cell>
          <cell r="G479">
            <v>35400</v>
          </cell>
          <cell r="I479">
            <v>35490</v>
          </cell>
          <cell r="J479">
            <v>35582</v>
          </cell>
          <cell r="K479">
            <v>35674</v>
          </cell>
          <cell r="L479">
            <v>35765</v>
          </cell>
          <cell r="N479">
            <v>2.4583999999999997</v>
          </cell>
          <cell r="O479">
            <v>2.1250000000000004</v>
          </cell>
          <cell r="P479">
            <v>1.4324038461538462</v>
          </cell>
          <cell r="Q479">
            <v>1.0307999999999999</v>
          </cell>
          <cell r="S479">
            <v>2.9153251097637467</v>
          </cell>
          <cell r="T479">
            <v>2.3593087295056021</v>
          </cell>
          <cell r="U479">
            <v>4.0379881154499158</v>
          </cell>
          <cell r="V479">
            <v>2.5736818181818184</v>
          </cell>
          <cell r="X479">
            <v>2.910263481692053</v>
          </cell>
          <cell r="Y479">
            <v>1.006939434539146</v>
          </cell>
          <cell r="Z479">
            <v>2.0176301637741383</v>
          </cell>
          <cell r="AA479">
            <v>3.1147687065915344</v>
          </cell>
          <cell r="AC479">
            <v>1.9057971014492754</v>
          </cell>
          <cell r="AD479">
            <v>1.3718598782153693</v>
          </cell>
          <cell r="AE479">
            <v>0.49837933216977698</v>
          </cell>
          <cell r="AF479">
            <v>0.62944162436548223</v>
          </cell>
          <cell r="AH479">
            <v>0.4578947368421053</v>
          </cell>
          <cell r="AI479">
            <v>0.87634408602150538</v>
          </cell>
          <cell r="AJ479">
            <v>0.72622950819672127</v>
          </cell>
          <cell r="AK479">
            <v>0.57171314741035861</v>
          </cell>
          <cell r="AM479">
            <v>0.37214611872146119</v>
          </cell>
          <cell r="AN479">
            <v>0.6681818181818181</v>
          </cell>
          <cell r="AO479">
            <v>0.92740046838407486</v>
          </cell>
          <cell r="AP479">
            <v>0.98435667009740135</v>
          </cell>
          <cell r="AR479">
            <v>1.0789501716408711</v>
          </cell>
          <cell r="AS479">
            <v>1.1513397650232535</v>
          </cell>
          <cell r="AT479">
            <v>1.3395501787427215</v>
          </cell>
          <cell r="AU479">
            <v>1.48211825095547</v>
          </cell>
          <cell r="AW479">
            <v>1.3460496112160274</v>
          </cell>
          <cell r="AX479">
            <v>1.4099386679406376</v>
          </cell>
          <cell r="AY479">
            <v>1.4597379282879961</v>
          </cell>
          <cell r="AZ479">
            <v>1.5858037219945424</v>
          </cell>
          <cell r="BA479">
            <v>6.2663038461538478E-2</v>
          </cell>
          <cell r="BB479">
            <v>4.7586102564102561E-2</v>
          </cell>
          <cell r="BC479">
            <v>15.3</v>
          </cell>
          <cell r="BD479">
            <v>45.372</v>
          </cell>
          <cell r="BE479">
            <v>55.568999999999996</v>
          </cell>
          <cell r="BF479">
            <v>88.938999999999993</v>
          </cell>
          <cell r="BG479">
            <v>124.96600000000001</v>
          </cell>
          <cell r="BH479">
            <v>87.100000000000009</v>
          </cell>
          <cell r="BI479">
            <v>48.8</v>
          </cell>
          <cell r="BJ479">
            <v>48</v>
          </cell>
          <cell r="BK479">
            <v>35.1</v>
          </cell>
          <cell r="BL479">
            <v>2007</v>
          </cell>
          <cell r="BM479">
            <v>87.100000000000009</v>
          </cell>
          <cell r="BN479">
            <v>48.8</v>
          </cell>
          <cell r="BO479">
            <v>48</v>
          </cell>
          <cell r="BP479">
            <v>35.1</v>
          </cell>
          <cell r="BQ479">
            <v>27</v>
          </cell>
          <cell r="BR479">
            <v>15.3</v>
          </cell>
          <cell r="BS479">
            <v>10.925000000000001</v>
          </cell>
          <cell r="BT479">
            <v>10.925000000000001</v>
          </cell>
          <cell r="BU479">
            <v>10.925000000000001</v>
          </cell>
          <cell r="BV479">
            <v>1.1252022438162887</v>
          </cell>
          <cell r="BW479">
            <v>1.1031465204942248</v>
          </cell>
          <cell r="BX479">
            <v>0.51841353705430093</v>
          </cell>
          <cell r="BY479">
            <v>0.58543648709424612</v>
          </cell>
          <cell r="BZ479">
            <v>1.0317315905070992</v>
          </cell>
          <cell r="CA479">
            <v>0.98692343583592945</v>
          </cell>
        </row>
        <row r="480">
          <cell r="A480" t="str">
            <v>Capital Ex/sales</v>
          </cell>
          <cell r="B480" t="str">
            <v>capexpct</v>
          </cell>
          <cell r="I480">
            <v>3.2719999999999998</v>
          </cell>
          <cell r="J480">
            <v>3.3010000000000002</v>
          </cell>
          <cell r="K480">
            <v>3.8809999999999998</v>
          </cell>
          <cell r="L480">
            <v>4.806</v>
          </cell>
          <cell r="N480">
            <v>2.4960064979017191E-2</v>
          </cell>
          <cell r="O480">
            <v>2.527077212226659E-2</v>
          </cell>
          <cell r="P480">
            <v>1.8355101034992608E-2</v>
          </cell>
          <cell r="Q480">
            <v>9.5161666666666672E-2</v>
          </cell>
          <cell r="S480">
            <v>3.8668027331617713E-2</v>
          </cell>
          <cell r="T480">
            <v>2.9823157557813878E-2</v>
          </cell>
          <cell r="U480">
            <v>5.6087673284218181E-2</v>
          </cell>
          <cell r="V480">
            <v>3.5195626918025226E-2</v>
          </cell>
          <cell r="X480">
            <v>4.2542344182896354E-2</v>
          </cell>
          <cell r="Y480">
            <v>1.4011777905360866E-2</v>
          </cell>
          <cell r="Z480">
            <v>2.5395852314617356E-2</v>
          </cell>
          <cell r="AA480">
            <v>3.4470316615038347E-2</v>
          </cell>
          <cell r="AC480">
            <v>2.8423720787721794E-2</v>
          </cell>
          <cell r="AD480">
            <v>2.226927740231352E-2</v>
          </cell>
          <cell r="AE480">
            <v>1.1795546880319573E-2</v>
          </cell>
          <cell r="AF480">
            <v>1.5194837023119028E-2</v>
          </cell>
          <cell r="AH480">
            <v>1.2131071345572857E-2</v>
          </cell>
          <cell r="AI480">
            <v>2.1741063489240622E-2</v>
          </cell>
          <cell r="AJ480">
            <v>2.2614732758180611E-2</v>
          </cell>
          <cell r="AK480">
            <v>1.5011245358020817E-2</v>
          </cell>
          <cell r="AM480">
            <v>1.0268363361471588E-2</v>
          </cell>
          <cell r="AN480">
            <v>1.8393393393393392E-2</v>
          </cell>
          <cell r="AO480">
            <v>2.4223146562270616E-2</v>
          </cell>
          <cell r="AP480">
            <v>2.4223146562270616E-2</v>
          </cell>
          <cell r="AR480">
            <v>2.7223146562270616E-2</v>
          </cell>
          <cell r="AS480">
            <v>2.7223146562270616E-2</v>
          </cell>
          <cell r="AT480">
            <v>3.0223146562270615E-2</v>
          </cell>
          <cell r="AU480">
            <v>3.0223146562270615E-2</v>
          </cell>
          <cell r="AW480">
            <v>0.03</v>
          </cell>
          <cell r="AX480">
            <v>0.03</v>
          </cell>
          <cell r="AY480">
            <v>0.03</v>
          </cell>
          <cell r="AZ480">
            <v>0.03</v>
          </cell>
          <cell r="BA480">
            <v>0.10457553846153848</v>
          </cell>
          <cell r="BB480">
            <v>0.14541110256410258</v>
          </cell>
          <cell r="BC480">
            <v>1.5992054058714445E-2</v>
          </cell>
          <cell r="BD480">
            <v>2.0241787334125523E-2</v>
          </cell>
          <cell r="BE480">
            <v>3.9989073518157253E-2</v>
          </cell>
          <cell r="BF480">
            <v>2.8996905786717188E-2</v>
          </cell>
          <cell r="BG480">
            <v>1.9888187544099205E-2</v>
          </cell>
          <cell r="BH480">
            <v>1.7892764311189021E-2</v>
          </cell>
          <cell r="BI480">
            <v>1.9429541051392163E-2</v>
          </cell>
          <cell r="BJ480">
            <v>2.8799285938892721E-2</v>
          </cell>
          <cell r="BK480">
            <v>0.03</v>
          </cell>
          <cell r="BM480">
            <v>1.7892764311189021E-2</v>
          </cell>
          <cell r="BN480">
            <v>1.9429541051392163E-2</v>
          </cell>
          <cell r="BO480">
            <v>2.8799285938892721E-2</v>
          </cell>
          <cell r="BP480">
            <v>0.03</v>
          </cell>
          <cell r="BQ480">
            <v>3.5000000000000003E-2</v>
          </cell>
          <cell r="BR480">
            <v>3.7999999999999999E-2</v>
          </cell>
          <cell r="BS480">
            <v>0.03</v>
          </cell>
          <cell r="BT480">
            <v>2.5000000000000001E-2</v>
          </cell>
          <cell r="BU480">
            <v>2.9000000000000001E-2</v>
          </cell>
          <cell r="BV480">
            <v>3.5000000000000003E-2</v>
          </cell>
          <cell r="BW480">
            <v>3.5000000000000003E-2</v>
          </cell>
          <cell r="BX480">
            <v>1.9E-2</v>
          </cell>
          <cell r="BY480">
            <v>1.9E-2</v>
          </cell>
          <cell r="BZ480">
            <v>3.2000000000000001E-2</v>
          </cell>
          <cell r="CA480">
            <v>0.03</v>
          </cell>
        </row>
        <row r="481">
          <cell r="A481" t="str">
            <v>Equity Weight</v>
          </cell>
          <cell r="B481" t="str">
            <v>capex/dep</v>
          </cell>
          <cell r="N481">
            <v>2.4583999999999997</v>
          </cell>
          <cell r="O481">
            <v>2.1250000000000004</v>
          </cell>
          <cell r="P481">
            <v>1.4324038461538462</v>
          </cell>
          <cell r="Q481">
            <v>0.6</v>
          </cell>
          <cell r="S481">
            <v>0.6</v>
          </cell>
          <cell r="T481">
            <v>0.6</v>
          </cell>
          <cell r="U481">
            <v>0.6</v>
          </cell>
          <cell r="V481">
            <v>0.6</v>
          </cell>
          <cell r="X481">
            <v>0.6</v>
          </cell>
          <cell r="Y481">
            <v>0.6</v>
          </cell>
          <cell r="Z481">
            <v>0.6</v>
          </cell>
          <cell r="AA481">
            <v>0.6</v>
          </cell>
          <cell r="AC481">
            <v>0.6</v>
          </cell>
          <cell r="AD481">
            <v>0.6</v>
          </cell>
          <cell r="AE481">
            <v>0.6</v>
          </cell>
          <cell r="AF481">
            <v>0.6</v>
          </cell>
          <cell r="AH481">
            <v>0.6</v>
          </cell>
          <cell r="AI481">
            <v>0.6</v>
          </cell>
          <cell r="AJ481">
            <v>0.6</v>
          </cell>
          <cell r="AK481">
            <v>0.6</v>
          </cell>
          <cell r="AM481">
            <v>0.6</v>
          </cell>
          <cell r="AN481">
            <v>0.6</v>
          </cell>
          <cell r="AO481">
            <v>0.6</v>
          </cell>
          <cell r="AP481">
            <v>0.6</v>
          </cell>
          <cell r="AR481">
            <v>0.6</v>
          </cell>
          <cell r="AS481">
            <v>0.6</v>
          </cell>
          <cell r="AT481">
            <v>0.6</v>
          </cell>
          <cell r="AU481">
            <v>0.6</v>
          </cell>
          <cell r="AW481" t="str">
            <v>--</v>
          </cell>
          <cell r="AX481" t="str">
            <v>--</v>
          </cell>
          <cell r="AY481">
            <v>0.6</v>
          </cell>
          <cell r="AZ481">
            <v>0.6</v>
          </cell>
          <cell r="BA481">
            <v>0.6</v>
          </cell>
          <cell r="BB481">
            <v>0.6</v>
          </cell>
          <cell r="BC481">
            <v>1.4728507825767658</v>
          </cell>
          <cell r="BD481">
            <v>1.5824170536294297</v>
          </cell>
          <cell r="BE481">
            <v>2.9845861218738996</v>
          </cell>
          <cell r="BF481">
            <v>2.2885862043848784</v>
          </cell>
          <cell r="BG481">
            <v>1.0226770423215699</v>
          </cell>
          <cell r="BH481">
            <v>0.6607142857142857</v>
          </cell>
          <cell r="BI481">
            <v>1.0046162723600693</v>
          </cell>
          <cell r="BJ481">
            <v>1.4644589147851537</v>
          </cell>
          <cell r="BK481">
            <v>1.8425733934954218</v>
          </cell>
          <cell r="BM481">
            <v>0.6607142857142857</v>
          </cell>
          <cell r="BN481">
            <v>1.0046162723600693</v>
          </cell>
          <cell r="BO481">
            <v>1.4644589147851537</v>
          </cell>
          <cell r="BP481">
            <v>1.8425733934954218</v>
          </cell>
          <cell r="BQ481">
            <v>1.841665675927743</v>
          </cell>
          <cell r="BR481">
            <v>1.5426797969174921</v>
          </cell>
          <cell r="BS481">
            <v>1.2057861919946933</v>
          </cell>
          <cell r="BT481">
            <v>1.0100124106631956</v>
          </cell>
          <cell r="BU481">
            <v>1.1856685457781204</v>
          </cell>
          <cell r="BV481">
            <v>1.4250997312491409</v>
          </cell>
          <cell r="BW481">
            <v>1.3570286499074391</v>
          </cell>
          <cell r="BX481">
            <v>0.62634091006526205</v>
          </cell>
          <cell r="BY481">
            <v>0.67378043299399171</v>
          </cell>
          <cell r="BZ481">
            <v>1.1459825157106356</v>
          </cell>
          <cell r="CA481">
            <v>1.0733442939904871</v>
          </cell>
        </row>
        <row r="482">
          <cell r="A482" t="str">
            <v>Average Cap Ex Growth</v>
          </cell>
          <cell r="B482" t="str">
            <v>capexpct</v>
          </cell>
          <cell r="N482">
            <v>2.4960064979017191E-2</v>
          </cell>
          <cell r="O482" t="e">
            <v>#DIV/0!</v>
          </cell>
          <cell r="P482" t="e">
            <v>#DIV/0!</v>
          </cell>
          <cell r="Q482">
            <v>5.7097000000000002E-2</v>
          </cell>
          <cell r="S482" t="e">
            <v>#DIV/0!</v>
          </cell>
          <cell r="T482" t="e">
            <v>#DIV/0!</v>
          </cell>
          <cell r="U482" t="e">
            <v>#DIV/0!</v>
          </cell>
          <cell r="V482" t="e">
            <v>#DIV/0!</v>
          </cell>
          <cell r="X482" t="e">
            <v>#DIV/0!</v>
          </cell>
          <cell r="Y482" t="e">
            <v>#DIV/0!</v>
          </cell>
          <cell r="Z482" t="e">
            <v>#DIV/0!</v>
          </cell>
          <cell r="AA482" t="e">
            <v>#DIV/0!</v>
          </cell>
          <cell r="AC482">
            <v>0.57800310772260821</v>
          </cell>
          <cell r="AD482">
            <v>0.57800310772260821</v>
          </cell>
          <cell r="AE482">
            <v>0.57800310772260821</v>
          </cell>
          <cell r="AF482">
            <v>0.57800310772260821</v>
          </cell>
          <cell r="AH482">
            <v>0.35762900049055468</v>
          </cell>
          <cell r="AI482">
            <v>0.35762900049055468</v>
          </cell>
          <cell r="AJ482">
            <v>0.35762900049055468</v>
          </cell>
          <cell r="AK482">
            <v>0.35762900049055468</v>
          </cell>
          <cell r="AM482">
            <v>0.25862379212817754</v>
          </cell>
          <cell r="AN482">
            <v>0.25862379212817754</v>
          </cell>
          <cell r="AO482">
            <v>0.25862379212817754</v>
          </cell>
          <cell r="AP482">
            <v>0.25862379212817754</v>
          </cell>
          <cell r="AR482">
            <v>0.30491015928983889</v>
          </cell>
          <cell r="AS482">
            <v>0.30491015928983889</v>
          </cell>
          <cell r="AT482">
            <v>0.30491015928983889</v>
          </cell>
          <cell r="AU482">
            <v>0.30491015928983889</v>
          </cell>
          <cell r="AW482">
            <v>0.29202500399834075</v>
          </cell>
          <cell r="AX482">
            <v>0.29202500399834075</v>
          </cell>
          <cell r="AY482">
            <v>0.29202500399834075</v>
          </cell>
          <cell r="AZ482">
            <v>0.29202500399834075</v>
          </cell>
          <cell r="BA482">
            <v>6.2745323076923085E-2</v>
          </cell>
          <cell r="BB482">
            <v>8.7246661538461542E-2</v>
          </cell>
          <cell r="BC482">
            <v>1.5992054058714445E-2</v>
          </cell>
          <cell r="BD482">
            <v>2.0241787334125523E-2</v>
          </cell>
          <cell r="BE482">
            <v>3.9989073518157253E-2</v>
          </cell>
          <cell r="BF482">
            <v>2.8996905786717188E-2</v>
          </cell>
          <cell r="BG482">
            <v>0.57800310772260821</v>
          </cell>
          <cell r="BH482">
            <v>0.35762900049055468</v>
          </cell>
          <cell r="BI482">
            <v>0.25862379212817754</v>
          </cell>
          <cell r="BJ482">
            <v>0.30491015928983889</v>
          </cell>
          <cell r="BK482">
            <v>0.29202500399834075</v>
          </cell>
          <cell r="BM482">
            <v>0.35762900049055468</v>
          </cell>
          <cell r="BN482">
            <v>0.25862379212817754</v>
          </cell>
          <cell r="BO482">
            <v>0.30491015928983889</v>
          </cell>
          <cell r="BP482">
            <v>0.29202500399834075</v>
          </cell>
          <cell r="BQ482">
            <v>0.23061918123911496</v>
          </cell>
          <cell r="BR482">
            <v>9.4334682336364217E-2</v>
          </cell>
          <cell r="BS482">
            <v>2.4790224282094098E-2</v>
          </cell>
          <cell r="BT482">
            <v>5.4346079762934041E-2</v>
          </cell>
          <cell r="BU482">
            <v>0.13543798873415769</v>
          </cell>
          <cell r="BV482">
            <v>0.21528056856838917</v>
          </cell>
          <cell r="BW482">
            <v>0.16299695426291705</v>
          </cell>
          <cell r="BX482">
            <v>3.1463240193130959E-2</v>
          </cell>
          <cell r="BY482">
            <v>-5.1188473838728044E-3</v>
          </cell>
          <cell r="BZ482">
            <v>4.4054437651907419E-2</v>
          </cell>
          <cell r="CA482">
            <v>7.8277785831766034E-2</v>
          </cell>
        </row>
        <row r="483">
          <cell r="A483" t="str">
            <v>Ann. Depr. % of PP&amp;E (prior qtr)</v>
          </cell>
          <cell r="B483" t="str">
            <v>capexpct</v>
          </cell>
          <cell r="N483">
            <v>0.24146423914618245</v>
          </cell>
          <cell r="O483">
            <v>0.24714573539288109</v>
          </cell>
          <cell r="P483">
            <v>0.23716541717738948</v>
          </cell>
          <cell r="Q483">
            <v>9.5161666666666672E-2</v>
          </cell>
          <cell r="S483">
            <v>0.26705005443734126</v>
          </cell>
          <cell r="T483">
            <v>0.26034683795687807</v>
          </cell>
          <cell r="U483">
            <v>0.28208178995023758</v>
          </cell>
          <cell r="V483">
            <v>0.26974006866110839</v>
          </cell>
          <cell r="X483">
            <v>0.25797448056763361</v>
          </cell>
          <cell r="Y483">
            <v>0.2788231744404906</v>
          </cell>
          <cell r="Z483">
            <v>0.25767187539980752</v>
          </cell>
          <cell r="AA483">
            <v>0.28035717894032997</v>
          </cell>
          <cell r="AC483">
            <v>0.25358756500241542</v>
          </cell>
          <cell r="AD483">
            <v>0.24393529284688598</v>
          </cell>
          <cell r="AE483">
            <v>0.27708933698435029</v>
          </cell>
          <cell r="AF483">
            <v>0.26537228453656392</v>
          </cell>
          <cell r="AH483">
            <v>0.24915309802207408</v>
          </cell>
          <cell r="AI483">
            <v>0.23777564717162031</v>
          </cell>
          <cell r="AJ483">
            <v>0.26253496879707339</v>
          </cell>
          <cell r="AK483">
            <v>0.24152032715900892</v>
          </cell>
          <cell r="AM483">
            <v>0.24072547403132732</v>
          </cell>
          <cell r="AN483">
            <v>0.25089094796863864</v>
          </cell>
          <cell r="AO483">
            <v>0.24674949436579025</v>
          </cell>
          <cell r="AP483">
            <v>0.24959601107230814</v>
          </cell>
          <cell r="AR483">
            <v>0.24450928556115756</v>
          </cell>
          <cell r="AS483">
            <v>0.23847511929522944</v>
          </cell>
          <cell r="AT483">
            <v>0.2330083621022368</v>
          </cell>
          <cell r="AU483">
            <v>0.2263059838811925</v>
          </cell>
          <cell r="AW483">
            <v>0.22951373487655083</v>
          </cell>
          <cell r="AX483">
            <v>0.20145722950756276</v>
          </cell>
          <cell r="AY483">
            <v>0.20053099315770326</v>
          </cell>
          <cell r="AZ483">
            <v>0.19941517684510704</v>
          </cell>
          <cell r="BA483">
            <v>0.10457553846153848</v>
          </cell>
          <cell r="BB483">
            <v>0.14541110256410258</v>
          </cell>
          <cell r="BC483">
            <v>0.3237055196493574</v>
          </cell>
          <cell r="BD483">
            <v>0.33453260572109272</v>
          </cell>
          <cell r="BE483">
            <v>0.3302299396071206</v>
          </cell>
          <cell r="BF483">
            <v>0.33810921966796831</v>
          </cell>
          <cell r="BG483">
            <v>0.30714608217378814</v>
          </cell>
          <cell r="BH483">
            <v>0.24478199103923068</v>
          </cell>
          <cell r="BI483">
            <v>0.23830276697542432</v>
          </cell>
          <cell r="BJ483">
            <v>0.23859223735343718</v>
          </cell>
          <cell r="BK483">
            <v>0.23505107663302954</v>
          </cell>
          <cell r="BM483">
            <v>0.24478199103923068</v>
          </cell>
          <cell r="BN483">
            <v>0.23830276697542432</v>
          </cell>
          <cell r="BO483">
            <v>0.23859223735343718</v>
          </cell>
          <cell r="BP483">
            <v>0.23505107663302954</v>
          </cell>
          <cell r="BQ483">
            <v>0.24215707908892176</v>
          </cell>
          <cell r="BR483">
            <v>0.23790268975111722</v>
          </cell>
          <cell r="BS483">
            <v>0.19225146474094704</v>
          </cell>
          <cell r="BT483">
            <v>0.19406318329600644</v>
          </cell>
          <cell r="BU483">
            <v>0.22375996144962018</v>
          </cell>
          <cell r="BV483">
            <v>0.26072831290893123</v>
          </cell>
          <cell r="BW483">
            <v>0.24728837041215562</v>
          </cell>
          <cell r="BX483">
            <v>0.21600832544988038</v>
          </cell>
          <cell r="BY483">
            <v>0.21366250967643124</v>
          </cell>
          <cell r="BZ483">
            <v>0.24391899465847117</v>
          </cell>
          <cell r="CA483">
            <v>0.24848252845621721</v>
          </cell>
        </row>
        <row r="484">
          <cell r="A484" t="str">
            <v>Depreciation of Retired PP&amp;E</v>
          </cell>
          <cell r="N484">
            <v>0.24146423914618245</v>
          </cell>
          <cell r="O484" t="e">
            <v>#DIV/0!</v>
          </cell>
          <cell r="P484" t="e">
            <v>#DIV/0!</v>
          </cell>
          <cell r="Q484">
            <v>8.643515151515152E-2</v>
          </cell>
          <cell r="S484" t="e">
            <v>#DIV/0!</v>
          </cell>
          <cell r="T484" t="e">
            <v>#DIV/0!</v>
          </cell>
          <cell r="U484" t="e">
            <v>#DIV/0!</v>
          </cell>
          <cell r="V484" t="e">
            <v>#DIV/0!</v>
          </cell>
          <cell r="X484" t="e">
            <v>#DIV/0!</v>
          </cell>
          <cell r="Y484" t="e">
            <v>#DIV/0!</v>
          </cell>
          <cell r="Z484" t="e">
            <v>#DIV/0!</v>
          </cell>
          <cell r="AA484" t="e">
            <v>#DIV/0!</v>
          </cell>
          <cell r="AC484">
            <v>0.96945944374798476</v>
          </cell>
          <cell r="AD484">
            <v>0.96534316146203114</v>
          </cell>
          <cell r="AE484">
            <v>5.0587269234409673</v>
          </cell>
          <cell r="AF484">
            <v>3.2201049339621859</v>
          </cell>
          <cell r="AH484">
            <v>2.4266853543376015</v>
          </cell>
          <cell r="AI484">
            <v>0.9198830529233234</v>
          </cell>
          <cell r="AJ484">
            <v>0.98007989892239555</v>
          </cell>
          <cell r="AK484">
            <v>0.54553391686659269</v>
          </cell>
          <cell r="AM484">
            <v>7.0333333333333323</v>
          </cell>
          <cell r="AN484">
            <v>0.92222222222222627</v>
          </cell>
          <cell r="AO484">
            <v>2.76296296296296</v>
          </cell>
          <cell r="AP484">
            <v>1.3286195286195266</v>
          </cell>
          <cell r="AR484">
            <v>2.5952937963636362</v>
          </cell>
          <cell r="AS484">
            <v>2.5952937963636362</v>
          </cell>
          <cell r="AT484">
            <v>2.5952937963636358</v>
          </cell>
          <cell r="AU484">
            <v>2.5952937963636344</v>
          </cell>
          <cell r="AW484">
            <v>4.1099251849811234</v>
          </cell>
          <cell r="AX484">
            <v>1.57622031851433</v>
          </cell>
          <cell r="AY484">
            <v>1.657927350176758</v>
          </cell>
          <cell r="AZ484">
            <v>1.8323680848611037</v>
          </cell>
          <cell r="BA484">
            <v>0.1031808846153846</v>
          </cell>
          <cell r="BB484">
            <v>9.4097054079254061E-2</v>
          </cell>
          <cell r="BC484">
            <v>8.9113325000000021E-2</v>
          </cell>
          <cell r="BD484">
            <v>0.81511111111111256</v>
          </cell>
          <cell r="BE484">
            <v>1.7711111111111109</v>
          </cell>
          <cell r="BF484">
            <v>4.3022222222222233</v>
          </cell>
          <cell r="BG484">
            <v>0.57800310772260821</v>
          </cell>
          <cell r="BH484">
            <v>0.35762900049055468</v>
          </cell>
          <cell r="BI484">
            <v>0.3255835254820576</v>
          </cell>
          <cell r="BJ484">
            <v>0.34526210667702428</v>
          </cell>
          <cell r="BK484">
            <v>0.35573377405023732</v>
          </cell>
          <cell r="BM484">
            <v>17.703703703703702</v>
          </cell>
          <cell r="BN484">
            <v>37.754545454545458</v>
          </cell>
          <cell r="BO484">
            <v>25.952937963636362</v>
          </cell>
          <cell r="BP484">
            <v>16.955259259259257</v>
          </cell>
          <cell r="BQ484">
            <v>25.287925925925929</v>
          </cell>
          <cell r="BR484">
            <v>39.752118518518515</v>
          </cell>
          <cell r="BS484">
            <v>53.248770370370373</v>
          </cell>
          <cell r="BT484">
            <v>19.185185185185187</v>
          </cell>
          <cell r="BU484">
            <v>18.972604444444446</v>
          </cell>
          <cell r="BV484">
            <v>30.6278630559774</v>
          </cell>
          <cell r="BW484">
            <v>51.731250090129414</v>
          </cell>
          <cell r="BX484">
            <v>73.474539862783985</v>
          </cell>
          <cell r="BY484">
            <v>101.5856702254931</v>
          </cell>
          <cell r="BZ484">
            <v>76.885373179970173</v>
          </cell>
          <cell r="CA484">
            <v>63.532696926257614</v>
          </cell>
        </row>
        <row r="485">
          <cell r="A485" t="str">
            <v>Tax Effected Cost of Debt</v>
          </cell>
          <cell r="N485">
            <v>0.24146423914618245</v>
          </cell>
          <cell r="O485">
            <v>0.24714573539288109</v>
          </cell>
          <cell r="P485">
            <v>0.23716541717738948</v>
          </cell>
          <cell r="Q485">
            <v>5.2725442424242423E-2</v>
          </cell>
          <cell r="S485">
            <v>5.1614866408610245E-2</v>
          </cell>
          <cell r="T485">
            <v>5.3213429323364092E-2</v>
          </cell>
          <cell r="U485">
            <v>6.358998125443896E-2</v>
          </cell>
          <cell r="V485">
            <v>6.5292140183445133E-2</v>
          </cell>
          <cell r="X485">
            <v>6.8612684541834404E-2</v>
          </cell>
          <cell r="Y485">
            <v>7.9064297978738873E-2</v>
          </cell>
          <cell r="Z485">
            <v>7.6985907010995613E-2</v>
          </cell>
          <cell r="AA485">
            <v>8.1035737904344082E-2</v>
          </cell>
          <cell r="AC485">
            <v>7.1512604965269844E-2</v>
          </cell>
          <cell r="AD485">
            <v>7.5862558625468215E-2</v>
          </cell>
          <cell r="AE485">
            <v>7.7152471230769237E-2</v>
          </cell>
          <cell r="AF485">
            <v>8.1318531103030264E-2</v>
          </cell>
          <cell r="AH485">
            <v>7.4012531433054377E-2</v>
          </cell>
          <cell r="AI485">
            <v>7.3964059750000019E-2</v>
          </cell>
          <cell r="AJ485">
            <v>7.3964059750000019E-2</v>
          </cell>
          <cell r="AK485">
            <v>7.3964059750000019E-2</v>
          </cell>
          <cell r="AM485">
            <v>7.3964059750000019E-2</v>
          </cell>
          <cell r="AN485">
            <v>7.3964059750000019E-2</v>
          </cell>
          <cell r="AO485">
            <v>7.3964059750000019E-2</v>
          </cell>
          <cell r="AP485">
            <v>7.3964059750000019E-2</v>
          </cell>
          <cell r="AR485">
            <v>7.3964059750000019E-2</v>
          </cell>
          <cell r="AS485">
            <v>7.3964059750000019E-2</v>
          </cell>
          <cell r="AT485">
            <v>7.3964059750000019E-2</v>
          </cell>
          <cell r="AU485">
            <v>7.3964059750000019E-2</v>
          </cell>
          <cell r="AW485" t="str">
            <v>--</v>
          </cell>
          <cell r="AX485" t="str">
            <v>--</v>
          </cell>
          <cell r="AY485">
            <v>8.1351730443033829E-3</v>
          </cell>
          <cell r="AZ485">
            <v>5.9180218232339772E-2</v>
          </cell>
          <cell r="BA485">
            <v>7.7296466169209016E-2</v>
          </cell>
          <cell r="BB485">
            <v>7.5947800115764214E-2</v>
          </cell>
          <cell r="BC485">
            <v>0.3237055196493574</v>
          </cell>
          <cell r="BD485">
            <v>0.33453260572109272</v>
          </cell>
          <cell r="BE485">
            <v>0.3302299396071206</v>
          </cell>
          <cell r="BF485">
            <v>0.33810921966796831</v>
          </cell>
          <cell r="BG485">
            <v>0.30714608217378814</v>
          </cell>
          <cell r="BH485">
            <v>0.24478199103923068</v>
          </cell>
          <cell r="BI485">
            <v>0.23811486672162685</v>
          </cell>
          <cell r="BJ485">
            <v>0.25708337049676411</v>
          </cell>
          <cell r="BK485">
            <v>0.24497392271065913</v>
          </cell>
          <cell r="BM485">
            <v>0.24478199103923068</v>
          </cell>
          <cell r="BN485">
            <v>0.23811486672162685</v>
          </cell>
          <cell r="BO485">
            <v>0.25708337049676411</v>
          </cell>
          <cell r="BP485">
            <v>0.24497392271065913</v>
          </cell>
          <cell r="BQ485">
            <v>0.24945829139352374</v>
          </cell>
          <cell r="BR485">
            <v>0.23728548906897026</v>
          </cell>
          <cell r="BS485">
            <v>0.20455460683331553</v>
          </cell>
          <cell r="BT485">
            <v>0.21165502078605683</v>
          </cell>
          <cell r="BU485">
            <v>0.24458565898916312</v>
          </cell>
          <cell r="BV485">
            <v>0.27977490951363926</v>
          </cell>
          <cell r="BW485">
            <v>0.26255107796136773</v>
          </cell>
          <cell r="BX485">
            <v>0.22423615174922232</v>
          </cell>
          <cell r="BY485">
            <v>0.23002125306424134</v>
          </cell>
          <cell r="BZ485">
            <v>0.26885385693797126</v>
          </cell>
          <cell r="CA485">
            <v>0.27436006835925347</v>
          </cell>
        </row>
        <row r="486">
          <cell r="A486" t="str">
            <v>Cash Balance (End of Year)</v>
          </cell>
          <cell r="N486">
            <v>0.24146423914618245</v>
          </cell>
          <cell r="O486" t="e">
            <v>#DIV/0!</v>
          </cell>
          <cell r="P486" t="e">
            <v>#DIV/0!</v>
          </cell>
          <cell r="Q486">
            <v>0.4</v>
          </cell>
          <cell r="S486">
            <v>0.4</v>
          </cell>
          <cell r="T486">
            <v>0.4</v>
          </cell>
          <cell r="U486">
            <v>0.4</v>
          </cell>
          <cell r="V486">
            <v>0.4</v>
          </cell>
          <cell r="X486">
            <v>0.4</v>
          </cell>
          <cell r="Y486">
            <v>0.4</v>
          </cell>
          <cell r="Z486">
            <v>0.4</v>
          </cell>
          <cell r="AA486">
            <v>0.4</v>
          </cell>
          <cell r="AC486">
            <v>0.4</v>
          </cell>
          <cell r="AD486">
            <v>0.4</v>
          </cell>
          <cell r="AE486">
            <v>0.4</v>
          </cell>
          <cell r="AF486">
            <v>0.4</v>
          </cell>
          <cell r="AH486">
            <v>0.4</v>
          </cell>
          <cell r="AI486">
            <v>0.4</v>
          </cell>
          <cell r="AJ486">
            <v>0.4</v>
          </cell>
          <cell r="AK486">
            <v>0.4</v>
          </cell>
          <cell r="AM486">
            <v>0.4</v>
          </cell>
          <cell r="AN486">
            <v>0.4</v>
          </cell>
          <cell r="AO486">
            <v>0.4</v>
          </cell>
          <cell r="AP486">
            <v>0.4</v>
          </cell>
          <cell r="AR486">
            <v>0.4</v>
          </cell>
          <cell r="AS486">
            <v>0.4</v>
          </cell>
          <cell r="AT486">
            <v>0.4</v>
          </cell>
          <cell r="AU486">
            <v>0.4</v>
          </cell>
          <cell r="AW486" t="str">
            <v>--</v>
          </cell>
          <cell r="AX486" t="str">
            <v>--</v>
          </cell>
          <cell r="AY486">
            <v>0.4</v>
          </cell>
          <cell r="AZ486">
            <v>0.4</v>
          </cell>
          <cell r="BA486">
            <v>0.4</v>
          </cell>
          <cell r="BB486">
            <v>0.4</v>
          </cell>
          <cell r="BC486">
            <v>0.4</v>
          </cell>
          <cell r="BD486">
            <v>0.81511111111111256</v>
          </cell>
          <cell r="BE486">
            <v>1.7711111111111109</v>
          </cell>
          <cell r="BF486">
            <v>4.3022222222222233</v>
          </cell>
          <cell r="BG486">
            <v>-1.2145185185185239</v>
          </cell>
          <cell r="BH486">
            <v>17.703703703703702</v>
          </cell>
          <cell r="BI486">
            <v>37.754545454545458</v>
          </cell>
          <cell r="BJ486">
            <v>25.793636363636359</v>
          </cell>
          <cell r="BK486">
            <v>16.955259259259257</v>
          </cell>
          <cell r="BM486">
            <v>1850.991</v>
          </cell>
          <cell r="BN486">
            <v>1270.0300130943961</v>
          </cell>
          <cell r="BO486">
            <v>1180.0273617143907</v>
          </cell>
          <cell r="BP486">
            <v>427.43005042796887</v>
          </cell>
          <cell r="BQ486">
            <v>443.69949573102969</v>
          </cell>
          <cell r="BR486">
            <v>289.83440933654816</v>
          </cell>
          <cell r="BS486">
            <v>-54.250042166807305</v>
          </cell>
          <cell r="BT486">
            <v>448.31868249856603</v>
          </cell>
          <cell r="BU486">
            <v>250.32527123311428</v>
          </cell>
          <cell r="BV486">
            <v>308.58340424493537</v>
          </cell>
          <cell r="BW486">
            <v>262.64041587962043</v>
          </cell>
          <cell r="BX486">
            <v>469.76983827187934</v>
          </cell>
          <cell r="BY486">
            <v>1096.2695333462998</v>
          </cell>
          <cell r="BZ486">
            <v>1328.6269998474286</v>
          </cell>
          <cell r="CA486">
            <v>1826.6534458001865</v>
          </cell>
        </row>
        <row r="487">
          <cell r="A487" t="str">
            <v>Weighted cost of debt</v>
          </cell>
          <cell r="O487" t="e">
            <v>#DIV/0!</v>
          </cell>
          <cell r="P487" t="e">
            <v>#DIV/0!</v>
          </cell>
          <cell r="Q487">
            <v>2.1090176969696971E-2</v>
          </cell>
          <cell r="S487">
            <v>2.0645946563444099E-2</v>
          </cell>
          <cell r="T487">
            <v>2.1285371729345637E-2</v>
          </cell>
          <cell r="U487">
            <v>2.5435992501775584E-2</v>
          </cell>
          <cell r="V487">
            <v>2.6116856073378054E-2</v>
          </cell>
          <cell r="X487">
            <v>2.7445073816733764E-2</v>
          </cell>
          <cell r="Y487">
            <v>3.1625719191495552E-2</v>
          </cell>
          <cell r="Z487">
            <v>3.0794362804398248E-2</v>
          </cell>
          <cell r="AA487">
            <v>3.2414295161737633E-2</v>
          </cell>
          <cell r="AC487">
            <v>2.860504198610794E-2</v>
          </cell>
          <cell r="AD487">
            <v>3.0345023450187289E-2</v>
          </cell>
          <cell r="AE487">
            <v>3.0860988492307697E-2</v>
          </cell>
          <cell r="AF487">
            <v>3.2527412441212107E-2</v>
          </cell>
          <cell r="AH487">
            <v>2.9605012573221751E-2</v>
          </cell>
          <cell r="AI487">
            <v>2.958562390000001E-2</v>
          </cell>
          <cell r="AJ487">
            <v>2.958562390000001E-2</v>
          </cell>
          <cell r="AK487">
            <v>2.958562390000001E-2</v>
          </cell>
          <cell r="AM487">
            <v>2.958562390000001E-2</v>
          </cell>
          <cell r="AN487">
            <v>2.958562390000001E-2</v>
          </cell>
          <cell r="AO487">
            <v>2.958562390000001E-2</v>
          </cell>
          <cell r="AP487">
            <v>2.958562390000001E-2</v>
          </cell>
          <cell r="AR487">
            <v>2.958562390000001E-2</v>
          </cell>
          <cell r="AS487">
            <v>2.958562390000001E-2</v>
          </cell>
          <cell r="AT487">
            <v>2.958562390000001E-2</v>
          </cell>
          <cell r="AU487">
            <v>2.958562390000001E-2</v>
          </cell>
          <cell r="AW487" t="str">
            <v>--</v>
          </cell>
          <cell r="AX487" t="str">
            <v>--</v>
          </cell>
          <cell r="AY487">
            <v>3.2540692177213532E-3</v>
          </cell>
          <cell r="AZ487">
            <v>2.367208729293591E-2</v>
          </cell>
          <cell r="BA487">
            <v>3.0918586467683608E-2</v>
          </cell>
          <cell r="BB487">
            <v>3.0379120046305687E-2</v>
          </cell>
          <cell r="BC487">
            <v>2.9589963917770662E-2</v>
          </cell>
          <cell r="BD487">
            <v>6.2785623900000018E-2</v>
          </cell>
          <cell r="BE487">
            <v>2.958562390000001E-2</v>
          </cell>
          <cell r="BF487">
            <v>4.3022222222222233</v>
          </cell>
          <cell r="BG487">
            <v>-1.2145185185185239</v>
          </cell>
          <cell r="BH487">
            <v>17.703703703703702</v>
          </cell>
          <cell r="BI487">
            <v>37.754545454545458</v>
          </cell>
          <cell r="BJ487">
            <v>25.793636363636359</v>
          </cell>
          <cell r="BK487">
            <v>16.955259259259257</v>
          </cell>
          <cell r="BM487">
            <v>1850.991</v>
          </cell>
          <cell r="BN487">
            <v>1028.8</v>
          </cell>
          <cell r="BO487">
            <v>888.08769385025346</v>
          </cell>
          <cell r="BP487">
            <v>150.50564732011847</v>
          </cell>
          <cell r="BQ487">
            <v>197.83257121530042</v>
          </cell>
          <cell r="BR487">
            <v>203.57434202476466</v>
          </cell>
          <cell r="BS487">
            <v>-256.4930390463586</v>
          </cell>
          <cell r="BT487">
            <v>200.04847333998089</v>
          </cell>
          <cell r="BU487">
            <v>-185.07879482400699</v>
          </cell>
          <cell r="BV487">
            <v>43.715190015906373</v>
          </cell>
          <cell r="BW487">
            <v>68.084790213066469</v>
          </cell>
          <cell r="BX487">
            <v>94.314255594522805</v>
          </cell>
          <cell r="BY487">
            <v>114.52567405034981</v>
          </cell>
          <cell r="BZ487">
            <v>93.830442045486862</v>
          </cell>
          <cell r="CA487">
            <v>85.291292702753438</v>
          </cell>
        </row>
        <row r="488">
          <cell r="A488" t="str">
            <v>OEM Asset Divestiture</v>
          </cell>
          <cell r="Q488">
            <v>5.2725442424242423E-2</v>
          </cell>
          <cell r="S488">
            <v>5.1614866408610245E-2</v>
          </cell>
          <cell r="T488">
            <v>5.3213429323364092E-2</v>
          </cell>
          <cell r="U488">
            <v>6.358998125443896E-2</v>
          </cell>
          <cell r="V488">
            <v>6.5292140183445133E-2</v>
          </cell>
          <cell r="X488">
            <v>6.8612684541834404E-2</v>
          </cell>
          <cell r="Y488">
            <v>7.9064297978738873E-2</v>
          </cell>
          <cell r="Z488">
            <v>7.6985907010995613E-2</v>
          </cell>
          <cell r="AA488">
            <v>8.1035737904344082E-2</v>
          </cell>
          <cell r="AC488">
            <v>7.1512604965269844E-2</v>
          </cell>
          <cell r="AD488">
            <v>7.5862558625468215E-2</v>
          </cell>
          <cell r="AE488">
            <v>7.7152471230769237E-2</v>
          </cell>
          <cell r="AF488">
            <v>8.1318531103030264E-2</v>
          </cell>
          <cell r="AH488">
            <v>7.4012531433054377E-2</v>
          </cell>
          <cell r="AI488">
            <v>7.3964059750000019E-2</v>
          </cell>
          <cell r="AJ488">
            <v>7.3964059750000019E-2</v>
          </cell>
          <cell r="AK488">
            <v>7.3964059750000019E-2</v>
          </cell>
          <cell r="AM488">
            <v>7.3964059750000019E-2</v>
          </cell>
          <cell r="AN488">
            <v>7.3964059750000019E-2</v>
          </cell>
          <cell r="AO488">
            <v>7.3964059750000019E-2</v>
          </cell>
          <cell r="AP488">
            <v>7.3964059750000019E-2</v>
          </cell>
          <cell r="AR488">
            <v>7.3964059750000019E-2</v>
          </cell>
          <cell r="AS488">
            <v>7.3964059750000019E-2</v>
          </cell>
          <cell r="AT488">
            <v>7.3964059750000019E-2</v>
          </cell>
          <cell r="AU488">
            <v>7.3964059750000019E-2</v>
          </cell>
          <cell r="AW488" t="str">
            <v>--</v>
          </cell>
          <cell r="AX488" t="str">
            <v>--</v>
          </cell>
          <cell r="AY488">
            <v>8.1351730443033829E-3</v>
          </cell>
          <cell r="AZ488">
            <v>5.9180218232339772E-2</v>
          </cell>
          <cell r="BA488">
            <v>7.7296466169209016E-2</v>
          </cell>
          <cell r="BB488">
            <v>7.5947800115764214E-2</v>
          </cell>
          <cell r="BC488">
            <v>7.3974909794426655E-2</v>
          </cell>
          <cell r="BD488">
            <v>0.15696405975000002</v>
          </cell>
          <cell r="BE488">
            <v>7.3964059750000019E-2</v>
          </cell>
          <cell r="BM488">
            <v>1850.991</v>
          </cell>
          <cell r="BN488">
            <v>1028.8</v>
          </cell>
          <cell r="BO488">
            <v>760.81294645662172</v>
          </cell>
          <cell r="BP488">
            <v>29.218860439779618</v>
          </cell>
          <cell r="BQ488">
            <v>137.19248339798776</v>
          </cell>
          <cell r="BR488">
            <v>168.93808283244323</v>
          </cell>
          <cell r="BS488">
            <v>-325.00237363749886</v>
          </cell>
          <cell r="BT488">
            <v>205.92178175163679</v>
          </cell>
          <cell r="BU488">
            <v>-196.60310527463037</v>
          </cell>
          <cell r="BV488">
            <v>155.165569256705</v>
          </cell>
          <cell r="BW488">
            <v>141.04640824710498</v>
          </cell>
          <cell r="BX488">
            <v>263.52904155000977</v>
          </cell>
          <cell r="BY488">
            <v>1228.6614122034891</v>
          </cell>
          <cell r="BZ488">
            <v>1676.0225989318528</v>
          </cell>
          <cell r="CA488">
            <v>2568.4004831797247</v>
          </cell>
        </row>
        <row r="489">
          <cell r="A489" t="str">
            <v>Purchase Price</v>
          </cell>
          <cell r="B489" t="str">
            <v>wacc</v>
          </cell>
          <cell r="Q489">
            <v>7.8187176969696973E-2</v>
          </cell>
          <cell r="S489">
            <v>7.8800196563444114E-2</v>
          </cell>
          <cell r="T489">
            <v>8.0836940960114873E-2</v>
          </cell>
          <cell r="U489">
            <v>8.4601537956321027E-2</v>
          </cell>
          <cell r="V489">
            <v>8.2026856073378063E-2</v>
          </cell>
          <cell r="X489">
            <v>8.3935627662887605E-2</v>
          </cell>
          <cell r="Y489">
            <v>9.4489011499187883E-2</v>
          </cell>
          <cell r="Z489">
            <v>9.3572824342859795E-2</v>
          </cell>
          <cell r="AA489">
            <v>0.10126327977712225</v>
          </cell>
          <cell r="AC489">
            <v>0.1055483958322618</v>
          </cell>
          <cell r="AD489">
            <v>0.1230282234501873</v>
          </cell>
          <cell r="AE489">
            <v>0.12053108080000001</v>
          </cell>
          <cell r="AF489">
            <v>0.12221741244121212</v>
          </cell>
          <cell r="AH489">
            <v>0.12020098132322174</v>
          </cell>
          <cell r="AI489">
            <v>0.12018159265</v>
          </cell>
          <cell r="AJ489">
            <v>0.12018159265</v>
          </cell>
          <cell r="AK489">
            <v>0.12018159265</v>
          </cell>
          <cell r="AM489">
            <v>0.12018159265</v>
          </cell>
          <cell r="AN489">
            <v>0.12018159265</v>
          </cell>
          <cell r="AO489">
            <v>0.12018159265</v>
          </cell>
          <cell r="AP489">
            <v>0.12018159265</v>
          </cell>
          <cell r="AR489">
            <v>0.12018159265</v>
          </cell>
          <cell r="AS489">
            <v>0.12018159265</v>
          </cell>
          <cell r="AT489">
            <v>0.12018159265</v>
          </cell>
          <cell r="AU489">
            <v>0.12018159265</v>
          </cell>
          <cell r="AW489">
            <v>100</v>
          </cell>
          <cell r="AX489" t="str">
            <v>--</v>
          </cell>
          <cell r="AY489">
            <v>6.0351069217721355E-2</v>
          </cell>
          <cell r="AZ489">
            <v>8.1867428464264577E-2</v>
          </cell>
          <cell r="BA489">
            <v>9.3663909544606697E-2</v>
          </cell>
          <cell r="BB489">
            <v>0.11762578158476723</v>
          </cell>
          <cell r="BC489">
            <v>0.12018593266777065</v>
          </cell>
          <cell r="BD489">
            <v>0.15548159265</v>
          </cell>
          <cell r="BE489">
            <v>0.12018159265</v>
          </cell>
          <cell r="BM489">
            <v>111</v>
          </cell>
          <cell r="BN489">
            <v>0.5</v>
          </cell>
          <cell r="BO489">
            <v>0</v>
          </cell>
          <cell r="BP489">
            <v>100</v>
          </cell>
          <cell r="BQ489">
            <v>150</v>
          </cell>
          <cell r="BR489">
            <v>250</v>
          </cell>
          <cell r="BS489">
            <v>175</v>
          </cell>
          <cell r="BT489">
            <v>125</v>
          </cell>
          <cell r="BU489">
            <v>200</v>
          </cell>
          <cell r="BV489">
            <v>400</v>
          </cell>
          <cell r="BW489">
            <v>250</v>
          </cell>
          <cell r="BX489">
            <v>100</v>
          </cell>
          <cell r="BY489">
            <v>25</v>
          </cell>
          <cell r="BZ489">
            <v>100</v>
          </cell>
          <cell r="CA489">
            <v>75</v>
          </cell>
        </row>
        <row r="490">
          <cell r="A490" t="str">
            <v>Incremental Revenue</v>
          </cell>
          <cell r="Q490">
            <v>6.5496720204062386E-3</v>
          </cell>
          <cell r="S490">
            <v>5.6875362869190926E-5</v>
          </cell>
          <cell r="T490">
            <v>1.3739595878958927E-3</v>
          </cell>
          <cell r="U490">
            <v>1.8467764071679535E-2</v>
          </cell>
          <cell r="V490">
            <v>3.0280943585677358E-2</v>
          </cell>
          <cell r="X490">
            <v>8.4893804953461716E-3</v>
          </cell>
          <cell r="Y490">
            <v>9.4980594849019134E-3</v>
          </cell>
          <cell r="Z490">
            <v>2.3254017059297083E-2</v>
          </cell>
          <cell r="AA490">
            <v>5.1807463178714749E-2</v>
          </cell>
          <cell r="AC490">
            <v>-3.8733663580291233E-4</v>
          </cell>
          <cell r="AD490">
            <v>-2.0020275916326102E-2</v>
          </cell>
          <cell r="AE490">
            <v>-6.100461842937753E-2</v>
          </cell>
          <cell r="AF490">
            <v>-3.9929527066802667E-2</v>
          </cell>
          <cell r="AH490">
            <v>-5.234821695742696E-2</v>
          </cell>
          <cell r="AI490">
            <v>-5.0537735022383817E-2</v>
          </cell>
          <cell r="AJ490">
            <v>-4.9402634944160445E-2</v>
          </cell>
          <cell r="AK490">
            <v>-3.26546390916891E-2</v>
          </cell>
          <cell r="AM490">
            <v>-3.7650031265782632E-2</v>
          </cell>
          <cell r="AN490">
            <v>-2.9295761930565337E-2</v>
          </cell>
          <cell r="AO490">
            <v>-2.5128247460855319E-2</v>
          </cell>
          <cell r="AP490">
            <v>-9.7900864223615797E-3</v>
          </cell>
          <cell r="AR490">
            <v>-1.7392987178477315E-2</v>
          </cell>
          <cell r="AS490">
            <v>-1.2499583629957609E-2</v>
          </cell>
          <cell r="AT490">
            <v>-6.0557571013760275E-3</v>
          </cell>
          <cell r="AU490">
            <v>1.1580372217627671E-2</v>
          </cell>
          <cell r="AW490">
            <v>400</v>
          </cell>
          <cell r="AX490" t="str">
            <v>--</v>
          </cell>
          <cell r="AY490">
            <v>5.1018025807453779E-3</v>
          </cell>
          <cell r="AZ490">
            <v>1.192005095854147E-2</v>
          </cell>
          <cell r="BA490">
            <v>3.15531360954074E-2</v>
          </cell>
          <cell r="BB490">
            <v>-2.7914183358908731E-2</v>
          </cell>
          <cell r="BC490">
            <v>-4.6999547799447761E-2</v>
          </cell>
          <cell r="BD490">
            <v>-6.1115143887937429E-2</v>
          </cell>
          <cell r="BE490">
            <v>-6.2561242940269712E-3</v>
          </cell>
          <cell r="BM490">
            <v>370</v>
          </cell>
          <cell r="BN490">
            <v>2</v>
          </cell>
          <cell r="BO490">
            <v>0</v>
          </cell>
          <cell r="BP490">
            <v>303.030303030303</v>
          </cell>
          <cell r="BQ490">
            <v>454.5454545454545</v>
          </cell>
          <cell r="BR490">
            <v>757.57575757575751</v>
          </cell>
          <cell r="BS490">
            <v>530.30303030303025</v>
          </cell>
          <cell r="BT490">
            <v>378.78787878787875</v>
          </cell>
          <cell r="BU490">
            <v>606.06060606060601</v>
          </cell>
          <cell r="BV490">
            <v>1212.121212121212</v>
          </cell>
          <cell r="BW490">
            <v>757.57575757575751</v>
          </cell>
          <cell r="BX490">
            <v>303.030303030303</v>
          </cell>
          <cell r="BY490">
            <v>100</v>
          </cell>
          <cell r="BZ490">
            <v>400</v>
          </cell>
          <cell r="CA490">
            <v>300</v>
          </cell>
        </row>
        <row r="491">
          <cell r="A491" t="str">
            <v>Value Creation</v>
          </cell>
          <cell r="Q491">
            <v>5.7579771401036242</v>
          </cell>
          <cell r="S491">
            <v>5.7372197601534745E-2</v>
          </cell>
          <cell r="T491">
            <v>1.5368225746269262</v>
          </cell>
          <cell r="U491">
            <v>22.269953508167095</v>
          </cell>
          <cell r="V491">
            <v>40.116678557402729</v>
          </cell>
          <cell r="X491">
            <v>12.964782392051033</v>
          </cell>
          <cell r="Y491">
            <v>18.735862641858031</v>
          </cell>
          <cell r="Z491">
            <v>56.676492563240949</v>
          </cell>
          <cell r="AA491">
            <v>136.77846366575176</v>
          </cell>
          <cell r="AC491">
            <v>-1.1422570946610138</v>
          </cell>
          <cell r="AD491">
            <v>-63.195092034920783</v>
          </cell>
          <cell r="AE491">
            <v>-204.56501784529721</v>
          </cell>
          <cell r="AF491">
            <v>-142.23442579239571</v>
          </cell>
          <cell r="AH491">
            <v>-183.25802051371244</v>
          </cell>
          <cell r="AI491">
            <v>-173.61467074974234</v>
          </cell>
          <cell r="AJ491">
            <v>-170.68709673770076</v>
          </cell>
          <cell r="AK491">
            <v>-112.26434728832642</v>
          </cell>
          <cell r="AM491">
            <v>-130.5692967007451</v>
          </cell>
          <cell r="AN491">
            <v>-103.27520106080854</v>
          </cell>
          <cell r="AO491">
            <v>-89.089722764089856</v>
          </cell>
          <cell r="AP491">
            <v>-35.320375107179757</v>
          </cell>
          <cell r="AR491">
            <v>-64.695201626603577</v>
          </cell>
          <cell r="AS491">
            <v>-47.441499447965356</v>
          </cell>
          <cell r="AT491">
            <v>-23.118561501159583</v>
          </cell>
          <cell r="AU491">
            <v>44.929487643960286</v>
          </cell>
          <cell r="AW491" t="str">
            <v>--</v>
          </cell>
          <cell r="AX491" t="str">
            <v>--</v>
          </cell>
          <cell r="AY491">
            <v>4.4394304498846244</v>
          </cell>
          <cell r="AZ491">
            <v>14.209684146785511</v>
          </cell>
          <cell r="BA491">
            <v>65.286325693350619</v>
          </cell>
          <cell r="BB491">
            <v>-87.477007226122751</v>
          </cell>
          <cell r="BC491">
            <v>-164.2801450736178</v>
          </cell>
          <cell r="BD491">
            <v>-217.89962585201604</v>
          </cell>
          <cell r="BE491">
            <v>-23.943516510124002</v>
          </cell>
          <cell r="BM491">
            <v>111</v>
          </cell>
          <cell r="BN491">
            <v>-5</v>
          </cell>
          <cell r="BO491">
            <v>50.6</v>
          </cell>
          <cell r="BP491">
            <v>100</v>
          </cell>
          <cell r="BQ491">
            <v>150</v>
          </cell>
          <cell r="BR491">
            <v>250</v>
          </cell>
          <cell r="BS491">
            <v>175</v>
          </cell>
          <cell r="BT491">
            <v>125</v>
          </cell>
          <cell r="BU491">
            <v>200</v>
          </cell>
          <cell r="BV491">
            <v>400</v>
          </cell>
          <cell r="BW491">
            <v>250</v>
          </cell>
          <cell r="BX491">
            <v>100</v>
          </cell>
          <cell r="BY491">
            <v>25</v>
          </cell>
          <cell r="BZ491">
            <v>100</v>
          </cell>
          <cell r="CA491">
            <v>75</v>
          </cell>
        </row>
        <row r="492">
          <cell r="A492" t="str">
            <v>Company Acqusition</v>
          </cell>
          <cell r="B492" t="str">
            <v>wacc</v>
          </cell>
          <cell r="Q492">
            <v>7.8187176969696973E-2</v>
          </cell>
          <cell r="S492">
            <v>7.8800196563444114E-2</v>
          </cell>
          <cell r="T492">
            <v>8.0836940960114873E-2</v>
          </cell>
          <cell r="U492">
            <v>8.4601537956321027E-2</v>
          </cell>
          <cell r="V492">
            <v>8.2026856073378063E-2</v>
          </cell>
          <cell r="X492">
            <v>8.3935627662887605E-2</v>
          </cell>
          <cell r="Y492">
            <v>9.4489011499187883E-2</v>
          </cell>
          <cell r="Z492">
            <v>9.3572824342859795E-2</v>
          </cell>
          <cell r="AA492">
            <v>0.10126327977712225</v>
          </cell>
          <cell r="AC492">
            <v>0.1055483958322618</v>
          </cell>
          <cell r="AD492">
            <v>0.1230282234501873</v>
          </cell>
          <cell r="AE492">
            <v>0.12053108080000001</v>
          </cell>
          <cell r="AF492">
            <v>0.12221741244121212</v>
          </cell>
          <cell r="AH492">
            <v>0.12020098132322174</v>
          </cell>
          <cell r="AI492">
            <v>0.12018159265</v>
          </cell>
          <cell r="AJ492">
            <v>0.12018159265</v>
          </cell>
          <cell r="AK492">
            <v>0.12018159265</v>
          </cell>
          <cell r="AM492">
            <v>0.12018159265</v>
          </cell>
          <cell r="AN492">
            <v>0.12018159265</v>
          </cell>
          <cell r="AO492">
            <v>0.12018159265</v>
          </cell>
          <cell r="AP492">
            <v>0.12018159265</v>
          </cell>
          <cell r="AR492">
            <v>0.12018159265</v>
          </cell>
          <cell r="AS492">
            <v>0.12018159265</v>
          </cell>
          <cell r="AT492">
            <v>0.12018159265</v>
          </cell>
          <cell r="AU492">
            <v>0.12018159265</v>
          </cell>
          <cell r="AW492" t="str">
            <v>--</v>
          </cell>
          <cell r="AX492" t="str">
            <v>--</v>
          </cell>
          <cell r="AY492">
            <v>6.0351069217721355E-2</v>
          </cell>
          <cell r="AZ492">
            <v>8.1867428464264577E-2</v>
          </cell>
          <cell r="BA492">
            <v>9.3663909544606697E-2</v>
          </cell>
          <cell r="BB492">
            <v>0.11762578158476723</v>
          </cell>
          <cell r="BC492">
            <v>0.12018593266777065</v>
          </cell>
          <cell r="BD492">
            <v>0.15548159265</v>
          </cell>
          <cell r="BE492">
            <v>0.12018159265</v>
          </cell>
          <cell r="BM492">
            <v>370</v>
          </cell>
          <cell r="BN492">
            <v>-20</v>
          </cell>
          <cell r="BO492">
            <v>202.4</v>
          </cell>
          <cell r="BP492">
            <v>303.030303030303</v>
          </cell>
          <cell r="BQ492">
            <v>600</v>
          </cell>
          <cell r="BR492">
            <v>757.57575757575751</v>
          </cell>
          <cell r="BS492">
            <v>530.30303030303025</v>
          </cell>
          <cell r="BT492">
            <v>378.78787878787875</v>
          </cell>
          <cell r="BU492">
            <v>606.06060606060601</v>
          </cell>
          <cell r="BV492">
            <v>1212.121212121212</v>
          </cell>
          <cell r="BW492">
            <v>757.57575757575751</v>
          </cell>
          <cell r="BX492">
            <v>303.030303030303</v>
          </cell>
          <cell r="BY492">
            <v>100</v>
          </cell>
          <cell r="BZ492">
            <v>400</v>
          </cell>
          <cell r="CA492">
            <v>300</v>
          </cell>
        </row>
        <row r="493">
          <cell r="A493" t="str">
            <v>Purchase Price</v>
          </cell>
          <cell r="B493" t="str">
            <v>wacc</v>
          </cell>
          <cell r="Q493">
            <v>6.5496720204062386E-3</v>
          </cell>
          <cell r="S493">
            <v>5.6875362869190926E-5</v>
          </cell>
          <cell r="T493">
            <v>1.3739595878958927E-3</v>
          </cell>
          <cell r="U493">
            <v>1.8467764071679535E-2</v>
          </cell>
          <cell r="V493">
            <v>3.0280943585677358E-2</v>
          </cell>
          <cell r="X493">
            <v>8.4893804953461716E-3</v>
          </cell>
          <cell r="Y493">
            <v>9.4980594849019134E-3</v>
          </cell>
          <cell r="Z493">
            <v>2.3254017059297083E-2</v>
          </cell>
          <cell r="AA493">
            <v>5.1807463178714749E-2</v>
          </cell>
          <cell r="AC493">
            <v>-3.8733663580291233E-4</v>
          </cell>
          <cell r="AD493">
            <v>-2.0020275916326102E-2</v>
          </cell>
          <cell r="AE493">
            <v>-6.100461842937753E-2</v>
          </cell>
          <cell r="AF493">
            <v>-3.9929527066802667E-2</v>
          </cell>
          <cell r="AH493">
            <v>-5.234821695742696E-2</v>
          </cell>
          <cell r="AI493">
            <v>-5.0537735022383817E-2</v>
          </cell>
          <cell r="AJ493">
            <v>-4.9402634944160445E-2</v>
          </cell>
          <cell r="AK493">
            <v>-3.26546390916891E-2</v>
          </cell>
          <cell r="AM493">
            <v>-3.7650031265782632E-2</v>
          </cell>
          <cell r="AN493">
            <v>-2.9295761930565337E-2</v>
          </cell>
          <cell r="AO493">
            <v>-2.5128247460855319E-2</v>
          </cell>
          <cell r="AP493">
            <v>-9.7900864223615797E-3</v>
          </cell>
          <cell r="AR493">
            <v>-1.7392987178477315E-2</v>
          </cell>
          <cell r="AS493">
            <v>-1.2499583629957609E-2</v>
          </cell>
          <cell r="AT493">
            <v>-6.0557571013760275E-3</v>
          </cell>
          <cell r="AU493">
            <v>1.1580372217627671E-2</v>
          </cell>
          <cell r="AW493" t="str">
            <v>--</v>
          </cell>
          <cell r="AX493" t="str">
            <v>--</v>
          </cell>
          <cell r="AY493">
            <v>5.1018025807453779E-3</v>
          </cell>
          <cell r="AZ493">
            <v>1.192005095854147E-2</v>
          </cell>
          <cell r="BA493">
            <v>3.15531360954074E-2</v>
          </cell>
          <cell r="BB493">
            <v>-2.7914183358908731E-2</v>
          </cell>
          <cell r="BC493">
            <v>-4.6999547799447761E-2</v>
          </cell>
          <cell r="BD493">
            <v>-6.1115143887937429E-2</v>
          </cell>
          <cell r="BE493">
            <v>-6.2561242940269712E-3</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row>
        <row r="494">
          <cell r="A494" t="str">
            <v>Fixed Assets</v>
          </cell>
          <cell r="Q494">
            <v>5.7579771401036242</v>
          </cell>
          <cell r="S494">
            <v>5.7372197601534745E-2</v>
          </cell>
          <cell r="T494">
            <v>1.5368225746269262</v>
          </cell>
          <cell r="U494">
            <v>22.269953508167095</v>
          </cell>
          <cell r="V494">
            <v>40.116678557402729</v>
          </cell>
          <cell r="X494">
            <v>12.964782392051033</v>
          </cell>
          <cell r="Y494">
            <v>18.735862641858031</v>
          </cell>
          <cell r="Z494">
            <v>56.676492563240949</v>
          </cell>
          <cell r="AA494">
            <v>136.77846366575176</v>
          </cell>
          <cell r="AC494">
            <v>-1.1422570946610138</v>
          </cell>
          <cell r="AD494">
            <v>-63.195092034920783</v>
          </cell>
          <cell r="AE494">
            <v>-204.56501784529721</v>
          </cell>
          <cell r="AF494">
            <v>-142.23442579239571</v>
          </cell>
          <cell r="AH494">
            <v>-183.25802051371244</v>
          </cell>
          <cell r="AI494">
            <v>-173.61467074974234</v>
          </cell>
          <cell r="AJ494">
            <v>-170.68709673770076</v>
          </cell>
          <cell r="AK494">
            <v>-112.26434728832642</v>
          </cell>
          <cell r="AM494">
            <v>-130.5692967007451</v>
          </cell>
          <cell r="AN494">
            <v>-103.27520106080854</v>
          </cell>
          <cell r="AO494">
            <v>-89.089722764089856</v>
          </cell>
          <cell r="AP494">
            <v>-35.320375107179757</v>
          </cell>
          <cell r="AR494">
            <v>-64.695201626603577</v>
          </cell>
          <cell r="AS494">
            <v>-47.441499447965356</v>
          </cell>
          <cell r="AT494">
            <v>-23.118561501159583</v>
          </cell>
          <cell r="AU494">
            <v>44.929487643960286</v>
          </cell>
          <cell r="AW494" t="str">
            <v>--</v>
          </cell>
          <cell r="AX494" t="str">
            <v>--</v>
          </cell>
          <cell r="AY494">
            <v>4.4394304498846244</v>
          </cell>
          <cell r="AZ494">
            <v>14.209684146785511</v>
          </cell>
          <cell r="BA494">
            <v>65.286325693350619</v>
          </cell>
          <cell r="BB494">
            <v>-87.477007226122751</v>
          </cell>
          <cell r="BC494">
            <v>-164.2801450736178</v>
          </cell>
          <cell r="BD494">
            <v>-217.89962585201604</v>
          </cell>
          <cell r="BE494">
            <v>-23.943516510124002</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row>
        <row r="495">
          <cell r="A495" t="str">
            <v>Debt</v>
          </cell>
          <cell r="Q495">
            <v>5.7579771401036242</v>
          </cell>
          <cell r="S495">
            <v>5.7372197601534745E-2</v>
          </cell>
          <cell r="T495">
            <v>1.5368225746269262</v>
          </cell>
          <cell r="U495">
            <v>22.269953508167095</v>
          </cell>
          <cell r="V495">
            <v>40.116678557402729</v>
          </cell>
          <cell r="X495">
            <v>12.964782392051033</v>
          </cell>
          <cell r="Y495">
            <v>18.735862641858031</v>
          </cell>
          <cell r="Z495">
            <v>56.676492563240949</v>
          </cell>
          <cell r="AA495">
            <v>136.77846366575176</v>
          </cell>
          <cell r="AC495">
            <v>-1.1422570946610138</v>
          </cell>
          <cell r="AD495">
            <v>-63.195092034920783</v>
          </cell>
          <cell r="AE495">
            <v>-204.56501784529721</v>
          </cell>
          <cell r="AF495">
            <v>-142.23442579239571</v>
          </cell>
          <cell r="AH495">
            <v>-183.25802051371244</v>
          </cell>
          <cell r="AI495">
            <v>-164.4434391091163</v>
          </cell>
          <cell r="AJ495">
            <v>-158.42333529050831</v>
          </cell>
          <cell r="AK495">
            <v>-100.66339333958432</v>
          </cell>
          <cell r="AM495">
            <v>-120.51817518849974</v>
          </cell>
          <cell r="AN495">
            <v>-91.287978930756196</v>
          </cell>
          <cell r="AO495">
            <v>-77.672130080135602</v>
          </cell>
          <cell r="AP495">
            <v>-17.993003332416237</v>
          </cell>
          <cell r="AR495">
            <v>-45.612027903525259</v>
          </cell>
          <cell r="AS495">
            <v>-35.478864156215117</v>
          </cell>
          <cell r="AT495">
            <v>-13.849375913926973</v>
          </cell>
          <cell r="AU495">
            <v>55.186762509467137</v>
          </cell>
          <cell r="AW495" t="str">
            <v>--</v>
          </cell>
          <cell r="AX495" t="str">
            <v>--</v>
          </cell>
          <cell r="AY495">
            <v>4.4394304498846244</v>
          </cell>
          <cell r="AZ495">
            <v>14.209684146785511</v>
          </cell>
          <cell r="BA495">
            <v>65.286325693350619</v>
          </cell>
          <cell r="BB495">
            <v>-87.477007226122751</v>
          </cell>
          <cell r="BC495">
            <v>-154.70026174779957</v>
          </cell>
          <cell r="BD495">
            <v>-190.077430383951</v>
          </cell>
          <cell r="BE495">
            <v>-4.4257962625940976</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row>
        <row r="496">
          <cell r="A496" t="str">
            <v>Goodwill</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row>
        <row r="497">
          <cell r="A497" t="str">
            <v>% Equity Funded (enter 100% to 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row>
        <row r="498">
          <cell r="A498" t="str">
            <v>Incremental Revenue</v>
          </cell>
          <cell r="D498">
            <v>1996</v>
          </cell>
          <cell r="I498">
            <v>1997</v>
          </cell>
          <cell r="N498">
            <v>1998</v>
          </cell>
          <cell r="S498">
            <v>1999</v>
          </cell>
          <cell r="X498">
            <v>2000</v>
          </cell>
          <cell r="AC498">
            <v>2001</v>
          </cell>
          <cell r="AH498" t="str">
            <v>2002E</v>
          </cell>
          <cell r="AM498" t="str">
            <v>2003E</v>
          </cell>
          <cell r="AR498" t="str">
            <v>2004E</v>
          </cell>
          <cell r="AV498" t="str">
            <v xml:space="preserve"> </v>
          </cell>
          <cell r="AZ498" t="str">
            <v xml:space="preserve"> </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row>
        <row r="499">
          <cell r="A499" t="str">
            <v>Revenue Growth Rate</v>
          </cell>
          <cell r="D499">
            <v>35125</v>
          </cell>
          <cell r="E499">
            <v>35217</v>
          </cell>
          <cell r="F499">
            <v>35309</v>
          </cell>
          <cell r="G499">
            <v>35400</v>
          </cell>
          <cell r="I499">
            <v>35490</v>
          </cell>
          <cell r="J499">
            <v>35582</v>
          </cell>
          <cell r="K499">
            <v>35674</v>
          </cell>
          <cell r="L499">
            <v>35765</v>
          </cell>
          <cell r="N499">
            <v>35855</v>
          </cell>
          <cell r="O499">
            <v>35947</v>
          </cell>
          <cell r="P499">
            <v>36039</v>
          </cell>
          <cell r="Q499">
            <v>36130</v>
          </cell>
          <cell r="S499">
            <v>36220</v>
          </cell>
          <cell r="T499">
            <v>36312</v>
          </cell>
          <cell r="U499">
            <v>36404</v>
          </cell>
          <cell r="V499">
            <v>36495</v>
          </cell>
          <cell r="X499">
            <v>36586</v>
          </cell>
          <cell r="Y499">
            <v>36678</v>
          </cell>
          <cell r="Z499">
            <v>36770</v>
          </cell>
          <cell r="AA499">
            <v>36861</v>
          </cell>
          <cell r="AC499">
            <v>36951</v>
          </cell>
          <cell r="AD499">
            <v>37043</v>
          </cell>
          <cell r="AE499">
            <v>37135</v>
          </cell>
          <cell r="AF499">
            <v>37226</v>
          </cell>
          <cell r="AH499" t="str">
            <v xml:space="preserve"> 3/02</v>
          </cell>
          <cell r="AI499" t="str">
            <v xml:space="preserve"> 6/02E</v>
          </cell>
          <cell r="AJ499" t="str">
            <v xml:space="preserve"> 9/02E</v>
          </cell>
          <cell r="AK499" t="str">
            <v>12/02E</v>
          </cell>
          <cell r="AM499" t="str">
            <v xml:space="preserve"> 3/03E</v>
          </cell>
          <cell r="AN499" t="str">
            <v xml:space="preserve"> 6/03E</v>
          </cell>
          <cell r="AO499" t="str">
            <v xml:space="preserve"> 9/03E</v>
          </cell>
          <cell r="AP499" t="str">
            <v>12/03E</v>
          </cell>
          <cell r="AR499" t="str">
            <v xml:space="preserve"> 3/04E</v>
          </cell>
          <cell r="AS499" t="str">
            <v xml:space="preserve"> 6/04E</v>
          </cell>
          <cell r="AT499" t="str">
            <v xml:space="preserve"> 9/04E</v>
          </cell>
          <cell r="AU499" t="str">
            <v>12/04E</v>
          </cell>
          <cell r="AW499">
            <v>1996</v>
          </cell>
          <cell r="AX499">
            <v>1997</v>
          </cell>
          <cell r="AY499">
            <v>1998</v>
          </cell>
          <cell r="AZ499">
            <v>1999</v>
          </cell>
          <cell r="BA499">
            <v>2000</v>
          </cell>
          <cell r="BB499">
            <v>2001</v>
          </cell>
          <cell r="BC499" t="str">
            <v>2002E</v>
          </cell>
          <cell r="BD499" t="str">
            <v>2003E</v>
          </cell>
          <cell r="BE499" t="str">
            <v>2004E</v>
          </cell>
          <cell r="BG499">
            <v>2002</v>
          </cell>
          <cell r="BH499">
            <v>2003</v>
          </cell>
          <cell r="BI499">
            <v>2004</v>
          </cell>
          <cell r="BJ499">
            <v>2005</v>
          </cell>
          <cell r="BK499">
            <v>2006</v>
          </cell>
          <cell r="BL499">
            <v>2007</v>
          </cell>
          <cell r="BM499">
            <v>0</v>
          </cell>
          <cell r="BN499">
            <v>0</v>
          </cell>
          <cell r="BO499">
            <v>0</v>
          </cell>
          <cell r="BP499">
            <v>0</v>
          </cell>
          <cell r="BQ499">
            <v>0</v>
          </cell>
          <cell r="BR499">
            <v>0</v>
          </cell>
          <cell r="BS499">
            <v>0</v>
          </cell>
          <cell r="BT499">
            <v>0</v>
          </cell>
          <cell r="BU499">
            <v>0</v>
          </cell>
          <cell r="BV499">
            <v>0.11428571428571437</v>
          </cell>
          <cell r="BW499">
            <v>0.10357142857142865</v>
          </cell>
          <cell r="BX499">
            <v>9.285714285714293E-2</v>
          </cell>
          <cell r="BY499">
            <v>8.2142857142857212E-2</v>
          </cell>
          <cell r="BZ499">
            <v>7.1428571428571494E-2</v>
          </cell>
          <cell r="CA499">
            <v>0.05</v>
          </cell>
        </row>
        <row r="500">
          <cell r="A500" t="str">
            <v>($ Millions)</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row>
        <row r="501">
          <cell r="A501" t="str">
            <v>Discount Period</v>
          </cell>
          <cell r="D501">
            <v>1996</v>
          </cell>
          <cell r="I501">
            <v>1997</v>
          </cell>
          <cell r="N501">
            <v>1998</v>
          </cell>
          <cell r="S501">
            <v>1999</v>
          </cell>
          <cell r="X501">
            <v>2000</v>
          </cell>
          <cell r="AC501">
            <v>2001</v>
          </cell>
          <cell r="AH501" t="str">
            <v>2002E</v>
          </cell>
          <cell r="AM501" t="str">
            <v>2003E</v>
          </cell>
          <cell r="AR501" t="str">
            <v>2004E</v>
          </cell>
          <cell r="AV501" t="str">
            <v xml:space="preserve"> </v>
          </cell>
          <cell r="AZ501" t="str">
            <v xml:space="preserve"> </v>
          </cell>
          <cell r="BG501">
            <v>1</v>
          </cell>
          <cell r="BH501">
            <v>2</v>
          </cell>
          <cell r="BI501">
            <v>3</v>
          </cell>
          <cell r="BJ501">
            <v>4</v>
          </cell>
          <cell r="BK501">
            <v>5</v>
          </cell>
          <cell r="BL501">
            <v>6</v>
          </cell>
          <cell r="BM501">
            <v>7</v>
          </cell>
          <cell r="BN501">
            <v>0.2</v>
          </cell>
          <cell r="BO501">
            <v>0.18928571428571431</v>
          </cell>
          <cell r="BP501">
            <v>0.1785714285714286</v>
          </cell>
          <cell r="BQ501">
            <v>0.1678571428571429</v>
          </cell>
          <cell r="BR501">
            <v>0.1571428571428572</v>
          </cell>
          <cell r="BS501">
            <v>0.14642857142857149</v>
          </cell>
          <cell r="BT501">
            <v>0.13571428571428579</v>
          </cell>
          <cell r="BU501">
            <v>0.12500000000000008</v>
          </cell>
          <cell r="BV501">
            <v>0.11428571428571437</v>
          </cell>
          <cell r="BW501">
            <v>0.10357142857142865</v>
          </cell>
          <cell r="BX501">
            <v>9.285714285714293E-2</v>
          </cell>
          <cell r="BY501">
            <v>8.2142857142857212E-2</v>
          </cell>
          <cell r="BZ501">
            <v>7.1428571428571494E-2</v>
          </cell>
          <cell r="CA501">
            <v>0.05</v>
          </cell>
        </row>
        <row r="502">
          <cell r="A502" t="str">
            <v xml:space="preserve"> </v>
          </cell>
          <cell r="D502">
            <v>35125</v>
          </cell>
          <cell r="E502">
            <v>35217</v>
          </cell>
          <cell r="F502">
            <v>35309</v>
          </cell>
          <cell r="G502">
            <v>35400</v>
          </cell>
          <cell r="I502">
            <v>35490</v>
          </cell>
          <cell r="J502">
            <v>35582</v>
          </cell>
          <cell r="K502">
            <v>35674</v>
          </cell>
          <cell r="L502">
            <v>35765</v>
          </cell>
          <cell r="N502">
            <v>35855</v>
          </cell>
          <cell r="O502">
            <v>35947</v>
          </cell>
          <cell r="P502">
            <v>36039</v>
          </cell>
          <cell r="Q502">
            <v>36130</v>
          </cell>
          <cell r="S502">
            <v>36220</v>
          </cell>
          <cell r="T502">
            <v>36312</v>
          </cell>
          <cell r="U502">
            <v>36404</v>
          </cell>
          <cell r="V502">
            <v>36495</v>
          </cell>
          <cell r="X502">
            <v>36586</v>
          </cell>
          <cell r="Y502">
            <v>36678</v>
          </cell>
          <cell r="Z502">
            <v>36770</v>
          </cell>
          <cell r="AA502">
            <v>36861</v>
          </cell>
          <cell r="AC502">
            <v>36951</v>
          </cell>
          <cell r="AD502">
            <v>37043</v>
          </cell>
          <cell r="AE502">
            <v>37135</v>
          </cell>
          <cell r="AF502">
            <v>37226</v>
          </cell>
          <cell r="AH502" t="str">
            <v xml:space="preserve"> 3/02</v>
          </cell>
          <cell r="AI502" t="str">
            <v xml:space="preserve"> 6/02E</v>
          </cell>
          <cell r="AJ502" t="str">
            <v xml:space="preserve"> 9/02E</v>
          </cell>
          <cell r="AK502" t="str">
            <v>12/02E</v>
          </cell>
          <cell r="AM502" t="str">
            <v xml:space="preserve"> 3/03E</v>
          </cell>
          <cell r="AN502" t="str">
            <v xml:space="preserve"> 6/03E</v>
          </cell>
          <cell r="AO502" t="str">
            <v xml:space="preserve"> 9/03E</v>
          </cell>
          <cell r="AP502" t="str">
            <v>12/03E</v>
          </cell>
          <cell r="AR502" t="str">
            <v xml:space="preserve"> 3/04E</v>
          </cell>
          <cell r="AS502" t="str">
            <v xml:space="preserve"> 6/04E</v>
          </cell>
          <cell r="AT502" t="str">
            <v xml:space="preserve"> 9/04E</v>
          </cell>
          <cell r="AU502" t="str">
            <v>12/04E</v>
          </cell>
          <cell r="AV502" t="str">
            <v xml:space="preserve"> </v>
          </cell>
          <cell r="AW502">
            <v>1996</v>
          </cell>
          <cell r="AX502">
            <v>1997</v>
          </cell>
          <cell r="AY502">
            <v>1998</v>
          </cell>
          <cell r="AZ502">
            <v>1999</v>
          </cell>
          <cell r="BA502">
            <v>2000</v>
          </cell>
          <cell r="BB502">
            <v>2001</v>
          </cell>
          <cell r="BC502" t="str">
            <v>2002E</v>
          </cell>
          <cell r="BD502" t="str">
            <v>2003E</v>
          </cell>
          <cell r="BE502" t="str">
            <v>2004E</v>
          </cell>
          <cell r="BG502">
            <v>2002</v>
          </cell>
          <cell r="BH502">
            <v>2003</v>
          </cell>
          <cell r="BI502">
            <v>2004</v>
          </cell>
          <cell r="BJ502">
            <v>2005</v>
          </cell>
          <cell r="BK502">
            <v>2006</v>
          </cell>
          <cell r="BL502">
            <v>2007</v>
          </cell>
          <cell r="BM502">
            <v>2008</v>
          </cell>
          <cell r="BN502">
            <v>2009</v>
          </cell>
          <cell r="BO502">
            <v>2010</v>
          </cell>
          <cell r="BP502">
            <v>2011</v>
          </cell>
          <cell r="BQ502">
            <v>2012</v>
          </cell>
          <cell r="BR502">
            <v>2013</v>
          </cell>
          <cell r="BS502">
            <v>2014</v>
          </cell>
          <cell r="BT502">
            <v>2015</v>
          </cell>
          <cell r="BU502">
            <v>2016</v>
          </cell>
          <cell r="BV502">
            <v>0.11428571428571437</v>
          </cell>
          <cell r="BW502">
            <v>0.10357142857142865</v>
          </cell>
          <cell r="BX502">
            <v>9.285714285714293E-2</v>
          </cell>
          <cell r="BY502">
            <v>8.2142857142857212E-2</v>
          </cell>
          <cell r="BZ502">
            <v>7.1428571428571494E-2</v>
          </cell>
          <cell r="CA502">
            <v>0.05</v>
          </cell>
        </row>
        <row r="503">
          <cell r="A503" t="str">
            <v>Celestica Inc.</v>
          </cell>
          <cell r="D503">
            <v>35125</v>
          </cell>
          <cell r="E503">
            <v>35217</v>
          </cell>
          <cell r="F503">
            <v>35309</v>
          </cell>
          <cell r="G503">
            <v>35400</v>
          </cell>
          <cell r="I503">
            <v>35490</v>
          </cell>
          <cell r="J503">
            <v>35582</v>
          </cell>
          <cell r="K503">
            <v>35674</v>
          </cell>
          <cell r="L503">
            <v>35765</v>
          </cell>
          <cell r="N503">
            <v>35855</v>
          </cell>
          <cell r="O503">
            <v>35947</v>
          </cell>
          <cell r="P503">
            <v>36039</v>
          </cell>
          <cell r="Q503">
            <v>36130</v>
          </cell>
          <cell r="S503">
            <v>36220</v>
          </cell>
          <cell r="T503">
            <v>36312</v>
          </cell>
          <cell r="U503">
            <v>36404</v>
          </cell>
          <cell r="V503">
            <v>36495</v>
          </cell>
          <cell r="X503">
            <v>36586</v>
          </cell>
          <cell r="Y503">
            <v>36678</v>
          </cell>
          <cell r="Z503">
            <v>36770</v>
          </cell>
          <cell r="AA503">
            <v>36861</v>
          </cell>
          <cell r="AC503">
            <v>36951</v>
          </cell>
          <cell r="AD503">
            <v>37043</v>
          </cell>
          <cell r="AE503">
            <v>37135</v>
          </cell>
          <cell r="AF503">
            <v>37226</v>
          </cell>
          <cell r="AH503" t="str">
            <v xml:space="preserve"> 3/02</v>
          </cell>
          <cell r="AI503" t="str">
            <v xml:space="preserve"> 6/02</v>
          </cell>
          <cell r="AJ503" t="str">
            <v xml:space="preserve"> 9/02E</v>
          </cell>
          <cell r="AK503" t="str">
            <v>12/02E</v>
          </cell>
          <cell r="AM503" t="str">
            <v xml:space="preserve"> 3/03E</v>
          </cell>
          <cell r="AN503" t="str">
            <v xml:space="preserve"> 6/03E</v>
          </cell>
          <cell r="AO503" t="str">
            <v xml:space="preserve"> 9/03E</v>
          </cell>
          <cell r="AP503" t="str">
            <v>12/03E</v>
          </cell>
          <cell r="AR503" t="str">
            <v xml:space="preserve"> 3/04E</v>
          </cell>
          <cell r="AS503" t="str">
            <v xml:space="preserve"> 6/04E</v>
          </cell>
          <cell r="AT503" t="str">
            <v xml:space="preserve"> 9/04E</v>
          </cell>
          <cell r="AU503" t="str">
            <v>12/04E</v>
          </cell>
          <cell r="AW503">
            <v>1996</v>
          </cell>
          <cell r="AX503">
            <v>1997</v>
          </cell>
          <cell r="AY503">
            <v>1998</v>
          </cell>
          <cell r="AZ503">
            <v>1999</v>
          </cell>
          <cell r="BA503">
            <v>2000</v>
          </cell>
          <cell r="BB503">
            <v>2001</v>
          </cell>
          <cell r="BC503" t="str">
            <v>2002E</v>
          </cell>
          <cell r="BD503" t="str">
            <v>2003E</v>
          </cell>
          <cell r="BE503" t="str">
            <v>2004E</v>
          </cell>
          <cell r="BG503">
            <v>9043.6478279750008</v>
          </cell>
          <cell r="BH503">
            <v>11786.233432985005</v>
          </cell>
          <cell r="BI503">
            <v>14666.351680672204</v>
          </cell>
          <cell r="BJ503">
            <v>18266.884062117875</v>
          </cell>
          <cell r="BK503">
            <v>22285.598555783807</v>
          </cell>
          <cell r="BL503">
            <v>27856.998194729757</v>
          </cell>
          <cell r="BM503">
            <v>34821.247743412197</v>
          </cell>
          <cell r="BN503">
            <v>42133.709769528759</v>
          </cell>
          <cell r="BO503">
            <v>49296.440430348644</v>
          </cell>
          <cell r="BP503">
            <v>55704.977686293962</v>
          </cell>
          <cell r="BQ503">
            <v>61275.475454923369</v>
          </cell>
          <cell r="BR503">
            <v>66177.513491317251</v>
          </cell>
          <cell r="BS503">
            <v>70148.164300796285</v>
          </cell>
          <cell r="BT503">
            <v>72954.090872828136</v>
          </cell>
          <cell r="BU503">
            <v>75142.71359901299</v>
          </cell>
        </row>
        <row r="504">
          <cell r="A504" t="str">
            <v>Return on Net Operating Assets</v>
          </cell>
          <cell r="BG504">
            <v>-9.6035763755579873E-2</v>
          </cell>
          <cell r="BH504">
            <v>0.30326099127016848</v>
          </cell>
          <cell r="BI504">
            <v>0.24436290559347706</v>
          </cell>
          <cell r="BJ504">
            <v>0.24549611654209613</v>
          </cell>
          <cell r="BK504">
            <v>0.21999999999999997</v>
          </cell>
          <cell r="BL504">
            <v>0.25</v>
          </cell>
          <cell r="BM504">
            <v>0.25</v>
          </cell>
          <cell r="BN504">
            <v>0.20999999999999996</v>
          </cell>
          <cell r="BO504">
            <v>0.16999999999999993</v>
          </cell>
          <cell r="BP504">
            <v>0.12999999999999989</v>
          </cell>
          <cell r="BQ504">
            <v>0.10000000000000031</v>
          </cell>
          <cell r="BR504">
            <v>8.0000000000000293E-2</v>
          </cell>
          <cell r="BS504">
            <v>6.0000000000000053E-2</v>
          </cell>
          <cell r="BT504">
            <v>4.0000000000000036E-2</v>
          </cell>
          <cell r="BU504">
            <v>3.0000000000000249E-2</v>
          </cell>
        </row>
        <row r="505">
          <cell r="A505" t="str">
            <v>($ Millions)</v>
          </cell>
          <cell r="D505">
            <v>744.68399999999997</v>
          </cell>
          <cell r="E505">
            <v>546.78300000000002</v>
          </cell>
          <cell r="F505">
            <v>363.92599999999999</v>
          </cell>
          <cell r="G505">
            <v>361.435</v>
          </cell>
          <cell r="I505">
            <v>483.6</v>
          </cell>
          <cell r="J505">
            <v>430.65499999999997</v>
          </cell>
          <cell r="K505">
            <v>409.11700000000002</v>
          </cell>
          <cell r="L505">
            <v>683.18700000000001</v>
          </cell>
          <cell r="N505">
            <v>738.7</v>
          </cell>
          <cell r="O505">
            <v>773.62099999999998</v>
          </cell>
          <cell r="P505">
            <v>811.6</v>
          </cell>
          <cell r="Q505">
            <v>925.298</v>
          </cell>
          <cell r="S505">
            <v>1081.8240000000001</v>
          </cell>
          <cell r="T505">
            <v>1249.7</v>
          </cell>
          <cell r="U505">
            <v>1356.9469999999999</v>
          </cell>
          <cell r="V505">
            <v>1608.751</v>
          </cell>
          <cell r="X505">
            <v>1612.3230000000001</v>
          </cell>
          <cell r="Y505">
            <v>2091.8829999999998</v>
          </cell>
          <cell r="Z505">
            <v>2600.1489999999999</v>
          </cell>
          <cell r="AA505">
            <v>3447.72</v>
          </cell>
          <cell r="AC505">
            <v>2700.0057400000001</v>
          </cell>
          <cell r="AD505">
            <v>2780.0057400000001</v>
          </cell>
          <cell r="AE505">
            <v>3005</v>
          </cell>
          <cell r="AF505">
            <v>4044.9920000000002</v>
          </cell>
          <cell r="AH505">
            <v>3305.0066583999997</v>
          </cell>
          <cell r="AI505">
            <v>3565.0070028</v>
          </cell>
          <cell r="AJ505">
            <v>3814.95</v>
          </cell>
          <cell r="AK505">
            <v>4934.9902400000001</v>
          </cell>
          <cell r="AW505">
            <v>2016.828</v>
          </cell>
          <cell r="AX505">
            <v>2006.5590000000002</v>
          </cell>
          <cell r="AY505">
            <v>3249.2190000000001</v>
          </cell>
          <cell r="AZ505">
            <v>5297.2220000000007</v>
          </cell>
          <cell r="BA505">
            <v>9752.0749999999989</v>
          </cell>
          <cell r="BB505">
            <v>10004.431</v>
          </cell>
          <cell r="BC505">
            <v>9043.6478279750008</v>
          </cell>
          <cell r="BD505">
            <v>10186.233432985007</v>
          </cell>
          <cell r="BE505">
            <v>11638.272946988182</v>
          </cell>
          <cell r="BG505">
            <v>9043.6478279750008</v>
          </cell>
          <cell r="BH505">
            <v>10186.233432985005</v>
          </cell>
          <cell r="BI505">
            <v>11638.27294698818</v>
          </cell>
          <cell r="BJ505">
            <v>13733.162077446052</v>
          </cell>
          <cell r="BK505">
            <v>16754.457734484182</v>
          </cell>
          <cell r="BL505">
            <v>20943.072168105227</v>
          </cell>
          <cell r="BM505">
            <v>26178.840210131533</v>
          </cell>
          <cell r="BN505">
            <v>31676.396654259155</v>
          </cell>
          <cell r="BO505">
            <v>37061.384085483209</v>
          </cell>
          <cell r="BP505">
            <v>41879.364016596024</v>
          </cell>
          <cell r="BQ505">
            <v>46067.300418255632</v>
          </cell>
          <cell r="BR505">
            <v>49752.684451716086</v>
          </cell>
          <cell r="BS505">
            <v>52737.845518819056</v>
          </cell>
          <cell r="BT505">
            <v>54847.35933957182</v>
          </cell>
          <cell r="BU505">
            <v>56492.780119758972</v>
          </cell>
        </row>
        <row r="506">
          <cell r="A506" t="str">
            <v>% change</v>
          </cell>
          <cell r="D506">
            <v>1996</v>
          </cell>
          <cell r="I506">
            <v>1997</v>
          </cell>
          <cell r="N506">
            <v>1998</v>
          </cell>
          <cell r="S506">
            <v>1999</v>
          </cell>
          <cell r="X506">
            <v>2000</v>
          </cell>
          <cell r="AC506">
            <v>2001</v>
          </cell>
          <cell r="AH506">
            <v>2002</v>
          </cell>
          <cell r="AM506" t="str">
            <v>2003E</v>
          </cell>
          <cell r="AR506" t="str">
            <v>2004E</v>
          </cell>
          <cell r="AW506" t="str">
            <v>2005E</v>
          </cell>
          <cell r="AX506">
            <v>-5.091658782999775E-3</v>
          </cell>
          <cell r="AY506">
            <v>0.6192990089003112</v>
          </cell>
          <cell r="AZ506">
            <v>0.63030623666795016</v>
          </cell>
          <cell r="BA506" t="str">
            <v xml:space="preserve"> </v>
          </cell>
          <cell r="BB506">
            <v>2.5877159476316747E-2</v>
          </cell>
          <cell r="BC506">
            <v>-9.6035763755579873E-2</v>
          </cell>
          <cell r="BD506">
            <v>0.12634123162952116</v>
          </cell>
          <cell r="BE506" t="str">
            <v xml:space="preserve"> </v>
          </cell>
          <cell r="BG506">
            <v>-9.6035763755579873E-2</v>
          </cell>
          <cell r="BH506">
            <v>0.12634123162952116</v>
          </cell>
          <cell r="BI506">
            <v>0.14254920855251441</v>
          </cell>
          <cell r="BJ506">
            <v>0.17999999999999994</v>
          </cell>
          <cell r="BK506">
            <v>0.21999999999999997</v>
          </cell>
          <cell r="BL506">
            <v>0.25</v>
          </cell>
          <cell r="BM506">
            <v>0.25</v>
          </cell>
          <cell r="BN506">
            <v>0.20999999999999996</v>
          </cell>
          <cell r="BO506">
            <v>0.16999999999999993</v>
          </cell>
          <cell r="BP506">
            <v>0.12999999999999989</v>
          </cell>
          <cell r="BQ506">
            <v>0.10000000000000009</v>
          </cell>
          <cell r="BR506">
            <v>8.0000000000000071E-2</v>
          </cell>
          <cell r="BS506">
            <v>6.0000000000000053E-2</v>
          </cell>
          <cell r="BT506">
            <v>4.0000000000000036E-2</v>
          </cell>
          <cell r="BU506">
            <v>3.0000000000000027E-2</v>
          </cell>
        </row>
        <row r="507">
          <cell r="A507" t="str">
            <v xml:space="preserve"> </v>
          </cell>
          <cell r="D507">
            <v>35125</v>
          </cell>
          <cell r="E507">
            <v>35217</v>
          </cell>
          <cell r="F507">
            <v>35309</v>
          </cell>
          <cell r="G507">
            <v>35400</v>
          </cell>
          <cell r="I507">
            <v>35490</v>
          </cell>
          <cell r="J507">
            <v>35582</v>
          </cell>
          <cell r="K507">
            <v>35674</v>
          </cell>
          <cell r="L507">
            <v>35765</v>
          </cell>
          <cell r="N507">
            <v>35855</v>
          </cell>
          <cell r="O507">
            <v>35947</v>
          </cell>
          <cell r="P507">
            <v>36039</v>
          </cell>
          <cell r="Q507">
            <v>36130</v>
          </cell>
          <cell r="S507">
            <v>36220</v>
          </cell>
          <cell r="T507">
            <v>36312</v>
          </cell>
          <cell r="U507">
            <v>36404</v>
          </cell>
          <cell r="V507">
            <v>36495</v>
          </cell>
          <cell r="X507">
            <v>36586</v>
          </cell>
          <cell r="Y507">
            <v>36678</v>
          </cell>
          <cell r="Z507">
            <v>36770</v>
          </cell>
          <cell r="AA507">
            <v>36861</v>
          </cell>
          <cell r="AC507">
            <v>36951</v>
          </cell>
          <cell r="AD507">
            <v>37043</v>
          </cell>
          <cell r="AE507">
            <v>37135</v>
          </cell>
          <cell r="AF507">
            <v>37226</v>
          </cell>
          <cell r="AH507" t="str">
            <v xml:space="preserve"> 3/02</v>
          </cell>
          <cell r="AI507" t="str">
            <v xml:space="preserve"> 6/02</v>
          </cell>
          <cell r="AJ507" t="str">
            <v xml:space="preserve"> 9/02</v>
          </cell>
          <cell r="AK507" t="str">
            <v>12/02</v>
          </cell>
          <cell r="AM507" t="str">
            <v xml:space="preserve"> 3/03</v>
          </cell>
          <cell r="AN507" t="str">
            <v xml:space="preserve"> 6/03</v>
          </cell>
          <cell r="AO507" t="str">
            <v xml:space="preserve"> 9/03</v>
          </cell>
          <cell r="AP507" t="str">
            <v>12/03E</v>
          </cell>
          <cell r="AR507" t="str">
            <v xml:space="preserve"> 3/04E</v>
          </cell>
          <cell r="AS507" t="str">
            <v xml:space="preserve"> 6/04E</v>
          </cell>
          <cell r="AT507" t="str">
            <v xml:space="preserve"> 9/04E</v>
          </cell>
          <cell r="AU507" t="str">
            <v>12/04E</v>
          </cell>
          <cell r="AW507" t="str">
            <v xml:space="preserve"> 3/05E</v>
          </cell>
          <cell r="AX507" t="str">
            <v xml:space="preserve"> 6/05E</v>
          </cell>
          <cell r="AY507" t="str">
            <v xml:space="preserve"> 9/05E</v>
          </cell>
          <cell r="AZ507" t="str">
            <v>12/05E</v>
          </cell>
          <cell r="BA507" t="str">
            <v xml:space="preserve"> </v>
          </cell>
          <cell r="BB507">
            <v>1996</v>
          </cell>
          <cell r="BC507">
            <v>1997</v>
          </cell>
          <cell r="BD507">
            <v>1998</v>
          </cell>
          <cell r="BE507">
            <v>1999</v>
          </cell>
          <cell r="BF507">
            <v>2000</v>
          </cell>
          <cell r="BG507">
            <v>0</v>
          </cell>
          <cell r="BH507">
            <v>1600</v>
          </cell>
          <cell r="BI507">
            <v>3028.0787336840231</v>
          </cell>
          <cell r="BJ507">
            <v>4533.7219846718235</v>
          </cell>
          <cell r="BK507">
            <v>5531.1408212996248</v>
          </cell>
          <cell r="BL507">
            <v>6913.926026624531</v>
          </cell>
          <cell r="BM507">
            <v>2002</v>
          </cell>
          <cell r="BN507">
            <v>2003</v>
          </cell>
          <cell r="BO507">
            <v>2004</v>
          </cell>
          <cell r="BP507">
            <v>2005</v>
          </cell>
          <cell r="BQ507">
            <v>2006</v>
          </cell>
          <cell r="BR507">
            <v>2007</v>
          </cell>
          <cell r="BS507">
            <v>2008</v>
          </cell>
          <cell r="BT507">
            <v>2009</v>
          </cell>
          <cell r="BU507">
            <v>2010</v>
          </cell>
          <cell r="BV507">
            <v>2011</v>
          </cell>
          <cell r="BW507">
            <v>2012</v>
          </cell>
          <cell r="BX507">
            <v>2013</v>
          </cell>
          <cell r="BY507">
            <v>2014</v>
          </cell>
          <cell r="BZ507">
            <v>2015</v>
          </cell>
          <cell r="CA507">
            <v>2016</v>
          </cell>
        </row>
        <row r="508">
          <cell r="A508" t="str">
            <v xml:space="preserve">    % change</v>
          </cell>
          <cell r="D508">
            <v>744.68399999999997</v>
          </cell>
          <cell r="E508">
            <v>546.78300000000002</v>
          </cell>
          <cell r="F508">
            <v>363.92599999999999</v>
          </cell>
          <cell r="G508">
            <v>361.435</v>
          </cell>
          <cell r="I508">
            <v>483.6</v>
          </cell>
          <cell r="J508">
            <v>430.65499999999997</v>
          </cell>
          <cell r="K508">
            <v>409.11700000000002</v>
          </cell>
          <cell r="L508">
            <v>683.18700000000001</v>
          </cell>
          <cell r="N508">
            <v>738.7</v>
          </cell>
          <cell r="O508">
            <v>773.62099999999998</v>
          </cell>
          <cell r="P508">
            <v>811.6</v>
          </cell>
          <cell r="Q508">
            <v>925.298</v>
          </cell>
          <cell r="S508">
            <v>1081.8240000000001</v>
          </cell>
          <cell r="T508">
            <v>1249.7</v>
          </cell>
          <cell r="U508">
            <v>1356.9469999999999</v>
          </cell>
          <cell r="V508">
            <v>1608.751</v>
          </cell>
          <cell r="X508">
            <v>1612.3230000000001</v>
          </cell>
          <cell r="Y508">
            <v>2091.8829999999998</v>
          </cell>
          <cell r="Z508">
            <v>2600.1489999999999</v>
          </cell>
          <cell r="AA508">
            <v>3447.72</v>
          </cell>
          <cell r="AC508">
            <v>2700.0057400000001</v>
          </cell>
          <cell r="AD508">
            <v>2780.0057400000001</v>
          </cell>
          <cell r="AE508">
            <v>3005</v>
          </cell>
          <cell r="AF508">
            <v>4044.9920000000002</v>
          </cell>
          <cell r="AH508">
            <v>3305.0066583999997</v>
          </cell>
          <cell r="AI508">
            <v>3565.0070028</v>
          </cell>
          <cell r="AJ508">
            <v>3814.95</v>
          </cell>
          <cell r="AK508">
            <v>4934.9902400000001</v>
          </cell>
          <cell r="AM508">
            <v>2003</v>
          </cell>
          <cell r="AN508" t="str">
            <v xml:space="preserve"> 6/03</v>
          </cell>
          <cell r="AO508" t="str">
            <v xml:space="preserve"> 9/03</v>
          </cell>
          <cell r="AP508">
            <v>37958</v>
          </cell>
          <cell r="AR508" t="str">
            <v>2004E</v>
          </cell>
          <cell r="AS508" t="str">
            <v xml:space="preserve"> 6/04E</v>
          </cell>
          <cell r="AT508" t="str">
            <v xml:space="preserve"> 9/04E</v>
          </cell>
          <cell r="AU508" t="str">
            <v>12/04E</v>
          </cell>
          <cell r="AW508">
            <v>2016.828</v>
          </cell>
          <cell r="AX508">
            <v>2006.5590000000002</v>
          </cell>
          <cell r="AY508">
            <v>3249.2190000000001</v>
          </cell>
          <cell r="AZ508">
            <v>5297.2220000000007</v>
          </cell>
          <cell r="BA508" t="str">
            <v xml:space="preserve"> </v>
          </cell>
          <cell r="BB508">
            <v>10004.431</v>
          </cell>
          <cell r="BC508">
            <v>9043.6478279750008</v>
          </cell>
          <cell r="BD508">
            <v>10186.233432985007</v>
          </cell>
          <cell r="BE508" t="str">
            <v xml:space="preserve"> </v>
          </cell>
          <cell r="BF508">
            <v>2000</v>
          </cell>
          <cell r="BG508">
            <v>9043.6478279750008</v>
          </cell>
          <cell r="BH508" t="e">
            <v>#DIV/0!</v>
          </cell>
          <cell r="BI508">
            <v>0.89254920855251441</v>
          </cell>
          <cell r="BJ508">
            <v>0.49722724651746542</v>
          </cell>
          <cell r="BK508">
            <v>0.21999999999999997</v>
          </cell>
          <cell r="BL508">
            <v>0.25</v>
          </cell>
          <cell r="BM508">
            <v>0.25</v>
          </cell>
          <cell r="BN508">
            <v>0.20999999999999996</v>
          </cell>
          <cell r="BO508">
            <v>0.16999999999999993</v>
          </cell>
          <cell r="BP508">
            <v>0.12999999999999989</v>
          </cell>
          <cell r="BQ508">
            <v>0.10000000000000009</v>
          </cell>
          <cell r="BR508">
            <v>8.0000000000000071E-2</v>
          </cell>
          <cell r="BS508">
            <v>6.0000000000000053E-2</v>
          </cell>
          <cell r="BT508">
            <v>4.0000000000000036E-2</v>
          </cell>
          <cell r="BU508">
            <v>3.0000000000000027E-2</v>
          </cell>
        </row>
        <row r="509">
          <cell r="A509" t="str">
            <v>Operating Income</v>
          </cell>
          <cell r="D509" t="str">
            <v>--</v>
          </cell>
          <cell r="E509" t="str">
            <v>--</v>
          </cell>
          <cell r="F509" t="str">
            <v>--</v>
          </cell>
          <cell r="G509" t="str">
            <v>--</v>
          </cell>
          <cell r="I509">
            <v>8.0760000000000005</v>
          </cell>
          <cell r="J509">
            <v>8.009999999999998</v>
          </cell>
          <cell r="K509">
            <v>11.653000000000006</v>
          </cell>
          <cell r="L509">
            <v>15.106999999999999</v>
          </cell>
          <cell r="N509">
            <v>5.3459999999999965</v>
          </cell>
          <cell r="O509">
            <v>9.0690000000000026</v>
          </cell>
          <cell r="P509">
            <v>12.831999999999994</v>
          </cell>
          <cell r="Q509">
            <v>19.244</v>
          </cell>
          <cell r="S509">
            <v>18.786000000000001</v>
          </cell>
          <cell r="T509">
            <v>23.986999999999995</v>
          </cell>
          <cell r="U509">
            <v>31.623999999999995</v>
          </cell>
          <cell r="V509">
            <v>40.762</v>
          </cell>
          <cell r="X509">
            <v>36.570999999999998</v>
          </cell>
          <cell r="Y509">
            <v>48.227000000000018</v>
          </cell>
          <cell r="Z509">
            <v>67.932999999999993</v>
          </cell>
          <cell r="AA509">
            <v>104.17599999999999</v>
          </cell>
          <cell r="AC509">
            <v>72.36</v>
          </cell>
          <cell r="AD509">
            <v>69.829000000000278</v>
          </cell>
          <cell r="AE509">
            <v>27.964999999999876</v>
          </cell>
          <cell r="AF509">
            <v>53.200000000000017</v>
          </cell>
          <cell r="AH509">
            <v>49.499999999999901</v>
          </cell>
          <cell r="AI509">
            <v>50.099999999999994</v>
          </cell>
          <cell r="AJ509">
            <v>26.100000000000179</v>
          </cell>
          <cell r="AK509">
            <v>14.600000000000179</v>
          </cell>
          <cell r="AM509">
            <v>-0.89999999999996305</v>
          </cell>
          <cell r="AN509">
            <v>-27.59999999999981</v>
          </cell>
          <cell r="AO509">
            <v>-16.700000000000045</v>
          </cell>
          <cell r="AP509">
            <v>-18.979288159999982</v>
          </cell>
          <cell r="AR509">
            <v>-20.842567867999989</v>
          </cell>
          <cell r="AS509">
            <v>-10.849999999999994</v>
          </cell>
          <cell r="AT509">
            <v>3.5459403539071843</v>
          </cell>
          <cell r="AU509">
            <v>20.701841672066806</v>
          </cell>
          <cell r="AW509">
            <v>19.421334008239285</v>
          </cell>
          <cell r="AX509">
            <v>33.210316746528648</v>
          </cell>
          <cell r="AY509">
            <v>50.107297203658149</v>
          </cell>
          <cell r="AZ509">
            <v>67.923677652227951</v>
          </cell>
          <cell r="BA509">
            <v>0.840979101876417</v>
          </cell>
          <cell r="BB509">
            <v>1996</v>
          </cell>
          <cell r="BC509">
            <v>1997</v>
          </cell>
          <cell r="BD509">
            <v>1998</v>
          </cell>
          <cell r="BE509">
            <v>1999</v>
          </cell>
          <cell r="BF509">
            <v>2000</v>
          </cell>
          <cell r="BG509">
            <v>2001</v>
          </cell>
          <cell r="BH509">
            <v>2002</v>
          </cell>
          <cell r="BI509">
            <v>2003</v>
          </cell>
          <cell r="BJ509" t="str">
            <v>2004E</v>
          </cell>
          <cell r="BK509" t="str">
            <v>2005E</v>
          </cell>
          <cell r="BL509">
            <v>0</v>
          </cell>
          <cell r="BM509">
            <v>2002</v>
          </cell>
          <cell r="BN509">
            <v>2003</v>
          </cell>
          <cell r="BO509">
            <v>2004</v>
          </cell>
          <cell r="BP509">
            <v>2005</v>
          </cell>
          <cell r="BQ509">
            <v>2006</v>
          </cell>
          <cell r="BR509">
            <v>2007</v>
          </cell>
          <cell r="BS509">
            <v>2008</v>
          </cell>
          <cell r="BT509">
            <v>2009</v>
          </cell>
          <cell r="BU509">
            <v>2010</v>
          </cell>
          <cell r="BV509">
            <v>827.37193758802107</v>
          </cell>
          <cell r="BW509">
            <v>889.59750829719769</v>
          </cell>
          <cell r="BX509">
            <v>201.64210188069808</v>
          </cell>
          <cell r="BY509">
            <v>524.26946488981514</v>
          </cell>
          <cell r="BZ509">
            <v>768.92854850506251</v>
          </cell>
          <cell r="CA509">
            <v>817.17881492375511</v>
          </cell>
        </row>
        <row r="510">
          <cell r="A510" t="str">
            <v xml:space="preserve">  Add-back Amortization</v>
          </cell>
          <cell r="D510" t="str">
            <v>--</v>
          </cell>
          <cell r="E510" t="str">
            <v>--</v>
          </cell>
          <cell r="F510" t="str">
            <v>--</v>
          </cell>
          <cell r="G510" t="str">
            <v>--</v>
          </cell>
          <cell r="I510">
            <v>3.2719999999999998</v>
          </cell>
          <cell r="J510">
            <v>3.3010000000000002</v>
          </cell>
          <cell r="K510">
            <v>3.8809999999999998</v>
          </cell>
          <cell r="L510">
            <v>4.806</v>
          </cell>
          <cell r="N510">
            <v>13.259</v>
          </cell>
          <cell r="O510">
            <v>10.537000000000001</v>
          </cell>
          <cell r="P510">
            <v>10.782</v>
          </cell>
          <cell r="Q510">
            <v>10.794</v>
          </cell>
          <cell r="S510">
            <v>13.814</v>
          </cell>
          <cell r="T510">
            <v>13.744999999999999</v>
          </cell>
          <cell r="U510">
            <v>14.07</v>
          </cell>
          <cell r="V510">
            <v>13.94</v>
          </cell>
          <cell r="X510">
            <v>15.323</v>
          </cell>
          <cell r="Y510">
            <v>19.248000000000001</v>
          </cell>
          <cell r="Z510">
            <v>25.606999999999999</v>
          </cell>
          <cell r="AA510">
            <v>28.760999999999999</v>
          </cell>
          <cell r="AC510">
            <v>29.577999999999999</v>
          </cell>
          <cell r="AD510">
            <v>28.13</v>
          </cell>
          <cell r="AE510">
            <v>32.158000000000001</v>
          </cell>
          <cell r="AF510">
            <v>35.1</v>
          </cell>
          <cell r="AH510">
            <v>22</v>
          </cell>
          <cell r="AI510">
            <v>21.7</v>
          </cell>
          <cell r="AJ510">
            <v>29</v>
          </cell>
          <cell r="AK510">
            <v>23.2</v>
          </cell>
          <cell r="AM510">
            <v>12.4</v>
          </cell>
          <cell r="AN510">
            <v>12.1</v>
          </cell>
          <cell r="AO510">
            <v>12</v>
          </cell>
          <cell r="AP510">
            <v>12</v>
          </cell>
          <cell r="AR510">
            <v>10.85</v>
          </cell>
          <cell r="AS510">
            <v>10.85</v>
          </cell>
          <cell r="AT510">
            <v>10.85</v>
          </cell>
          <cell r="AU510">
            <v>10.85</v>
          </cell>
          <cell r="AW510">
            <v>8.7750000000000004</v>
          </cell>
          <cell r="AX510">
            <v>-5.091658782999775E-3</v>
          </cell>
          <cell r="AY510">
            <v>0.6192990089003112</v>
          </cell>
          <cell r="AZ510">
            <v>0.63030623666795016</v>
          </cell>
          <cell r="BA510">
            <v>0.840979101876417</v>
          </cell>
          <cell r="BB510">
            <v>1.8360000000000001</v>
          </cell>
          <cell r="BC510">
            <v>15.3</v>
          </cell>
          <cell r="BD510">
            <v>45.372</v>
          </cell>
          <cell r="BE510">
            <v>55.568999999999996</v>
          </cell>
          <cell r="BF510">
            <v>88.938999999999993</v>
          </cell>
          <cell r="BG510">
            <v>0</v>
          </cell>
          <cell r="BH510" t="str">
            <v>--</v>
          </cell>
          <cell r="BI510" t="str">
            <v>--</v>
          </cell>
          <cell r="BJ510" t="str">
            <v>--</v>
          </cell>
          <cell r="BK510" t="str">
            <v>--</v>
          </cell>
          <cell r="BL510" t="str">
            <v>--</v>
          </cell>
          <cell r="BM510">
            <v>95.9</v>
          </cell>
          <cell r="BN510">
            <v>48.5</v>
          </cell>
          <cell r="BO510">
            <v>43.4</v>
          </cell>
          <cell r="BP510">
            <v>35.1</v>
          </cell>
          <cell r="BQ510">
            <v>27</v>
          </cell>
          <cell r="BR510">
            <v>15.3</v>
          </cell>
          <cell r="BS510">
            <v>10.925000000000001</v>
          </cell>
          <cell r="BT510">
            <v>10.925000000000001</v>
          </cell>
          <cell r="BU510">
            <v>10.925000000000001</v>
          </cell>
          <cell r="BV510">
            <v>5</v>
          </cell>
          <cell r="BW510">
            <v>0</v>
          </cell>
          <cell r="BX510">
            <v>0</v>
          </cell>
          <cell r="BY510">
            <v>0</v>
          </cell>
          <cell r="BZ510">
            <v>0</v>
          </cell>
          <cell r="CA510">
            <v>0</v>
          </cell>
        </row>
        <row r="511">
          <cell r="A511" t="str">
            <v xml:space="preserve">  Less Taxes </v>
          </cell>
          <cell r="D511" t="str">
            <v>--</v>
          </cell>
          <cell r="E511" t="str">
            <v>--</v>
          </cell>
          <cell r="F511" t="str">
            <v>--</v>
          </cell>
          <cell r="G511" t="str">
            <v>--</v>
          </cell>
          <cell r="I511">
            <v>4.3122400000000001</v>
          </cell>
          <cell r="J511">
            <v>4.2981799999999994</v>
          </cell>
          <cell r="K511">
            <v>5.9029200000000026</v>
          </cell>
          <cell r="L511">
            <v>7.5669399999999998</v>
          </cell>
          <cell r="N511">
            <v>7.0698999999999987</v>
          </cell>
          <cell r="O511">
            <v>7.4502800000000011</v>
          </cell>
          <cell r="P511">
            <v>8.9733199999999975</v>
          </cell>
          <cell r="Q511">
            <v>11.414440000000001</v>
          </cell>
          <cell r="S511">
            <v>12.713518030468599</v>
          </cell>
          <cell r="T511">
            <v>14.743047312520115</v>
          </cell>
          <cell r="U511">
            <v>14.621633099304901</v>
          </cell>
          <cell r="V511">
            <v>17.505207521722213</v>
          </cell>
          <cell r="X511">
            <v>16.606674882109267</v>
          </cell>
          <cell r="Y511">
            <v>16.19380194096388</v>
          </cell>
          <cell r="Z511">
            <v>22.355142013613623</v>
          </cell>
          <cell r="AA511">
            <v>31.90531571615864</v>
          </cell>
          <cell r="AC511">
            <v>24.407917091483895</v>
          </cell>
          <cell r="AD511">
            <v>16.671449919056894</v>
          </cell>
          <cell r="AE511">
            <v>10.220909999999979</v>
          </cell>
          <cell r="AF511">
            <v>15.019830000000004</v>
          </cell>
          <cell r="AH511">
            <v>12.116108786610887</v>
          </cell>
          <cell r="AI511">
            <v>12.236960985626286</v>
          </cell>
          <cell r="AJ511">
            <v>9.3670000000000293</v>
          </cell>
          <cell r="AK511">
            <v>6.4260000000000312</v>
          </cell>
          <cell r="AM511">
            <v>1.9550000000000063</v>
          </cell>
          <cell r="AN511">
            <v>-2.6349999999999678</v>
          </cell>
          <cell r="AO511">
            <v>-0.21493902439024543</v>
          </cell>
          <cell r="AP511">
            <v>-1.1864789871999968</v>
          </cell>
          <cell r="AR511">
            <v>-1.6987365375599981</v>
          </cell>
          <cell r="AS511">
            <v>0</v>
          </cell>
          <cell r="AT511">
            <v>2.4473098601642214</v>
          </cell>
          <cell r="AU511">
            <v>5.3638130842513565</v>
          </cell>
          <cell r="AW511">
            <v>4.7933767814006778</v>
          </cell>
          <cell r="AX511">
            <v>7.1375038469098691</v>
          </cell>
          <cell r="AY511">
            <v>10.009990524621886</v>
          </cell>
          <cell r="AZ511">
            <v>13.038775200878753</v>
          </cell>
          <cell r="BB511">
            <v>26.833700000000004</v>
          </cell>
          <cell r="BC511">
            <v>22.095480000000002</v>
          </cell>
          <cell r="BD511">
            <v>34.907940000000004</v>
          </cell>
          <cell r="BE511">
            <v>58.925587060962783</v>
          </cell>
          <cell r="BF511">
            <v>86.760475211134874</v>
          </cell>
          <cell r="BG511">
            <v>0</v>
          </cell>
          <cell r="BH511" t="e">
            <v>#DIV/0!</v>
          </cell>
          <cell r="BI511">
            <v>0.89254920855251441</v>
          </cell>
          <cell r="BJ511">
            <v>0.49722724651746542</v>
          </cell>
          <cell r="BK511">
            <v>0.21999999999999997</v>
          </cell>
          <cell r="BL511">
            <v>0.25</v>
          </cell>
          <cell r="BM511">
            <v>140.30000000000024</v>
          </cell>
          <cell r="BN511">
            <v>-61.299999999999812</v>
          </cell>
          <cell r="BO511">
            <v>51.586949403593152</v>
          </cell>
          <cell r="BP511">
            <v>253.17653581907325</v>
          </cell>
          <cell r="BQ511">
            <v>553.59340338804805</v>
          </cell>
          <cell r="BR511">
            <v>321.16095767073216</v>
          </cell>
          <cell r="BS511">
            <v>533.7211752294977</v>
          </cell>
          <cell r="BT511">
            <v>686.84455706544793</v>
          </cell>
          <cell r="BU511">
            <v>968.15586270341294</v>
          </cell>
          <cell r="BV511">
            <v>199.76926502112505</v>
          </cell>
          <cell r="BW511">
            <v>213.50340199132745</v>
          </cell>
          <cell r="BX511">
            <v>48.394104451367539</v>
          </cell>
          <cell r="BY511">
            <v>125.82467157355563</v>
          </cell>
          <cell r="BZ511">
            <v>184.54285164121501</v>
          </cell>
          <cell r="CA511">
            <v>196.12291558170122</v>
          </cell>
        </row>
        <row r="512">
          <cell r="A512" t="str">
            <v>After-tax Op. Income</v>
          </cell>
          <cell r="D512" t="str">
            <v>--</v>
          </cell>
          <cell r="E512" t="str">
            <v>--</v>
          </cell>
          <cell r="F512" t="str">
            <v>--</v>
          </cell>
          <cell r="G512" t="str">
            <v>--</v>
          </cell>
          <cell r="I512">
            <v>7.0357600000000007</v>
          </cell>
          <cell r="J512">
            <v>7.0128199999999987</v>
          </cell>
          <cell r="K512">
            <v>9.6310800000000043</v>
          </cell>
          <cell r="L512">
            <v>12.346060000000001</v>
          </cell>
          <cell r="N512">
            <v>11.535099999999998</v>
          </cell>
          <cell r="O512">
            <v>12.155720000000001</v>
          </cell>
          <cell r="P512">
            <v>14.640679999999996</v>
          </cell>
          <cell r="Q512">
            <v>18.623559999999998</v>
          </cell>
          <cell r="S512">
            <v>19.886481969531403</v>
          </cell>
          <cell r="T512">
            <v>22.988952687479877</v>
          </cell>
          <cell r="U512">
            <v>31.072366900695094</v>
          </cell>
          <cell r="V512">
            <v>37.196792478277786</v>
          </cell>
          <cell r="X512">
            <v>35.287325117890731</v>
          </cell>
          <cell r="Y512">
            <v>51.281198059036143</v>
          </cell>
          <cell r="Z512">
            <v>71.184857986386362</v>
          </cell>
          <cell r="AA512">
            <v>101.03168428384134</v>
          </cell>
          <cell r="AC512">
            <v>77.530082908516107</v>
          </cell>
          <cell r="AD512">
            <v>81.287550080943376</v>
          </cell>
          <cell r="AE512">
            <v>49.902089999999902</v>
          </cell>
          <cell r="AF512">
            <v>73.280170000000012</v>
          </cell>
          <cell r="AH512">
            <v>59.383891213389013</v>
          </cell>
          <cell r="AI512">
            <v>59.563039014373715</v>
          </cell>
          <cell r="AJ512">
            <v>45.733000000000146</v>
          </cell>
          <cell r="AK512">
            <v>31.374000000000152</v>
          </cell>
          <cell r="AM512">
            <v>9.5450000000000301</v>
          </cell>
          <cell r="AN512">
            <v>-12.864999999999842</v>
          </cell>
          <cell r="AO512">
            <v>-4.4850609756097999</v>
          </cell>
          <cell r="AP512">
            <v>-5.7928091727999851</v>
          </cell>
          <cell r="AR512">
            <v>-8.2938313304399909</v>
          </cell>
          <cell r="AS512">
            <v>0</v>
          </cell>
          <cell r="AT512">
            <v>11.948630493742963</v>
          </cell>
          <cell r="AU512">
            <v>26.188028587815452</v>
          </cell>
          <cell r="AW512">
            <v>23.402957226838605</v>
          </cell>
          <cell r="AX512">
            <v>34.847812899618773</v>
          </cell>
          <cell r="AY512">
            <v>48.872306679036264</v>
          </cell>
          <cell r="AZ512">
            <v>63.659902451349204</v>
          </cell>
          <cell r="BA512">
            <v>323.53436446047334</v>
          </cell>
          <cell r="BB512">
            <v>1.8360000000000001</v>
          </cell>
          <cell r="BC512">
            <v>15.3</v>
          </cell>
          <cell r="BD512">
            <v>45.372</v>
          </cell>
          <cell r="BE512">
            <v>55.568999999999996</v>
          </cell>
          <cell r="BF512">
            <v>88.938999999999993</v>
          </cell>
          <cell r="BG512">
            <v>124.96600000000001</v>
          </cell>
          <cell r="BH512">
            <v>95.9</v>
          </cell>
          <cell r="BI512">
            <v>48.5</v>
          </cell>
          <cell r="BJ512">
            <v>43.4</v>
          </cell>
          <cell r="BK512">
            <v>35.1</v>
          </cell>
          <cell r="BL512">
            <v>1712.1738880732448</v>
          </cell>
          <cell r="BM512">
            <v>95.9</v>
          </cell>
          <cell r="BN512">
            <v>48.5</v>
          </cell>
          <cell r="BO512">
            <v>43.4</v>
          </cell>
          <cell r="BP512">
            <v>35.1</v>
          </cell>
          <cell r="BQ512">
            <v>27</v>
          </cell>
          <cell r="BR512">
            <v>15.3</v>
          </cell>
          <cell r="BS512">
            <v>10.925000000000001</v>
          </cell>
          <cell r="BT512">
            <v>10.925000000000001</v>
          </cell>
          <cell r="BU512">
            <v>10.925000000000001</v>
          </cell>
          <cell r="BV512">
            <v>632.60267256689599</v>
          </cell>
          <cell r="BW512">
            <v>676.09410630587024</v>
          </cell>
          <cell r="BX512">
            <v>153.24799742933055</v>
          </cell>
          <cell r="BY512">
            <v>398.44479331625951</v>
          </cell>
          <cell r="BZ512">
            <v>584.38569686384744</v>
          </cell>
          <cell r="CA512">
            <v>621.05589934205386</v>
          </cell>
        </row>
        <row r="513">
          <cell r="A513" t="str">
            <v>After-tax Op. Income Margin (A)</v>
          </cell>
          <cell r="D513" t="str">
            <v>--</v>
          </cell>
          <cell r="E513" t="str">
            <v>--</v>
          </cell>
          <cell r="F513" t="str">
            <v>--</v>
          </cell>
          <cell r="G513" t="str">
            <v>--</v>
          </cell>
          <cell r="I513">
            <v>1.4548717948717949E-2</v>
          </cell>
          <cell r="J513">
            <v>1.6284078903066258E-2</v>
          </cell>
          <cell r="K513">
            <v>2.3541138598493837E-2</v>
          </cell>
          <cell r="L513">
            <v>1.8071274775427519E-2</v>
          </cell>
          <cell r="N513">
            <v>1.5615405441992686E-2</v>
          </cell>
          <cell r="O513">
            <v>1.5712758572996338E-2</v>
          </cell>
          <cell r="P513">
            <v>1.8039280433711183E-2</v>
          </cell>
          <cell r="Q513">
            <v>2.012709419019602E-2</v>
          </cell>
          <cell r="S513">
            <v>1.8382363461645703E-2</v>
          </cell>
          <cell r="T513">
            <v>1.8395577088485136E-2</v>
          </cell>
          <cell r="U513">
            <v>2.28987328913326E-2</v>
          </cell>
          <cell r="V513">
            <v>2.3121534953686299E-2</v>
          </cell>
          <cell r="X513">
            <v>2.1886014848073697E-2</v>
          </cell>
          <cell r="Y513">
            <v>2.4514372007916382E-2</v>
          </cell>
          <cell r="Z513">
            <v>2.7377222607776079E-2</v>
          </cell>
          <cell r="AA513">
            <v>2.9303912232965947E-2</v>
          </cell>
          <cell r="AC513">
            <v>2.8794029101702315E-2</v>
          </cell>
          <cell r="AD513">
            <v>3.0551120672837724E-2</v>
          </cell>
          <cell r="AE513">
            <v>2.2652393381601899E-2</v>
          </cell>
          <cell r="AF513">
            <v>2.9932264520872484E-2</v>
          </cell>
          <cell r="AH513">
            <v>2.7601157896067402E-2</v>
          </cell>
          <cell r="AI513">
            <v>2.6481877562855114E-2</v>
          </cell>
          <cell r="AJ513">
            <v>2.3346265761396777E-2</v>
          </cell>
          <cell r="AK513">
            <v>1.6409854071865761E-2</v>
          </cell>
          <cell r="AM513">
            <v>6.012977195413903E-3</v>
          </cell>
          <cell r="AN513">
            <v>-8.0486736736735745E-3</v>
          </cell>
          <cell r="AO513">
            <v>-2.7434921553766822E-3</v>
          </cell>
          <cell r="AP513">
            <v>-3.3199999999999909E-3</v>
          </cell>
          <cell r="AR513">
            <v>-4.979999999999994E-3</v>
          </cell>
          <cell r="AS513">
            <v>0</v>
          </cell>
          <cell r="AT513">
            <v>6.6399999999999931E-3</v>
          </cell>
          <cell r="AU513">
            <v>1.3279999999999997E-2</v>
          </cell>
          <cell r="AW513">
            <v>1.2449999999999989E-2</v>
          </cell>
          <cell r="AX513">
            <v>1.7429999999999991E-2</v>
          </cell>
          <cell r="AY513">
            <v>2.324E-2</v>
          </cell>
          <cell r="AZ513">
            <v>2.7389999999999998E-2</v>
          </cell>
          <cell r="BA513">
            <v>3.3175951216584509E-2</v>
          </cell>
          <cell r="BB513">
            <v>26.833700000000004</v>
          </cell>
          <cell r="BC513">
            <v>22.095480000000002</v>
          </cell>
          <cell r="BD513">
            <v>34.907940000000004</v>
          </cell>
          <cell r="BE513">
            <v>58.925587060962783</v>
          </cell>
          <cell r="BF513">
            <v>86.760475211134874</v>
          </cell>
          <cell r="BG513">
            <v>67.183273721175581</v>
          </cell>
          <cell r="BH513">
            <v>40.154000000000039</v>
          </cell>
          <cell r="BI513">
            <v>-1.4460419580419339</v>
          </cell>
          <cell r="BJ513">
            <v>16.147781398610835</v>
          </cell>
          <cell r="BK513">
            <v>49.007011089242468</v>
          </cell>
          <cell r="BL513">
            <v>6.1462971570180512E-2</v>
          </cell>
          <cell r="BM513">
            <v>40.154000000000039</v>
          </cell>
          <cell r="BN513">
            <v>-1.4460419580419339</v>
          </cell>
          <cell r="BO513">
            <v>16.147781398610835</v>
          </cell>
          <cell r="BP513">
            <v>49.007011089242468</v>
          </cell>
          <cell r="BQ513">
            <v>139.34241681313154</v>
          </cell>
          <cell r="BR513">
            <v>80.750629840975719</v>
          </cell>
          <cell r="BS513">
            <v>130.71508205507942</v>
          </cell>
          <cell r="BT513">
            <v>167.4646936957075</v>
          </cell>
          <cell r="BU513">
            <v>234.9794070488191</v>
          </cell>
          <cell r="BV513">
            <v>3.6479999999999992E-2</v>
          </cell>
          <cell r="BW513">
            <v>3.4199999999999994E-2</v>
          </cell>
          <cell r="BX513">
            <v>9.1199999999999979E-3</v>
          </cell>
          <cell r="BY513">
            <v>2.2799999999999997E-2</v>
          </cell>
          <cell r="BZ513">
            <v>3.0400000000000003E-2</v>
          </cell>
          <cell r="CA513">
            <v>2.9640000000000003E-2</v>
          </cell>
        </row>
        <row r="514">
          <cell r="A514" t="str">
            <v xml:space="preserve">    % change</v>
          </cell>
          <cell r="D514" t="str">
            <v>--</v>
          </cell>
          <cell r="E514" t="str">
            <v>--</v>
          </cell>
          <cell r="F514" t="str">
            <v>--</v>
          </cell>
          <cell r="G514" t="str">
            <v>--</v>
          </cell>
          <cell r="I514">
            <v>7.0357600000000007</v>
          </cell>
          <cell r="J514">
            <v>7.0128199999999987</v>
          </cell>
          <cell r="K514">
            <v>9.6310800000000043</v>
          </cell>
          <cell r="L514">
            <v>12.346060000000001</v>
          </cell>
          <cell r="N514">
            <v>11.535099999999998</v>
          </cell>
          <cell r="O514">
            <v>12.155720000000001</v>
          </cell>
          <cell r="P514">
            <v>14.640679999999996</v>
          </cell>
          <cell r="Q514">
            <v>18.623559999999998</v>
          </cell>
          <cell r="S514">
            <v>19.886481969531403</v>
          </cell>
          <cell r="T514">
            <v>22.988952687479877</v>
          </cell>
          <cell r="U514">
            <v>31.072366900695094</v>
          </cell>
          <cell r="V514">
            <v>37.196792478277786</v>
          </cell>
          <cell r="X514">
            <v>35.287325117890731</v>
          </cell>
          <cell r="Y514">
            <v>51.281198059036143</v>
          </cell>
          <cell r="Z514">
            <v>71.184857986386362</v>
          </cell>
          <cell r="AA514">
            <v>101.03168428384134</v>
          </cell>
          <cell r="AC514">
            <v>77.530082908516107</v>
          </cell>
          <cell r="AD514">
            <v>81.287550080943376</v>
          </cell>
          <cell r="AE514">
            <v>49.902089999999902</v>
          </cell>
          <cell r="AF514">
            <v>73.280170000000012</v>
          </cell>
          <cell r="AH514">
            <v>59.383891213389013</v>
          </cell>
          <cell r="AI514">
            <v>59.563039014373715</v>
          </cell>
          <cell r="AJ514">
            <v>45.733000000000146</v>
          </cell>
          <cell r="AK514">
            <v>31.374000000000152</v>
          </cell>
          <cell r="AM514">
            <v>9.5450000000000301</v>
          </cell>
          <cell r="AN514">
            <v>-12.864999999999842</v>
          </cell>
          <cell r="AO514">
            <v>-4.4850609756097999</v>
          </cell>
          <cell r="AP514">
            <v>-3.694767441860459</v>
          </cell>
          <cell r="AR514">
            <v>-1.6635768351999838</v>
          </cell>
          <cell r="AS514">
            <v>11.550313806564009</v>
          </cell>
          <cell r="AT514">
            <v>25.722929131928872</v>
          </cell>
          <cell r="AU514">
            <v>43.229501901689417</v>
          </cell>
          <cell r="AW514">
            <v>47.913150535718088</v>
          </cell>
          <cell r="AX514">
            <v>58.084878645610836</v>
          </cell>
          <cell r="AY514">
            <v>59.451566135146194</v>
          </cell>
          <cell r="AZ514">
            <v>73.819929413355695</v>
          </cell>
          <cell r="BB514">
            <v>43.781300000000002</v>
          </cell>
          <cell r="BC514">
            <v>36.050519999999999</v>
          </cell>
          <cell r="BD514">
            <v>56.955059999999996</v>
          </cell>
          <cell r="BE514">
            <v>111.8024129390372</v>
          </cell>
          <cell r="BF514">
            <v>259.08552478886514</v>
          </cell>
          <cell r="BG514">
            <v>281.1367262788246</v>
          </cell>
          <cell r="BH514" t="str">
            <v>--</v>
          </cell>
          <cell r="BI514" t="str">
            <v>--</v>
          </cell>
          <cell r="BJ514" t="str">
            <v>--</v>
          </cell>
          <cell r="BK514" t="str">
            <v>--</v>
          </cell>
          <cell r="BL514" t="str">
            <v>--</v>
          </cell>
          <cell r="BM514">
            <v>196.04600000000022</v>
          </cell>
          <cell r="BN514">
            <v>-11.353958041957878</v>
          </cell>
          <cell r="BO514">
            <v>78.839168004982312</v>
          </cell>
          <cell r="BP514">
            <v>239.26952472983081</v>
          </cell>
          <cell r="BQ514">
            <v>441.25098657491651</v>
          </cell>
          <cell r="BR514">
            <v>255.71032782975647</v>
          </cell>
          <cell r="BS514">
            <v>413.93109317441827</v>
          </cell>
          <cell r="BT514">
            <v>530.30486336974036</v>
          </cell>
          <cell r="BU514">
            <v>744.10145565459379</v>
          </cell>
          <cell r="BV514">
            <v>1060.188407967325</v>
          </cell>
          <cell r="BW514">
            <v>1133.0763610150786</v>
          </cell>
          <cell r="BX514">
            <v>256.83064183008446</v>
          </cell>
          <cell r="BY514">
            <v>667.75966875821973</v>
          </cell>
          <cell r="BZ514">
            <v>1003.8653686998568</v>
          </cell>
          <cell r="CA514">
            <v>1067.5251237881407</v>
          </cell>
        </row>
        <row r="515">
          <cell r="A515" t="str">
            <v>Goodwill on Balance Sheet</v>
          </cell>
          <cell r="D515" t="str">
            <v>--</v>
          </cell>
          <cell r="E515" t="str">
            <v>--</v>
          </cell>
          <cell r="F515" t="str">
            <v>--</v>
          </cell>
          <cell r="G515" t="str">
            <v>--</v>
          </cell>
          <cell r="I515">
            <v>1.4548717948717949E-2</v>
          </cell>
          <cell r="J515">
            <v>1.6284078903066258E-2</v>
          </cell>
          <cell r="K515">
            <v>2.3541138598493837E-2</v>
          </cell>
          <cell r="L515">
            <v>1.8071274775427519E-2</v>
          </cell>
          <cell r="N515">
            <v>1.5615405441992686E-2</v>
          </cell>
          <cell r="O515">
            <v>1.5712758572996338E-2</v>
          </cell>
          <cell r="P515">
            <v>1.8039280433711183E-2</v>
          </cell>
          <cell r="Q515">
            <v>2.012709419019602E-2</v>
          </cell>
          <cell r="S515">
            <v>1.8382363461645703E-2</v>
          </cell>
          <cell r="T515">
            <v>1.8395577088485136E-2</v>
          </cell>
          <cell r="U515">
            <v>2.28987328913326E-2</v>
          </cell>
          <cell r="V515">
            <v>2.3121534953686299E-2</v>
          </cell>
          <cell r="X515">
            <v>2.1886014848073697E-2</v>
          </cell>
          <cell r="Y515">
            <v>2.4514372007916382E-2</v>
          </cell>
          <cell r="Z515">
            <v>2.7377222607776079E-2</v>
          </cell>
          <cell r="AA515">
            <v>2.9303912232965947E-2</v>
          </cell>
          <cell r="AC515">
            <v>0</v>
          </cell>
          <cell r="AD515">
            <v>0</v>
          </cell>
          <cell r="AE515">
            <v>0</v>
          </cell>
          <cell r="AF515">
            <v>1128.8</v>
          </cell>
          <cell r="AH515">
            <v>1137.9000000000001</v>
          </cell>
          <cell r="AI515">
            <v>1137.9000000000001</v>
          </cell>
          <cell r="AJ515">
            <v>1155.0999999999999</v>
          </cell>
          <cell r="AK515">
            <v>948</v>
          </cell>
          <cell r="AM515">
            <v>948</v>
          </cell>
          <cell r="AN515">
            <v>948</v>
          </cell>
          <cell r="AO515">
            <v>948</v>
          </cell>
          <cell r="AP515">
            <v>948</v>
          </cell>
          <cell r="AR515">
            <v>948</v>
          </cell>
          <cell r="AS515">
            <v>948</v>
          </cell>
          <cell r="AT515">
            <v>948</v>
          </cell>
          <cell r="AU515">
            <v>948</v>
          </cell>
          <cell r="AW515">
            <v>948</v>
          </cell>
          <cell r="AX515">
            <v>948</v>
          </cell>
          <cell r="AY515">
            <v>948</v>
          </cell>
          <cell r="AZ515">
            <v>948</v>
          </cell>
          <cell r="BA515">
            <v>342.51736446047335</v>
          </cell>
          <cell r="BB515">
            <v>2.1707998897278303E-2</v>
          </cell>
          <cell r="BC515">
            <v>1.7966339389970588E-2</v>
          </cell>
          <cell r="BD515">
            <v>1.7528846162724026E-2</v>
          </cell>
          <cell r="BE515">
            <v>2.1105857549303612E-2</v>
          </cell>
          <cell r="BF515">
            <v>2.6567220287873623E-2</v>
          </cell>
          <cell r="BG515">
            <v>1128.8</v>
          </cell>
          <cell r="BH515">
            <v>948</v>
          </cell>
          <cell r="BI515">
            <v>948</v>
          </cell>
          <cell r="BJ515">
            <v>948</v>
          </cell>
          <cell r="BK515">
            <v>948</v>
          </cell>
          <cell r="BL515">
            <v>1705.5188001239385</v>
          </cell>
          <cell r="BM515">
            <v>2.3701384271293022E-2</v>
          </cell>
          <cell r="BN515">
            <v>-1.6856889677021565E-3</v>
          </cell>
          <cell r="BO515">
            <v>8.2114291710493163E-3</v>
          </cell>
          <cell r="BP515">
            <v>1.9600048036620556E-2</v>
          </cell>
          <cell r="BQ515">
            <v>3.1160000000000011E-2</v>
          </cell>
          <cell r="BR515">
            <v>1.8240000000000003E-2</v>
          </cell>
          <cell r="BS515">
            <v>2.6600000000000006E-2</v>
          </cell>
          <cell r="BT515">
            <v>2.8880000000000003E-2</v>
          </cell>
          <cell r="BU515">
            <v>3.2680000000000008E-2</v>
          </cell>
          <cell r="BV515">
            <v>3.6480000000000005E-2</v>
          </cell>
          <cell r="BW515">
            <v>3.4200000000000001E-2</v>
          </cell>
          <cell r="BX515">
            <v>9.1199999999999979E-3</v>
          </cell>
          <cell r="BY515">
            <v>2.2800000000000001E-2</v>
          </cell>
          <cell r="BZ515">
            <v>3.1159999999999993E-2</v>
          </cell>
          <cell r="CA515">
            <v>3.04E-2</v>
          </cell>
        </row>
        <row r="516">
          <cell r="A516" t="str">
            <v>Implied Goodwill from Pooling Acqs.</v>
          </cell>
          <cell r="D516" t="str">
            <v>--</v>
          </cell>
          <cell r="E516" t="str">
            <v>--</v>
          </cell>
          <cell r="F516" t="str">
            <v>--</v>
          </cell>
          <cell r="G516" t="str">
            <v>--</v>
          </cell>
          <cell r="I516">
            <v>1.4548717948717949E-2</v>
          </cell>
          <cell r="J516">
            <v>1.6284078903066258E-2</v>
          </cell>
          <cell r="K516">
            <v>2.3541138598493837E-2</v>
          </cell>
          <cell r="L516">
            <v>1.8071274775427519E-2</v>
          </cell>
          <cell r="N516">
            <v>1.5615405441992686E-2</v>
          </cell>
          <cell r="O516">
            <v>1.5712758572996338E-2</v>
          </cell>
          <cell r="P516">
            <v>1.8039280433711183E-2</v>
          </cell>
          <cell r="Q516">
            <v>2.012709419019602E-2</v>
          </cell>
          <cell r="S516">
            <v>1.8382363461645703E-2</v>
          </cell>
          <cell r="T516">
            <v>1.8395577088485136E-2</v>
          </cell>
          <cell r="U516">
            <v>2.28987328913326E-2</v>
          </cell>
          <cell r="V516">
            <v>2.3121534953686299E-2</v>
          </cell>
          <cell r="X516">
            <v>2.1886014848073697E-2</v>
          </cell>
          <cell r="Y516">
            <v>2.4514372007916382E-2</v>
          </cell>
          <cell r="Z516">
            <v>2.7377222607776079E-2</v>
          </cell>
          <cell r="AA516">
            <v>2.9303912232965947E-2</v>
          </cell>
          <cell r="AC516">
            <v>0</v>
          </cell>
          <cell r="AD516">
            <v>0</v>
          </cell>
          <cell r="AE516">
            <v>0</v>
          </cell>
          <cell r="AF516">
            <v>0</v>
          </cell>
          <cell r="AH516">
            <v>0</v>
          </cell>
          <cell r="AI516">
            <v>0</v>
          </cell>
          <cell r="AJ516">
            <v>0</v>
          </cell>
          <cell r="AK516">
            <v>0</v>
          </cell>
          <cell r="AM516">
            <v>0</v>
          </cell>
          <cell r="AN516">
            <v>0</v>
          </cell>
          <cell r="AO516">
            <v>0</v>
          </cell>
          <cell r="AP516">
            <v>0</v>
          </cell>
          <cell r="AR516">
            <v>0</v>
          </cell>
          <cell r="AS516">
            <v>0</v>
          </cell>
          <cell r="AT516">
            <v>0</v>
          </cell>
          <cell r="AU516">
            <v>0</v>
          </cell>
          <cell r="AW516">
            <v>0</v>
          </cell>
          <cell r="AX516">
            <v>0</v>
          </cell>
          <cell r="AY516">
            <v>0</v>
          </cell>
          <cell r="AZ516">
            <v>0</v>
          </cell>
          <cell r="BA516">
            <v>3.5122511307642053E-2</v>
          </cell>
          <cell r="BB516">
            <v>3.3194372044624276E-2</v>
          </cell>
          <cell r="BC516">
            <v>3.169001017944819E-2</v>
          </cell>
          <cell r="BD516">
            <v>3.7724037904081034E-2</v>
          </cell>
          <cell r="BE516">
            <v>4.3339905144831242E-2</v>
          </cell>
          <cell r="BF516">
            <v>2.6567220287873623E-2</v>
          </cell>
          <cell r="BG516">
            <v>0</v>
          </cell>
          <cell r="BH516">
            <v>0</v>
          </cell>
          <cell r="BI516">
            <v>0</v>
          </cell>
          <cell r="BJ516">
            <v>0</v>
          </cell>
          <cell r="BK516">
            <v>0</v>
          </cell>
          <cell r="BL516">
            <v>6.122406973650895E-2</v>
          </cell>
          <cell r="BM516">
            <v>5.5545230856572383E-2</v>
          </cell>
          <cell r="BN516">
            <v>4.8354347906809911E-2</v>
          </cell>
          <cell r="BO516">
            <v>4.3261591454798659E-2</v>
          </cell>
          <cell r="BP516">
            <v>4.3241745892194913E-2</v>
          </cell>
          <cell r="BQ516">
            <v>4.3510919294168789E-2</v>
          </cell>
          <cell r="BR516">
            <v>4.3943116681421271E-2</v>
          </cell>
          <cell r="BS516">
            <v>4.4519111363652553E-2</v>
          </cell>
          <cell r="BT516">
            <v>4.4740817902616921E-2</v>
          </cell>
          <cell r="BU516">
            <v>4.5179586175521674E-2</v>
          </cell>
          <cell r="BV516">
            <v>3.6480000000000005E-2</v>
          </cell>
          <cell r="BW516">
            <v>3.4200000000000001E-2</v>
          </cell>
          <cell r="BX516">
            <v>9.1199999999999979E-3</v>
          </cell>
          <cell r="BY516">
            <v>2.2800000000000001E-2</v>
          </cell>
          <cell r="BZ516">
            <v>3.1159999999999993E-2</v>
          </cell>
          <cell r="CA516">
            <v>3.04E-2</v>
          </cell>
        </row>
        <row r="517">
          <cell r="A517" t="str">
            <v>Accum. Goodwill Amortization</v>
          </cell>
          <cell r="AC517">
            <v>104</v>
          </cell>
          <cell r="AD517">
            <v>0</v>
          </cell>
          <cell r="AE517">
            <v>0</v>
          </cell>
          <cell r="AF517">
            <v>132.30000000000001</v>
          </cell>
          <cell r="AH517">
            <v>132.30000000000001</v>
          </cell>
          <cell r="AI517">
            <v>132.30000000000001</v>
          </cell>
          <cell r="AJ517">
            <v>132.30000000000001</v>
          </cell>
          <cell r="AK517">
            <v>132.30000000000001</v>
          </cell>
          <cell r="AM517">
            <v>132.30000000000001</v>
          </cell>
          <cell r="AN517">
            <v>132.30000000000001</v>
          </cell>
          <cell r="AO517">
            <v>132.30000000000001</v>
          </cell>
          <cell r="AP517">
            <v>132.30000000000001</v>
          </cell>
          <cell r="AR517">
            <v>132.30000000000001</v>
          </cell>
          <cell r="AS517">
            <v>132.30000000000001</v>
          </cell>
          <cell r="AT517">
            <v>132.30000000000001</v>
          </cell>
          <cell r="AU517">
            <v>132.30000000000001</v>
          </cell>
          <cell r="AW517">
            <v>132.30000000000001</v>
          </cell>
          <cell r="AX517">
            <v>132.30000000000001</v>
          </cell>
          <cell r="AY517">
            <v>132.30000000000001</v>
          </cell>
          <cell r="AZ517">
            <v>132.30000000000001</v>
          </cell>
          <cell r="BA517">
            <v>3.3175951216584509E-2</v>
          </cell>
          <cell r="BB517">
            <v>3.2407320787036516E-2</v>
          </cell>
          <cell r="BC517">
            <v>3.2030831146938971E-2</v>
          </cell>
          <cell r="BD517">
            <v>3.7234706847059811E-2</v>
          </cell>
          <cell r="BE517">
            <v>4.287192724149911E-2</v>
          </cell>
          <cell r="BG517">
            <v>132.30000000000001</v>
          </cell>
          <cell r="BH517">
            <v>132.30000000000001</v>
          </cell>
          <cell r="BI517">
            <v>132.30000000000001</v>
          </cell>
          <cell r="BJ517">
            <v>132.30000000000001</v>
          </cell>
          <cell r="BK517">
            <v>132.30000000000001</v>
          </cell>
          <cell r="BL517">
            <v>6.1484799008875379E-2</v>
          </cell>
          <cell r="BM517">
            <v>5.5587839207100302E-2</v>
          </cell>
          <cell r="BN517">
            <v>4.8659371245537431E-2</v>
          </cell>
          <cell r="BO517">
            <v>4.3708864312425162E-2</v>
          </cell>
          <cell r="BP517">
            <v>4.3742357798606329E-2</v>
          </cell>
          <cell r="BQ517">
            <v>4.3765779816914846E-2</v>
          </cell>
          <cell r="BR517">
            <v>4.3783129460106339E-2</v>
          </cell>
          <cell r="BS517">
            <v>4.3795405151043708E-2</v>
          </cell>
          <cell r="BT517">
            <v>4.3803274183695874E-2</v>
          </cell>
          <cell r="BU517">
            <v>4.3809004061840656E-2</v>
          </cell>
        </row>
        <row r="518">
          <cell r="A518" t="str">
            <v>Accum. Goodwill Writeoffs</v>
          </cell>
          <cell r="AC518">
            <v>0</v>
          </cell>
          <cell r="AD518">
            <v>0</v>
          </cell>
          <cell r="AE518">
            <v>0</v>
          </cell>
          <cell r="AF518">
            <v>0</v>
          </cell>
          <cell r="AH518">
            <v>0</v>
          </cell>
          <cell r="AI518">
            <v>0</v>
          </cell>
          <cell r="AJ518">
            <v>0</v>
          </cell>
          <cell r="AK518">
            <v>203.7</v>
          </cell>
          <cell r="AM518">
            <v>203.7</v>
          </cell>
          <cell r="AN518">
            <v>203.7</v>
          </cell>
          <cell r="AO518">
            <v>203.7</v>
          </cell>
          <cell r="AP518">
            <v>203.7</v>
          </cell>
          <cell r="AR518">
            <v>203.7</v>
          </cell>
          <cell r="AS518">
            <v>203.7</v>
          </cell>
          <cell r="AT518">
            <v>203.7</v>
          </cell>
          <cell r="AU518">
            <v>203.7</v>
          </cell>
          <cell r="AW518">
            <v>203.7</v>
          </cell>
          <cell r="AX518">
            <v>203.7</v>
          </cell>
          <cell r="AY518">
            <v>203.7</v>
          </cell>
          <cell r="AZ518">
            <v>203.7</v>
          </cell>
          <cell r="BA518">
            <v>0.25086447497190911</v>
          </cell>
          <cell r="BB518">
            <v>0.19287802515266292</v>
          </cell>
          <cell r="BC518">
            <v>0.16987824442162119</v>
          </cell>
          <cell r="BD518">
            <v>0.17000000000000004</v>
          </cell>
          <cell r="BE518">
            <v>0.17</v>
          </cell>
          <cell r="BG518">
            <v>0</v>
          </cell>
          <cell r="BH518">
            <v>203.7</v>
          </cell>
          <cell r="BI518">
            <v>203.7</v>
          </cell>
          <cell r="BJ518">
            <v>203.7</v>
          </cell>
          <cell r="BK518">
            <v>203.7</v>
          </cell>
          <cell r="BL518">
            <v>0.17</v>
          </cell>
          <cell r="BM518">
            <v>0.17</v>
          </cell>
          <cell r="BN518">
            <v>0.17</v>
          </cell>
          <cell r="BO518">
            <v>0.17</v>
          </cell>
          <cell r="BP518">
            <v>0.17</v>
          </cell>
          <cell r="BQ518">
            <v>0.17</v>
          </cell>
          <cell r="BR518">
            <v>0.17</v>
          </cell>
          <cell r="BS518">
            <v>0.17</v>
          </cell>
          <cell r="BT518">
            <v>0.17</v>
          </cell>
          <cell r="BU518">
            <v>0.17</v>
          </cell>
        </row>
        <row r="519">
          <cell r="A519" t="str">
            <v>MS Goodwill Impairment Estimate</v>
          </cell>
          <cell r="AC519">
            <v>0</v>
          </cell>
          <cell r="AD519">
            <v>0</v>
          </cell>
          <cell r="AE519">
            <v>0</v>
          </cell>
          <cell r="AF519">
            <v>132.30000000000001</v>
          </cell>
          <cell r="AH519">
            <v>0</v>
          </cell>
          <cell r="AI519">
            <v>0</v>
          </cell>
          <cell r="AJ519">
            <v>0</v>
          </cell>
          <cell r="AK519">
            <v>203.7</v>
          </cell>
          <cell r="AM519">
            <v>203.7</v>
          </cell>
          <cell r="AN519">
            <v>595.70000000000005</v>
          </cell>
          <cell r="AO519">
            <v>595.70000000000005</v>
          </cell>
          <cell r="AP519">
            <v>595.70000000000005</v>
          </cell>
          <cell r="AR519">
            <v>595.70000000000005</v>
          </cell>
          <cell r="AS519">
            <v>595.70000000000005</v>
          </cell>
          <cell r="AT519">
            <v>595.70000000000005</v>
          </cell>
          <cell r="AU519">
            <v>595.70000000000005</v>
          </cell>
          <cell r="AW519">
            <v>595.70000000000005</v>
          </cell>
          <cell r="AX519">
            <v>595.70000000000005</v>
          </cell>
          <cell r="AY519">
            <v>595.70000000000005</v>
          </cell>
          <cell r="AZ519">
            <v>595.70000000000005</v>
          </cell>
          <cell r="BA519">
            <v>3.5122511307642053E-2</v>
          </cell>
          <cell r="BB519">
            <v>3.3194372044624276E-2</v>
          </cell>
          <cell r="BC519">
            <v>3.169001017944819E-2</v>
          </cell>
          <cell r="BD519">
            <v>3.7724037904081034E-2</v>
          </cell>
          <cell r="BE519">
            <v>4.3339905144831242E-2</v>
          </cell>
          <cell r="BG519">
            <v>0</v>
          </cell>
          <cell r="BH519">
            <v>203.7</v>
          </cell>
          <cell r="BI519">
            <v>595.70000000000005</v>
          </cell>
          <cell r="BJ519">
            <v>595.70000000000005</v>
          </cell>
          <cell r="BK519">
            <v>595.70000000000005</v>
          </cell>
          <cell r="BL519">
            <v>6.122406973650895E-2</v>
          </cell>
          <cell r="BM519">
            <v>5.5545230856572383E-2</v>
          </cell>
          <cell r="BN519">
            <v>4.8354347906809911E-2</v>
          </cell>
          <cell r="BO519">
            <v>4.3261591454798659E-2</v>
          </cell>
          <cell r="BP519">
            <v>4.3241745892194913E-2</v>
          </cell>
          <cell r="BQ519">
            <v>4.3510919294168789E-2</v>
          </cell>
          <cell r="BR519">
            <v>4.3943116681421271E-2</v>
          </cell>
          <cell r="BS519">
            <v>4.4519111363652553E-2</v>
          </cell>
          <cell r="BT519">
            <v>4.4740817902616921E-2</v>
          </cell>
          <cell r="BU519">
            <v>4.5179586175521674E-2</v>
          </cell>
        </row>
        <row r="520">
          <cell r="A520" t="str">
            <v>Total Unrecorded Goodwill</v>
          </cell>
          <cell r="AC520">
            <v>104</v>
          </cell>
          <cell r="AD520">
            <v>0</v>
          </cell>
          <cell r="AE520">
            <v>0</v>
          </cell>
          <cell r="AF520">
            <v>132.30000000000001</v>
          </cell>
          <cell r="AH520">
            <v>132.30000000000001</v>
          </cell>
          <cell r="AI520">
            <v>132.30000000000001</v>
          </cell>
          <cell r="AJ520">
            <v>132.30000000000001</v>
          </cell>
          <cell r="AK520">
            <v>203.7</v>
          </cell>
          <cell r="AM520">
            <v>132.30000000000001</v>
          </cell>
          <cell r="AN520">
            <v>-259.70000000000005</v>
          </cell>
          <cell r="AO520">
            <v>-259.70000000000005</v>
          </cell>
          <cell r="AP520">
            <v>-259.70000000000005</v>
          </cell>
          <cell r="AR520">
            <v>-259.70000000000005</v>
          </cell>
          <cell r="AS520">
            <v>-259.70000000000005</v>
          </cell>
          <cell r="AT520">
            <v>-259.70000000000005</v>
          </cell>
          <cell r="AU520">
            <v>-259.70000000000005</v>
          </cell>
          <cell r="AW520">
            <v>-259.70000000000005</v>
          </cell>
          <cell r="AX520">
            <v>11.389000000000003</v>
          </cell>
          <cell r="AY520">
            <v>29.47107999999999</v>
          </cell>
          <cell r="AZ520">
            <v>104.81574441573355</v>
          </cell>
          <cell r="BA520">
            <v>273.30636446047333</v>
          </cell>
          <cell r="BB520">
            <v>287.49200470877247</v>
          </cell>
          <cell r="BC520">
            <v>250.31705359758649</v>
          </cell>
          <cell r="BD520">
            <v>331.35746058436746</v>
          </cell>
          <cell r="BE520">
            <v>431.07016582486233</v>
          </cell>
          <cell r="BG520">
            <v>132.30000000000001</v>
          </cell>
          <cell r="BH520">
            <v>132.30000000000001</v>
          </cell>
          <cell r="BI520">
            <v>-259.70000000000005</v>
          </cell>
          <cell r="BJ520">
            <v>-259.70000000000005</v>
          </cell>
          <cell r="BK520">
            <v>-259.70000000000005</v>
          </cell>
          <cell r="BL520">
            <v>1427.997404102869</v>
          </cell>
          <cell r="BM520">
            <v>1617.7648230360364</v>
          </cell>
          <cell r="BN520">
            <v>1703.4156904642898</v>
          </cell>
          <cell r="BO520">
            <v>1782.5100468410565</v>
          </cell>
          <cell r="BP520">
            <v>2011.7046067341221</v>
          </cell>
          <cell r="BQ520">
            <v>2225.3231818017225</v>
          </cell>
          <cell r="BR520">
            <v>2426.0951435392863</v>
          </cell>
          <cell r="BS520">
            <v>2604.4519689242452</v>
          </cell>
          <cell r="BT520">
            <v>2721.5581268435017</v>
          </cell>
          <cell r="BU520">
            <v>2830.1976647425959</v>
          </cell>
        </row>
        <row r="521">
          <cell r="A521" t="str">
            <v>Net Margin</v>
          </cell>
          <cell r="AC521">
            <v>0</v>
          </cell>
          <cell r="AD521">
            <v>0</v>
          </cell>
          <cell r="AE521">
            <v>0</v>
          </cell>
          <cell r="AF521">
            <v>0</v>
          </cell>
          <cell r="AH521">
            <v>0</v>
          </cell>
          <cell r="AI521">
            <v>0</v>
          </cell>
          <cell r="AJ521">
            <v>0</v>
          </cell>
          <cell r="AK521">
            <v>203.7</v>
          </cell>
          <cell r="AM521">
            <v>203.7</v>
          </cell>
          <cell r="AN521">
            <v>595.70000000000005</v>
          </cell>
          <cell r="AO521">
            <v>595.70000000000005</v>
          </cell>
          <cell r="AP521">
            <v>595.70000000000005</v>
          </cell>
          <cell r="AR521">
            <v>595.70000000000005</v>
          </cell>
          <cell r="AS521">
            <v>595.70000000000005</v>
          </cell>
          <cell r="AT521">
            <v>595.70000000000005</v>
          </cell>
          <cell r="AU521">
            <v>595.70000000000005</v>
          </cell>
          <cell r="AW521">
            <v>595.70000000000005</v>
          </cell>
          <cell r="AX521">
            <v>595.70000000000005</v>
          </cell>
          <cell r="AY521">
            <v>595.70000000000005</v>
          </cell>
          <cell r="AZ521">
            <v>595.70000000000005</v>
          </cell>
          <cell r="BA521">
            <v>2.802545760368674E-2</v>
          </cell>
          <cell r="BB521">
            <v>2.8736467342197917E-2</v>
          </cell>
          <cell r="BC521">
            <v>2.7678770597775033E-2</v>
          </cell>
          <cell r="BD521">
            <v>3.2529930004486986E-2</v>
          </cell>
          <cell r="BE521">
            <v>3.7039014962818612E-2</v>
          </cell>
          <cell r="BG521">
            <v>2.767877059777497E-2</v>
          </cell>
          <cell r="BH521">
            <v>3.2774829014099401E-2</v>
          </cell>
          <cell r="BI521">
            <v>3.451398092957228E-2</v>
          </cell>
          <cell r="BJ521">
            <v>4.1239237866030003E-2</v>
          </cell>
          <cell r="BK521">
            <v>4.6839221165836144E-2</v>
          </cell>
          <cell r="BL521">
            <v>5.1261711478052606E-2</v>
          </cell>
          <cell r="BM521">
            <v>4.645912848835522E-2</v>
          </cell>
          <cell r="BN521">
            <v>4.0428808661330022E-2</v>
          </cell>
          <cell r="BO521">
            <v>3.6159001162763056E-2</v>
          </cell>
          <cell r="BP521">
            <v>3.6113551971300686E-2</v>
          </cell>
          <cell r="BQ521">
            <v>3.6316701996686372E-2</v>
          </cell>
          <cell r="BR521">
            <v>3.6660415533103993E-2</v>
          </cell>
          <cell r="BS521">
            <v>3.7127870627609291E-2</v>
          </cell>
          <cell r="BT521">
            <v>3.7305079047419809E-2</v>
          </cell>
          <cell r="BU521">
            <v>3.7664299426894414E-2</v>
          </cell>
        </row>
        <row r="522">
          <cell r="A522" t="str">
            <v>Net Operating Assets</v>
          </cell>
          <cell r="D522" t="str">
            <v>--</v>
          </cell>
          <cell r="E522" t="str">
            <v>--</v>
          </cell>
          <cell r="F522" t="str">
            <v>--</v>
          </cell>
          <cell r="G522" t="str">
            <v>--</v>
          </cell>
          <cell r="I522">
            <v>554.16100000000006</v>
          </cell>
          <cell r="J522">
            <v>587.61699999999996</v>
          </cell>
          <cell r="K522">
            <v>670.03399999999988</v>
          </cell>
          <cell r="L522">
            <v>776.98899999999981</v>
          </cell>
          <cell r="N522">
            <v>764.00000000000011</v>
          </cell>
          <cell r="O522">
            <v>796.90200000000004</v>
          </cell>
          <cell r="P522">
            <v>794.89999999999986</v>
          </cell>
          <cell r="Q522">
            <v>963.34900000000016</v>
          </cell>
          <cell r="S522">
            <v>1054.1219999999998</v>
          </cell>
          <cell r="T522">
            <v>1182.9490000000001</v>
          </cell>
          <cell r="U522">
            <v>1228.8159999999998</v>
          </cell>
          <cell r="V522">
            <v>1420.8159999999998</v>
          </cell>
          <cell r="X522">
            <v>1633.537</v>
          </cell>
          <cell r="Y522">
            <v>2311.6610000000001</v>
          </cell>
          <cell r="Z522">
            <v>2562.8940000000002</v>
          </cell>
          <cell r="AA522">
            <v>2717.3669999999993</v>
          </cell>
          <cell r="AC522">
            <v>3180.64</v>
          </cell>
          <cell r="AD522">
            <v>3132.4690000000001</v>
          </cell>
          <cell r="AE522">
            <v>3574.0729999999994</v>
          </cell>
          <cell r="AF522">
            <v>3550.2</v>
          </cell>
          <cell r="AH522">
            <v>3451.2999999999997</v>
          </cell>
          <cell r="AI522">
            <v>3309.6000000000008</v>
          </cell>
          <cell r="AJ522">
            <v>2860.8000000000006</v>
          </cell>
          <cell r="AK522">
            <v>2359.5</v>
          </cell>
          <cell r="AM522">
            <v>2295.9000000000005</v>
          </cell>
          <cell r="AN522">
            <v>2388.1000000000004</v>
          </cell>
          <cell r="AO522">
            <v>2441.1000000000004</v>
          </cell>
          <cell r="AP522">
            <v>2365.0954201908048</v>
          </cell>
          <cell r="AR522">
            <v>2453.6522514402923</v>
          </cell>
          <cell r="AS522">
            <v>2456.4029653554903</v>
          </cell>
          <cell r="AT522">
            <v>2458.0616393202531</v>
          </cell>
          <cell r="AU522">
            <v>2450.2830172487343</v>
          </cell>
          <cell r="AW522">
            <v>2696.4205501931715</v>
          </cell>
          <cell r="AX522">
            <v>2707.665978892217</v>
          </cell>
          <cell r="AY522">
            <v>2730.5543282392046</v>
          </cell>
          <cell r="AZ522">
            <v>2732.9822148012231</v>
          </cell>
          <cell r="BA522">
            <v>0.25086447497190911</v>
          </cell>
          <cell r="BB522">
            <v>505.42399999999986</v>
          </cell>
          <cell r="BC522">
            <v>776.98899999999981</v>
          </cell>
          <cell r="BD522">
            <v>963.34900000000016</v>
          </cell>
          <cell r="BE522">
            <v>1420.8159999999998</v>
          </cell>
          <cell r="BF522">
            <v>2717.3669999999993</v>
          </cell>
          <cell r="BG522">
            <v>132.30000000000001</v>
          </cell>
          <cell r="BH522">
            <v>132.30000000000001</v>
          </cell>
          <cell r="BI522">
            <v>-259.70000000000005</v>
          </cell>
          <cell r="BJ522">
            <v>-259.70000000000005</v>
          </cell>
          <cell r="BK522">
            <v>-259.70000000000005</v>
          </cell>
          <cell r="BL522">
            <v>0.17</v>
          </cell>
          <cell r="BM522">
            <v>2359.5</v>
          </cell>
          <cell r="BN522">
            <v>2365.0954201908048</v>
          </cell>
          <cell r="BO522">
            <v>2450.2830172487343</v>
          </cell>
          <cell r="BP522">
            <v>2732.9822148012231</v>
          </cell>
          <cell r="BQ522">
            <v>3032.8012728004869</v>
          </cell>
          <cell r="BR522">
            <v>3547.3380301443312</v>
          </cell>
          <cell r="BS522">
            <v>4112.1517729979587</v>
          </cell>
          <cell r="BT522">
            <v>3963.2269606370342</v>
          </cell>
          <cell r="BU522">
            <v>4657.5709680603095</v>
          </cell>
          <cell r="BV522">
            <v>5287.2168911419585</v>
          </cell>
          <cell r="BW522">
            <v>6073.0229538019394</v>
          </cell>
          <cell r="BX522">
            <v>6034.507733882815</v>
          </cell>
          <cell r="BY522">
            <v>5845.5114985272285</v>
          </cell>
          <cell r="BZ522">
            <v>6257.0775250875231</v>
          </cell>
          <cell r="CA522">
            <v>6444.2658584581623</v>
          </cell>
        </row>
        <row r="523">
          <cell r="A523" t="str">
            <v>Net Operating Assets (Tangible)</v>
          </cell>
          <cell r="D523" t="str">
            <v>--</v>
          </cell>
          <cell r="E523" t="str">
            <v>--</v>
          </cell>
          <cell r="F523" t="str">
            <v>--</v>
          </cell>
          <cell r="G523" t="str">
            <v>--</v>
          </cell>
          <cell r="I523">
            <v>554.16100000000006</v>
          </cell>
          <cell r="J523">
            <v>587.61699999999996</v>
          </cell>
          <cell r="K523">
            <v>670.03399999999988</v>
          </cell>
          <cell r="L523">
            <v>776.98899999999981</v>
          </cell>
          <cell r="N523">
            <v>764.00000000000011</v>
          </cell>
          <cell r="O523">
            <v>796.90200000000004</v>
          </cell>
          <cell r="P523">
            <v>794.89999999999986</v>
          </cell>
          <cell r="Q523">
            <v>963.34900000000016</v>
          </cell>
          <cell r="S523">
            <v>1054.1219999999998</v>
          </cell>
          <cell r="T523">
            <v>1182.9490000000001</v>
          </cell>
          <cell r="U523">
            <v>1228.8159999999998</v>
          </cell>
          <cell r="V523">
            <v>1420.8159999999998</v>
          </cell>
          <cell r="X523">
            <v>1633.537</v>
          </cell>
          <cell r="Y523">
            <v>2311.6610000000001</v>
          </cell>
          <cell r="Z523">
            <v>2562.8940000000002</v>
          </cell>
          <cell r="AA523">
            <v>2717.3669999999993</v>
          </cell>
          <cell r="AC523">
            <v>3180.64</v>
          </cell>
          <cell r="AD523">
            <v>3132.4690000000001</v>
          </cell>
          <cell r="AE523">
            <v>3574.0729999999994</v>
          </cell>
          <cell r="AF523">
            <v>3550.2</v>
          </cell>
          <cell r="AH523">
            <v>3451.2999999999997</v>
          </cell>
          <cell r="AI523">
            <v>3309.6000000000008</v>
          </cell>
          <cell r="AJ523">
            <v>2860.8000000000006</v>
          </cell>
          <cell r="AK523">
            <v>2359.5</v>
          </cell>
          <cell r="AM523">
            <v>2295.9000000000005</v>
          </cell>
          <cell r="AN523">
            <v>2388.1000000000004</v>
          </cell>
          <cell r="AO523">
            <v>2441.1000000000004</v>
          </cell>
          <cell r="AP523">
            <v>2442.9000000000005</v>
          </cell>
          <cell r="AR523">
            <v>2507.3649408274741</v>
          </cell>
          <cell r="AS523">
            <v>2515.7633754556068</v>
          </cell>
          <cell r="AT523">
            <v>2522.752023174337</v>
          </cell>
          <cell r="AU523">
            <v>2635.9436351111117</v>
          </cell>
          <cell r="AW523">
            <v>2936.0857460885368</v>
          </cell>
          <cell r="AX523">
            <v>0</v>
          </cell>
          <cell r="AY523">
            <v>0</v>
          </cell>
          <cell r="AZ523">
            <v>0</v>
          </cell>
          <cell r="BA523" t="str">
            <v>--</v>
          </cell>
          <cell r="BB523">
            <v>276.56799999999987</v>
          </cell>
          <cell r="BC523">
            <v>424.7249999999998</v>
          </cell>
          <cell r="BD523">
            <v>588.84100000000012</v>
          </cell>
          <cell r="BE523">
            <v>1053.2629999999999</v>
          </cell>
          <cell r="BF523">
            <v>2139.0949999999993</v>
          </cell>
          <cell r="BG523" t="str">
            <v>--</v>
          </cell>
          <cell r="BH523" t="str">
            <v>--</v>
          </cell>
          <cell r="BI523" t="str">
            <v>--</v>
          </cell>
          <cell r="BJ523" t="str">
            <v>--</v>
          </cell>
          <cell r="BK523">
            <v>0</v>
          </cell>
          <cell r="BL523">
            <v>0</v>
          </cell>
          <cell r="BM523">
            <v>1199.5999999999999</v>
          </cell>
          <cell r="BN523">
            <v>1253.7954201908049</v>
          </cell>
          <cell r="BO523">
            <v>1386.9830172487343</v>
          </cell>
          <cell r="BP523">
            <v>1704.7822148012231</v>
          </cell>
          <cell r="BQ523">
            <v>2031.6012728004869</v>
          </cell>
          <cell r="BR523">
            <v>2561.4380301443312</v>
          </cell>
          <cell r="BS523">
            <v>3137.1767729979588</v>
          </cell>
          <cell r="BT523">
            <v>2999.1769606370344</v>
          </cell>
          <cell r="BU523">
            <v>3704.4459680603095</v>
          </cell>
          <cell r="BV523">
            <v>4339.0918911419585</v>
          </cell>
          <cell r="BW523">
            <v>5124.8979538019394</v>
          </cell>
          <cell r="BX523">
            <v>5086.382733882815</v>
          </cell>
          <cell r="BY523">
            <v>4897.3864985272285</v>
          </cell>
          <cell r="BZ523">
            <v>5308.9525250875231</v>
          </cell>
          <cell r="CA523">
            <v>5496.1408584581623</v>
          </cell>
        </row>
        <row r="524">
          <cell r="A524" t="str">
            <v>Op. Asset Turnover (B)</v>
          </cell>
          <cell r="D524" t="str">
            <v>--</v>
          </cell>
          <cell r="E524" t="str">
            <v>--</v>
          </cell>
          <cell r="F524" t="str">
            <v>--</v>
          </cell>
          <cell r="G524" t="str">
            <v>--</v>
          </cell>
          <cell r="I524" t="str">
            <v>--</v>
          </cell>
          <cell r="J524">
            <v>3.0174342122549214</v>
          </cell>
          <cell r="K524">
            <v>2.6024199082257322</v>
          </cell>
          <cell r="L524">
            <v>3.7770622858102474</v>
          </cell>
          <cell r="N524">
            <v>3.8349397692001697</v>
          </cell>
          <cell r="O524">
            <v>3.9649945992765718</v>
          </cell>
          <cell r="P524">
            <v>4.0788992600838547</v>
          </cell>
          <cell r="Q524">
            <v>4.2100885596977449</v>
          </cell>
          <cell r="S524">
            <v>4.2898222576681402</v>
          </cell>
          <cell r="T524">
            <v>4.4690579780436117</v>
          </cell>
          <cell r="U524">
            <v>4.5010919388912267</v>
          </cell>
          <cell r="V524">
            <v>4.8572813130276211</v>
          </cell>
          <cell r="X524">
            <v>4.2230167894804564</v>
          </cell>
          <cell r="Y524">
            <v>4.2418819030122181</v>
          </cell>
          <cell r="Z524">
            <v>4.2673007074491922</v>
          </cell>
          <cell r="AA524">
            <v>5.2235599717513965</v>
          </cell>
          <cell r="AC524">
            <v>3.6521828475279872</v>
          </cell>
          <cell r="AD524">
            <v>3.3716585599900144</v>
          </cell>
          <cell r="AE524">
            <v>2.627822207033073</v>
          </cell>
          <cell r="AF524">
            <v>2.7491366487499849</v>
          </cell>
          <cell r="AH524">
            <v>2.4583303577804756</v>
          </cell>
          <cell r="AI524">
            <v>2.6614208167551654</v>
          </cell>
          <cell r="AJ524">
            <v>2.5397381044988974</v>
          </cell>
          <cell r="AK524">
            <v>2.9299465547957011</v>
          </cell>
          <cell r="AM524">
            <v>2.7278429350861364</v>
          </cell>
          <cell r="AN524">
            <v>2.7299743808710502</v>
          </cell>
          <cell r="AO524">
            <v>2.7081918330158201</v>
          </cell>
          <cell r="AP524">
            <v>2.9042881322220246</v>
          </cell>
          <cell r="AR524">
            <v>2.7649141918008246</v>
          </cell>
          <cell r="AS524">
            <v>2.837724114095133</v>
          </cell>
          <cell r="AT524">
            <v>2.9292998346575829</v>
          </cell>
          <cell r="AU524">
            <v>3.2141020934461095</v>
          </cell>
          <cell r="AW524">
            <v>2.9218789478230507</v>
          </cell>
          <cell r="AX524">
            <v>9.4860000000000007</v>
          </cell>
          <cell r="AY524">
            <v>28.13064</v>
          </cell>
          <cell r="AZ524">
            <v>36.389744415733553</v>
          </cell>
          <cell r="BA524">
            <v>66.627364460473373</v>
          </cell>
          <cell r="BB524" t="str">
            <v>--</v>
          </cell>
          <cell r="BC524">
            <v>3.1293491254377503</v>
          </cell>
          <cell r="BD524">
            <v>3.7340091407531184</v>
          </cell>
          <cell r="BE524">
            <v>4.4436706352119089</v>
          </cell>
          <cell r="BF524">
            <v>4.7132159210938722</v>
          </cell>
          <cell r="BG524">
            <v>73.050714490897334</v>
          </cell>
          <cell r="BH524">
            <v>73.039999999999992</v>
          </cell>
          <cell r="BI524">
            <v>73.039999999999992</v>
          </cell>
          <cell r="BJ524">
            <v>73.039999999999992</v>
          </cell>
          <cell r="BK524">
            <v>73.039999999999992</v>
          </cell>
          <cell r="BL524">
            <v>73.039999999999992</v>
          </cell>
          <cell r="BM524">
            <v>2.7992960725586746</v>
          </cell>
          <cell r="BN524">
            <v>2.7792949262668718</v>
          </cell>
          <cell r="BO524">
            <v>2.9815240821818416</v>
          </cell>
          <cell r="BP524">
            <v>3.2050059431979796</v>
          </cell>
          <cell r="BQ524">
            <v>3.4286322288098647</v>
          </cell>
          <cell r="BR524">
            <v>3.4849948015625198</v>
          </cell>
          <cell r="BS524">
            <v>2.9939006191916611</v>
          </cell>
          <cell r="BT524">
            <v>3.0100948998137502</v>
          </cell>
          <cell r="BU524">
            <v>3.2707971568089507</v>
          </cell>
          <cell r="BV524">
            <v>3.4874714832730094</v>
          </cell>
          <cell r="BW524">
            <v>3.4803549550961321</v>
          </cell>
          <cell r="BX524">
            <v>2.7757118975795727</v>
          </cell>
          <cell r="BY524">
            <v>2.9420236596898679</v>
          </cell>
          <cell r="BZ524">
            <v>3.1767109789678782</v>
          </cell>
          <cell r="CA524">
            <v>3.2993837445427228</v>
          </cell>
        </row>
        <row r="525">
          <cell r="A525" t="str">
            <v>Tangible Op. Asset Turn</v>
          </cell>
          <cell r="D525" t="str">
            <v>--</v>
          </cell>
          <cell r="E525" t="str">
            <v>--</v>
          </cell>
          <cell r="F525" t="str">
            <v>--</v>
          </cell>
          <cell r="G525" t="str">
            <v>--</v>
          </cell>
          <cell r="I525" t="str">
            <v>--</v>
          </cell>
          <cell r="J525">
            <v>3.0174342122549214</v>
          </cell>
          <cell r="K525">
            <v>2.6024199082257322</v>
          </cell>
          <cell r="L525">
            <v>3.7770622858102474</v>
          </cell>
          <cell r="N525">
            <v>3.8349397692001697</v>
          </cell>
          <cell r="O525">
            <v>3.9649945992765718</v>
          </cell>
          <cell r="P525">
            <v>4.0788992600838547</v>
          </cell>
          <cell r="Q525">
            <v>4.2100885596977449</v>
          </cell>
          <cell r="S525">
            <v>4.2898222576681402</v>
          </cell>
          <cell r="T525">
            <v>4.4690579780436117</v>
          </cell>
          <cell r="U525">
            <v>4.5010919388912267</v>
          </cell>
          <cell r="V525">
            <v>4.8572813130276211</v>
          </cell>
          <cell r="X525">
            <v>4.2230167894804564</v>
          </cell>
          <cell r="Y525">
            <v>4.2418819030122181</v>
          </cell>
          <cell r="Z525">
            <v>4.2673007074491922</v>
          </cell>
          <cell r="AA525">
            <v>5.2235599717513965</v>
          </cell>
          <cell r="AC525">
            <v>3.6521828475279872</v>
          </cell>
          <cell r="AD525">
            <v>3.3716585599900144</v>
          </cell>
          <cell r="AE525">
            <v>2.627822207033073</v>
          </cell>
          <cell r="AF525">
            <v>2.7491366487499849</v>
          </cell>
          <cell r="AH525">
            <v>2.4583303577804756</v>
          </cell>
          <cell r="AI525">
            <v>2.6614208167551654</v>
          </cell>
          <cell r="AJ525">
            <v>2.5397381044988974</v>
          </cell>
          <cell r="AK525">
            <v>2.9299465547957011</v>
          </cell>
          <cell r="AM525">
            <v>2.7278429350861364</v>
          </cell>
          <cell r="AN525">
            <v>2.7299743808710502</v>
          </cell>
          <cell r="AO525">
            <v>2.7081918330158201</v>
          </cell>
          <cell r="AP525">
            <v>3.1364455364455357</v>
          </cell>
          <cell r="AR525">
            <v>3.1340697327215454</v>
          </cell>
          <cell r="AS525">
            <v>3.2259854383315316</v>
          </cell>
          <cell r="AT525">
            <v>3.3233794286771889</v>
          </cell>
          <cell r="AU525">
            <v>3.8824695647768395</v>
          </cell>
          <cell r="AW525">
            <v>3.7843443126081349</v>
          </cell>
          <cell r="AX525">
            <v>372.71199999999999</v>
          </cell>
          <cell r="AY525">
            <v>896.88264000000015</v>
          </cell>
          <cell r="AZ525">
            <v>1732.1473844157335</v>
          </cell>
          <cell r="BA525">
            <v>2749.2657488762065</v>
          </cell>
          <cell r="BB525">
            <v>4100.1965535849795</v>
          </cell>
          <cell r="BC525">
            <v>5.7224555214439645</v>
          </cell>
          <cell r="BD525">
            <v>6.4114601318513058</v>
          </cell>
          <cell r="BE525">
            <v>6.4517497064741338</v>
          </cell>
          <cell r="BF525">
            <v>6.1096374529423088</v>
          </cell>
          <cell r="BG525">
            <v>4611.7087500397074</v>
          </cell>
          <cell r="BH525">
            <v>5297.1377308172823</v>
          </cell>
          <cell r="BI525">
            <v>6103.3319130304026</v>
          </cell>
          <cell r="BJ525">
            <v>7096.7915596704443</v>
          </cell>
          <cell r="BK525">
            <v>8140.6316392378394</v>
          </cell>
          <cell r="BL525">
            <v>9568.6290433407084</v>
          </cell>
          <cell r="BM525">
            <v>5.1797232137265956</v>
          </cell>
          <cell r="BN525">
            <v>5.3521923013041164</v>
          </cell>
          <cell r="BO525">
            <v>5.4367176634347469</v>
          </cell>
          <cell r="BP525">
            <v>5.3731103842179246</v>
          </cell>
          <cell r="BQ525">
            <v>5.2908785073932618</v>
          </cell>
          <cell r="BR525">
            <v>4.9927182747200245</v>
          </cell>
          <cell r="BS525">
            <v>4.0240921796776039</v>
          </cell>
          <cell r="BT525">
            <v>3.9612540924657518</v>
          </cell>
          <cell r="BU525">
            <v>4.2062153039516224</v>
          </cell>
          <cell r="BV525">
            <v>4.3118046652181992</v>
          </cell>
          <cell r="BW525">
            <v>4.1776954205581553</v>
          </cell>
          <cell r="BX525">
            <v>3.2911657223023822</v>
          </cell>
          <cell r="BY525">
            <v>3.5008118522871654</v>
          </cell>
          <cell r="BZ525">
            <v>3.7669165541432945</v>
          </cell>
          <cell r="CA525">
            <v>3.8784121900642261</v>
          </cell>
        </row>
        <row r="526">
          <cell r="A526" t="str">
            <v>Payout (a)</v>
          </cell>
          <cell r="D526" t="str">
            <v>--</v>
          </cell>
          <cell r="E526" t="str">
            <v>--</v>
          </cell>
          <cell r="F526" t="str">
            <v>--</v>
          </cell>
          <cell r="G526" t="str">
            <v>--</v>
          </cell>
          <cell r="I526" t="str">
            <v>--</v>
          </cell>
          <cell r="J526">
            <v>3.0174342122549214</v>
          </cell>
          <cell r="K526">
            <v>2.6024199082257322</v>
          </cell>
          <cell r="L526">
            <v>3.7770622858102474</v>
          </cell>
          <cell r="N526">
            <v>3.8349397692001697</v>
          </cell>
          <cell r="O526">
            <v>3.9649945992765718</v>
          </cell>
          <cell r="P526">
            <v>4.0788992600838547</v>
          </cell>
          <cell r="Q526">
            <v>4.2100885596977449</v>
          </cell>
          <cell r="S526">
            <v>4.2898222576681402</v>
          </cell>
          <cell r="T526">
            <v>4.4690579780436117</v>
          </cell>
          <cell r="U526">
            <v>4.5010919388912267</v>
          </cell>
          <cell r="V526">
            <v>4.8572813130276211</v>
          </cell>
          <cell r="X526">
            <v>4.2230167894804564</v>
          </cell>
          <cell r="Y526">
            <v>4.2418819030122181</v>
          </cell>
          <cell r="Z526">
            <v>4.2673007074491922</v>
          </cell>
          <cell r="AA526">
            <v>5.2235599717513965</v>
          </cell>
          <cell r="AC526">
            <v>3.6521828475279872</v>
          </cell>
          <cell r="AD526">
            <v>3.3716585599900144</v>
          </cell>
          <cell r="AE526">
            <v>2.627822207033073</v>
          </cell>
          <cell r="AF526">
            <v>2.7491366487499849</v>
          </cell>
          <cell r="AH526">
            <v>2.4583303577804756</v>
          </cell>
          <cell r="AI526">
            <v>2.6614208167551654</v>
          </cell>
          <cell r="AJ526">
            <v>2.5397381044988974</v>
          </cell>
          <cell r="AK526">
            <v>2.9299465547957011</v>
          </cell>
          <cell r="AM526">
            <v>2.7278429350861364</v>
          </cell>
          <cell r="AN526">
            <v>2.7299743808710502</v>
          </cell>
          <cell r="AO526">
            <v>2.7081918330158201</v>
          </cell>
          <cell r="AP526">
            <v>3.1364455364455357</v>
          </cell>
          <cell r="AR526">
            <v>3.0134468848050204</v>
          </cell>
          <cell r="AS526">
            <v>3.2070880385615559</v>
          </cell>
          <cell r="AT526">
            <v>3.2809941240867531</v>
          </cell>
          <cell r="AU526">
            <v>3.8647748861860474</v>
          </cell>
          <cell r="AW526">
            <v>4.0053547428412513</v>
          </cell>
          <cell r="AX526">
            <v>0</v>
          </cell>
          <cell r="AY526">
            <v>0</v>
          </cell>
          <cell r="AZ526">
            <v>0</v>
          </cell>
          <cell r="BA526" t="str">
            <v>--</v>
          </cell>
          <cell r="BB526">
            <v>0</v>
          </cell>
          <cell r="BC526">
            <v>0</v>
          </cell>
          <cell r="BD526">
            <v>0</v>
          </cell>
          <cell r="BE526">
            <v>0</v>
          </cell>
          <cell r="BF526">
            <v>6.1096374529423088</v>
          </cell>
          <cell r="BG526" t="str">
            <v>--</v>
          </cell>
          <cell r="BH526" t="str">
            <v>--</v>
          </cell>
          <cell r="BI526" t="str">
            <v>--</v>
          </cell>
          <cell r="BJ526" t="str">
            <v>--</v>
          </cell>
          <cell r="BK526">
            <v>0</v>
          </cell>
          <cell r="BL526">
            <v>0</v>
          </cell>
          <cell r="BM526">
            <v>0</v>
          </cell>
          <cell r="BN526">
            <v>0</v>
          </cell>
          <cell r="BO526">
            <v>0</v>
          </cell>
          <cell r="BP526">
            <v>0</v>
          </cell>
          <cell r="BQ526">
            <v>0</v>
          </cell>
          <cell r="BR526">
            <v>0</v>
          </cell>
          <cell r="BS526">
            <v>1303.9569742636545</v>
          </cell>
          <cell r="BT526">
            <v>1191.8331570795758</v>
          </cell>
          <cell r="BU526">
            <v>1240.7209491341682</v>
          </cell>
          <cell r="BV526">
            <v>4.4266557680194172</v>
          </cell>
          <cell r="BW526">
            <v>4.2953700685727068</v>
          </cell>
          <cell r="BX526">
            <v>3.3451342255534326</v>
          </cell>
          <cell r="BY526">
            <v>3.4947135275591119</v>
          </cell>
          <cell r="BZ526">
            <v>3.7499755648900117</v>
          </cell>
          <cell r="CA526">
            <v>3.8758042865169675</v>
          </cell>
        </row>
        <row r="527">
          <cell r="A527" t="str">
            <v>RNOA (A x B=C)</v>
          </cell>
          <cell r="B527" t="str">
            <v>rnoa</v>
          </cell>
          <cell r="D527" t="str">
            <v>--</v>
          </cell>
          <cell r="E527" t="str">
            <v>--</v>
          </cell>
          <cell r="F527" t="str">
            <v>--</v>
          </cell>
          <cell r="G527" t="str">
            <v>--</v>
          </cell>
          <cell r="I527" t="str">
            <v>--</v>
          </cell>
          <cell r="J527">
            <v>4.9136136797170715E-2</v>
          </cell>
          <cell r="K527">
            <v>6.1263927751021574E-2</v>
          </cell>
          <cell r="L527">
            <v>6.825633041078133E-2</v>
          </cell>
          <cell r="N527">
            <v>5.9884139341682505E-2</v>
          </cell>
          <cell r="O527">
            <v>6.2301002881667136E-2</v>
          </cell>
          <cell r="P527">
            <v>7.3580407613509702E-2</v>
          </cell>
          <cell r="Q527">
            <v>8.4736848990103211E-2</v>
          </cell>
          <cell r="S527">
            <v>7.8857071926313305E-2</v>
          </cell>
          <cell r="T527">
            <v>8.2210900548010765E-2</v>
          </cell>
          <cell r="U527">
            <v>0.10306930202800056</v>
          </cell>
          <cell r="V527">
            <v>0.11230779965905542</v>
          </cell>
          <cell r="X527">
            <v>9.2425008158233776E-2</v>
          </cell>
          <cell r="Y527">
            <v>0.1039870709840898</v>
          </cell>
          <cell r="Z527">
            <v>0.11682684140215688</v>
          </cell>
          <cell r="AA527">
            <v>0.153070742955837</v>
          </cell>
          <cell r="AC527">
            <v>0.10516105919645889</v>
          </cell>
          <cell r="AD527">
            <v>0.10300794753386119</v>
          </cell>
          <cell r="AE527">
            <v>5.9526462370622479E-2</v>
          </cell>
          <cell r="AF527">
            <v>8.2287885374409453E-2</v>
          </cell>
          <cell r="AH527">
            <v>6.7852764365794779E-2</v>
          </cell>
          <cell r="AI527">
            <v>7.047942021254415E-2</v>
          </cell>
          <cell r="AJ527">
            <v>5.9293400751977358E-2</v>
          </cell>
          <cell r="AK527">
            <v>4.8079995402563296E-2</v>
          </cell>
          <cell r="AM527">
            <v>1.6402457361343867E-2</v>
          </cell>
          <cell r="AN527">
            <v>-2.1972672929120137E-2</v>
          </cell>
          <cell r="AO527">
            <v>-7.4299030491341003E-3</v>
          </cell>
          <cell r="AP527">
            <v>-9.6422365989770956E-3</v>
          </cell>
          <cell r="AR527">
            <v>-1.3769272675168091E-2</v>
          </cell>
          <cell r="AS527">
            <v>0</v>
          </cell>
          <cell r="AT527">
            <v>1.9450550902126329E-2</v>
          </cell>
          <cell r="AU527">
            <v>4.2683275800964322E-2</v>
          </cell>
          <cell r="AW527">
            <v>3.6377392900396946E-2</v>
          </cell>
          <cell r="AX527">
            <v>9.4860000000000007</v>
          </cell>
          <cell r="AY527">
            <v>28.13064</v>
          </cell>
          <cell r="AZ527">
            <v>36.389744415733553</v>
          </cell>
          <cell r="BA527">
            <v>66.627364460473373</v>
          </cell>
          <cell r="BB527" t="str">
            <v>--</v>
          </cell>
          <cell r="BC527">
            <v>5.6222948457322265E-2</v>
          </cell>
          <cell r="BD527">
            <v>6.5452871798466733E-2</v>
          </cell>
          <cell r="BE527">
            <v>9.3787479422806047E-2</v>
          </cell>
          <cell r="BF527">
            <v>0.1252170456400141</v>
          </cell>
          <cell r="BG527">
            <v>410.01965535849797</v>
          </cell>
          <cell r="BH527">
            <v>461.17087500397076</v>
          </cell>
          <cell r="BI527">
            <v>529.71377308172828</v>
          </cell>
          <cell r="BJ527">
            <v>610.33319130304028</v>
          </cell>
          <cell r="BK527">
            <v>709.67915596704449</v>
          </cell>
          <cell r="BL527">
            <v>814.06316392378403</v>
          </cell>
          <cell r="BM527">
            <v>6.6347191904834499E-2</v>
          </cell>
          <cell r="BN527">
            <v>-5.7396221511362179E-3</v>
          </cell>
          <cell r="BO527">
            <v>1.2394800590994307E-2</v>
          </cell>
          <cell r="BP527">
            <v>6.5897835287621956E-2</v>
          </cell>
          <cell r="BQ527">
            <v>0.10683618024971542</v>
          </cell>
          <cell r="BR527">
            <v>0.10329524591831313</v>
          </cell>
          <cell r="BS527">
            <v>5.4608747294055883E-2</v>
          </cell>
          <cell r="BT527">
            <v>8.2356196458904213E-2</v>
          </cell>
          <cell r="BU527">
            <v>0.10688965108451653</v>
          </cell>
          <cell r="BV527">
            <v>0.12722295970979935</v>
          </cell>
          <cell r="BW527">
            <v>0.1190281394642877</v>
          </cell>
          <cell r="BX527">
            <v>2.5314492505925698E-2</v>
          </cell>
          <cell r="BY527">
            <v>6.7078139440928983E-2</v>
          </cell>
          <cell r="BZ527">
            <v>9.6572013760623507E-2</v>
          </cell>
          <cell r="CA527">
            <v>9.7793734188246315E-2</v>
          </cell>
        </row>
        <row r="528">
          <cell r="A528" t="str">
            <v>RNOA (Tangible)</v>
          </cell>
          <cell r="B528" t="str">
            <v>rnoa</v>
          </cell>
          <cell r="D528" t="str">
            <v>--</v>
          </cell>
          <cell r="E528" t="str">
            <v>--</v>
          </cell>
          <cell r="F528" t="str">
            <v>--</v>
          </cell>
          <cell r="G528" t="str">
            <v>--</v>
          </cell>
          <cell r="I528" t="str">
            <v>--</v>
          </cell>
          <cell r="J528">
            <v>4.9136136797170715E-2</v>
          </cell>
          <cell r="K528">
            <v>6.1263927751021574E-2</v>
          </cell>
          <cell r="L528">
            <v>6.825633041078133E-2</v>
          </cell>
          <cell r="N528">
            <v>5.9884139341682505E-2</v>
          </cell>
          <cell r="O528">
            <v>6.2301002881667136E-2</v>
          </cell>
          <cell r="P528">
            <v>7.3580407613509702E-2</v>
          </cell>
          <cell r="Q528">
            <v>8.4736848990103211E-2</v>
          </cell>
          <cell r="S528">
            <v>7.8857071926313305E-2</v>
          </cell>
          <cell r="T528">
            <v>8.2210900548010765E-2</v>
          </cell>
          <cell r="U528">
            <v>0.10306930202800056</v>
          </cell>
          <cell r="V528">
            <v>0.11230779965905542</v>
          </cell>
          <cell r="X528">
            <v>9.2425008158233776E-2</v>
          </cell>
          <cell r="Y528">
            <v>0.1039870709840898</v>
          </cell>
          <cell r="Z528">
            <v>0.11682684140215688</v>
          </cell>
          <cell r="AA528">
            <v>0.153070742955837</v>
          </cell>
          <cell r="AC528">
            <v>0.10516105919645889</v>
          </cell>
          <cell r="AD528">
            <v>0.10300794753386119</v>
          </cell>
          <cell r="AE528">
            <v>5.9526462370622479E-2</v>
          </cell>
          <cell r="AF528">
            <v>8.2287885374409453E-2</v>
          </cell>
          <cell r="AH528">
            <v>6.7852764365794779E-2</v>
          </cell>
          <cell r="AI528">
            <v>7.047942021254415E-2</v>
          </cell>
          <cell r="AJ528">
            <v>5.9293400751977358E-2</v>
          </cell>
          <cell r="AK528">
            <v>4.8079995402563296E-2</v>
          </cell>
          <cell r="AM528">
            <v>1.6402457361343867E-2</v>
          </cell>
          <cell r="AN528">
            <v>-2.1972672929120137E-2</v>
          </cell>
          <cell r="AO528">
            <v>-7.4299030491341003E-3</v>
          </cell>
          <cell r="AP528">
            <v>-6.0520351218025523E-3</v>
          </cell>
          <cell r="AR528">
            <v>-5.2025557563177456E-3</v>
          </cell>
          <cell r="AS528">
            <v>1.0710271655260707E-2</v>
          </cell>
          <cell r="AT528">
            <v>2.7584049258020656E-2</v>
          </cell>
          <cell r="AU528">
            <v>5.1559195820236443E-2</v>
          </cell>
          <cell r="AW528">
            <v>5.6538104030365514E-2</v>
          </cell>
          <cell r="AX528">
            <v>372.71199999999999</v>
          </cell>
          <cell r="AY528">
            <v>896.88264000000015</v>
          </cell>
          <cell r="AZ528">
            <v>36.389744415733553</v>
          </cell>
          <cell r="BA528">
            <v>2749.2657488762065</v>
          </cell>
          <cell r="BB528">
            <v>4100.1965535849795</v>
          </cell>
          <cell r="BC528">
            <v>0.10281157804227338</v>
          </cell>
          <cell r="BD528">
            <v>0.11238549832965984</v>
          </cell>
          <cell r="BE528">
            <v>0.13616971024860447</v>
          </cell>
          <cell r="BF528">
            <v>0.16231608409136145</v>
          </cell>
          <cell r="BG528">
            <v>0.1</v>
          </cell>
          <cell r="BH528">
            <v>5297.1377308172823</v>
          </cell>
          <cell r="BI528">
            <v>6103.3319130304026</v>
          </cell>
          <cell r="BJ528">
            <v>7096.7915596704443</v>
          </cell>
          <cell r="BK528">
            <v>8140.6316392378394</v>
          </cell>
          <cell r="BL528">
            <v>9568.6290433407084</v>
          </cell>
          <cell r="BM528">
            <v>0.12276661030747088</v>
          </cell>
          <cell r="BN528">
            <v>-1.1053005278201303E-2</v>
          </cell>
          <cell r="BO528">
            <v>2.260153849184985E-2</v>
          </cell>
          <cell r="BP528">
            <v>0.11047603322947472</v>
          </cell>
          <cell r="BQ528">
            <v>0.1648637742903741</v>
          </cell>
          <cell r="BR528">
            <v>0.14798416966270159</v>
          </cell>
          <cell r="BS528">
            <v>7.3399441357319475E-2</v>
          </cell>
          <cell r="BT528">
            <v>0.10837991196986298</v>
          </cell>
          <cell r="BU528">
            <v>0.13745911613313905</v>
          </cell>
          <cell r="BV528">
            <v>0.15729463418715986</v>
          </cell>
          <cell r="BW528">
            <v>0.14287718338308888</v>
          </cell>
          <cell r="BX528">
            <v>3.001543138739772E-2</v>
          </cell>
          <cell r="BY528">
            <v>7.9818510232147366E-2</v>
          </cell>
          <cell r="BZ528">
            <v>0.11451426324595616</v>
          </cell>
          <cell r="CA528">
            <v>0.11495613731350367</v>
          </cell>
        </row>
        <row r="529">
          <cell r="A529" t="str">
            <v>RNOA (Tangible)</v>
          </cell>
          <cell r="B529" t="str">
            <v>rnoa</v>
          </cell>
          <cell r="D529" t="str">
            <v>--</v>
          </cell>
          <cell r="E529" t="str">
            <v>--</v>
          </cell>
          <cell r="F529" t="str">
            <v>--</v>
          </cell>
          <cell r="G529" t="str">
            <v>--</v>
          </cell>
          <cell r="I529" t="str">
            <v>--</v>
          </cell>
          <cell r="J529">
            <v>4.9136136797170715E-2</v>
          </cell>
          <cell r="K529">
            <v>6.1263927751021574E-2</v>
          </cell>
          <cell r="L529">
            <v>6.825633041078133E-2</v>
          </cell>
          <cell r="N529">
            <v>5.9884139341682505E-2</v>
          </cell>
          <cell r="O529">
            <v>6.2301002881667136E-2</v>
          </cell>
          <cell r="P529">
            <v>7.3580407613509702E-2</v>
          </cell>
          <cell r="Q529">
            <v>8.4736848990103211E-2</v>
          </cell>
          <cell r="S529">
            <v>7.8857071926313305E-2</v>
          </cell>
          <cell r="T529">
            <v>8.2210900548010765E-2</v>
          </cell>
          <cell r="U529">
            <v>0.10306930202800056</v>
          </cell>
          <cell r="V529">
            <v>0.11230779965905542</v>
          </cell>
          <cell r="X529">
            <v>9.2425008158233776E-2</v>
          </cell>
          <cell r="Y529">
            <v>0.1039870709840898</v>
          </cell>
          <cell r="Z529">
            <v>0.11682684140215688</v>
          </cell>
          <cell r="AA529">
            <v>0.153070742955837</v>
          </cell>
          <cell r="AC529">
            <v>0.10516105919645889</v>
          </cell>
          <cell r="AD529">
            <v>0.10300794753386119</v>
          </cell>
          <cell r="AE529">
            <v>5.9526462370622479E-2</v>
          </cell>
          <cell r="AF529">
            <v>8.2287885374409453E-2</v>
          </cell>
          <cell r="AH529">
            <v>6.7852764365794779E-2</v>
          </cell>
          <cell r="AI529">
            <v>7.047942021254415E-2</v>
          </cell>
          <cell r="AJ529">
            <v>5.9293400751977358E-2</v>
          </cell>
          <cell r="AK529">
            <v>4.8079995402563296E-2</v>
          </cell>
          <cell r="AM529">
            <v>1.6402457361343867E-2</v>
          </cell>
          <cell r="AN529">
            <v>-2.1972672929120137E-2</v>
          </cell>
          <cell r="AO529">
            <v>-7.4299030491341003E-3</v>
          </cell>
          <cell r="AP529">
            <v>-6.0520351218025523E-3</v>
          </cell>
          <cell r="AR529">
            <v>1.3256947557149399E-2</v>
          </cell>
          <cell r="AS529">
            <v>4.2590129152097499E-2</v>
          </cell>
          <cell r="AT529">
            <v>5.9910952705824118E-2</v>
          </cell>
          <cell r="AU529">
            <v>0.10906394728817026</v>
          </cell>
          <cell r="AW529">
            <v>6.6488888731164777E-2</v>
          </cell>
          <cell r="AX529">
            <v>372.71199999999999</v>
          </cell>
          <cell r="AY529">
            <v>896.88264000000015</v>
          </cell>
          <cell r="AZ529">
            <v>1732.1473844157335</v>
          </cell>
          <cell r="BB529" t="str">
            <v>--</v>
          </cell>
          <cell r="BC529">
            <v>0.10281157804227338</v>
          </cell>
          <cell r="BD529">
            <v>0.11238549832965984</v>
          </cell>
          <cell r="BE529">
            <v>0.13616971024860447</v>
          </cell>
          <cell r="BF529">
            <v>0.16231608409136145</v>
          </cell>
          <cell r="BG529">
            <v>0.13603516142875097</v>
          </cell>
          <cell r="BH529">
            <v>0.12276661030747088</v>
          </cell>
          <cell r="BI529">
            <v>-8.8820762277695958E-3</v>
          </cell>
          <cell r="BJ529">
            <v>3.6632783597862997E-2</v>
          </cell>
          <cell r="BK529">
            <v>0.11026721894671392</v>
          </cell>
          <cell r="BM529">
            <v>0.12276661030747088</v>
          </cell>
          <cell r="BN529">
            <v>-8.8820762277695958E-3</v>
          </cell>
          <cell r="BO529">
            <v>3.6632783597862997E-2</v>
          </cell>
          <cell r="BP529">
            <v>0.11026721894671392</v>
          </cell>
          <cell r="BQ529">
            <v>0.18487720720968692</v>
          </cell>
          <cell r="BR529">
            <v>9.3246846934306196E-2</v>
          </cell>
          <cell r="BS529">
            <v>0.12296520033994221</v>
          </cell>
          <cell r="BT529">
            <v>0.13647863300476384</v>
          </cell>
          <cell r="BU529">
            <v>26628.010433685387</v>
          </cell>
          <cell r="BV529">
            <v>0.16148440241734835</v>
          </cell>
          <cell r="BW529">
            <v>0.14690165634518657</v>
          </cell>
          <cell r="BX529">
            <v>3.0507624137047298E-2</v>
          </cell>
          <cell r="BY529">
            <v>7.9679468428347749E-2</v>
          </cell>
          <cell r="BZ529">
            <v>0.11684923860197274</v>
          </cell>
          <cell r="CA529">
            <v>0.11782445031011581</v>
          </cell>
        </row>
        <row r="530">
          <cell r="A530" t="str">
            <v>Incremental Change in RNOA</v>
          </cell>
          <cell r="B530" t="str">
            <v>rnoa</v>
          </cell>
          <cell r="D530" t="str">
            <v>--</v>
          </cell>
          <cell r="E530" t="str">
            <v>--</v>
          </cell>
          <cell r="F530" t="str">
            <v>--</v>
          </cell>
          <cell r="G530" t="str">
            <v>--</v>
          </cell>
          <cell r="I530" t="str">
            <v>--</v>
          </cell>
          <cell r="J530" t="str">
            <v>--</v>
          </cell>
          <cell r="K530" t="str">
            <v>--</v>
          </cell>
          <cell r="L530">
            <v>5.6726881356961023E-4</v>
          </cell>
          <cell r="N530">
            <v>-8.51433060565252E-3</v>
          </cell>
          <cell r="O530">
            <v>2.4295247848947149E-3</v>
          </cell>
          <cell r="P530">
            <v>1.154440641524802E-2</v>
          </cell>
          <cell r="Q530">
            <v>1.1430340201031002E-2</v>
          </cell>
          <cell r="S530">
            <v>-6.0188908967398116E-3</v>
          </cell>
          <cell r="T530">
            <v>3.3561969756228101E-3</v>
          </cell>
          <cell r="U530">
            <v>2.1002655396668915E-2</v>
          </cell>
          <cell r="V530">
            <v>9.3178573582009296E-3</v>
          </cell>
          <cell r="X530">
            <v>-1.9099144929702324E-2</v>
          </cell>
          <cell r="Y530">
            <v>1.1611647082078465E-2</v>
          </cell>
          <cell r="Z530">
            <v>1.2912540657597194E-2</v>
          </cell>
          <cell r="AA530">
            <v>3.8086316357202873E-2</v>
          </cell>
          <cell r="AC530">
            <v>-4.7108465070883038E-2</v>
          </cell>
          <cell r="AD530">
            <v>-2.6460185237294296E-3</v>
          </cell>
          <cell r="AE530">
            <v>-3.7606124661924402E-2</v>
          </cell>
          <cell r="AF530">
            <v>2.3644576506818643E-2</v>
          </cell>
          <cell r="AH530">
            <v>-1.3757220537200658E-2</v>
          </cell>
          <cell r="AI530">
            <v>2.3993406901559444E-3</v>
          </cell>
          <cell r="AJ530">
            <v>-1.0804469711982576E-2</v>
          </cell>
          <cell r="AK530">
            <v>-1.3920051805406593E-2</v>
          </cell>
          <cell r="AM530">
            <v>-2.9576291590813833E-2</v>
          </cell>
          <cell r="AN530">
            <v>-3.8405101936937844E-2</v>
          </cell>
          <cell r="AO530">
            <v>1.4427209509683054E-2</v>
          </cell>
          <cell r="AP530">
            <v>-2.3253846046369718E-3</v>
          </cell>
          <cell r="AR530">
            <v>-3.8956753350918023E-3</v>
          </cell>
          <cell r="AS530">
            <v>1.4131866088193746E-2</v>
          </cell>
          <cell r="AT530">
            <v>2.0058613686660998E-2</v>
          </cell>
          <cell r="AU530">
            <v>2.5123811897193812E-2</v>
          </cell>
          <cell r="AW530">
            <v>-6.0633376897002347E-3</v>
          </cell>
          <cell r="AX530">
            <v>1.5398242794383321E-2</v>
          </cell>
          <cell r="AY530">
            <v>2.1085066040991987E-2</v>
          </cell>
          <cell r="AZ530">
            <v>2.2604696598751986E-2</v>
          </cell>
          <cell r="BB530" t="str">
            <v>--</v>
          </cell>
          <cell r="BC530" t="str">
            <v>--</v>
          </cell>
          <cell r="BD530">
            <v>8.9653886796571963E-3</v>
          </cell>
          <cell r="BE530">
            <v>3.0873074870635481E-2</v>
          </cell>
          <cell r="BF530">
            <v>3.2901650797881002E-2</v>
          </cell>
          <cell r="BG530">
            <v>-3.7838311282856987E-2</v>
          </cell>
          <cell r="BH530">
            <v>-2.1634615893094192E-2</v>
          </cell>
          <cell r="BI530">
            <v>-7.1571454113555533E-2</v>
          </cell>
          <cell r="BJ530">
            <v>1.9392761098236504E-2</v>
          </cell>
          <cell r="BK530">
            <v>5.7168965443383082E-2</v>
          </cell>
          <cell r="BM530">
            <v>-2.1634615893094192E-2</v>
          </cell>
          <cell r="BN530">
            <v>-7.1571454113555533E-2</v>
          </cell>
          <cell r="BO530">
            <v>1.9392761098236504E-2</v>
          </cell>
          <cell r="BP530">
            <v>5.7168965443383082E-2</v>
          </cell>
          <cell r="BQ530">
            <v>4.330858033107339E-2</v>
          </cell>
          <cell r="BR530">
            <v>-3.626605441986334E-3</v>
          </cell>
          <cell r="BS530">
            <v>-4.3088024945229446E-2</v>
          </cell>
          <cell r="BT530">
            <v>2.7895141004121781E-2</v>
          </cell>
          <cell r="BU530">
            <v>2.5920390632826789E-2</v>
          </cell>
          <cell r="BV530">
            <v>2.115667106584624E-2</v>
          </cell>
          <cell r="BW530">
            <v>-8.1785945612683746E-3</v>
          </cell>
          <cell r="BX530">
            <v>-7.6041199075846708E-2</v>
          </cell>
          <cell r="BY530">
            <v>4.4038791840672123E-2</v>
          </cell>
          <cell r="BZ530">
            <v>3.1277497946207405E-2</v>
          </cell>
          <cell r="CA530">
            <v>1.1284891257859219E-3</v>
          </cell>
        </row>
        <row r="531">
          <cell r="A531" t="str">
            <v>Change in Profit Margin</v>
          </cell>
          <cell r="D531" t="str">
            <v>--</v>
          </cell>
          <cell r="E531" t="str">
            <v>--</v>
          </cell>
          <cell r="F531" t="str">
            <v>--</v>
          </cell>
          <cell r="G531" t="str">
            <v>--</v>
          </cell>
          <cell r="I531" t="str">
            <v>--</v>
          </cell>
          <cell r="J531" t="str">
            <v>--</v>
          </cell>
          <cell r="K531" t="str">
            <v>--</v>
          </cell>
          <cell r="L531">
            <v>-2.0660016354621646</v>
          </cell>
          <cell r="N531">
            <v>-0.94181109747483538</v>
          </cell>
          <cell r="O531">
            <v>3.8600463865214499E-2</v>
          </cell>
          <cell r="P531">
            <v>0.9489648296238693</v>
          </cell>
          <cell r="Q531">
            <v>0.87898808109563875</v>
          </cell>
          <cell r="S531">
            <v>-0.74845847129727006</v>
          </cell>
          <cell r="T531">
            <v>5.9052464445657265E-3</v>
          </cell>
          <cell r="U531">
            <v>2.0269118283767971</v>
          </cell>
          <cell r="V531">
            <v>0.10822122939746404</v>
          </cell>
          <cell r="X531">
            <v>-0.52176221497426867</v>
          </cell>
          <cell r="Y531">
            <v>1.114918067098928</v>
          </cell>
          <cell r="Z531">
            <v>1.2216644390102627</v>
          </cell>
          <cell r="AA531">
            <v>1.0064178804130492</v>
          </cell>
          <cell r="AC531">
            <v>-0.18621864262448948</v>
          </cell>
          <cell r="AD531">
            <v>0.59243128365050035</v>
          </cell>
          <cell r="AE531">
            <v>-2.075645098320769</v>
          </cell>
          <cell r="AF531">
            <v>2.0013360547146068</v>
          </cell>
          <cell r="AH531">
            <v>-0.57306301829815143</v>
          </cell>
          <cell r="AI531">
            <v>-0.29788759785958407</v>
          </cell>
          <cell r="AJ531">
            <v>-0.79636327730801693</v>
          </cell>
          <cell r="AK531">
            <v>-2.0323315532386026</v>
          </cell>
          <cell r="AM531">
            <v>-2.8361047134389619</v>
          </cell>
          <cell r="AN531">
            <v>-3.8387946625361948</v>
          </cell>
          <cell r="AO531">
            <v>1.4367449260518113</v>
          </cell>
          <cell r="AP531">
            <v>-0.16743448912723746</v>
          </cell>
          <cell r="AR531">
            <v>-0.45897575583893774</v>
          </cell>
          <cell r="AS531">
            <v>1.4131866088193745</v>
          </cell>
          <cell r="AT531">
            <v>1.9450550902126329</v>
          </cell>
          <cell r="AU531">
            <v>2.134163790048218</v>
          </cell>
          <cell r="AW531">
            <v>-0.2425159526693155</v>
          </cell>
          <cell r="AX531">
            <v>1.4739242856653136</v>
          </cell>
          <cell r="AY531">
            <v>1.7973639874408012</v>
          </cell>
          <cell r="AZ531">
            <v>1.412336451215652</v>
          </cell>
          <cell r="BB531" t="str">
            <v>--</v>
          </cell>
          <cell r="BC531" t="str">
            <v>--</v>
          </cell>
          <cell r="BD531">
            <v>-0.16336037095562453</v>
          </cell>
          <cell r="BE531">
            <v>1.5895060460362338</v>
          </cell>
          <cell r="BF531">
            <v>2.574058181029701</v>
          </cell>
          <cell r="BG531">
            <v>0.48972126016340234</v>
          </cell>
          <cell r="BH531">
            <v>-1.2316445609814435</v>
          </cell>
          <cell r="BI531">
            <v>-7.1612759201842344</v>
          </cell>
          <cell r="BJ531">
            <v>1.8552053462758726</v>
          </cell>
          <cell r="BK531">
            <v>5.2573975253655698</v>
          </cell>
          <cell r="BM531">
            <v>-1.2316445609814435</v>
          </cell>
          <cell r="BN531">
            <v>-7.1612759201842344</v>
          </cell>
          <cell r="BO531">
            <v>1.8552053462758726</v>
          </cell>
          <cell r="BP531">
            <v>5.2573975253655698</v>
          </cell>
          <cell r="BQ531">
            <v>3.6340385271407047</v>
          </cell>
          <cell r="BR531">
            <v>-0.5297192098375032</v>
          </cell>
          <cell r="BS531">
            <v>-3.4130467058784983</v>
          </cell>
          <cell r="BT531">
            <v>2.7452065486301422</v>
          </cell>
          <cell r="BU531">
            <v>1.7400640874223636</v>
          </cell>
          <cell r="BV531">
            <v>1.3252391636437379</v>
          </cell>
          <cell r="BW531">
            <v>-0.79352092976191724</v>
          </cell>
          <cell r="BX531">
            <v>-6.961485439129568</v>
          </cell>
          <cell r="BY531">
            <v>4.0246883664557389</v>
          </cell>
          <cell r="BZ531">
            <v>2.4143003440155892</v>
          </cell>
          <cell r="CA531">
            <v>-0.25075316458524699</v>
          </cell>
        </row>
        <row r="532">
          <cell r="A532" t="str">
            <v>Change in Op. Asset Turns</v>
          </cell>
          <cell r="D532" t="str">
            <v>--</v>
          </cell>
          <cell r="E532" t="str">
            <v>--</v>
          </cell>
          <cell r="F532" t="str">
            <v>--</v>
          </cell>
          <cell r="G532" t="str">
            <v>--</v>
          </cell>
          <cell r="I532" t="str">
            <v>--</v>
          </cell>
          <cell r="J532" t="str">
            <v>--</v>
          </cell>
          <cell r="K532" t="str">
            <v>--</v>
          </cell>
          <cell r="L532">
            <v>2.1227285168191257</v>
          </cell>
          <cell r="N532">
            <v>9.0378036909583348E-2</v>
          </cell>
          <cell r="O532">
            <v>0.20435201462425701</v>
          </cell>
          <cell r="P532">
            <v>0.20547581190093275</v>
          </cell>
          <cell r="Q532">
            <v>0.26404593900746132</v>
          </cell>
          <cell r="S532">
            <v>0.14656938162328889</v>
          </cell>
          <cell r="T532">
            <v>0.32971445111771525</v>
          </cell>
          <cell r="U532">
            <v>7.3353711290094242E-2</v>
          </cell>
          <cell r="V532">
            <v>0.82356450642262891</v>
          </cell>
          <cell r="X532">
            <v>-1.3881522779959636</v>
          </cell>
          <cell r="Y532">
            <v>4.624664110891831E-2</v>
          </cell>
          <cell r="Z532">
            <v>6.9589626749456582E-2</v>
          </cell>
          <cell r="AA532">
            <v>2.8022137553072382</v>
          </cell>
          <cell r="AC532">
            <v>-4.524627864463814</v>
          </cell>
          <cell r="AD532">
            <v>-0.85703313602344333</v>
          </cell>
          <cell r="AE532">
            <v>-1.6849673678716715</v>
          </cell>
          <cell r="AF532">
            <v>0.36312159596725735</v>
          </cell>
          <cell r="AH532">
            <v>-0.80265903542191452</v>
          </cell>
          <cell r="AI532">
            <v>0.53782166687517852</v>
          </cell>
          <cell r="AJ532">
            <v>-0.28408369389024063</v>
          </cell>
          <cell r="AK532">
            <v>0.64032637269794335</v>
          </cell>
          <cell r="AM532">
            <v>-0.12152444564242164</v>
          </cell>
          <cell r="AN532">
            <v>-1.7155311575897845E-3</v>
          </cell>
          <cell r="AO532">
            <v>5.9760249164940785E-3</v>
          </cell>
          <cell r="AP532">
            <v>-6.5103971336459732E-2</v>
          </cell>
          <cell r="AR532">
            <v>6.9408222329757518E-2</v>
          </cell>
          <cell r="AS532">
            <v>0</v>
          </cell>
          <cell r="AT532">
            <v>6.0806278453466665E-2</v>
          </cell>
          <cell r="AU532">
            <v>0.37821739967116325</v>
          </cell>
          <cell r="AW532">
            <v>-0.36381781630070792</v>
          </cell>
          <cell r="AX532">
            <v>6.5899993773018417E-2</v>
          </cell>
          <cell r="AY532">
            <v>0.31114261665839776</v>
          </cell>
          <cell r="AZ532">
            <v>0.84813320865954667</v>
          </cell>
          <cell r="BB532" t="str">
            <v>--</v>
          </cell>
          <cell r="BC532" t="str">
            <v>--</v>
          </cell>
          <cell r="BD532">
            <v>1.0598992389213442</v>
          </cell>
          <cell r="BE532">
            <v>1.4978014410273144</v>
          </cell>
          <cell r="BF532">
            <v>0.71610689875839928</v>
          </cell>
          <cell r="BG532">
            <v>-4.2735523884491009</v>
          </cell>
          <cell r="BH532">
            <v>-0.93181702832797597</v>
          </cell>
          <cell r="BI532">
            <v>4.130508828681408E-3</v>
          </cell>
          <cell r="BJ532">
            <v>8.4070763547777774E-2</v>
          </cell>
          <cell r="BK532">
            <v>0.45949901897273859</v>
          </cell>
          <cell r="BM532">
            <v>-0.93181702832797597</v>
          </cell>
          <cell r="BN532">
            <v>4.130508828681408E-3</v>
          </cell>
          <cell r="BO532">
            <v>8.4070763547777774E-2</v>
          </cell>
          <cell r="BP532">
            <v>0.45949901897273859</v>
          </cell>
          <cell r="BQ532">
            <v>0.69681950596663433</v>
          </cell>
          <cell r="BR532">
            <v>0.16705866563886979</v>
          </cell>
          <cell r="BS532">
            <v>-0.89575578864444627</v>
          </cell>
          <cell r="BT532">
            <v>4.430755178203595E-2</v>
          </cell>
          <cell r="BU532">
            <v>0.85197497586031523</v>
          </cell>
          <cell r="BV532">
            <v>0.79042794294088592</v>
          </cell>
          <cell r="BW532">
            <v>-2.4338526364920177E-2</v>
          </cell>
          <cell r="BX532">
            <v>-0.64263446845510208</v>
          </cell>
          <cell r="BY532">
            <v>0.379190817611473</v>
          </cell>
          <cell r="BZ532">
            <v>0.71344945060515153</v>
          </cell>
          <cell r="CA532">
            <v>0.36360207716383919</v>
          </cell>
        </row>
        <row r="533">
          <cell r="A533" t="str">
            <v>Change in Profit Margin</v>
          </cell>
          <cell r="D533" t="str">
            <v>--</v>
          </cell>
          <cell r="E533" t="str">
            <v>--</v>
          </cell>
          <cell r="F533" t="str">
            <v>--</v>
          </cell>
          <cell r="G533" t="str">
            <v>--</v>
          </cell>
          <cell r="I533" t="str">
            <v>--</v>
          </cell>
          <cell r="J533" t="str">
            <v>--</v>
          </cell>
          <cell r="K533" t="str">
            <v>--</v>
          </cell>
          <cell r="L533">
            <v>-2.0660016354621646</v>
          </cell>
          <cell r="N533">
            <v>-0.94181109747483538</v>
          </cell>
          <cell r="O533">
            <v>3.8600463865214499E-2</v>
          </cell>
          <cell r="P533">
            <v>0.9489648296238693</v>
          </cell>
          <cell r="Q533">
            <v>0.87898808109563875</v>
          </cell>
          <cell r="S533">
            <v>0.14656938162328889</v>
          </cell>
          <cell r="T533">
            <v>0.32971445111771525</v>
          </cell>
          <cell r="U533">
            <v>7.3353711290094242E-2</v>
          </cell>
          <cell r="V533">
            <v>0.82356450642262891</v>
          </cell>
          <cell r="X533">
            <v>-0.52176221497426867</v>
          </cell>
          <cell r="Y533">
            <v>1.114918067098928</v>
          </cell>
          <cell r="Z533">
            <v>1.2216644390102627</v>
          </cell>
          <cell r="AA533">
            <v>1.0064178804130492</v>
          </cell>
          <cell r="AC533">
            <v>-0.18621864262448948</v>
          </cell>
          <cell r="AD533">
            <v>0.59243128365050035</v>
          </cell>
          <cell r="AE533">
            <v>-2.075645098320769</v>
          </cell>
          <cell r="AF533">
            <v>2.0013360547146068</v>
          </cell>
          <cell r="AH533">
            <v>-0.57306301829815143</v>
          </cell>
          <cell r="AI533">
            <v>-0.29788759785958407</v>
          </cell>
          <cell r="AJ533">
            <v>-0.79636327730801693</v>
          </cell>
          <cell r="AK533">
            <v>-2.0323315532386026</v>
          </cell>
          <cell r="AM533">
            <v>-2.8361047134389619</v>
          </cell>
          <cell r="AN533">
            <v>-3.8387946625361948</v>
          </cell>
          <cell r="AO533">
            <v>1.4367449260518113</v>
          </cell>
          <cell r="AP533">
            <v>0.2552778603201985</v>
          </cell>
          <cell r="AR533">
            <v>1.9071646448810886</v>
          </cell>
          <cell r="AS533">
            <v>2.8481303092227317</v>
          </cell>
          <cell r="AT533">
            <v>1.6339350737952001</v>
          </cell>
          <cell r="AU533">
            <v>3.849315786641303</v>
          </cell>
          <cell r="AW533">
            <v>0.66488888731164497</v>
          </cell>
          <cell r="AX533">
            <v>0.99600770128450078</v>
          </cell>
          <cell r="AY533">
            <v>0.324050331137334</v>
          </cell>
          <cell r="AZ533">
            <v>1.0699267768568956</v>
          </cell>
          <cell r="BB533" t="str">
            <v>--</v>
          </cell>
          <cell r="BC533" t="str">
            <v>--</v>
          </cell>
          <cell r="BD533">
            <v>-0.16336037095562453</v>
          </cell>
          <cell r="BE533">
            <v>1.4978014410273144</v>
          </cell>
          <cell r="BF533">
            <v>2.574058181029701</v>
          </cell>
          <cell r="BG533">
            <v>-4.2735523884491009</v>
          </cell>
          <cell r="BH533">
            <v>-0.93181702832797597</v>
          </cell>
          <cell r="BI533">
            <v>-9.7091181591464864E-4</v>
          </cell>
          <cell r="BJ533">
            <v>0.35807572672086441</v>
          </cell>
          <cell r="BK533">
            <v>0.95428891556107553</v>
          </cell>
          <cell r="BM533">
            <v>-0.93181702832797597</v>
          </cell>
          <cell r="BN533">
            <v>-9.7091181591464864E-4</v>
          </cell>
          <cell r="BO533">
            <v>0.35807572672086441</v>
          </cell>
          <cell r="BP533">
            <v>0.95428891556107553</v>
          </cell>
          <cell r="BQ533">
            <v>0.45137493352069985</v>
          </cell>
          <cell r="BR533">
            <v>-0.70763020125532861</v>
          </cell>
          <cell r="BS533">
            <v>-0.41275420067618251</v>
          </cell>
          <cell r="BT533">
            <v>0.59737195445322699</v>
          </cell>
          <cell r="BU533">
            <v>1.1753418526789239</v>
          </cell>
          <cell r="BV533">
            <v>1.6821291918473775</v>
          </cell>
          <cell r="BW533">
            <v>-0.97934437563457899</v>
          </cell>
          <cell r="BX533">
            <v>-8.3895966376880118</v>
          </cell>
          <cell r="BY533">
            <v>4.780768105700866</v>
          </cell>
          <cell r="BZ533">
            <v>3.1349795722480471</v>
          </cell>
          <cell r="CA533">
            <v>-0.29456112577528692</v>
          </cell>
        </row>
        <row r="534">
          <cell r="A534" t="str">
            <v>Net Financial Obligations</v>
          </cell>
          <cell r="D534" t="str">
            <v>--</v>
          </cell>
          <cell r="E534" t="str">
            <v>--</v>
          </cell>
          <cell r="F534" t="str">
            <v>--</v>
          </cell>
          <cell r="G534" t="str">
            <v>--</v>
          </cell>
          <cell r="I534">
            <v>207.59099999999998</v>
          </cell>
          <cell r="J534">
            <v>240.25500000000002</v>
          </cell>
          <cell r="K534">
            <v>321.98</v>
          </cell>
          <cell r="L534">
            <v>413.76300000000003</v>
          </cell>
          <cell r="N534">
            <v>432.69999999999993</v>
          </cell>
          <cell r="O534">
            <v>473.99599999999998</v>
          </cell>
          <cell r="P534">
            <v>66.013999999999996</v>
          </cell>
          <cell r="Q534">
            <v>104.083</v>
          </cell>
          <cell r="S534">
            <v>-72.782000000000011</v>
          </cell>
          <cell r="T534">
            <v>41.865999999999985</v>
          </cell>
          <cell r="U534">
            <v>62.268000000000001</v>
          </cell>
          <cell r="V534">
            <v>-237.32499999999999</v>
          </cell>
          <cell r="X534">
            <v>-796.82799999999997</v>
          </cell>
          <cell r="Y534">
            <v>-151.13100000000003</v>
          </cell>
          <cell r="Z534">
            <v>43.890999999999963</v>
          </cell>
          <cell r="AA534">
            <v>108.73500000000013</v>
          </cell>
          <cell r="AC534">
            <v>514.98</v>
          </cell>
          <cell r="AD534">
            <v>-257.31399999999996</v>
          </cell>
          <cell r="AE534">
            <v>44.436000000000035</v>
          </cell>
          <cell r="AF534">
            <v>-308.59999999999991</v>
          </cell>
          <cell r="AH534">
            <v>-447.19999999999982</v>
          </cell>
          <cell r="AI534">
            <v>-644.60000000000014</v>
          </cell>
          <cell r="AJ534">
            <v>-986.69999999999982</v>
          </cell>
          <cell r="AK534">
            <v>-1039.491</v>
          </cell>
          <cell r="AM534">
            <v>-1023.7999999999998</v>
          </cell>
          <cell r="AN534">
            <v>-769.4</v>
          </cell>
          <cell r="AO534">
            <v>-591.30000000000007</v>
          </cell>
          <cell r="AP534">
            <v>-651.83001309439612</v>
          </cell>
          <cell r="AR534">
            <v>-546.32117284991421</v>
          </cell>
          <cell r="AS534">
            <v>-534.91268837791438</v>
          </cell>
          <cell r="AT534">
            <v>-536.53067078692641</v>
          </cell>
          <cell r="AU534">
            <v>-561.8273617143908</v>
          </cell>
          <cell r="AW534">
            <v>-332.66628200023933</v>
          </cell>
          <cell r="AX534">
            <v>-349.65905956544907</v>
          </cell>
          <cell r="AY534">
            <v>-369.6134307117951</v>
          </cell>
          <cell r="AZ534">
            <v>-424.33005042796884</v>
          </cell>
          <cell r="BB534" t="str">
            <v>--</v>
          </cell>
          <cell r="BC534">
            <v>413.76300000000003</v>
          </cell>
          <cell r="BD534">
            <v>104.083</v>
          </cell>
          <cell r="BE534">
            <v>-237.32499999999999</v>
          </cell>
          <cell r="BF534">
            <v>108.73500000000013</v>
          </cell>
          <cell r="BG534">
            <v>-308.59999999999991</v>
          </cell>
          <cell r="BH534">
            <v>-1039.491</v>
          </cell>
          <cell r="BI534">
            <v>-651.83001309439612</v>
          </cell>
          <cell r="BJ534">
            <v>-561.8273617143908</v>
          </cell>
          <cell r="BK534">
            <v>-424.33005042796884</v>
          </cell>
          <cell r="BM534">
            <v>-1039.491</v>
          </cell>
          <cell r="BN534">
            <v>-651.83001309439612</v>
          </cell>
          <cell r="BO534">
            <v>-561.8273617143908</v>
          </cell>
          <cell r="BP534">
            <v>-424.33005042796884</v>
          </cell>
          <cell r="BQ534">
            <v>-440.59949573102966</v>
          </cell>
          <cell r="BR534">
            <v>-286.73440933654814</v>
          </cell>
          <cell r="BS534">
            <v>57.350042166807306</v>
          </cell>
          <cell r="BT534">
            <v>-445.21868249856601</v>
          </cell>
          <cell r="BU534">
            <v>-247.22527123311428</v>
          </cell>
          <cell r="BV534">
            <v>-305.48340424493534</v>
          </cell>
          <cell r="BW534">
            <v>-259.54041587962041</v>
          </cell>
          <cell r="BX534">
            <v>-466.66983827187931</v>
          </cell>
          <cell r="BY534">
            <v>-1093.1695333462999</v>
          </cell>
          <cell r="BZ534">
            <v>-1325.5269998474287</v>
          </cell>
          <cell r="CA534">
            <v>-1823.5534458001866</v>
          </cell>
        </row>
        <row r="535">
          <cell r="A535" t="str">
            <v>NFO/Equity</v>
          </cell>
          <cell r="D535" t="str">
            <v>--</v>
          </cell>
          <cell r="E535" t="str">
            <v>--</v>
          </cell>
          <cell r="F535" t="str">
            <v>--</v>
          </cell>
          <cell r="G535" t="str">
            <v>--</v>
          </cell>
          <cell r="I535">
            <v>0.59898721758952023</v>
          </cell>
          <cell r="J535">
            <v>0.69165596697393539</v>
          </cell>
          <cell r="K535">
            <v>0.9250863371775645</v>
          </cell>
          <cell r="L535">
            <v>1.1391337624509259</v>
          </cell>
          <cell r="N535">
            <v>1.3060670087533957</v>
          </cell>
          <cell r="O535">
            <v>1.4679070689302771</v>
          </cell>
          <cell r="P535">
            <v>9.0568346764789018E-2</v>
          </cell>
          <cell r="Q535">
            <v>0.12113012734124241</v>
          </cell>
          <cell r="S535">
            <v>-6.4585803227249175E-2</v>
          </cell>
          <cell r="T535">
            <v>3.668970618263525E-2</v>
          </cell>
          <cell r="U535">
            <v>5.3378000733788934E-2</v>
          </cell>
          <cell r="V535">
            <v>-0.14312715263659723</v>
          </cell>
          <cell r="X535">
            <v>-0.32786351021348642</v>
          </cell>
          <cell r="Y535">
            <v>-6.1365718257977125E-2</v>
          </cell>
          <cell r="Z535">
            <v>1.7423957017915402E-2</v>
          </cell>
          <cell r="AA535">
            <v>4.1682767059516304E-2</v>
          </cell>
          <cell r="AC535">
            <v>0.1931904293870936</v>
          </cell>
          <cell r="AD535">
            <v>-7.590869386034442E-2</v>
          </cell>
          <cell r="AE535">
            <v>1.2589396586674505E-2</v>
          </cell>
          <cell r="AF535">
            <v>-7.997304861615008E-2</v>
          </cell>
          <cell r="AH535">
            <v>-0.11471078619982039</v>
          </cell>
          <cell r="AI535">
            <v>-0.16301653937585356</v>
          </cell>
          <cell r="AJ535">
            <v>-0.2564522417153996</v>
          </cell>
          <cell r="AK535">
            <v>-0.30582340465155683</v>
          </cell>
          <cell r="AM535">
            <v>-0.30840136156881648</v>
          </cell>
          <cell r="AN535">
            <v>-0.24367379255740296</v>
          </cell>
          <cell r="AO535">
            <v>-0.19499406410763756</v>
          </cell>
          <cell r="AP535">
            <v>-0.2160577142221918</v>
          </cell>
          <cell r="AR535">
            <v>-0.18210867083903381</v>
          </cell>
          <cell r="AS535">
            <v>-0.17882187983414585</v>
          </cell>
          <cell r="AT535">
            <v>-0.17916651591472343</v>
          </cell>
          <cell r="AU535">
            <v>-0.18652283317312951</v>
          </cell>
          <cell r="AW535">
            <v>-0.10982395039476313</v>
          </cell>
          <cell r="AX535">
            <v>-0.11436764333760276</v>
          </cell>
          <cell r="AY535">
            <v>-0.11922368705520016</v>
          </cell>
          <cell r="AZ535">
            <v>-0.13439597188438576</v>
          </cell>
          <cell r="BB535" t="str">
            <v>--</v>
          </cell>
          <cell r="BC535">
            <v>1.1391337624509259</v>
          </cell>
          <cell r="BD535">
            <v>0.12113012734124239</v>
          </cell>
          <cell r="BE535">
            <v>-0.14312715263659723</v>
          </cell>
          <cell r="BF535">
            <v>4.1682767059516304E-2</v>
          </cell>
          <cell r="BG535">
            <v>-7.997304861615008E-2</v>
          </cell>
          <cell r="BH535">
            <v>-0.30582340465155683</v>
          </cell>
          <cell r="BI535">
            <v>-0.2160577142221918</v>
          </cell>
          <cell r="BJ535">
            <v>-0.18652283317312951</v>
          </cell>
          <cell r="BK535">
            <v>-0.13439597188438576</v>
          </cell>
          <cell r="BM535">
            <v>-0.30582340465155683</v>
          </cell>
          <cell r="BN535">
            <v>-0.2160577142221918</v>
          </cell>
          <cell r="BO535">
            <v>-0.18652283317312951</v>
          </cell>
          <cell r="BP535">
            <v>-0.13439597188438576</v>
          </cell>
          <cell r="BQ535">
            <v>-0.12684959930993112</v>
          </cell>
          <cell r="BR535">
            <v>-7.4785861212202626E-2</v>
          </cell>
          <cell r="BS535">
            <v>1.4143735248690378E-2</v>
          </cell>
          <cell r="BT535">
            <v>-0.10099221325135696</v>
          </cell>
          <cell r="BU535">
            <v>-5.0404799541423781E-2</v>
          </cell>
          <cell r="BV535">
            <v>-5.462180844857923E-2</v>
          </cell>
          <cell r="BW535">
            <v>-4.0985048349018206E-2</v>
          </cell>
          <cell r="BX535">
            <v>-7.1782355287552946E-2</v>
          </cell>
          <cell r="BY535">
            <v>-0.15754716614363967</v>
          </cell>
          <cell r="BZ535">
            <v>-0.17481156975660675</v>
          </cell>
          <cell r="CA535">
            <v>-0.22056038946823175</v>
          </cell>
        </row>
        <row r="536">
          <cell r="A536" t="str">
            <v>Leverage Effect (D)</v>
          </cell>
          <cell r="D536" t="str">
            <v>--</v>
          </cell>
          <cell r="E536" t="str">
            <v>--</v>
          </cell>
          <cell r="F536" t="str">
            <v>--</v>
          </cell>
          <cell r="G536" t="str">
            <v>--</v>
          </cell>
          <cell r="I536">
            <v>207.59099999999998</v>
          </cell>
          <cell r="J536">
            <v>240.25500000000002</v>
          </cell>
          <cell r="K536">
            <v>321.98</v>
          </cell>
          <cell r="L536">
            <v>413.76300000000003</v>
          </cell>
          <cell r="N536">
            <v>432.69999999999993</v>
          </cell>
          <cell r="O536">
            <v>473.99599999999998</v>
          </cell>
          <cell r="P536">
            <v>66.013999999999996</v>
          </cell>
          <cell r="Q536">
            <v>104.083</v>
          </cell>
          <cell r="S536">
            <v>-6.4585803227249175E-2</v>
          </cell>
          <cell r="T536">
            <v>3.668970618263525E-2</v>
          </cell>
          <cell r="U536">
            <v>5.3378000733788934E-2</v>
          </cell>
          <cell r="V536">
            <v>-0.14312715263659723</v>
          </cell>
          <cell r="X536">
            <v>-796.82799999999997</v>
          </cell>
          <cell r="Y536">
            <v>-151.13100000000003</v>
          </cell>
          <cell r="Z536">
            <v>43.890999999999963</v>
          </cell>
          <cell r="AA536">
            <v>108.73500000000013</v>
          </cell>
          <cell r="AC536">
            <v>514.98</v>
          </cell>
          <cell r="AD536">
            <v>-257.31399999999996</v>
          </cell>
          <cell r="AE536">
            <v>44.436000000000035</v>
          </cell>
          <cell r="AF536">
            <v>-308.59999999999991</v>
          </cell>
          <cell r="AH536">
            <v>-447.19999999999982</v>
          </cell>
          <cell r="AI536">
            <v>-644.60000000000014</v>
          </cell>
          <cell r="AJ536">
            <v>-986.69999999999982</v>
          </cell>
          <cell r="AK536">
            <v>-1039.491</v>
          </cell>
          <cell r="AM536">
            <v>-1023.7999999999998</v>
          </cell>
          <cell r="AN536">
            <v>-769.4</v>
          </cell>
          <cell r="AO536">
            <v>-591.30000000000007</v>
          </cell>
          <cell r="AP536">
            <v>-421.89999999999986</v>
          </cell>
          <cell r="AR536">
            <v>-215.69999999999993</v>
          </cell>
          <cell r="AS536">
            <v>-208.82712566462624</v>
          </cell>
          <cell r="AT536">
            <v>-233.34386380199282</v>
          </cell>
          <cell r="AU536">
            <v>-132.77268388152436</v>
          </cell>
          <cell r="AW536">
            <v>93.149245088602584</v>
          </cell>
          <cell r="AX536">
            <v>75.109679408202283</v>
          </cell>
          <cell r="AY536">
            <v>20.09725900112478</v>
          </cell>
          <cell r="AZ536">
            <v>-26.518860439779619</v>
          </cell>
          <cell r="BB536" t="str">
            <v>--</v>
          </cell>
          <cell r="BC536" t="str">
            <v>--</v>
          </cell>
          <cell r="BD536" t="e">
            <v>#DIV/0!</v>
          </cell>
          <cell r="BE536" t="e">
            <v>#DIV/0!</v>
          </cell>
          <cell r="BF536" t="e">
            <v>#DIV/0!</v>
          </cell>
          <cell r="BG536">
            <v>-7.997304861615008E-2</v>
          </cell>
          <cell r="BH536">
            <v>-0.30582340465155683</v>
          </cell>
          <cell r="BI536">
            <v>-0.14727031555431441</v>
          </cell>
          <cell r="BJ536">
            <v>-9.639185286538654E-2</v>
          </cell>
          <cell r="BK536">
            <v>-4.7929310571995093E-2</v>
          </cell>
          <cell r="BM536">
            <v>-0.30582340465155683</v>
          </cell>
          <cell r="BN536">
            <v>-0.14727031555431441</v>
          </cell>
          <cell r="BO536">
            <v>-9.639185286538654E-2</v>
          </cell>
          <cell r="BP536">
            <v>-4.7929310571995093E-2</v>
          </cell>
          <cell r="BQ536">
            <v>-5.5889772637143016E-2</v>
          </cell>
          <cell r="BR536">
            <v>-5.3878284843265692E-2</v>
          </cell>
          <cell r="BS536">
            <v>6.2867434436503791E-2</v>
          </cell>
          <cell r="BT536">
            <v>-4.2637009024120522E-2</v>
          </cell>
          <cell r="BU536">
            <v>3.5135451194597864E-2</v>
          </cell>
          <cell r="BV536">
            <v>-151.065569256705</v>
          </cell>
          <cell r="BW536">
            <v>-136.94640824710498</v>
          </cell>
          <cell r="BX536">
            <v>-259.42904155000974</v>
          </cell>
          <cell r="BY536">
            <v>-1224.5614122034892</v>
          </cell>
          <cell r="BZ536">
            <v>-1671.9225989318529</v>
          </cell>
          <cell r="CA536">
            <v>-2564.3004831797248</v>
          </cell>
        </row>
        <row r="537">
          <cell r="A537" t="str">
            <v>ROE (C+D)</v>
          </cell>
          <cell r="D537" t="str">
            <v>--</v>
          </cell>
          <cell r="E537" t="str">
            <v>--</v>
          </cell>
          <cell r="F537" t="str">
            <v>--</v>
          </cell>
          <cell r="G537" t="str">
            <v>--</v>
          </cell>
          <cell r="I537">
            <v>0.59898721758952023</v>
          </cell>
          <cell r="J537">
            <v>0.69165596697393539</v>
          </cell>
          <cell r="K537">
            <v>0.9250863371775645</v>
          </cell>
          <cell r="L537">
            <v>1.1391337624509259</v>
          </cell>
          <cell r="N537">
            <v>1.3060670087533957</v>
          </cell>
          <cell r="O537">
            <v>1.4679070689302771</v>
          </cell>
          <cell r="P537">
            <v>9.0568346764789018E-2</v>
          </cell>
          <cell r="Q537">
            <v>0.12113012734124241</v>
          </cell>
          <cell r="S537">
            <v>-6.4585803227249175E-2</v>
          </cell>
          <cell r="T537">
            <v>3.668970618263525E-2</v>
          </cell>
          <cell r="U537">
            <v>5.3378000733788934E-2</v>
          </cell>
          <cell r="V537">
            <v>-0.14312715263659723</v>
          </cell>
          <cell r="X537">
            <v>-0.32786351021348642</v>
          </cell>
          <cell r="Y537">
            <v>-6.1365718257977125E-2</v>
          </cell>
          <cell r="Z537">
            <v>1.7423957017915402E-2</v>
          </cell>
          <cell r="AA537">
            <v>4.1682767059516304E-2</v>
          </cell>
          <cell r="AC537">
            <v>0.1931904293870936</v>
          </cell>
          <cell r="AD537">
            <v>-7.590869386034442E-2</v>
          </cell>
          <cell r="AE537">
            <v>1.2589396586674505E-2</v>
          </cell>
          <cell r="AF537">
            <v>-7.997304861615008E-2</v>
          </cell>
          <cell r="AH537">
            <v>-0.11471078619982039</v>
          </cell>
          <cell r="AI537">
            <v>-0.16301653937585356</v>
          </cell>
          <cell r="AJ537">
            <v>-0.2564522417153996</v>
          </cell>
          <cell r="AK537">
            <v>-0.30582340465155683</v>
          </cell>
          <cell r="AM537">
            <v>-0.30840136156881648</v>
          </cell>
          <cell r="AN537">
            <v>-0.24367379255740296</v>
          </cell>
          <cell r="AO537">
            <v>-0.19499406410763756</v>
          </cell>
          <cell r="AP537">
            <v>-0.14727031555431441</v>
          </cell>
          <cell r="AR537">
            <v>-6.8975441289332307E-2</v>
          </cell>
          <cell r="AS537">
            <v>-6.6493705274531287E-2</v>
          </cell>
          <cell r="AT537">
            <v>-7.3477233808716833E-2</v>
          </cell>
          <cell r="AU537">
            <v>-4.0858790821918803E-2</v>
          </cell>
          <cell r="AW537">
            <v>3.175656183021848E-2</v>
          </cell>
          <cell r="AX537">
            <v>2.5172170242243736E-2</v>
          </cell>
          <cell r="AY537">
            <v>6.6187320929768931E-3</v>
          </cell>
          <cell r="AZ537">
            <v>-8.5464299050157667E-3</v>
          </cell>
          <cell r="BB537" t="str">
            <v>--</v>
          </cell>
          <cell r="BC537" t="str">
            <v>--</v>
          </cell>
          <cell r="BD537" t="e">
            <v>#DIV/0!</v>
          </cell>
          <cell r="BE537" t="e">
            <v>#DIV/0!</v>
          </cell>
          <cell r="BF537" t="e">
            <v>#DIV/0!</v>
          </cell>
          <cell r="BG537">
            <v>-7.997304861615008E-2</v>
          </cell>
          <cell r="BH537">
            <v>-0.30582340465155683</v>
          </cell>
          <cell r="BI537">
            <v>-0.14727031555431441</v>
          </cell>
          <cell r="BJ537">
            <v>-4.0858790821918803E-2</v>
          </cell>
          <cell r="BK537">
            <v>-7.7101652715151056E-2</v>
          </cell>
          <cell r="BM537">
            <v>-0.30582340465155683</v>
          </cell>
          <cell r="BN537">
            <v>-0.14727031555431441</v>
          </cell>
          <cell r="BO537">
            <v>-4.0858790821918803E-2</v>
          </cell>
          <cell r="BP537">
            <v>-7.7101652715151056E-2</v>
          </cell>
          <cell r="BQ537">
            <v>-0.10019599136029614</v>
          </cell>
          <cell r="BR537">
            <v>-0.10112371039300107</v>
          </cell>
          <cell r="BS537">
            <v>1.2012426002506342E-2</v>
          </cell>
          <cell r="BT537">
            <v>-8.5675207081458565E-2</v>
          </cell>
          <cell r="BU537">
            <v>-6.7207236812389277E-3</v>
          </cell>
          <cell r="BV537">
            <v>-2.0870844535524992E-2</v>
          </cell>
          <cell r="BW537">
            <v>-1.6156537982510617E-2</v>
          </cell>
          <cell r="BX537">
            <v>-2.9624325418040623E-2</v>
          </cell>
          <cell r="BY537">
            <v>-0.12906640252216917</v>
          </cell>
          <cell r="BZ537">
            <v>-0.15786443221103214</v>
          </cell>
          <cell r="CA537">
            <v>-0.21794246378837404</v>
          </cell>
        </row>
        <row r="538">
          <cell r="A538" t="str">
            <v>Leverage Effect (D)</v>
          </cell>
          <cell r="D538" t="str">
            <v>--</v>
          </cell>
          <cell r="E538" t="str">
            <v>--</v>
          </cell>
          <cell r="F538" t="str">
            <v>--</v>
          </cell>
          <cell r="G538" t="str">
            <v>--</v>
          </cell>
          <cell r="I538">
            <v>0.59898721758952023</v>
          </cell>
          <cell r="J538">
            <v>0.69165596697393539</v>
          </cell>
          <cell r="K538">
            <v>0.9250863371775645</v>
          </cell>
          <cell r="L538">
            <v>1.1391337624509259</v>
          </cell>
          <cell r="N538">
            <v>1.3060670087533957</v>
          </cell>
          <cell r="O538">
            <v>1.4679070689302771</v>
          </cell>
          <cell r="P538">
            <v>9.0568346764789018E-2</v>
          </cell>
          <cell r="Q538">
            <v>0.12113012734124241</v>
          </cell>
          <cell r="S538">
            <v>-6.4585803227249175E-2</v>
          </cell>
          <cell r="T538">
            <v>3.668970618263525E-2</v>
          </cell>
          <cell r="U538">
            <v>5.3378000733788934E-2</v>
          </cell>
          <cell r="V538">
            <v>-0.14312715263659723</v>
          </cell>
          <cell r="X538">
            <v>-0.32786351021348642</v>
          </cell>
          <cell r="Y538">
            <v>-6.1365718257977125E-2</v>
          </cell>
          <cell r="Z538">
            <v>1.7423957017915402E-2</v>
          </cell>
          <cell r="AA538">
            <v>4.1682767059516304E-2</v>
          </cell>
          <cell r="AC538">
            <v>0.1931904293870936</v>
          </cell>
          <cell r="AD538">
            <v>-7.590869386034442E-2</v>
          </cell>
          <cell r="AE538">
            <v>1.2589396586674505E-2</v>
          </cell>
          <cell r="AF538">
            <v>-7.997304861615008E-2</v>
          </cell>
          <cell r="AH538">
            <v>-0.11471078619982039</v>
          </cell>
          <cell r="AI538">
            <v>-0.16301653937585356</v>
          </cell>
          <cell r="AJ538">
            <v>-0.2564522417153996</v>
          </cell>
          <cell r="AK538">
            <v>-0.30582340465155683</v>
          </cell>
          <cell r="AM538">
            <v>-0.30840136156881648</v>
          </cell>
          <cell r="AN538">
            <v>-0.24367379255740296</v>
          </cell>
          <cell r="AO538">
            <v>-0.19499406410763756</v>
          </cell>
          <cell r="AP538">
            <v>-0.14727031555431441</v>
          </cell>
          <cell r="AR538">
            <v>-6.8975441289332307E-2</v>
          </cell>
          <cell r="AS538">
            <v>-6.6493705274531287E-2</v>
          </cell>
          <cell r="AT538">
            <v>-7.3477233808716833E-2</v>
          </cell>
          <cell r="AU538">
            <v>-4.0858790821918803E-2</v>
          </cell>
          <cell r="AW538">
            <v>-3.7369999548668709E-3</v>
          </cell>
          <cell r="AX538">
            <v>-3.5583241670342658E-2</v>
          </cell>
          <cell r="AY538">
            <v>-5.7098124057598114E-2</v>
          </cell>
          <cell r="AZ538">
            <v>-7.7101652715151056E-2</v>
          </cell>
          <cell r="BB538" t="str">
            <v>--</v>
          </cell>
          <cell r="BC538" t="str">
            <v>--</v>
          </cell>
          <cell r="BD538" t="e">
            <v>#DIV/0!</v>
          </cell>
          <cell r="BE538" t="e">
            <v>#DIV/0!</v>
          </cell>
          <cell r="BF538" t="e">
            <v>#DIV/0!</v>
          </cell>
          <cell r="BG538">
            <v>-7.997304861615008E-2</v>
          </cell>
          <cell r="BH538">
            <v>-0.30582340465155683</v>
          </cell>
          <cell r="BI538">
            <v>-0.14727031555431441</v>
          </cell>
          <cell r="BJ538">
            <v>-4.0858790821918803E-2</v>
          </cell>
          <cell r="BK538">
            <v>-7.7101652715151056E-2</v>
          </cell>
          <cell r="BM538">
            <v>-0.30582340465155683</v>
          </cell>
          <cell r="BN538">
            <v>-0.14727031555431441</v>
          </cell>
          <cell r="BO538">
            <v>-4.0858790821918803E-2</v>
          </cell>
          <cell r="BP538">
            <v>-7.7101652715151056E-2</v>
          </cell>
          <cell r="BQ538">
            <v>-0.10019599136029614</v>
          </cell>
          <cell r="BR538">
            <v>-0.10112371039300107</v>
          </cell>
          <cell r="BS538">
            <v>1.2012426002506342E-2</v>
          </cell>
          <cell r="BT538">
            <v>-8.5675207081458565E-2</v>
          </cell>
          <cell r="BU538">
            <v>-6.7207236812389277E-3</v>
          </cell>
          <cell r="BV538">
            <v>-2.0870844535524992E-2</v>
          </cell>
          <cell r="BW538">
            <v>-1.6156537982510617E-2</v>
          </cell>
          <cell r="BX538">
            <v>-2.9624325418040623E-2</v>
          </cell>
          <cell r="BY538">
            <v>-0.12906640252216917</v>
          </cell>
          <cell r="BZ538">
            <v>-0.15786443221103214</v>
          </cell>
          <cell r="CA538">
            <v>-0.21794246378837404</v>
          </cell>
        </row>
        <row r="539">
          <cell r="A539" t="str">
            <v>ROE (C+D)</v>
          </cell>
          <cell r="D539" t="str">
            <v>--</v>
          </cell>
          <cell r="E539" t="str">
            <v>--</v>
          </cell>
          <cell r="F539" t="str">
            <v>--</v>
          </cell>
          <cell r="G539" t="str">
            <v>--</v>
          </cell>
          <cell r="BB539" t="str">
            <v>--</v>
          </cell>
          <cell r="BC539" t="str">
            <v>--</v>
          </cell>
          <cell r="BD539" t="e">
            <v>#DIV/0!</v>
          </cell>
          <cell r="BE539" t="e">
            <v>#DIV/0!</v>
          </cell>
          <cell r="BF539" t="e">
            <v>#DIV/0!</v>
          </cell>
        </row>
        <row r="540">
          <cell r="A540" t="str">
            <v>Celestica</v>
          </cell>
          <cell r="D540" t="str">
            <v>--</v>
          </cell>
          <cell r="E540" t="str">
            <v>--</v>
          </cell>
          <cell r="F540" t="str">
            <v>--</v>
          </cell>
          <cell r="G540" t="str">
            <v>--</v>
          </cell>
          <cell r="BB540" t="str">
            <v>--</v>
          </cell>
          <cell r="BC540" t="str">
            <v>--</v>
          </cell>
          <cell r="BD540" t="e">
            <v>#DIV/0!</v>
          </cell>
          <cell r="BE540" t="e">
            <v>#DIV/0!</v>
          </cell>
          <cell r="BF540" t="e">
            <v>#DIV/0!</v>
          </cell>
        </row>
        <row r="541">
          <cell r="A541" t="str">
            <v>Residual Income Valuation</v>
          </cell>
        </row>
        <row r="542">
          <cell r="A542" t="str">
            <v>Celestica</v>
          </cell>
        </row>
        <row r="543">
          <cell r="A543" t="str">
            <v>Discount Period</v>
          </cell>
          <cell r="BO543">
            <v>0.5</v>
          </cell>
          <cell r="BP543">
            <v>1.5</v>
          </cell>
          <cell r="BQ543">
            <v>2.5</v>
          </cell>
          <cell r="BR543">
            <v>3.5</v>
          </cell>
          <cell r="BS543">
            <v>4.5</v>
          </cell>
          <cell r="BT543">
            <v>5.5</v>
          </cell>
          <cell r="BU543">
            <v>6.5</v>
          </cell>
          <cell r="BV543">
            <v>7.5</v>
          </cell>
          <cell r="BW543">
            <v>8.5</v>
          </cell>
          <cell r="BX543">
            <v>9.5</v>
          </cell>
          <cell r="BY543">
            <v>10.5</v>
          </cell>
          <cell r="BZ543">
            <v>11.5</v>
          </cell>
          <cell r="CA543">
            <v>12.5</v>
          </cell>
        </row>
        <row r="544">
          <cell r="A544" t="str">
            <v>Residual Income Valuation</v>
          </cell>
          <cell r="D544">
            <v>1996</v>
          </cell>
          <cell r="I544">
            <v>1997</v>
          </cell>
          <cell r="N544">
            <v>1998</v>
          </cell>
          <cell r="S544">
            <v>1999</v>
          </cell>
          <cell r="X544">
            <v>2000</v>
          </cell>
          <cell r="AC544">
            <v>2001</v>
          </cell>
          <cell r="AH544">
            <v>2002</v>
          </cell>
          <cell r="AM544" t="str">
            <v>2003E</v>
          </cell>
          <cell r="AR544" t="str">
            <v>2004E</v>
          </cell>
          <cell r="AW544" t="str">
            <v>2005E</v>
          </cell>
          <cell r="BA544" t="str">
            <v xml:space="preserve"> </v>
          </cell>
          <cell r="BE544" t="str">
            <v xml:space="preserve"> </v>
          </cell>
          <cell r="BO544">
            <v>0.5</v>
          </cell>
          <cell r="BP544">
            <v>1.5</v>
          </cell>
          <cell r="BQ544">
            <v>2.5</v>
          </cell>
          <cell r="BR544">
            <v>3.5</v>
          </cell>
          <cell r="BS544">
            <v>4.5</v>
          </cell>
          <cell r="BT544">
            <v>5.5</v>
          </cell>
          <cell r="BU544">
            <v>6.5</v>
          </cell>
        </row>
        <row r="545">
          <cell r="A545" t="str">
            <v xml:space="preserve"> </v>
          </cell>
          <cell r="D545">
            <v>35125</v>
          </cell>
          <cell r="E545">
            <v>35217</v>
          </cell>
          <cell r="F545">
            <v>35309</v>
          </cell>
          <cell r="G545">
            <v>35400</v>
          </cell>
          <cell r="I545">
            <v>35490</v>
          </cell>
          <cell r="J545">
            <v>35582</v>
          </cell>
          <cell r="K545">
            <v>35674</v>
          </cell>
          <cell r="L545">
            <v>35765</v>
          </cell>
          <cell r="N545">
            <v>35855</v>
          </cell>
          <cell r="O545">
            <v>35947</v>
          </cell>
          <cell r="P545">
            <v>36039</v>
          </cell>
          <cell r="Q545">
            <v>36130</v>
          </cell>
          <cell r="S545">
            <v>36220</v>
          </cell>
          <cell r="T545">
            <v>36312</v>
          </cell>
          <cell r="U545">
            <v>36404</v>
          </cell>
          <cell r="V545">
            <v>36495</v>
          </cell>
          <cell r="X545">
            <v>36586</v>
          </cell>
          <cell r="Y545">
            <v>36678</v>
          </cell>
          <cell r="Z545">
            <v>36770</v>
          </cell>
          <cell r="AA545">
            <v>36861</v>
          </cell>
          <cell r="AC545">
            <v>36951</v>
          </cell>
          <cell r="AD545">
            <v>37043</v>
          </cell>
          <cell r="AE545">
            <v>37135</v>
          </cell>
          <cell r="AF545">
            <v>37226</v>
          </cell>
          <cell r="AH545" t="str">
            <v xml:space="preserve"> 3/02</v>
          </cell>
          <cell r="AI545" t="str">
            <v xml:space="preserve"> 6/02</v>
          </cell>
          <cell r="AJ545" t="str">
            <v xml:space="preserve"> 9/02</v>
          </cell>
          <cell r="AK545" t="str">
            <v>12/02</v>
          </cell>
          <cell r="AM545" t="str">
            <v xml:space="preserve"> 3/03</v>
          </cell>
          <cell r="AN545" t="str">
            <v xml:space="preserve"> 6/03</v>
          </cell>
          <cell r="AO545" t="str">
            <v xml:space="preserve"> 9/03</v>
          </cell>
          <cell r="AP545" t="str">
            <v>12/03E</v>
          </cell>
          <cell r="AR545" t="str">
            <v xml:space="preserve"> 3/04E</v>
          </cell>
          <cell r="AS545" t="str">
            <v xml:space="preserve"> 6/04E</v>
          </cell>
          <cell r="AT545" t="str">
            <v xml:space="preserve"> 9/04E</v>
          </cell>
          <cell r="AU545" t="str">
            <v>12/04E</v>
          </cell>
          <cell r="AW545" t="str">
            <v xml:space="preserve"> 3/05E</v>
          </cell>
          <cell r="AX545" t="str">
            <v xml:space="preserve"> 6/05E</v>
          </cell>
          <cell r="AY545" t="str">
            <v xml:space="preserve"> 9/05E</v>
          </cell>
          <cell r="AZ545" t="str">
            <v>12/05E</v>
          </cell>
          <cell r="BB545">
            <v>1996</v>
          </cell>
          <cell r="BC545">
            <v>1997</v>
          </cell>
          <cell r="BD545">
            <v>1998</v>
          </cell>
          <cell r="BE545">
            <v>1999</v>
          </cell>
          <cell r="BF545">
            <v>2000</v>
          </cell>
          <cell r="BG545">
            <v>2001</v>
          </cell>
          <cell r="BH545">
            <v>2002</v>
          </cell>
          <cell r="BI545" t="str">
            <v>2003E</v>
          </cell>
          <cell r="BJ545" t="str">
            <v>2004E</v>
          </cell>
          <cell r="BK545" t="str">
            <v>2005E</v>
          </cell>
          <cell r="BM545" t="str">
            <v>F2002</v>
          </cell>
          <cell r="BN545" t="str">
            <v>F2003E</v>
          </cell>
          <cell r="BO545" t="str">
            <v>F2004E</v>
          </cell>
          <cell r="BP545" t="str">
            <v>F2005E</v>
          </cell>
          <cell r="BQ545" t="str">
            <v>F2006E</v>
          </cell>
          <cell r="BR545" t="str">
            <v>F2007E</v>
          </cell>
          <cell r="BS545" t="str">
            <v>F2008E</v>
          </cell>
          <cell r="BT545" t="str">
            <v>F2009E</v>
          </cell>
          <cell r="BU545" t="str">
            <v>F2010E</v>
          </cell>
          <cell r="BV545" t="str">
            <v>F2011E</v>
          </cell>
          <cell r="BW545" t="str">
            <v>F2012E</v>
          </cell>
          <cell r="BX545" t="str">
            <v>F2013E</v>
          </cell>
          <cell r="BY545" t="str">
            <v>F2014E</v>
          </cell>
          <cell r="BZ545" t="str">
            <v>F2015E</v>
          </cell>
          <cell r="CA545" t="str">
            <v>F2016E</v>
          </cell>
        </row>
        <row r="546">
          <cell r="A546" t="str">
            <v>Discount Period</v>
          </cell>
          <cell r="D546">
            <v>1996</v>
          </cell>
          <cell r="E546">
            <v>35217</v>
          </cell>
          <cell r="F546">
            <v>35309</v>
          </cell>
          <cell r="G546">
            <v>35400</v>
          </cell>
          <cell r="I546">
            <v>1997</v>
          </cell>
          <cell r="J546">
            <v>35582</v>
          </cell>
          <cell r="K546">
            <v>35674</v>
          </cell>
          <cell r="L546">
            <v>35765</v>
          </cell>
          <cell r="N546">
            <v>1998</v>
          </cell>
          <cell r="O546">
            <v>35947</v>
          </cell>
          <cell r="P546">
            <v>36039</v>
          </cell>
          <cell r="Q546">
            <v>36130</v>
          </cell>
          <cell r="S546">
            <v>36220</v>
          </cell>
          <cell r="T546">
            <v>36312</v>
          </cell>
          <cell r="U546">
            <v>36404</v>
          </cell>
          <cell r="V546">
            <v>36495</v>
          </cell>
          <cell r="X546">
            <v>2000</v>
          </cell>
          <cell r="AC546">
            <v>2001</v>
          </cell>
          <cell r="AH546">
            <v>2002</v>
          </cell>
          <cell r="AM546">
            <v>2003</v>
          </cell>
          <cell r="AR546" t="str">
            <v>2004E</v>
          </cell>
          <cell r="AW546" t="str">
            <v>2005E</v>
          </cell>
          <cell r="AX546" t="str">
            <v xml:space="preserve"> 6/05E</v>
          </cell>
          <cell r="AY546" t="str">
            <v xml:space="preserve"> 9/05E</v>
          </cell>
          <cell r="AZ546" t="str">
            <v>12/05E</v>
          </cell>
          <cell r="BA546" t="str">
            <v xml:space="preserve"> </v>
          </cell>
          <cell r="BE546">
            <v>1999</v>
          </cell>
          <cell r="BG546">
            <v>2001</v>
          </cell>
          <cell r="BH546">
            <v>2002</v>
          </cell>
          <cell r="BI546">
            <v>2003</v>
          </cell>
          <cell r="BJ546" t="str">
            <v>2004E</v>
          </cell>
          <cell r="BK546" t="str">
            <v>2005E</v>
          </cell>
          <cell r="BM546" t="str">
            <v>F2002</v>
          </cell>
          <cell r="BN546" t="str">
            <v>F2003E</v>
          </cell>
          <cell r="BO546" t="str">
            <v>F2004E</v>
          </cell>
          <cell r="BP546" t="str">
            <v>F2005E</v>
          </cell>
          <cell r="BQ546" t="str">
            <v>F2006E</v>
          </cell>
          <cell r="BR546" t="str">
            <v>F2007E</v>
          </cell>
          <cell r="BS546" t="str">
            <v>F2008E</v>
          </cell>
          <cell r="BT546" t="str">
            <v>F2009E</v>
          </cell>
          <cell r="BU546" t="str">
            <v>F2010E</v>
          </cell>
          <cell r="BV546">
            <v>7.5</v>
          </cell>
          <cell r="BW546">
            <v>8.5</v>
          </cell>
          <cell r="BX546">
            <v>9.5</v>
          </cell>
          <cell r="BY546">
            <v>10.5</v>
          </cell>
          <cell r="BZ546">
            <v>11.5</v>
          </cell>
          <cell r="CA546">
            <v>12.5</v>
          </cell>
        </row>
        <row r="547">
          <cell r="A547" t="str">
            <v>Revenue</v>
          </cell>
          <cell r="D547">
            <v>35125</v>
          </cell>
          <cell r="E547">
            <v>35217</v>
          </cell>
          <cell r="F547">
            <v>35309</v>
          </cell>
          <cell r="G547">
            <v>35400</v>
          </cell>
          <cell r="I547">
            <v>35490</v>
          </cell>
          <cell r="J547">
            <v>35582</v>
          </cell>
          <cell r="K547">
            <v>35674</v>
          </cell>
          <cell r="L547">
            <v>35765</v>
          </cell>
          <cell r="N547">
            <v>35855</v>
          </cell>
          <cell r="O547">
            <v>35947</v>
          </cell>
          <cell r="P547">
            <v>36039</v>
          </cell>
          <cell r="Q547">
            <v>36130</v>
          </cell>
          <cell r="S547">
            <v>36220</v>
          </cell>
          <cell r="T547">
            <v>36312</v>
          </cell>
          <cell r="U547">
            <v>36404</v>
          </cell>
          <cell r="V547">
            <v>36495</v>
          </cell>
          <cell r="X547">
            <v>36586</v>
          </cell>
          <cell r="Y547">
            <v>36678</v>
          </cell>
          <cell r="Z547">
            <v>36770</v>
          </cell>
          <cell r="AA547">
            <v>36861</v>
          </cell>
          <cell r="AC547">
            <v>36951</v>
          </cell>
          <cell r="AD547">
            <v>37043</v>
          </cell>
          <cell r="AE547">
            <v>37135</v>
          </cell>
          <cell r="AF547">
            <v>37226</v>
          </cell>
          <cell r="AH547" t="str">
            <v xml:space="preserve"> 3/02</v>
          </cell>
          <cell r="AI547" t="str">
            <v xml:space="preserve"> 6/02</v>
          </cell>
          <cell r="AJ547" t="str">
            <v xml:space="preserve"> 9/02</v>
          </cell>
          <cell r="AK547" t="str">
            <v>12/02</v>
          </cell>
          <cell r="AM547" t="str">
            <v xml:space="preserve"> 3/03</v>
          </cell>
          <cell r="AN547" t="str">
            <v xml:space="preserve"> 6/03</v>
          </cell>
          <cell r="AO547" t="str">
            <v xml:space="preserve"> 9/03</v>
          </cell>
          <cell r="AP547">
            <v>37958</v>
          </cell>
          <cell r="AR547" t="str">
            <v xml:space="preserve"> 3/04</v>
          </cell>
          <cell r="AS547" t="str">
            <v xml:space="preserve"> 6/04E</v>
          </cell>
          <cell r="AT547" t="str">
            <v xml:space="preserve"> 9/04E</v>
          </cell>
          <cell r="AU547" t="str">
            <v>12/04E</v>
          </cell>
          <cell r="AW547" t="str">
            <v xml:space="preserve"> 3/05E</v>
          </cell>
          <cell r="AX547" t="str">
            <v xml:space="preserve"> 6/05E</v>
          </cell>
          <cell r="AY547" t="str">
            <v xml:space="preserve"> 9/05E</v>
          </cell>
          <cell r="AZ547" t="str">
            <v>12/05E</v>
          </cell>
          <cell r="BA547" t="str">
            <v xml:space="preserve"> </v>
          </cell>
          <cell r="BB547">
            <v>1996</v>
          </cell>
          <cell r="BC547">
            <v>1997</v>
          </cell>
          <cell r="BD547">
            <v>1998</v>
          </cell>
          <cell r="BE547">
            <v>1999</v>
          </cell>
          <cell r="BF547">
            <v>2000</v>
          </cell>
          <cell r="BG547">
            <v>10004.431</v>
          </cell>
          <cell r="BH547">
            <v>2002</v>
          </cell>
          <cell r="BI547">
            <v>2003</v>
          </cell>
          <cell r="BJ547" t="str">
            <v>2004E</v>
          </cell>
          <cell r="BK547" t="str">
            <v>2005E</v>
          </cell>
          <cell r="BM547">
            <v>8271.5</v>
          </cell>
          <cell r="BN547">
            <v>6565.5220400000007</v>
          </cell>
          <cell r="BO547">
            <v>7178.5833880225764</v>
          </cell>
          <cell r="BP547">
            <v>8306.197936945784</v>
          </cell>
          <cell r="BQ547">
            <v>9884.3755449654818</v>
          </cell>
          <cell r="BR547">
            <v>11465.875632159958</v>
          </cell>
          <cell r="BS547">
            <v>11465.875632159958</v>
          </cell>
          <cell r="BT547">
            <v>12153.828170089555</v>
          </cell>
          <cell r="BU547">
            <v>14098.440677303883</v>
          </cell>
          <cell r="BV547">
            <v>17341.082033083774</v>
          </cell>
          <cell r="BW547">
            <v>19768.833517715506</v>
          </cell>
          <cell r="BX547">
            <v>16803.508490058179</v>
          </cell>
          <cell r="BY547">
            <v>17475.648829660506</v>
          </cell>
          <cell r="BZ547">
            <v>19223.213712626559</v>
          </cell>
          <cell r="CA547">
            <v>20953.302946762949</v>
          </cell>
        </row>
        <row r="548">
          <cell r="D548">
            <v>35125</v>
          </cell>
          <cell r="E548">
            <v>35217</v>
          </cell>
          <cell r="F548">
            <v>35309</v>
          </cell>
          <cell r="G548">
            <v>35400</v>
          </cell>
          <cell r="I548">
            <v>35490</v>
          </cell>
          <cell r="J548">
            <v>35582</v>
          </cell>
          <cell r="K548">
            <v>35674</v>
          </cell>
          <cell r="L548">
            <v>35765</v>
          </cell>
          <cell r="BB548">
            <v>1996</v>
          </cell>
          <cell r="BC548">
            <v>1997</v>
          </cell>
          <cell r="BD548">
            <v>1998</v>
          </cell>
          <cell r="CA548">
            <v>9.000000000000008E-2</v>
          </cell>
        </row>
        <row r="549">
          <cell r="CA549">
            <v>6425.0951838421934</v>
          </cell>
        </row>
        <row r="550">
          <cell r="CA550">
            <v>-391.5</v>
          </cell>
        </row>
        <row r="551">
          <cell r="CA551">
            <v>6.8457782704863801E-2</v>
          </cell>
        </row>
        <row r="552">
          <cell r="CA552">
            <v>3.8784121900642261</v>
          </cell>
        </row>
        <row r="553">
          <cell r="CA553">
            <v>676.83361915872229</v>
          </cell>
        </row>
        <row r="554">
          <cell r="CA554">
            <v>3.2302001306351823E-2</v>
          </cell>
        </row>
        <row r="555">
          <cell r="CA555">
            <v>6.246542960815793E-2</v>
          </cell>
        </row>
        <row r="556">
          <cell r="CA556">
            <v>0.10534219335159752</v>
          </cell>
        </row>
        <row r="557">
          <cell r="CA557">
            <v>0.10350943498293053</v>
          </cell>
        </row>
        <row r="558">
          <cell r="CA558">
            <v>1.8327583686669896E-3</v>
          </cell>
        </row>
        <row r="559">
          <cell r="CA559">
            <v>0.10271182041079875</v>
          </cell>
        </row>
        <row r="560">
          <cell r="CA560">
            <v>2.3300221078498148E-2</v>
          </cell>
        </row>
        <row r="561">
          <cell r="CA561">
            <v>665.05797219105352</v>
          </cell>
        </row>
        <row r="562">
          <cell r="CA562">
            <v>0.10350943498293053</v>
          </cell>
        </row>
        <row r="563">
          <cell r="CA563">
            <v>11.775646967668763</v>
          </cell>
        </row>
        <row r="564">
          <cell r="CA564">
            <v>0.29194387352859402</v>
          </cell>
        </row>
        <row r="565">
          <cell r="CA565">
            <v>3.4378279890464611</v>
          </cell>
        </row>
        <row r="566">
          <cell r="CA566">
            <v>0.29459449381096336</v>
          </cell>
        </row>
        <row r="567">
          <cell r="CA567">
            <v>63.403134733838606</v>
          </cell>
        </row>
        <row r="568">
          <cell r="CA568">
            <v>63.338621336241438</v>
          </cell>
        </row>
        <row r="603">
          <cell r="CA603" t="str">
            <v>F2016E</v>
          </cell>
        </row>
        <row r="605">
          <cell r="CA605">
            <v>676.83361915872229</v>
          </cell>
        </row>
        <row r="606">
          <cell r="CA606" t="str">
            <v>F2016E</v>
          </cell>
        </row>
        <row r="607">
          <cell r="CA607">
            <v>636.92791717977764</v>
          </cell>
        </row>
        <row r="608">
          <cell r="CA608">
            <v>-120.51716214752651</v>
          </cell>
        </row>
        <row r="609">
          <cell r="CA609">
            <v>-628.59908840288847</v>
          </cell>
        </row>
        <row r="610">
          <cell r="CA610" t="str">
            <v>--</v>
          </cell>
        </row>
        <row r="611">
          <cell r="CA611">
            <v>-75</v>
          </cell>
        </row>
        <row r="612">
          <cell r="CA612">
            <v>-187.18833337063734</v>
          </cell>
        </row>
        <row r="613">
          <cell r="CA613">
            <v>-75</v>
          </cell>
        </row>
        <row r="614">
          <cell r="CA614">
            <v>489.64528578808495</v>
          </cell>
        </row>
        <row r="615">
          <cell r="CA615">
            <v>-282.69790169038083</v>
          </cell>
        </row>
        <row r="616">
          <cell r="CA616">
            <v>0.29194387352859402</v>
          </cell>
        </row>
        <row r="617">
          <cell r="CA617">
            <v>142.94894138798895</v>
          </cell>
        </row>
        <row r="618">
          <cell r="CA618">
            <v>0.29459449381096336</v>
          </cell>
        </row>
        <row r="619">
          <cell r="CA619">
            <v>259.61500529275577</v>
          </cell>
        </row>
        <row r="620">
          <cell r="CA620">
            <v>259.55980760397398</v>
          </cell>
        </row>
      </sheetData>
      <sheetData sheetId="7"/>
      <sheetData sheetId="8"/>
      <sheetData sheetId="9"/>
      <sheetData sheetId="10"/>
      <sheetData sheetId="11" refreshError="1">
        <row r="3">
          <cell r="AJ3" t="str">
            <v xml:space="preserve"> 6/04E</v>
          </cell>
          <cell r="AK3" t="str">
            <v xml:space="preserve"> 9/04E</v>
          </cell>
          <cell r="AL3" t="str">
            <v>12/04E</v>
          </cell>
        </row>
        <row r="5">
          <cell r="AJ5">
            <v>1741.67276128</v>
          </cell>
          <cell r="AK5">
            <v>1799.4925442383999</v>
          </cell>
          <cell r="AL5">
            <v>3251.5715892826611</v>
          </cell>
        </row>
        <row r="7">
          <cell r="AJ7">
            <v>3.9E-2</v>
          </cell>
          <cell r="AK7">
            <v>4.4999999999999998E-2</v>
          </cell>
          <cell r="AL7">
            <v>0.08</v>
          </cell>
        </row>
        <row r="8">
          <cell r="AJ8">
            <v>3.9E-2</v>
          </cell>
          <cell r="AK8">
            <v>3.7000000000000005E-2</v>
          </cell>
          <cell r="AL8">
            <v>3.3000000000000002E-2</v>
          </cell>
        </row>
        <row r="9">
          <cell r="G9">
            <v>3.1224152191894127E-2</v>
          </cell>
          <cell r="H9">
            <v>4.5307728924545175E-2</v>
          </cell>
          <cell r="I9">
            <v>4.4588711786603827E-2</v>
          </cell>
          <cell r="J9">
            <v>4.201924216942067E-2</v>
          </cell>
          <cell r="K9">
            <v>3.9419250033843237E-2</v>
          </cell>
          <cell r="L9">
            <v>4.4042237736566098E-2</v>
          </cell>
          <cell r="M9">
            <v>4.4758501724987673E-2</v>
          </cell>
          <cell r="N9">
            <v>4.2316097084398756E-2</v>
          </cell>
          <cell r="O9">
            <v>3.9411216611944272E-2</v>
          </cell>
          <cell r="P9">
            <v>4.0513723293590459E-2</v>
          </cell>
          <cell r="Q9">
            <v>3.8980151767165565E-2</v>
          </cell>
          <cell r="R9">
            <v>4.082110904670766E-2</v>
          </cell>
          <cell r="S9">
            <v>3.6402135304154315E-2</v>
          </cell>
          <cell r="T9">
            <v>3.7459551992152521E-2</v>
          </cell>
          <cell r="U9">
            <v>3.4599171047505352E-2</v>
          </cell>
          <cell r="V9">
            <v>3.3395693385773785E-2</v>
          </cell>
          <cell r="W9">
            <v>3.3934059404102018E-2</v>
          </cell>
          <cell r="X9">
            <v>3.5408647178605979E-2</v>
          </cell>
          <cell r="Y9">
            <v>4.059147960689076E-2</v>
          </cell>
          <cell r="Z9">
            <v>3.6434931786618739E-2</v>
          </cell>
          <cell r="AA9">
            <v>3.7462235649546829E-2</v>
          </cell>
          <cell r="AB9">
            <v>3.9499529180515372E-2</v>
          </cell>
          <cell r="AC9">
            <v>3.9431806552228998E-2</v>
          </cell>
          <cell r="AD9">
            <v>3.6314994644180858E-2</v>
          </cell>
          <cell r="AE9">
            <v>3.6537685409863754E-2</v>
          </cell>
          <cell r="AF9">
            <v>3.4638416542907134E-2</v>
          </cell>
          <cell r="AG9">
            <v>3.5172168985013547E-2</v>
          </cell>
          <cell r="AH9">
            <v>3.406343962115372E-2</v>
          </cell>
          <cell r="AI9">
            <v>3.3000000000000002E-2</v>
          </cell>
          <cell r="AJ9">
            <v>3.3000000000000002E-2</v>
          </cell>
          <cell r="AK9">
            <v>3.3000000000000002E-2</v>
          </cell>
          <cell r="AL9">
            <v>3.3000000000000002E-2</v>
          </cell>
          <cell r="AN9">
            <v>2.099683265008221E-2</v>
          </cell>
          <cell r="AO9">
            <v>4.0647197515747101E-2</v>
          </cell>
          <cell r="AP9">
            <v>4.2678563679456501E-2</v>
          </cell>
          <cell r="AQ9">
            <v>3.9989073518157253E-2</v>
          </cell>
          <cell r="AR9">
            <v>3.5085353629868525E-2</v>
          </cell>
          <cell r="AS9">
            <v>3.6404169312577596E-2</v>
          </cell>
          <cell r="AT9">
            <v>3.8148170598923573E-2</v>
          </cell>
          <cell r="AU9">
            <v>3.5053793223915442E-2</v>
          </cell>
          <cell r="AV9">
            <v>3.3000000000000002E-2</v>
          </cell>
          <cell r="AX9">
            <v>3.8148170598923573E-2</v>
          </cell>
          <cell r="AY9">
            <v>3.4840561753110885E-2</v>
          </cell>
          <cell r="AZ9">
            <v>3.3000000000000002E-2</v>
          </cell>
          <cell r="BA9">
            <v>3.2000000000000001E-2</v>
          </cell>
          <cell r="BB9">
            <v>3.2000000000000001E-2</v>
          </cell>
          <cell r="BC9">
            <v>0.03</v>
          </cell>
          <cell r="BD9">
            <v>3.2000000000000001E-2</v>
          </cell>
          <cell r="BE9">
            <v>3.5000000000000003E-2</v>
          </cell>
          <cell r="BF9">
            <v>3.5000000000000003E-2</v>
          </cell>
          <cell r="BG9">
            <v>3.5000000000000003E-2</v>
          </cell>
          <cell r="BH9">
            <v>3.5000000000000003E-2</v>
          </cell>
          <cell r="BI9">
            <v>3.5000000000000003E-2</v>
          </cell>
          <cell r="BJ9">
            <v>3.5000000000000003E-2</v>
          </cell>
          <cell r="BK9">
            <v>3.5000000000000003E-2</v>
          </cell>
          <cell r="BL9">
            <v>3.5000000000000003E-2</v>
          </cell>
        </row>
        <row r="10">
          <cell r="AJ10">
            <v>0</v>
          </cell>
          <cell r="AK10">
            <v>7.999999999999988E-3</v>
          </cell>
          <cell r="AL10">
            <v>4.7000000000000014E-2</v>
          </cell>
        </row>
        <row r="11">
          <cell r="AJ11">
            <v>0</v>
          </cell>
          <cell r="AK11">
            <v>7.999999999999988E-3</v>
          </cell>
          <cell r="AL11">
            <v>4.7000000000000014E-2</v>
          </cell>
        </row>
        <row r="12">
          <cell r="AJ12">
            <v>2.3644754910137931E-2</v>
          </cell>
          <cell r="AK12">
            <v>3.0562160822252677E-2</v>
          </cell>
          <cell r="AL12">
            <v>7.3132031686253512E-2</v>
          </cell>
        </row>
        <row r="13">
          <cell r="AJ13">
            <v>2.3644754910137931E-2</v>
          </cell>
          <cell r="AK13">
            <v>3.0562160822252677E-2</v>
          </cell>
          <cell r="AL13">
            <v>7.3132031686253512E-2</v>
          </cell>
        </row>
        <row r="15">
          <cell r="AJ15">
            <v>7.4527167614712733</v>
          </cell>
          <cell r="AK15">
            <v>7.5486465977415902</v>
          </cell>
          <cell r="AL15">
            <v>9.4366218350210627</v>
          </cell>
        </row>
        <row r="16">
          <cell r="AJ16">
            <v>48.30453263179303</v>
          </cell>
          <cell r="AK16">
            <v>47.69066816662275</v>
          </cell>
          <cell r="AL16">
            <v>38.149245174154686</v>
          </cell>
        </row>
        <row r="17">
          <cell r="AJ17">
            <v>34.795801231791543</v>
          </cell>
          <cell r="AK17">
            <v>34.041028435113361</v>
          </cell>
          <cell r="AL17">
            <v>39.028065861862224</v>
          </cell>
        </row>
        <row r="18">
          <cell r="AJ18">
            <v>51.003694463641111</v>
          </cell>
          <cell r="AK18">
            <v>49.937815106903983</v>
          </cell>
          <cell r="AL18">
            <v>48.622259923527047</v>
          </cell>
        </row>
        <row r="19">
          <cell r="AJ19">
            <v>32.09663939994347</v>
          </cell>
          <cell r="AK19">
            <v>31.793881494832121</v>
          </cell>
          <cell r="AL19">
            <v>28.555051112489856</v>
          </cell>
        </row>
        <row r="21">
          <cell r="AJ21">
            <v>0</v>
          </cell>
          <cell r="AK21">
            <v>1.9450550902126329E-2</v>
          </cell>
          <cell r="AL21">
            <v>0.1350981277865079</v>
          </cell>
        </row>
        <row r="22">
          <cell r="AL22">
            <v>0.12018159265</v>
          </cell>
        </row>
        <row r="24">
          <cell r="N24" t="e">
            <v>#REF!</v>
          </cell>
          <cell r="O24" t="e">
            <v>#REF!</v>
          </cell>
          <cell r="P24" t="e">
            <v>#REF!</v>
          </cell>
          <cell r="Q24" t="e">
            <v>#REF!</v>
          </cell>
          <cell r="R24" t="e">
            <v>#REF!</v>
          </cell>
          <cell r="S24" t="e">
            <v>#REF!</v>
          </cell>
          <cell r="T24" t="e">
            <v>#REF!</v>
          </cell>
          <cell r="U24" t="e">
            <v>#REF!</v>
          </cell>
          <cell r="V24" t="e">
            <v>#REF!</v>
          </cell>
          <cell r="W24" t="e">
            <v>#REF!</v>
          </cell>
          <cell r="X24" t="e">
            <v>#REF!</v>
          </cell>
          <cell r="Y24" t="e">
            <v>#REF!</v>
          </cell>
          <cell r="Z24" t="e">
            <v>#REF!</v>
          </cell>
          <cell r="AA24" t="e">
            <v>#REF!</v>
          </cell>
          <cell r="AB24" t="e">
            <v>#REF!</v>
          </cell>
          <cell r="AC24" t="e">
            <v>#REF!</v>
          </cell>
          <cell r="AD24" t="e">
            <v>#REF!</v>
          </cell>
          <cell r="AE24" t="e">
            <v>#REF!</v>
          </cell>
          <cell r="AF24" t="e">
            <v>#REF!</v>
          </cell>
          <cell r="AG24" t="e">
            <v>#REF!</v>
          </cell>
          <cell r="AH24" t="e">
            <v>#REF!</v>
          </cell>
          <cell r="AI24" t="e">
            <v>#REF!</v>
          </cell>
          <cell r="AJ24" t="e">
            <v>#REF!</v>
          </cell>
          <cell r="AK24" t="e">
            <v>#REF!</v>
          </cell>
          <cell r="AL24">
            <v>0.12018159265</v>
          </cell>
          <cell r="AO24" t="e">
            <v>#REF!</v>
          </cell>
          <cell r="AP24" t="e">
            <v>#REF!</v>
          </cell>
          <cell r="AQ24" t="e">
            <v>#REF!</v>
          </cell>
          <cell r="AR24" t="e">
            <v>#REF!</v>
          </cell>
          <cell r="AS24" t="e">
            <v>#REF!</v>
          </cell>
          <cell r="AT24" t="e">
            <v>#REF!</v>
          </cell>
          <cell r="AU24" t="e">
            <v>#REF!</v>
          </cell>
          <cell r="AV24" t="e">
            <v>#REF!</v>
          </cell>
          <cell r="AX24" t="e">
            <v>#REF!</v>
          </cell>
          <cell r="AY24" t="e">
            <v>#REF!</v>
          </cell>
          <cell r="AZ24" t="e">
            <v>#REF!</v>
          </cell>
          <cell r="BA24" t="e">
            <v>#REF!</v>
          </cell>
          <cell r="BB24" t="e">
            <v>#REF!</v>
          </cell>
          <cell r="BC24" t="e">
            <v>#REF!</v>
          </cell>
          <cell r="BD24" t="e">
            <v>#REF!</v>
          </cell>
          <cell r="BE24" t="e">
            <v>#REF!</v>
          </cell>
          <cell r="BF24" t="e">
            <v>#REF!</v>
          </cell>
          <cell r="BG24" t="e">
            <v>#REF!</v>
          </cell>
          <cell r="BH24" t="e">
            <v>#REF!</v>
          </cell>
          <cell r="BI24" t="e">
            <v>#REF!</v>
          </cell>
          <cell r="BJ24" t="e">
            <v>#REF!</v>
          </cell>
          <cell r="BK24" t="e">
            <v>#REF!</v>
          </cell>
          <cell r="BL24" t="e">
            <v>#REF!</v>
          </cell>
        </row>
        <row r="25">
          <cell r="AJ25">
            <v>0.1828749556408642</v>
          </cell>
          <cell r="AK25">
            <v>0.2172897635540465</v>
          </cell>
          <cell r="AL25">
            <v>0.21470917919343524</v>
          </cell>
        </row>
        <row r="26">
          <cell r="AJ26">
            <v>8.9635110910910809E-2</v>
          </cell>
          <cell r="AK26">
            <v>0.10074170799999993</v>
          </cell>
          <cell r="AL26">
            <v>0.15089760980543687</v>
          </cell>
        </row>
        <row r="27">
          <cell r="AJ27">
            <v>-0.84689271527778098</v>
          </cell>
          <cell r="AK27" t="e">
            <v>#VALUE!</v>
          </cell>
          <cell r="AL27">
            <v>0.21220063960982727</v>
          </cell>
        </row>
        <row r="28">
          <cell r="AJ28">
            <v>8.9635110910910823E-2</v>
          </cell>
          <cell r="AK28">
            <v>0.10074170799999994</v>
          </cell>
          <cell r="AL28">
            <v>0.15089760980543687</v>
          </cell>
        </row>
        <row r="29">
          <cell r="AL29">
            <v>1.2128141717074776</v>
          </cell>
        </row>
        <row r="30">
          <cell r="AJ30">
            <v>2.7223146562270616E-2</v>
          </cell>
          <cell r="AK30">
            <v>3.0223146562270615E-2</v>
          </cell>
          <cell r="AL30">
            <v>3.974106348924062E-2</v>
          </cell>
        </row>
        <row r="31">
          <cell r="AJ31">
            <v>1.1513397650232535</v>
          </cell>
          <cell r="AK31">
            <v>1.3395501787427215</v>
          </cell>
          <cell r="AL31">
            <v>1.5207797069274955</v>
          </cell>
        </row>
        <row r="32">
          <cell r="AL32">
            <v>4.9833527222755067E-2</v>
          </cell>
        </row>
        <row r="33">
          <cell r="AJ33">
            <v>-1.1560477812440233E-2</v>
          </cell>
          <cell r="AK33">
            <v>4.3791603794349956E-3</v>
          </cell>
          <cell r="AL33">
            <v>8.3543547094434512E-2</v>
          </cell>
        </row>
        <row r="34">
          <cell r="AJ34">
            <v>-6.7514140638122964E-3</v>
          </cell>
          <cell r="AK34">
            <v>2.542952657506183E-3</v>
          </cell>
          <cell r="AL34">
            <v>5.0766830951607118E-2</v>
          </cell>
        </row>
        <row r="35">
          <cell r="AL35">
            <v>0.48520111188747139</v>
          </cell>
        </row>
        <row r="36">
          <cell r="AJ36">
            <v>47.413812843840006</v>
          </cell>
          <cell r="AK36">
            <v>54.386326902230401</v>
          </cell>
          <cell r="AL36">
            <v>129.22091296949327</v>
          </cell>
        </row>
        <row r="37">
          <cell r="AJ37">
            <v>-1.0860082310365357E-2</v>
          </cell>
          <cell r="AK37">
            <v>4.4518107454510694E-2</v>
          </cell>
          <cell r="AL37">
            <v>0.48431080526910675</v>
          </cell>
        </row>
        <row r="38">
          <cell r="AJ38">
            <v>36.005328371840136</v>
          </cell>
          <cell r="AK38">
            <v>56.004309311242494</v>
          </cell>
          <cell r="AL38">
            <v>301.27493897232529</v>
          </cell>
        </row>
        <row r="39">
          <cell r="AJ39">
            <v>0.1712695162744568</v>
          </cell>
          <cell r="AK39">
            <v>0.17111418175645421</v>
          </cell>
          <cell r="AL39">
            <v>0.14510238590139035</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Q03Previewtable"/>
      <sheetName val="Our Comps"/>
      <sheetName val="#REF"/>
      <sheetName val="GAR vs NAR"/>
      <sheetName val="Sheet1"/>
      <sheetName val="Reported IS"/>
      <sheetName val="Summary"/>
      <sheetName val="Reported BS"/>
      <sheetName val="Business"/>
      <sheetName val="Div Summary"/>
      <sheetName val="Restated IS"/>
      <sheetName val="EastSummary"/>
      <sheetName val="Inc.St"/>
      <sheetName val="IS"/>
      <sheetName val="Sheet2"/>
      <sheetName val="Sheet3"/>
      <sheetName val="IncBal"/>
      <sheetName val="wirelinecablepreview"/>
      <sheetName val="wirelesspreview"/>
      <sheetName val="3Q03Street"/>
      <sheetName val="FINANCIAL MODEL"/>
      <sheetName val="BS"/>
      <sheetName val="CF"/>
      <sheetName val="Quarterly BS"/>
      <sheetName val="Income Statement"/>
      <sheetName val="Capex"/>
      <sheetName val="Sales"/>
      <sheetName val="Growth Assumptions "/>
      <sheetName val="model"/>
      <sheetName val="PL"/>
      <sheetName val="#6 M&amp;A Transactions to 1_172000"/>
      <sheetName val="NTINC"/>
      <sheetName val="Data"/>
      <sheetName val="M&amp;A"/>
      <sheetName val="Sales Force One Pag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lide Update"/>
      <sheetName val="Stock Perf."/>
      <sheetName val="SOXX"/>
      <sheetName val="PB &amp; PS"/>
      <sheetName val="EV-To-EBITDA"/>
      <sheetName val="PE"/>
      <sheetName val="__FDSCACHE__"/>
      <sheetName val="EV-To-Sales"/>
    </sheetNames>
    <sheetDataSet>
      <sheetData sheetId="0" refreshError="1"/>
      <sheetData sheetId="1" refreshError="1">
        <row r="22">
          <cell r="A22">
            <v>18</v>
          </cell>
          <cell r="B22">
            <v>37740</v>
          </cell>
          <cell r="C22">
            <v>11.71</v>
          </cell>
          <cell r="D22">
            <v>16.318999999999999</v>
          </cell>
          <cell r="E22">
            <v>33.82</v>
          </cell>
          <cell r="F22">
            <v>11.790000000000001</v>
          </cell>
          <cell r="G22">
            <v>18.93</v>
          </cell>
          <cell r="H22">
            <v>35.619999999999997</v>
          </cell>
          <cell r="I22">
            <v>40.68</v>
          </cell>
          <cell r="J22">
            <v>19.02</v>
          </cell>
          <cell r="K22">
            <v>917.84</v>
          </cell>
          <cell r="L22">
            <v>1471.3000000000002</v>
          </cell>
          <cell r="M22">
            <v>339.89</v>
          </cell>
        </row>
        <row r="23">
          <cell r="A23">
            <v>19</v>
          </cell>
          <cell r="B23">
            <v>37733</v>
          </cell>
          <cell r="C23">
            <v>9.56</v>
          </cell>
          <cell r="D23">
            <v>16.010000000000002</v>
          </cell>
          <cell r="E23">
            <v>32.730000000000004</v>
          </cell>
          <cell r="F23">
            <v>11.72</v>
          </cell>
          <cell r="G23">
            <v>15.71</v>
          </cell>
          <cell r="H23">
            <v>35.94</v>
          </cell>
          <cell r="I23">
            <v>41.11</v>
          </cell>
          <cell r="J23">
            <v>19.43</v>
          </cell>
          <cell r="K23">
            <v>911.37</v>
          </cell>
          <cell r="L23">
            <v>1451.3600000000001</v>
          </cell>
          <cell r="M23">
            <v>345.21</v>
          </cell>
        </row>
        <row r="24">
          <cell r="A24">
            <v>20</v>
          </cell>
          <cell r="B24">
            <v>37726</v>
          </cell>
          <cell r="C24">
            <v>8.18</v>
          </cell>
          <cell r="D24">
            <v>14.65</v>
          </cell>
          <cell r="E24">
            <v>28.310000000000002</v>
          </cell>
          <cell r="F24">
            <v>10.68</v>
          </cell>
          <cell r="G24">
            <v>14.69</v>
          </cell>
          <cell r="H24">
            <v>31.98</v>
          </cell>
          <cell r="I24">
            <v>37.050000000000004</v>
          </cell>
          <cell r="J24">
            <v>16.96</v>
          </cell>
          <cell r="K24">
            <v>890.81000000000006</v>
          </cell>
          <cell r="L24">
            <v>1391.01</v>
          </cell>
          <cell r="M24">
            <v>307.87</v>
          </cell>
        </row>
        <row r="25">
          <cell r="A25">
            <v>21</v>
          </cell>
          <cell r="B25">
            <v>37719</v>
          </cell>
          <cell r="C25">
            <v>8.5</v>
          </cell>
          <cell r="D25">
            <v>14.56</v>
          </cell>
          <cell r="E25">
            <v>27.37</v>
          </cell>
          <cell r="F25">
            <v>10.74</v>
          </cell>
          <cell r="G25">
            <v>14.450000000000001</v>
          </cell>
          <cell r="H25">
            <v>30.970000000000002</v>
          </cell>
          <cell r="I25">
            <v>35.64</v>
          </cell>
          <cell r="J25">
            <v>17.04</v>
          </cell>
          <cell r="K25">
            <v>878.29</v>
          </cell>
          <cell r="L25">
            <v>1382.94</v>
          </cell>
          <cell r="M25">
            <v>303.55</v>
          </cell>
        </row>
        <row r="26">
          <cell r="A26">
            <v>22</v>
          </cell>
          <cell r="B26">
            <v>37712</v>
          </cell>
          <cell r="C26">
            <v>9.4589999999999996</v>
          </cell>
          <cell r="D26">
            <v>15.051</v>
          </cell>
          <cell r="E26">
            <v>27.75</v>
          </cell>
          <cell r="F26">
            <v>10.8</v>
          </cell>
          <cell r="G26">
            <v>15.51</v>
          </cell>
          <cell r="H26">
            <v>31.38</v>
          </cell>
          <cell r="I26">
            <v>36.410000000000004</v>
          </cell>
          <cell r="J26">
            <v>17.600000000000001</v>
          </cell>
          <cell r="K26">
            <v>858.48</v>
          </cell>
          <cell r="L26">
            <v>1348.3000000000002</v>
          </cell>
          <cell r="M26">
            <v>299.17</v>
          </cell>
        </row>
        <row r="27">
          <cell r="A27">
            <v>23</v>
          </cell>
          <cell r="B27">
            <v>37705</v>
          </cell>
          <cell r="C27">
            <v>10.050000000000001</v>
          </cell>
          <cell r="D27">
            <v>16.28</v>
          </cell>
          <cell r="E27">
            <v>29.85</v>
          </cell>
          <cell r="F27">
            <v>12.13</v>
          </cell>
          <cell r="G27">
            <v>16.350000000000001</v>
          </cell>
          <cell r="H27">
            <v>33.5</v>
          </cell>
          <cell r="I27">
            <v>38.75</v>
          </cell>
          <cell r="J27">
            <v>18.3</v>
          </cell>
          <cell r="K27">
            <v>874.74</v>
          </cell>
          <cell r="L27">
            <v>1391.01</v>
          </cell>
          <cell r="M27">
            <v>322.70000000000005</v>
          </cell>
        </row>
        <row r="28">
          <cell r="A28">
            <v>24</v>
          </cell>
          <cell r="B28">
            <v>37698</v>
          </cell>
          <cell r="C28">
            <v>10.91</v>
          </cell>
          <cell r="D28">
            <v>16.649999999999999</v>
          </cell>
          <cell r="E28">
            <v>30.87</v>
          </cell>
          <cell r="F28">
            <v>12.39</v>
          </cell>
          <cell r="G28">
            <v>16.68</v>
          </cell>
          <cell r="H28">
            <v>34.65</v>
          </cell>
          <cell r="I28">
            <v>39.840000000000003</v>
          </cell>
          <cell r="J28">
            <v>19.16</v>
          </cell>
          <cell r="K28">
            <v>866.45</v>
          </cell>
          <cell r="L28">
            <v>1400.55</v>
          </cell>
          <cell r="M28">
            <v>328.04</v>
          </cell>
        </row>
        <row r="29">
          <cell r="A29">
            <v>25</v>
          </cell>
          <cell r="B29">
            <v>37691</v>
          </cell>
          <cell r="C29">
            <v>8.8810000000000002</v>
          </cell>
          <cell r="D29">
            <v>14.25</v>
          </cell>
          <cell r="E29">
            <v>26.13</v>
          </cell>
          <cell r="F29">
            <v>10.28</v>
          </cell>
          <cell r="G29">
            <v>14.5</v>
          </cell>
          <cell r="H29">
            <v>28.95</v>
          </cell>
          <cell r="I29">
            <v>33.6</v>
          </cell>
          <cell r="J29">
            <v>16.690000000000001</v>
          </cell>
          <cell r="K29">
            <v>800.73</v>
          </cell>
          <cell r="L29">
            <v>1271.47</v>
          </cell>
          <cell r="M29">
            <v>279.05</v>
          </cell>
        </row>
        <row r="30">
          <cell r="A30">
            <v>26</v>
          </cell>
          <cell r="B30">
            <v>37684</v>
          </cell>
          <cell r="C30">
            <v>9.31</v>
          </cell>
          <cell r="D30">
            <v>14.11</v>
          </cell>
          <cell r="E30">
            <v>27.330000000000002</v>
          </cell>
          <cell r="F30">
            <v>10.5</v>
          </cell>
          <cell r="G30">
            <v>15.26</v>
          </cell>
          <cell r="H30">
            <v>29.16</v>
          </cell>
          <cell r="I30">
            <v>32.43</v>
          </cell>
          <cell r="J30">
            <v>15.96</v>
          </cell>
          <cell r="K30">
            <v>821.99</v>
          </cell>
          <cell r="L30">
            <v>1307.77</v>
          </cell>
          <cell r="M30">
            <v>283.90000000000003</v>
          </cell>
        </row>
        <row r="31">
          <cell r="A31">
            <v>27</v>
          </cell>
          <cell r="B31">
            <v>37677</v>
          </cell>
          <cell r="C31">
            <v>9.36</v>
          </cell>
          <cell r="D31">
            <v>12.27</v>
          </cell>
          <cell r="E31">
            <v>27.97</v>
          </cell>
          <cell r="F31">
            <v>11.9</v>
          </cell>
          <cell r="G31">
            <v>15</v>
          </cell>
          <cell r="H31">
            <v>29.490000000000002</v>
          </cell>
          <cell r="I31">
            <v>32.910000000000004</v>
          </cell>
          <cell r="J31">
            <v>16.68</v>
          </cell>
          <cell r="K31">
            <v>838.57</v>
          </cell>
          <cell r="L31">
            <v>1328.98</v>
          </cell>
          <cell r="M31">
            <v>289.99</v>
          </cell>
        </row>
        <row r="32">
          <cell r="A32">
            <v>28</v>
          </cell>
          <cell r="B32">
            <v>37670</v>
          </cell>
          <cell r="C32">
            <v>9.620000000000001</v>
          </cell>
          <cell r="D32">
            <v>12.780000000000001</v>
          </cell>
          <cell r="E32">
            <v>27.76</v>
          </cell>
          <cell r="F32">
            <v>12.100000000000001</v>
          </cell>
          <cell r="G32">
            <v>14.73</v>
          </cell>
          <cell r="H32">
            <v>29.86</v>
          </cell>
          <cell r="I32">
            <v>34.04</v>
          </cell>
          <cell r="J32">
            <v>14.91</v>
          </cell>
          <cell r="K32">
            <v>851.17000000000007</v>
          </cell>
          <cell r="L32">
            <v>1346.54</v>
          </cell>
          <cell r="M32">
            <v>291.63</v>
          </cell>
        </row>
        <row r="33">
          <cell r="A33">
            <v>29</v>
          </cell>
          <cell r="B33">
            <v>37663</v>
          </cell>
          <cell r="C33">
            <v>8.43</v>
          </cell>
          <cell r="D33">
            <v>12.67</v>
          </cell>
          <cell r="E33">
            <v>24</v>
          </cell>
          <cell r="F33">
            <v>10.540000000000001</v>
          </cell>
          <cell r="G33">
            <v>14.18</v>
          </cell>
          <cell r="H33">
            <v>27.07</v>
          </cell>
          <cell r="I33">
            <v>30.73</v>
          </cell>
          <cell r="J33">
            <v>13.13</v>
          </cell>
          <cell r="K33">
            <v>829.2</v>
          </cell>
          <cell r="L33">
            <v>1295.46</v>
          </cell>
          <cell r="M33">
            <v>266.57</v>
          </cell>
        </row>
        <row r="34">
          <cell r="A34">
            <v>30</v>
          </cell>
          <cell r="B34">
            <v>37656</v>
          </cell>
          <cell r="C34">
            <v>8.02</v>
          </cell>
          <cell r="D34">
            <v>13.11</v>
          </cell>
          <cell r="E34">
            <v>23.740000000000002</v>
          </cell>
          <cell r="F34">
            <v>10.65</v>
          </cell>
          <cell r="G34">
            <v>14.47</v>
          </cell>
          <cell r="H34">
            <v>26.3</v>
          </cell>
          <cell r="I34">
            <v>31.13</v>
          </cell>
          <cell r="J34">
            <v>13.26</v>
          </cell>
          <cell r="K34">
            <v>848.2</v>
          </cell>
          <cell r="L34">
            <v>1306.1500000000001</v>
          </cell>
          <cell r="M34">
            <v>269.73</v>
          </cell>
        </row>
        <row r="35">
          <cell r="A35">
            <v>31</v>
          </cell>
          <cell r="B35">
            <v>37649</v>
          </cell>
          <cell r="C35">
            <v>8.69</v>
          </cell>
          <cell r="D35">
            <v>13.75</v>
          </cell>
          <cell r="E35">
            <v>25.04</v>
          </cell>
          <cell r="F35">
            <v>11.01</v>
          </cell>
          <cell r="G35">
            <v>14.94</v>
          </cell>
          <cell r="H35">
            <v>26.6</v>
          </cell>
          <cell r="I35">
            <v>32.07</v>
          </cell>
          <cell r="J35">
            <v>14.200000000000001</v>
          </cell>
          <cell r="K35">
            <v>858.54</v>
          </cell>
          <cell r="L35">
            <v>1342.18</v>
          </cell>
          <cell r="M35">
            <v>282.15000000000003</v>
          </cell>
        </row>
        <row r="36">
          <cell r="A36">
            <v>32</v>
          </cell>
          <cell r="B36">
            <v>37642</v>
          </cell>
          <cell r="C36">
            <v>9.27</v>
          </cell>
          <cell r="D36">
            <v>12.86</v>
          </cell>
          <cell r="E36">
            <v>24.6</v>
          </cell>
          <cell r="F36">
            <v>10.75</v>
          </cell>
          <cell r="G36">
            <v>14.49</v>
          </cell>
          <cell r="H36">
            <v>26.810000000000002</v>
          </cell>
          <cell r="I36">
            <v>32.549999999999997</v>
          </cell>
          <cell r="J36">
            <v>14.23</v>
          </cell>
          <cell r="K36">
            <v>887.62</v>
          </cell>
          <cell r="L36">
            <v>1364.25</v>
          </cell>
          <cell r="M36">
            <v>294.25</v>
          </cell>
        </row>
        <row r="37">
          <cell r="A37">
            <v>33</v>
          </cell>
          <cell r="B37">
            <v>37635</v>
          </cell>
          <cell r="C37">
            <v>11.11</v>
          </cell>
          <cell r="D37">
            <v>13.63</v>
          </cell>
          <cell r="E37">
            <v>28.01</v>
          </cell>
          <cell r="F37">
            <v>11.75</v>
          </cell>
          <cell r="G37">
            <v>16.34</v>
          </cell>
          <cell r="H37">
            <v>30.82</v>
          </cell>
          <cell r="I37">
            <v>38.090000000000003</v>
          </cell>
          <cell r="J37">
            <v>16.86</v>
          </cell>
          <cell r="K37">
            <v>931.66</v>
          </cell>
          <cell r="L37">
            <v>1460.99</v>
          </cell>
          <cell r="M37">
            <v>336.73</v>
          </cell>
        </row>
        <row r="38">
          <cell r="A38">
            <v>34</v>
          </cell>
          <cell r="B38">
            <v>37628</v>
          </cell>
          <cell r="C38">
            <v>10.11</v>
          </cell>
          <cell r="D38">
            <v>12.21</v>
          </cell>
          <cell r="E38">
            <v>27.740000000000002</v>
          </cell>
          <cell r="F38">
            <v>11.88</v>
          </cell>
          <cell r="G38">
            <v>15.77</v>
          </cell>
          <cell r="H38">
            <v>29.34</v>
          </cell>
          <cell r="I38">
            <v>38.1</v>
          </cell>
          <cell r="J38">
            <v>16.45</v>
          </cell>
          <cell r="K38">
            <v>922.93000000000006</v>
          </cell>
          <cell r="L38">
            <v>1431.57</v>
          </cell>
          <cell r="M38">
            <v>333.42</v>
          </cell>
        </row>
        <row r="39">
          <cell r="A39">
            <v>35</v>
          </cell>
          <cell r="B39">
            <v>37621</v>
          </cell>
          <cell r="C39">
            <v>8.98</v>
          </cell>
          <cell r="D39">
            <v>10.94</v>
          </cell>
          <cell r="E39">
            <v>23.87</v>
          </cell>
          <cell r="F39">
            <v>10.71</v>
          </cell>
          <cell r="G39">
            <v>13.94</v>
          </cell>
          <cell r="H39">
            <v>25.72</v>
          </cell>
          <cell r="I39">
            <v>33.04</v>
          </cell>
          <cell r="J39">
            <v>15.01</v>
          </cell>
          <cell r="K39">
            <v>879.82</v>
          </cell>
          <cell r="L39">
            <v>1335.51</v>
          </cell>
          <cell r="M39">
            <v>289.24</v>
          </cell>
        </row>
        <row r="40">
          <cell r="A40">
            <v>36</v>
          </cell>
          <cell r="B40">
            <v>37614</v>
          </cell>
          <cell r="C40">
            <v>9.3010000000000002</v>
          </cell>
          <cell r="D40">
            <v>10.89</v>
          </cell>
          <cell r="E40">
            <v>25.36</v>
          </cell>
          <cell r="F40">
            <v>11.11</v>
          </cell>
          <cell r="G40">
            <v>13.83</v>
          </cell>
          <cell r="H40">
            <v>26.740000000000002</v>
          </cell>
          <cell r="I40">
            <v>34.15</v>
          </cell>
          <cell r="J40">
            <v>15.71</v>
          </cell>
          <cell r="K40">
            <v>892.47</v>
          </cell>
          <cell r="L40">
            <v>1372.47</v>
          </cell>
          <cell r="M40">
            <v>301.57</v>
          </cell>
        </row>
        <row r="41">
          <cell r="A41">
            <v>37</v>
          </cell>
          <cell r="B41">
            <v>37607</v>
          </cell>
          <cell r="C41">
            <v>9.5299999999999994</v>
          </cell>
          <cell r="D41">
            <v>11.950000000000001</v>
          </cell>
          <cell r="E41">
            <v>26.91</v>
          </cell>
          <cell r="F41">
            <v>12.17</v>
          </cell>
          <cell r="G41">
            <v>15.450000000000001</v>
          </cell>
          <cell r="H41">
            <v>29.21</v>
          </cell>
          <cell r="I41">
            <v>36.590000000000003</v>
          </cell>
          <cell r="J41">
            <v>17.100000000000001</v>
          </cell>
          <cell r="K41">
            <v>902.99</v>
          </cell>
          <cell r="L41">
            <v>1392.05</v>
          </cell>
          <cell r="M41">
            <v>320.63</v>
          </cell>
        </row>
        <row r="42">
          <cell r="A42">
            <v>38</v>
          </cell>
          <cell r="B42">
            <v>37600</v>
          </cell>
          <cell r="C42">
            <v>9.6300000000000008</v>
          </cell>
          <cell r="D42">
            <v>12.4</v>
          </cell>
          <cell r="E42">
            <v>27.28</v>
          </cell>
          <cell r="F42">
            <v>13.100000000000001</v>
          </cell>
          <cell r="G42">
            <v>16.12</v>
          </cell>
          <cell r="H42">
            <v>29.25</v>
          </cell>
          <cell r="I42">
            <v>37.270000000000003</v>
          </cell>
          <cell r="J42">
            <v>17.080000000000002</v>
          </cell>
          <cell r="K42">
            <v>904.45</v>
          </cell>
          <cell r="L42">
            <v>1390.76</v>
          </cell>
          <cell r="M42">
            <v>323.01</v>
          </cell>
        </row>
        <row r="43">
          <cell r="A43">
            <v>39</v>
          </cell>
          <cell r="B43">
            <v>37593</v>
          </cell>
          <cell r="C43">
            <v>10.71</v>
          </cell>
          <cell r="D43">
            <v>14.08</v>
          </cell>
          <cell r="E43">
            <v>29.57</v>
          </cell>
          <cell r="F43">
            <v>14</v>
          </cell>
          <cell r="G43">
            <v>18.95</v>
          </cell>
          <cell r="H43">
            <v>31.86</v>
          </cell>
          <cell r="I43">
            <v>41.02</v>
          </cell>
          <cell r="J43">
            <v>19.18</v>
          </cell>
          <cell r="K43">
            <v>920.75</v>
          </cell>
          <cell r="L43">
            <v>1448.96</v>
          </cell>
          <cell r="M43">
            <v>355.62</v>
          </cell>
        </row>
        <row r="44">
          <cell r="A44">
            <v>40</v>
          </cell>
          <cell r="B44">
            <v>37586</v>
          </cell>
          <cell r="C44">
            <v>10.28</v>
          </cell>
          <cell r="D44">
            <v>14.55</v>
          </cell>
          <cell r="E44">
            <v>29.21</v>
          </cell>
          <cell r="F44">
            <v>15.35</v>
          </cell>
          <cell r="G44">
            <v>17.21</v>
          </cell>
          <cell r="H44">
            <v>32.36</v>
          </cell>
          <cell r="I44">
            <v>41.114000000000004</v>
          </cell>
          <cell r="J44">
            <v>18.920000000000002</v>
          </cell>
          <cell r="K44">
            <v>913.31000000000006</v>
          </cell>
          <cell r="L44">
            <v>1444.43</v>
          </cell>
          <cell r="M44">
            <v>357.74</v>
          </cell>
        </row>
        <row r="45">
          <cell r="A45">
            <v>41</v>
          </cell>
          <cell r="B45">
            <v>37579</v>
          </cell>
          <cell r="C45">
            <v>8.1300000000000008</v>
          </cell>
          <cell r="D45">
            <v>14.68</v>
          </cell>
          <cell r="E45">
            <v>28</v>
          </cell>
          <cell r="F45">
            <v>13.200000000000001</v>
          </cell>
          <cell r="G45">
            <v>17.05</v>
          </cell>
          <cell r="H45">
            <v>29.25</v>
          </cell>
          <cell r="I45">
            <v>36.35</v>
          </cell>
          <cell r="J45">
            <v>16.55</v>
          </cell>
          <cell r="K45">
            <v>896.74</v>
          </cell>
          <cell r="L45">
            <v>1374.51</v>
          </cell>
          <cell r="M45">
            <v>312.31</v>
          </cell>
        </row>
        <row r="46">
          <cell r="A46">
            <v>42</v>
          </cell>
          <cell r="B46">
            <v>37572</v>
          </cell>
          <cell r="C46">
            <v>7.63</v>
          </cell>
          <cell r="D46">
            <v>14.59</v>
          </cell>
          <cell r="E46">
            <v>27.200000000000003</v>
          </cell>
          <cell r="F46">
            <v>12.27</v>
          </cell>
          <cell r="G46">
            <v>17.09</v>
          </cell>
          <cell r="H46">
            <v>28.580000000000002</v>
          </cell>
          <cell r="I46">
            <v>34.01</v>
          </cell>
          <cell r="J46">
            <v>14.27</v>
          </cell>
          <cell r="K46">
            <v>882.95</v>
          </cell>
          <cell r="L46">
            <v>1349.56</v>
          </cell>
          <cell r="M46">
            <v>294.43</v>
          </cell>
        </row>
        <row r="47">
          <cell r="A47">
            <v>43</v>
          </cell>
          <cell r="B47">
            <v>37565</v>
          </cell>
          <cell r="C47">
            <v>8.81</v>
          </cell>
          <cell r="D47">
            <v>16.48</v>
          </cell>
          <cell r="E47">
            <v>29.1</v>
          </cell>
          <cell r="F47">
            <v>13.35</v>
          </cell>
          <cell r="G47">
            <v>17.68</v>
          </cell>
          <cell r="H47">
            <v>29.47</v>
          </cell>
          <cell r="I47">
            <v>35.300000000000004</v>
          </cell>
          <cell r="J47">
            <v>14.75</v>
          </cell>
          <cell r="K47">
            <v>915.39</v>
          </cell>
          <cell r="L47">
            <v>1401.17</v>
          </cell>
          <cell r="M47">
            <v>317.55</v>
          </cell>
        </row>
        <row r="48">
          <cell r="A48">
            <v>44</v>
          </cell>
          <cell r="B48">
            <v>37558</v>
          </cell>
          <cell r="C48">
            <v>7.23</v>
          </cell>
          <cell r="D48">
            <v>13.551</v>
          </cell>
          <cell r="E48">
            <v>25.61</v>
          </cell>
          <cell r="F48">
            <v>10.290000000000001</v>
          </cell>
          <cell r="G48">
            <v>16.491</v>
          </cell>
          <cell r="H48">
            <v>26.560000000000002</v>
          </cell>
          <cell r="I48">
            <v>29.43</v>
          </cell>
          <cell r="J48">
            <v>12.99</v>
          </cell>
          <cell r="K48">
            <v>882.15</v>
          </cell>
          <cell r="L48">
            <v>1300.54</v>
          </cell>
          <cell r="M48">
            <v>282.72000000000003</v>
          </cell>
        </row>
        <row r="49">
          <cell r="A49">
            <v>45</v>
          </cell>
          <cell r="B49">
            <v>37551</v>
          </cell>
          <cell r="C49">
            <v>6.6000000000000005</v>
          </cell>
          <cell r="D49">
            <v>12.952</v>
          </cell>
          <cell r="E49">
            <v>24.8</v>
          </cell>
          <cell r="F49">
            <v>9.85</v>
          </cell>
          <cell r="G49">
            <v>16.190000000000001</v>
          </cell>
          <cell r="H49">
            <v>27.09</v>
          </cell>
          <cell r="I49">
            <v>29.490000000000002</v>
          </cell>
          <cell r="J49">
            <v>12.600000000000001</v>
          </cell>
          <cell r="K49">
            <v>890.16</v>
          </cell>
          <cell r="L49">
            <v>1292.8000000000002</v>
          </cell>
          <cell r="M49">
            <v>265.07</v>
          </cell>
        </row>
        <row r="50">
          <cell r="A50">
            <v>46</v>
          </cell>
          <cell r="B50">
            <v>37544</v>
          </cell>
          <cell r="C50">
            <v>5.5</v>
          </cell>
          <cell r="D50">
            <v>13.15</v>
          </cell>
          <cell r="E50">
            <v>24.95</v>
          </cell>
          <cell r="F50">
            <v>8.93</v>
          </cell>
          <cell r="G50">
            <v>16.36</v>
          </cell>
          <cell r="H50">
            <v>24.38</v>
          </cell>
          <cell r="I50">
            <v>27.740000000000002</v>
          </cell>
          <cell r="J50">
            <v>13.4</v>
          </cell>
          <cell r="K50">
            <v>881.27</v>
          </cell>
          <cell r="L50">
            <v>1282.44</v>
          </cell>
          <cell r="M50">
            <v>269.10000000000002</v>
          </cell>
        </row>
        <row r="51">
          <cell r="A51">
            <v>47</v>
          </cell>
          <cell r="B51">
            <v>37537</v>
          </cell>
          <cell r="C51">
            <v>4.57</v>
          </cell>
          <cell r="D51">
            <v>9.2200000000000006</v>
          </cell>
          <cell r="E51">
            <v>18.57</v>
          </cell>
          <cell r="F51">
            <v>7.05</v>
          </cell>
          <cell r="G51">
            <v>11.65</v>
          </cell>
          <cell r="H51">
            <v>19.61</v>
          </cell>
          <cell r="I51">
            <v>21.39</v>
          </cell>
          <cell r="J51">
            <v>10.51</v>
          </cell>
          <cell r="K51">
            <v>798.55000000000007</v>
          </cell>
          <cell r="L51">
            <v>1129.21</v>
          </cell>
          <cell r="M51">
            <v>215.92000000000002</v>
          </cell>
        </row>
        <row r="52">
          <cell r="A52">
            <v>48</v>
          </cell>
          <cell r="B52">
            <v>37530</v>
          </cell>
          <cell r="C52">
            <v>7.0600000000000005</v>
          </cell>
          <cell r="D52">
            <v>10.06</v>
          </cell>
          <cell r="E52">
            <v>21.150000000000002</v>
          </cell>
          <cell r="F52">
            <v>9</v>
          </cell>
          <cell r="G52">
            <v>12.870000000000001</v>
          </cell>
          <cell r="H52">
            <v>21.830000000000002</v>
          </cell>
          <cell r="I52">
            <v>25.73</v>
          </cell>
          <cell r="J52">
            <v>12.09</v>
          </cell>
          <cell r="K52">
            <v>847.91</v>
          </cell>
          <cell r="L52">
            <v>1213.72</v>
          </cell>
          <cell r="M52">
            <v>249.9</v>
          </cell>
        </row>
        <row r="53">
          <cell r="A53">
            <v>49</v>
          </cell>
          <cell r="B53">
            <v>37523</v>
          </cell>
          <cell r="C53">
            <v>5.38</v>
          </cell>
          <cell r="D53">
            <v>9.56</v>
          </cell>
          <cell r="E53">
            <v>19.89</v>
          </cell>
          <cell r="F53">
            <v>9.5</v>
          </cell>
          <cell r="G53">
            <v>13.48</v>
          </cell>
          <cell r="H53">
            <v>20.51</v>
          </cell>
          <cell r="I53">
            <v>24.18</v>
          </cell>
          <cell r="J53">
            <v>11.74</v>
          </cell>
          <cell r="K53">
            <v>819.29</v>
          </cell>
          <cell r="L53">
            <v>1182.17</v>
          </cell>
          <cell r="M53">
            <v>239.58</v>
          </cell>
        </row>
        <row r="54">
          <cell r="A54">
            <v>50</v>
          </cell>
          <cell r="B54">
            <v>37516</v>
          </cell>
          <cell r="C54">
            <v>6.7720000000000002</v>
          </cell>
          <cell r="D54">
            <v>10.4</v>
          </cell>
          <cell r="E54">
            <v>21.68</v>
          </cell>
          <cell r="F54">
            <v>9.59</v>
          </cell>
          <cell r="G54">
            <v>14.870000000000001</v>
          </cell>
          <cell r="H54">
            <v>20.567</v>
          </cell>
          <cell r="I54">
            <v>25.48</v>
          </cell>
          <cell r="J54">
            <v>12.35</v>
          </cell>
          <cell r="K54">
            <v>873.52</v>
          </cell>
          <cell r="L54">
            <v>1259.94</v>
          </cell>
          <cell r="M54">
            <v>263.56</v>
          </cell>
        </row>
        <row r="55">
          <cell r="A55">
            <v>51</v>
          </cell>
          <cell r="B55">
            <v>37509</v>
          </cell>
          <cell r="C55">
            <v>8.8800000000000008</v>
          </cell>
          <cell r="D55">
            <v>11.85</v>
          </cell>
          <cell r="E55">
            <v>25</v>
          </cell>
          <cell r="F55">
            <v>11.09</v>
          </cell>
          <cell r="G55">
            <v>18.400000000000002</v>
          </cell>
          <cell r="H55">
            <v>23.830000000000002</v>
          </cell>
          <cell r="I55">
            <v>30.09</v>
          </cell>
          <cell r="J55">
            <v>14.030000000000001</v>
          </cell>
          <cell r="K55">
            <v>909.58</v>
          </cell>
          <cell r="L55">
            <v>1320.09</v>
          </cell>
          <cell r="M55">
            <v>298.34000000000003</v>
          </cell>
        </row>
        <row r="56">
          <cell r="A56">
            <v>52</v>
          </cell>
          <cell r="B56">
            <v>37502</v>
          </cell>
          <cell r="C56">
            <v>10.32</v>
          </cell>
          <cell r="D56">
            <v>12.700000000000001</v>
          </cell>
          <cell r="E56">
            <v>22.830000000000002</v>
          </cell>
          <cell r="F56">
            <v>10.49</v>
          </cell>
          <cell r="G56">
            <v>16.100000000000001</v>
          </cell>
          <cell r="H56">
            <v>24.75</v>
          </cell>
          <cell r="I56">
            <v>29.91</v>
          </cell>
          <cell r="J56">
            <v>14.97</v>
          </cell>
          <cell r="K56">
            <v>878.02</v>
          </cell>
          <cell r="L56">
            <v>1263.8399999999999</v>
          </cell>
          <cell r="M56">
            <v>284.94</v>
          </cell>
        </row>
        <row r="57">
          <cell r="A57">
            <v>53</v>
          </cell>
          <cell r="B57">
            <v>37495</v>
          </cell>
          <cell r="C57">
            <v>11.950000000000001</v>
          </cell>
          <cell r="D57">
            <v>18.920000000000002</v>
          </cell>
          <cell r="E57">
            <v>25.84</v>
          </cell>
          <cell r="F57">
            <v>13.100000000000001</v>
          </cell>
          <cell r="G57">
            <v>18.78</v>
          </cell>
          <cell r="H57">
            <v>29.21</v>
          </cell>
          <cell r="I57">
            <v>33.880000000000003</v>
          </cell>
          <cell r="J57">
            <v>16.649999999999999</v>
          </cell>
          <cell r="K57">
            <v>934.82</v>
          </cell>
          <cell r="L57">
            <v>1347.78</v>
          </cell>
          <cell r="M57">
            <v>316.87</v>
          </cell>
        </row>
        <row r="58">
          <cell r="A58">
            <v>54</v>
          </cell>
          <cell r="B58">
            <v>37488</v>
          </cell>
          <cell r="C58">
            <v>12.620000000000001</v>
          </cell>
          <cell r="D58">
            <v>20.84</v>
          </cell>
          <cell r="E58">
            <v>25.900000000000002</v>
          </cell>
          <cell r="F58">
            <v>16.010000000000002</v>
          </cell>
          <cell r="G58">
            <v>19.71875</v>
          </cell>
          <cell r="H58">
            <v>31.470000000000002</v>
          </cell>
          <cell r="I58">
            <v>36</v>
          </cell>
          <cell r="J58">
            <v>18.21</v>
          </cell>
          <cell r="K58">
            <v>937.43000000000006</v>
          </cell>
          <cell r="L58">
            <v>1376.59</v>
          </cell>
          <cell r="M58">
            <v>345.68</v>
          </cell>
        </row>
        <row r="59">
          <cell r="A59">
            <v>55</v>
          </cell>
          <cell r="B59">
            <v>37481</v>
          </cell>
          <cell r="C59">
            <v>10.11</v>
          </cell>
          <cell r="D59">
            <v>18.330000000000002</v>
          </cell>
          <cell r="E59">
            <v>22.01</v>
          </cell>
          <cell r="F59">
            <v>12.99</v>
          </cell>
          <cell r="G59">
            <v>16.73</v>
          </cell>
          <cell r="H59">
            <v>26.28</v>
          </cell>
          <cell r="I59">
            <v>29.94</v>
          </cell>
          <cell r="J59">
            <v>15.91</v>
          </cell>
          <cell r="K59">
            <v>884.21</v>
          </cell>
          <cell r="L59">
            <v>1269.28</v>
          </cell>
          <cell r="M59">
            <v>298.88</v>
          </cell>
        </row>
        <row r="60">
          <cell r="A60">
            <v>56</v>
          </cell>
          <cell r="B60">
            <v>37474</v>
          </cell>
          <cell r="C60">
            <v>10.08</v>
          </cell>
          <cell r="D60">
            <v>18.34</v>
          </cell>
          <cell r="E60">
            <v>21.400000000000002</v>
          </cell>
          <cell r="F60">
            <v>15.8</v>
          </cell>
          <cell r="G60">
            <v>18.920000000000002</v>
          </cell>
          <cell r="H60">
            <v>25.740000000000002</v>
          </cell>
          <cell r="I60">
            <v>29.240000000000002</v>
          </cell>
          <cell r="J60">
            <v>16.52</v>
          </cell>
          <cell r="K60">
            <v>859.57</v>
          </cell>
          <cell r="L60">
            <v>1259.55</v>
          </cell>
          <cell r="M60">
            <v>301.54000000000002</v>
          </cell>
        </row>
        <row r="61">
          <cell r="A61">
            <v>57</v>
          </cell>
          <cell r="B61">
            <v>37467</v>
          </cell>
          <cell r="C61">
            <v>12.28125</v>
          </cell>
          <cell r="D61">
            <v>20.900000000000002</v>
          </cell>
          <cell r="E61">
            <v>25.150000000000002</v>
          </cell>
          <cell r="F61">
            <v>18.46</v>
          </cell>
          <cell r="G61">
            <v>22.330000000000002</v>
          </cell>
          <cell r="H61">
            <v>28.38</v>
          </cell>
          <cell r="I61">
            <v>36.85</v>
          </cell>
          <cell r="J61">
            <v>19.91</v>
          </cell>
          <cell r="K61">
            <v>902.78</v>
          </cell>
          <cell r="L61">
            <v>1344.19</v>
          </cell>
          <cell r="M61">
            <v>346.46</v>
          </cell>
        </row>
        <row r="62">
          <cell r="A62">
            <v>58</v>
          </cell>
          <cell r="B62">
            <v>37460</v>
          </cell>
          <cell r="C62">
            <v>12.432</v>
          </cell>
          <cell r="D62">
            <v>20.27</v>
          </cell>
          <cell r="E62">
            <v>25.1</v>
          </cell>
          <cell r="F62">
            <v>19.96</v>
          </cell>
          <cell r="G62">
            <v>19.07</v>
          </cell>
          <cell r="H62">
            <v>28.09</v>
          </cell>
          <cell r="I62">
            <v>36.82</v>
          </cell>
          <cell r="J62">
            <v>20.39</v>
          </cell>
          <cell r="K62">
            <v>797.7</v>
          </cell>
          <cell r="L62">
            <v>1229.05</v>
          </cell>
          <cell r="M62">
            <v>339.41</v>
          </cell>
        </row>
        <row r="63">
          <cell r="A63">
            <v>59</v>
          </cell>
          <cell r="B63">
            <v>37453</v>
          </cell>
          <cell r="C63">
            <v>15.09</v>
          </cell>
          <cell r="D63">
            <v>23.72</v>
          </cell>
          <cell r="E63">
            <v>28.8</v>
          </cell>
          <cell r="F63">
            <v>22.3</v>
          </cell>
          <cell r="G63">
            <v>22.59</v>
          </cell>
          <cell r="H63">
            <v>30.5</v>
          </cell>
          <cell r="I63">
            <v>40.99</v>
          </cell>
          <cell r="J63">
            <v>23.88</v>
          </cell>
          <cell r="K63">
            <v>901.05000000000007</v>
          </cell>
          <cell r="L63">
            <v>1375.26</v>
          </cell>
          <cell r="M63">
            <v>386.41</v>
          </cell>
        </row>
        <row r="64">
          <cell r="A64">
            <v>60</v>
          </cell>
          <cell r="B64">
            <v>37446</v>
          </cell>
          <cell r="C64">
            <v>12.83</v>
          </cell>
          <cell r="D64">
            <v>23.62</v>
          </cell>
          <cell r="E64">
            <v>27.700000000000003</v>
          </cell>
          <cell r="F64">
            <v>21</v>
          </cell>
          <cell r="G64">
            <v>17.71</v>
          </cell>
          <cell r="H64">
            <v>28.85</v>
          </cell>
          <cell r="I64">
            <v>36.660000000000004</v>
          </cell>
          <cell r="J64">
            <v>22.73</v>
          </cell>
          <cell r="K64">
            <v>952.83</v>
          </cell>
          <cell r="L64">
            <v>1381.1200000000001</v>
          </cell>
          <cell r="M64">
            <v>362.49</v>
          </cell>
        </row>
        <row r="65">
          <cell r="A65">
            <v>61</v>
          </cell>
          <cell r="B65">
            <v>37439</v>
          </cell>
          <cell r="C65">
            <v>12.99</v>
          </cell>
          <cell r="D65">
            <v>23.86</v>
          </cell>
          <cell r="E65">
            <v>26.900000000000002</v>
          </cell>
          <cell r="F65">
            <v>20.61</v>
          </cell>
          <cell r="G65">
            <v>18.18</v>
          </cell>
          <cell r="H65">
            <v>28.19</v>
          </cell>
          <cell r="I65">
            <v>36</v>
          </cell>
          <cell r="J65">
            <v>22.75</v>
          </cell>
          <cell r="K65">
            <v>948.09</v>
          </cell>
          <cell r="L65">
            <v>1357.82</v>
          </cell>
          <cell r="M65">
            <v>348.51</v>
          </cell>
        </row>
        <row r="66">
          <cell r="A66">
            <v>62</v>
          </cell>
          <cell r="B66">
            <v>37432</v>
          </cell>
          <cell r="C66">
            <v>13.83</v>
          </cell>
          <cell r="D66">
            <v>24.77</v>
          </cell>
          <cell r="E66">
            <v>28.19</v>
          </cell>
          <cell r="F66">
            <v>21.52</v>
          </cell>
          <cell r="G66">
            <v>19.61</v>
          </cell>
          <cell r="H66">
            <v>28.580000000000002</v>
          </cell>
          <cell r="I66">
            <v>35.92</v>
          </cell>
          <cell r="J66">
            <v>27.200000000000003</v>
          </cell>
          <cell r="K66">
            <v>976.14</v>
          </cell>
          <cell r="L66">
            <v>1423.99</v>
          </cell>
          <cell r="M66">
            <v>376.47</v>
          </cell>
        </row>
        <row r="67">
          <cell r="A67">
            <v>63</v>
          </cell>
          <cell r="B67">
            <v>37425</v>
          </cell>
          <cell r="C67">
            <v>17.25</v>
          </cell>
          <cell r="D67">
            <v>30.14</v>
          </cell>
          <cell r="E67">
            <v>34.33</v>
          </cell>
          <cell r="F67">
            <v>26.28</v>
          </cell>
          <cell r="G67">
            <v>24.63</v>
          </cell>
          <cell r="H67">
            <v>35</v>
          </cell>
          <cell r="I67">
            <v>44.79</v>
          </cell>
          <cell r="J67">
            <v>32.6</v>
          </cell>
          <cell r="K67">
            <v>1037.1400000000001</v>
          </cell>
          <cell r="L67">
            <v>1542.96</v>
          </cell>
          <cell r="M67">
            <v>441.97</v>
          </cell>
        </row>
        <row r="68">
          <cell r="A68">
            <v>64</v>
          </cell>
          <cell r="B68">
            <v>37418</v>
          </cell>
          <cell r="C68">
            <v>17</v>
          </cell>
          <cell r="D68">
            <v>29.16</v>
          </cell>
          <cell r="E68">
            <v>33.35</v>
          </cell>
          <cell r="F68">
            <v>24.55</v>
          </cell>
          <cell r="G68">
            <v>23.400000000000002</v>
          </cell>
          <cell r="H68">
            <v>33.17</v>
          </cell>
          <cell r="I68">
            <v>40.840000000000003</v>
          </cell>
          <cell r="J68">
            <v>30.060000000000002</v>
          </cell>
          <cell r="K68">
            <v>1013.6</v>
          </cell>
          <cell r="L68">
            <v>1497.18</v>
          </cell>
          <cell r="M68">
            <v>419.44</v>
          </cell>
        </row>
        <row r="69">
          <cell r="A69">
            <v>65</v>
          </cell>
          <cell r="B69">
            <v>37411</v>
          </cell>
          <cell r="C69">
            <v>20.260000000000002</v>
          </cell>
          <cell r="D69">
            <v>32.28</v>
          </cell>
          <cell r="E69">
            <v>35.99</v>
          </cell>
          <cell r="F69">
            <v>24.25</v>
          </cell>
          <cell r="G69">
            <v>23.56</v>
          </cell>
          <cell r="H69">
            <v>37.01</v>
          </cell>
          <cell r="I69">
            <v>44.46</v>
          </cell>
          <cell r="J69">
            <v>30.400000000000002</v>
          </cell>
          <cell r="K69">
            <v>1040.69</v>
          </cell>
          <cell r="L69">
            <v>1578.1200000000001</v>
          </cell>
          <cell r="M69">
            <v>466.89</v>
          </cell>
        </row>
        <row r="70">
          <cell r="A70">
            <v>66</v>
          </cell>
          <cell r="B70">
            <v>37404</v>
          </cell>
          <cell r="C70">
            <v>22.3</v>
          </cell>
          <cell r="D70">
            <v>33.980000000000004</v>
          </cell>
          <cell r="E70">
            <v>37.15</v>
          </cell>
          <cell r="F70">
            <v>26.310000000000002</v>
          </cell>
          <cell r="G70">
            <v>24.6</v>
          </cell>
          <cell r="H70">
            <v>38.65</v>
          </cell>
          <cell r="I70">
            <v>47.14</v>
          </cell>
          <cell r="J70">
            <v>31.98</v>
          </cell>
          <cell r="K70">
            <v>1074.55</v>
          </cell>
          <cell r="L70">
            <v>1652.17</v>
          </cell>
          <cell r="M70">
            <v>496.65000000000003</v>
          </cell>
        </row>
        <row r="71">
          <cell r="A71">
            <v>67</v>
          </cell>
          <cell r="B71">
            <v>37397</v>
          </cell>
          <cell r="C71">
            <v>23.6</v>
          </cell>
          <cell r="D71">
            <v>34.75</v>
          </cell>
          <cell r="E71">
            <v>39.550000000000004</v>
          </cell>
          <cell r="F71">
            <v>27.740000000000002</v>
          </cell>
          <cell r="G71">
            <v>25.34</v>
          </cell>
          <cell r="H71">
            <v>40.26</v>
          </cell>
          <cell r="I71">
            <v>50.04</v>
          </cell>
          <cell r="J71">
            <v>33.24</v>
          </cell>
          <cell r="K71">
            <v>1079.8800000000001</v>
          </cell>
          <cell r="L71">
            <v>1664.18</v>
          </cell>
          <cell r="M71">
            <v>519.71</v>
          </cell>
        </row>
        <row r="72">
          <cell r="A72">
            <v>68</v>
          </cell>
          <cell r="B72">
            <v>37390</v>
          </cell>
          <cell r="C72">
            <v>24.47</v>
          </cell>
          <cell r="D72">
            <v>36.369999999999997</v>
          </cell>
          <cell r="E72">
            <v>39.68</v>
          </cell>
          <cell r="F72">
            <v>30</v>
          </cell>
          <cell r="G72">
            <v>30.21</v>
          </cell>
          <cell r="H72">
            <v>39.82</v>
          </cell>
          <cell r="I72">
            <v>50.74</v>
          </cell>
          <cell r="J72">
            <v>32.93</v>
          </cell>
          <cell r="K72">
            <v>1097.28</v>
          </cell>
          <cell r="L72">
            <v>1719.05</v>
          </cell>
          <cell r="M72">
            <v>541.1</v>
          </cell>
        </row>
        <row r="73">
          <cell r="A73">
            <v>69</v>
          </cell>
          <cell r="B73">
            <v>37383</v>
          </cell>
          <cell r="C73">
            <v>20.240000000000002</v>
          </cell>
          <cell r="D73">
            <v>29.78</v>
          </cell>
          <cell r="E73">
            <v>34.19</v>
          </cell>
          <cell r="F73">
            <v>25.78</v>
          </cell>
          <cell r="G73">
            <v>22.89</v>
          </cell>
          <cell r="H73">
            <v>33.840000000000003</v>
          </cell>
          <cell r="I73">
            <v>43.7</v>
          </cell>
          <cell r="J73">
            <v>28.16</v>
          </cell>
          <cell r="K73">
            <v>1049.49</v>
          </cell>
          <cell r="L73">
            <v>1573.82</v>
          </cell>
          <cell r="M73">
            <v>470.14</v>
          </cell>
        </row>
        <row r="74">
          <cell r="A74">
            <v>70</v>
          </cell>
          <cell r="B74">
            <v>37376</v>
          </cell>
          <cell r="C74">
            <v>21.95</v>
          </cell>
          <cell r="D74">
            <v>31.98</v>
          </cell>
          <cell r="E74">
            <v>36.96</v>
          </cell>
          <cell r="F74">
            <v>26.94</v>
          </cell>
          <cell r="G74">
            <v>26.85</v>
          </cell>
          <cell r="H74">
            <v>38.86</v>
          </cell>
          <cell r="I74">
            <v>49.800000000000004</v>
          </cell>
          <cell r="J74">
            <v>31.52</v>
          </cell>
          <cell r="K74">
            <v>1076.92</v>
          </cell>
          <cell r="L74">
            <v>1688.23</v>
          </cell>
          <cell r="M74">
            <v>525.74</v>
          </cell>
        </row>
        <row r="75">
          <cell r="A75">
            <v>71</v>
          </cell>
          <cell r="B75">
            <v>37369</v>
          </cell>
          <cell r="C75">
            <v>23.19</v>
          </cell>
          <cell r="D75">
            <v>33.81</v>
          </cell>
          <cell r="E75">
            <v>39.69</v>
          </cell>
          <cell r="F75">
            <v>29.25</v>
          </cell>
          <cell r="G75">
            <v>29.310000000000002</v>
          </cell>
          <cell r="H75">
            <v>40.550000000000004</v>
          </cell>
          <cell r="I75">
            <v>52.61</v>
          </cell>
          <cell r="J75">
            <v>32.46</v>
          </cell>
          <cell r="K75">
            <v>1100.96</v>
          </cell>
          <cell r="L75">
            <v>1730.29</v>
          </cell>
          <cell r="M75">
            <v>555.20000000000005</v>
          </cell>
        </row>
        <row r="76">
          <cell r="A76">
            <v>72</v>
          </cell>
          <cell r="B76">
            <v>37362</v>
          </cell>
          <cell r="C76">
            <v>24.19</v>
          </cell>
          <cell r="D76">
            <v>36.630000000000003</v>
          </cell>
          <cell r="E76">
            <v>43.89</v>
          </cell>
          <cell r="F76">
            <v>30.700000000000003</v>
          </cell>
          <cell r="G76">
            <v>31.43</v>
          </cell>
          <cell r="H76">
            <v>43.88</v>
          </cell>
          <cell r="I76">
            <v>56.800000000000004</v>
          </cell>
          <cell r="J76">
            <v>36.24</v>
          </cell>
          <cell r="K76">
            <v>1128.3700000000001</v>
          </cell>
          <cell r="L76">
            <v>1816.79</v>
          </cell>
          <cell r="M76">
            <v>603.54</v>
          </cell>
        </row>
        <row r="77">
          <cell r="A77">
            <v>73</v>
          </cell>
          <cell r="B77">
            <v>37355</v>
          </cell>
          <cell r="C77">
            <v>22.13</v>
          </cell>
          <cell r="D77">
            <v>34.160000000000004</v>
          </cell>
          <cell r="E77">
            <v>41.300000000000004</v>
          </cell>
          <cell r="F77">
            <v>28.5</v>
          </cell>
          <cell r="G77">
            <v>28.75</v>
          </cell>
          <cell r="H77">
            <v>40.19</v>
          </cell>
          <cell r="I77">
            <v>53.32</v>
          </cell>
          <cell r="J77">
            <v>31.52</v>
          </cell>
          <cell r="K77">
            <v>1117.8</v>
          </cell>
          <cell r="L77">
            <v>1742.57</v>
          </cell>
          <cell r="M77">
            <v>557.65</v>
          </cell>
        </row>
        <row r="78">
          <cell r="A78">
            <v>74</v>
          </cell>
          <cell r="B78">
            <v>37348</v>
          </cell>
          <cell r="C78">
            <v>24.6</v>
          </cell>
          <cell r="D78">
            <v>36</v>
          </cell>
          <cell r="E78">
            <v>43.52</v>
          </cell>
          <cell r="F78">
            <v>28.240000000000002</v>
          </cell>
          <cell r="G78">
            <v>26.59</v>
          </cell>
          <cell r="H78">
            <v>43.400000000000006</v>
          </cell>
          <cell r="I78">
            <v>54.64</v>
          </cell>
          <cell r="J78">
            <v>32.980000000000004</v>
          </cell>
          <cell r="K78">
            <v>1136.76</v>
          </cell>
          <cell r="L78">
            <v>1804.4</v>
          </cell>
          <cell r="M78">
            <v>587.29</v>
          </cell>
        </row>
        <row r="79">
          <cell r="A79">
            <v>75</v>
          </cell>
          <cell r="B79">
            <v>37341</v>
          </cell>
          <cell r="C79">
            <v>25.490000000000002</v>
          </cell>
          <cell r="D79">
            <v>36.18</v>
          </cell>
          <cell r="E79">
            <v>44.050000000000004</v>
          </cell>
          <cell r="F79">
            <v>27.38</v>
          </cell>
          <cell r="G79">
            <v>27.8</v>
          </cell>
          <cell r="H79">
            <v>43.51</v>
          </cell>
          <cell r="I79">
            <v>53.59</v>
          </cell>
          <cell r="J79">
            <v>33.26</v>
          </cell>
          <cell r="K79">
            <v>1138.49</v>
          </cell>
          <cell r="L79">
            <v>1824.17</v>
          </cell>
          <cell r="M79">
            <v>585.91999999999996</v>
          </cell>
        </row>
        <row r="80">
          <cell r="A80">
            <v>76</v>
          </cell>
          <cell r="B80">
            <v>37334</v>
          </cell>
          <cell r="C80">
            <v>25.580000000000002</v>
          </cell>
          <cell r="D80">
            <v>37.5</v>
          </cell>
          <cell r="E80">
            <v>46.050000000000004</v>
          </cell>
          <cell r="F80">
            <v>28.060000000000002</v>
          </cell>
          <cell r="G80">
            <v>31.41</v>
          </cell>
          <cell r="H80">
            <v>45.300000000000004</v>
          </cell>
          <cell r="I80">
            <v>55.69</v>
          </cell>
          <cell r="J80">
            <v>34.300000000000004</v>
          </cell>
          <cell r="K80">
            <v>1170.29</v>
          </cell>
          <cell r="L80">
            <v>1880.8700000000001</v>
          </cell>
          <cell r="M80">
            <v>604.28</v>
          </cell>
        </row>
        <row r="81">
          <cell r="A81">
            <v>77</v>
          </cell>
          <cell r="B81">
            <v>37327</v>
          </cell>
          <cell r="C81">
            <v>23.89</v>
          </cell>
          <cell r="D81">
            <v>37.17</v>
          </cell>
          <cell r="E81">
            <v>45.17</v>
          </cell>
          <cell r="F81">
            <v>27</v>
          </cell>
          <cell r="G81">
            <v>30.89</v>
          </cell>
          <cell r="H81">
            <v>44.69</v>
          </cell>
          <cell r="I81">
            <v>55.88</v>
          </cell>
          <cell r="J81">
            <v>33.5</v>
          </cell>
          <cell r="K81">
            <v>1165.58</v>
          </cell>
          <cell r="L81">
            <v>1897.1200000000001</v>
          </cell>
          <cell r="M81">
            <v>605.5</v>
          </cell>
        </row>
        <row r="82">
          <cell r="A82">
            <v>78</v>
          </cell>
          <cell r="B82">
            <v>37320</v>
          </cell>
          <cell r="C82">
            <v>25.05</v>
          </cell>
          <cell r="D82">
            <v>36.33</v>
          </cell>
          <cell r="E82">
            <v>45.6</v>
          </cell>
          <cell r="F82">
            <v>29</v>
          </cell>
          <cell r="G82">
            <v>32.18</v>
          </cell>
          <cell r="H82">
            <v>46.15</v>
          </cell>
          <cell r="I82">
            <v>55.69</v>
          </cell>
          <cell r="J82">
            <v>32.06</v>
          </cell>
          <cell r="K82">
            <v>1146.1400000000001</v>
          </cell>
          <cell r="L82">
            <v>1866.29</v>
          </cell>
          <cell r="M82">
            <v>613.9</v>
          </cell>
        </row>
        <row r="83">
          <cell r="A83">
            <v>79</v>
          </cell>
          <cell r="B83">
            <v>37313</v>
          </cell>
          <cell r="C83">
            <v>20.92</v>
          </cell>
          <cell r="D83">
            <v>30.400000000000002</v>
          </cell>
          <cell r="E83">
            <v>38.72</v>
          </cell>
          <cell r="F83">
            <v>25.36</v>
          </cell>
          <cell r="G83">
            <v>29.46</v>
          </cell>
          <cell r="H83">
            <v>38.44</v>
          </cell>
          <cell r="I83">
            <v>49.26</v>
          </cell>
          <cell r="J83">
            <v>25.92</v>
          </cell>
          <cell r="K83">
            <v>1109.3800000000001</v>
          </cell>
          <cell r="L83">
            <v>1766.8600000000001</v>
          </cell>
          <cell r="M83">
            <v>534.66</v>
          </cell>
        </row>
        <row r="84">
          <cell r="A84">
            <v>80</v>
          </cell>
          <cell r="B84">
            <v>37306</v>
          </cell>
          <cell r="C84">
            <v>19.920000000000002</v>
          </cell>
          <cell r="D84">
            <v>29.44</v>
          </cell>
          <cell r="E84">
            <v>39.630000000000003</v>
          </cell>
          <cell r="F84">
            <v>24.34</v>
          </cell>
          <cell r="G84">
            <v>25.810000000000002</v>
          </cell>
          <cell r="H84">
            <v>38.97</v>
          </cell>
          <cell r="I84">
            <v>49.93</v>
          </cell>
          <cell r="J84">
            <v>26.240000000000002</v>
          </cell>
          <cell r="K84">
            <v>1083.3399999999999</v>
          </cell>
          <cell r="L84">
            <v>1750.6100000000001</v>
          </cell>
          <cell r="M84">
            <v>534.89</v>
          </cell>
        </row>
        <row r="85">
          <cell r="A85">
            <v>81</v>
          </cell>
          <cell r="B85">
            <v>37299</v>
          </cell>
          <cell r="C85">
            <v>21.42</v>
          </cell>
          <cell r="D85">
            <v>32.28</v>
          </cell>
          <cell r="E85">
            <v>40.25</v>
          </cell>
          <cell r="F85">
            <v>24.73</v>
          </cell>
          <cell r="G85">
            <v>27.700000000000003</v>
          </cell>
          <cell r="H85">
            <v>40.06</v>
          </cell>
          <cell r="I85">
            <v>52.08</v>
          </cell>
          <cell r="J85">
            <v>27.05</v>
          </cell>
          <cell r="K85">
            <v>1107.5</v>
          </cell>
          <cell r="L85">
            <v>1834.21</v>
          </cell>
          <cell r="M85">
            <v>548.01</v>
          </cell>
        </row>
        <row r="86">
          <cell r="A86">
            <v>82</v>
          </cell>
          <cell r="B86">
            <v>37292</v>
          </cell>
          <cell r="C86">
            <v>21.54</v>
          </cell>
          <cell r="D86">
            <v>31.87</v>
          </cell>
          <cell r="E86">
            <v>42.02</v>
          </cell>
          <cell r="F86">
            <v>25.46</v>
          </cell>
          <cell r="G86">
            <v>28.700000000000003</v>
          </cell>
          <cell r="H86">
            <v>40.270000000000003</v>
          </cell>
          <cell r="I86">
            <v>53.800000000000004</v>
          </cell>
          <cell r="J86">
            <v>26.71</v>
          </cell>
          <cell r="K86">
            <v>1090.02</v>
          </cell>
          <cell r="L86">
            <v>1838.52</v>
          </cell>
          <cell r="M86">
            <v>540.91999999999996</v>
          </cell>
        </row>
        <row r="87">
          <cell r="A87">
            <v>83</v>
          </cell>
          <cell r="B87">
            <v>37285</v>
          </cell>
          <cell r="C87">
            <v>22.89</v>
          </cell>
          <cell r="D87">
            <v>33.74</v>
          </cell>
          <cell r="E87">
            <v>41.660000000000004</v>
          </cell>
          <cell r="F87">
            <v>25.63</v>
          </cell>
          <cell r="G87">
            <v>31.77</v>
          </cell>
          <cell r="H87">
            <v>39.730000000000004</v>
          </cell>
          <cell r="I87">
            <v>54.300000000000004</v>
          </cell>
          <cell r="J87">
            <v>27.740000000000002</v>
          </cell>
          <cell r="K87">
            <v>1100.6400000000001</v>
          </cell>
          <cell r="L87">
            <v>1892.99</v>
          </cell>
          <cell r="M87">
            <v>532.72</v>
          </cell>
        </row>
        <row r="88">
          <cell r="A88">
            <v>84</v>
          </cell>
          <cell r="B88">
            <v>37278</v>
          </cell>
          <cell r="C88">
            <v>22.41</v>
          </cell>
          <cell r="D88">
            <v>32.31</v>
          </cell>
          <cell r="E88">
            <v>41.050000000000004</v>
          </cell>
          <cell r="F88">
            <v>23.79</v>
          </cell>
          <cell r="G88">
            <v>27.52</v>
          </cell>
          <cell r="H88">
            <v>38.92</v>
          </cell>
          <cell r="I88">
            <v>52.01</v>
          </cell>
          <cell r="J88">
            <v>26.11</v>
          </cell>
          <cell r="K88">
            <v>1119.31</v>
          </cell>
          <cell r="L88">
            <v>1882.53</v>
          </cell>
          <cell r="M88">
            <v>499.13</v>
          </cell>
        </row>
        <row r="89">
          <cell r="A89">
            <v>85</v>
          </cell>
          <cell r="B89">
            <v>37271</v>
          </cell>
          <cell r="C89">
            <v>25.38</v>
          </cell>
          <cell r="D89">
            <v>36.770000000000003</v>
          </cell>
          <cell r="E89">
            <v>43.85</v>
          </cell>
          <cell r="F89">
            <v>26.62</v>
          </cell>
          <cell r="G89">
            <v>32.417000000000002</v>
          </cell>
          <cell r="H89">
            <v>40.07</v>
          </cell>
          <cell r="I89">
            <v>55.63</v>
          </cell>
          <cell r="J89">
            <v>30</v>
          </cell>
          <cell r="K89">
            <v>1146.19</v>
          </cell>
          <cell r="L89">
            <v>2000.91</v>
          </cell>
          <cell r="M89">
            <v>560.54</v>
          </cell>
        </row>
        <row r="90">
          <cell r="A90">
            <v>86</v>
          </cell>
          <cell r="B90">
            <v>37264</v>
          </cell>
          <cell r="C90">
            <v>28.16</v>
          </cell>
          <cell r="D90">
            <v>39.01</v>
          </cell>
          <cell r="E90">
            <v>46.59</v>
          </cell>
          <cell r="F90">
            <v>29.66</v>
          </cell>
          <cell r="G90">
            <v>35.64</v>
          </cell>
          <cell r="H90">
            <v>41.900000000000006</v>
          </cell>
          <cell r="I90">
            <v>58.82</v>
          </cell>
          <cell r="J90">
            <v>33</v>
          </cell>
          <cell r="K90">
            <v>1160.71</v>
          </cell>
          <cell r="L90">
            <v>2055.7400000000002</v>
          </cell>
          <cell r="M90">
            <v>583.82000000000005</v>
          </cell>
        </row>
        <row r="91">
          <cell r="A91">
            <v>87</v>
          </cell>
          <cell r="B91">
            <v>37257</v>
          </cell>
          <cell r="C91">
            <v>26.23</v>
          </cell>
          <cell r="D91">
            <v>35.69</v>
          </cell>
          <cell r="E91">
            <v>44.39</v>
          </cell>
          <cell r="F91">
            <v>28.200000000000003</v>
          </cell>
          <cell r="G91">
            <v>32.25</v>
          </cell>
          <cell r="H91">
            <v>39.04</v>
          </cell>
          <cell r="I91">
            <v>52.51</v>
          </cell>
          <cell r="J91">
            <v>30.79</v>
          </cell>
          <cell r="K91">
            <v>1148.08</v>
          </cell>
          <cell r="L91">
            <v>1950.4</v>
          </cell>
          <cell r="M91">
            <v>522.16</v>
          </cell>
        </row>
        <row r="92">
          <cell r="A92">
            <v>88</v>
          </cell>
          <cell r="B92">
            <v>37250</v>
          </cell>
          <cell r="C92">
            <v>26.21</v>
          </cell>
          <cell r="D92">
            <v>35.230000000000004</v>
          </cell>
          <cell r="E92">
            <v>43.1</v>
          </cell>
          <cell r="F92">
            <v>25.3</v>
          </cell>
          <cell r="G92">
            <v>32.910000000000004</v>
          </cell>
          <cell r="H92">
            <v>39.61</v>
          </cell>
          <cell r="I92">
            <v>51.94</v>
          </cell>
          <cell r="J92">
            <v>29.75</v>
          </cell>
          <cell r="K92">
            <v>1144.6500000000001</v>
          </cell>
          <cell r="L92">
            <v>1944.48</v>
          </cell>
          <cell r="M92">
            <v>515.12</v>
          </cell>
        </row>
        <row r="93">
          <cell r="A93">
            <v>89</v>
          </cell>
          <cell r="B93">
            <v>37243</v>
          </cell>
          <cell r="C93">
            <v>29.57</v>
          </cell>
          <cell r="D93">
            <v>40.230000000000004</v>
          </cell>
          <cell r="E93">
            <v>47.2</v>
          </cell>
          <cell r="F93">
            <v>26.400000000000002</v>
          </cell>
          <cell r="G93">
            <v>35.92</v>
          </cell>
          <cell r="H93">
            <v>44.62</v>
          </cell>
          <cell r="I93">
            <v>59.44</v>
          </cell>
          <cell r="J93">
            <v>33.9</v>
          </cell>
          <cell r="K93">
            <v>1142.92</v>
          </cell>
          <cell r="L93">
            <v>2004.76</v>
          </cell>
          <cell r="M93">
            <v>567.09</v>
          </cell>
        </row>
        <row r="94">
          <cell r="A94">
            <v>90</v>
          </cell>
          <cell r="B94">
            <v>37236</v>
          </cell>
          <cell r="C94">
            <v>31.05</v>
          </cell>
          <cell r="D94">
            <v>42.47</v>
          </cell>
          <cell r="E94">
            <v>44.68</v>
          </cell>
          <cell r="F94">
            <v>25.650000000000002</v>
          </cell>
          <cell r="G94">
            <v>38.28</v>
          </cell>
          <cell r="H94">
            <v>43.88</v>
          </cell>
          <cell r="I94">
            <v>57.900000000000006</v>
          </cell>
          <cell r="J94">
            <v>33.24</v>
          </cell>
          <cell r="K94">
            <v>1136.76</v>
          </cell>
          <cell r="L94">
            <v>2001.93</v>
          </cell>
          <cell r="M94">
            <v>565.77</v>
          </cell>
        </row>
        <row r="95">
          <cell r="A95">
            <v>91</v>
          </cell>
          <cell r="B95">
            <v>37229</v>
          </cell>
          <cell r="C95">
            <v>30.05</v>
          </cell>
          <cell r="D95">
            <v>39.93</v>
          </cell>
          <cell r="E95">
            <v>44.65</v>
          </cell>
          <cell r="F95">
            <v>26.5</v>
          </cell>
          <cell r="G95">
            <v>35.51</v>
          </cell>
          <cell r="H95">
            <v>41.730000000000004</v>
          </cell>
          <cell r="I95">
            <v>57.32</v>
          </cell>
          <cell r="J95">
            <v>31.35</v>
          </cell>
          <cell r="K95">
            <v>1144.8</v>
          </cell>
          <cell r="L95">
            <v>1963.1000000000001</v>
          </cell>
          <cell r="M95">
            <v>544.11</v>
          </cell>
        </row>
        <row r="96">
          <cell r="A96">
            <v>92</v>
          </cell>
          <cell r="B96">
            <v>37222</v>
          </cell>
          <cell r="C96">
            <v>30.03</v>
          </cell>
          <cell r="D96">
            <v>37.76</v>
          </cell>
          <cell r="E96">
            <v>42.81</v>
          </cell>
          <cell r="F96">
            <v>23.6</v>
          </cell>
          <cell r="G96">
            <v>36.74</v>
          </cell>
          <cell r="H96">
            <v>40.76</v>
          </cell>
          <cell r="I96">
            <v>54.01</v>
          </cell>
          <cell r="J96">
            <v>31.54</v>
          </cell>
          <cell r="K96">
            <v>1149.5</v>
          </cell>
          <cell r="L96">
            <v>1935.97</v>
          </cell>
          <cell r="M96">
            <v>536.66999999999996</v>
          </cell>
        </row>
        <row r="97">
          <cell r="A97">
            <v>93</v>
          </cell>
          <cell r="B97">
            <v>37215</v>
          </cell>
          <cell r="C97">
            <v>28.69</v>
          </cell>
          <cell r="D97">
            <v>36</v>
          </cell>
          <cell r="E97">
            <v>42</v>
          </cell>
          <cell r="F97">
            <v>21.63</v>
          </cell>
          <cell r="G97">
            <v>33.29</v>
          </cell>
          <cell r="H97">
            <v>37.1</v>
          </cell>
          <cell r="I97">
            <v>50.58</v>
          </cell>
          <cell r="J97">
            <v>30.66</v>
          </cell>
          <cell r="K97">
            <v>1142.6600000000001</v>
          </cell>
          <cell r="L97">
            <v>1880.51</v>
          </cell>
          <cell r="M97">
            <v>494.12</v>
          </cell>
        </row>
        <row r="98">
          <cell r="A98">
            <v>94</v>
          </cell>
          <cell r="B98">
            <v>37208</v>
          </cell>
          <cell r="C98">
            <v>31.3</v>
          </cell>
          <cell r="D98">
            <v>42.18</v>
          </cell>
          <cell r="E98">
            <v>47.42</v>
          </cell>
          <cell r="F98">
            <v>22.6</v>
          </cell>
          <cell r="G98">
            <v>40.020000000000003</v>
          </cell>
          <cell r="H98">
            <v>43.35</v>
          </cell>
          <cell r="I98">
            <v>55.81</v>
          </cell>
          <cell r="J98">
            <v>31.45</v>
          </cell>
          <cell r="K98">
            <v>1139.0899999999999</v>
          </cell>
          <cell r="L98">
            <v>1892.1100000000001</v>
          </cell>
          <cell r="M98">
            <v>541.29</v>
          </cell>
        </row>
        <row r="99">
          <cell r="A99">
            <v>95</v>
          </cell>
          <cell r="B99">
            <v>37201</v>
          </cell>
          <cell r="C99">
            <v>29.580000000000002</v>
          </cell>
          <cell r="D99">
            <v>43.38</v>
          </cell>
          <cell r="E99">
            <v>44.550000000000004</v>
          </cell>
          <cell r="F99">
            <v>23.09</v>
          </cell>
          <cell r="G99">
            <v>38.76</v>
          </cell>
          <cell r="H99">
            <v>44.02</v>
          </cell>
          <cell r="I99">
            <v>54.160000000000004</v>
          </cell>
          <cell r="J99">
            <v>30.1</v>
          </cell>
          <cell r="K99">
            <v>1118.8600000000001</v>
          </cell>
          <cell r="L99">
            <v>1835.08</v>
          </cell>
          <cell r="M99">
            <v>520.03</v>
          </cell>
        </row>
        <row r="100">
          <cell r="A100">
            <v>96</v>
          </cell>
          <cell r="B100">
            <v>37194</v>
          </cell>
          <cell r="C100">
            <v>23.66</v>
          </cell>
          <cell r="D100">
            <v>36.61</v>
          </cell>
          <cell r="E100">
            <v>35.700000000000003</v>
          </cell>
          <cell r="F100">
            <v>19.900000000000002</v>
          </cell>
          <cell r="G100">
            <v>32</v>
          </cell>
          <cell r="H100">
            <v>36.340000000000003</v>
          </cell>
          <cell r="I100">
            <v>43.160000000000004</v>
          </cell>
          <cell r="J100">
            <v>25</v>
          </cell>
          <cell r="K100">
            <v>1059.79</v>
          </cell>
          <cell r="L100">
            <v>1667.41</v>
          </cell>
          <cell r="M100">
            <v>429.68</v>
          </cell>
        </row>
        <row r="101">
          <cell r="A101">
            <v>97</v>
          </cell>
          <cell r="B101">
            <v>37187</v>
          </cell>
          <cell r="C101">
            <v>24.080000000000002</v>
          </cell>
          <cell r="D101">
            <v>34.840000000000003</v>
          </cell>
          <cell r="E101">
            <v>37.81</v>
          </cell>
          <cell r="F101">
            <v>20.100000000000001</v>
          </cell>
          <cell r="G101">
            <v>34.49</v>
          </cell>
          <cell r="H101">
            <v>38.33</v>
          </cell>
          <cell r="I101">
            <v>44.31</v>
          </cell>
          <cell r="J101">
            <v>27.09</v>
          </cell>
          <cell r="K101">
            <v>1084.78</v>
          </cell>
          <cell r="L101">
            <v>1704.44</v>
          </cell>
          <cell r="M101">
            <v>443.09000000000003</v>
          </cell>
        </row>
        <row r="102">
          <cell r="A102">
            <v>98</v>
          </cell>
          <cell r="B102">
            <v>37180</v>
          </cell>
          <cell r="C102">
            <v>25.700000000000003</v>
          </cell>
          <cell r="D102">
            <v>35.31</v>
          </cell>
          <cell r="E102">
            <v>42.07</v>
          </cell>
          <cell r="F102">
            <v>21.45</v>
          </cell>
          <cell r="G102">
            <v>33.94</v>
          </cell>
          <cell r="H102">
            <v>41.08</v>
          </cell>
          <cell r="I102">
            <v>46.160000000000004</v>
          </cell>
          <cell r="J102">
            <v>27.35</v>
          </cell>
          <cell r="K102">
            <v>1097.54</v>
          </cell>
          <cell r="L102">
            <v>1722.07</v>
          </cell>
          <cell r="M102">
            <v>462.73</v>
          </cell>
        </row>
        <row r="103">
          <cell r="A103">
            <v>99</v>
          </cell>
          <cell r="B103">
            <v>37173</v>
          </cell>
          <cell r="C103">
            <v>21.76</v>
          </cell>
          <cell r="D103">
            <v>30.6</v>
          </cell>
          <cell r="E103">
            <v>36.57</v>
          </cell>
          <cell r="F103">
            <v>18.350000000000001</v>
          </cell>
          <cell r="G103">
            <v>31.45</v>
          </cell>
          <cell r="H103">
            <v>35.69</v>
          </cell>
          <cell r="I103">
            <v>39.369999999999997</v>
          </cell>
          <cell r="J103">
            <v>23.63</v>
          </cell>
          <cell r="K103">
            <v>1056.75</v>
          </cell>
          <cell r="L103">
            <v>1570.19</v>
          </cell>
          <cell r="M103">
            <v>401.52</v>
          </cell>
        </row>
        <row r="104">
          <cell r="A104">
            <v>100</v>
          </cell>
          <cell r="B104">
            <v>37166</v>
          </cell>
          <cell r="C104">
            <v>18.150000000000002</v>
          </cell>
          <cell r="D104">
            <v>25.67</v>
          </cell>
          <cell r="E104">
            <v>32.14</v>
          </cell>
          <cell r="F104">
            <v>15.5</v>
          </cell>
          <cell r="G104">
            <v>25.490000000000002</v>
          </cell>
          <cell r="H104">
            <v>30.1</v>
          </cell>
          <cell r="I104">
            <v>33.4</v>
          </cell>
          <cell r="J104">
            <v>20.85</v>
          </cell>
          <cell r="K104">
            <v>1051.33</v>
          </cell>
          <cell r="L104">
            <v>1492.33</v>
          </cell>
          <cell r="M104">
            <v>354.63</v>
          </cell>
        </row>
        <row r="105">
          <cell r="A105">
            <v>101</v>
          </cell>
          <cell r="B105">
            <v>37159</v>
          </cell>
          <cell r="C105">
            <v>22.39</v>
          </cell>
          <cell r="D105">
            <v>29.78</v>
          </cell>
          <cell r="E105">
            <v>35.25</v>
          </cell>
          <cell r="F105">
            <v>15.4</v>
          </cell>
          <cell r="G105">
            <v>26.78</v>
          </cell>
          <cell r="H105">
            <v>34.67</v>
          </cell>
          <cell r="I105">
            <v>36.42</v>
          </cell>
          <cell r="J105">
            <v>24.95</v>
          </cell>
          <cell r="K105">
            <v>1012.27</v>
          </cell>
          <cell r="L105">
            <v>1501.64</v>
          </cell>
          <cell r="M105">
            <v>402.40000000000003</v>
          </cell>
        </row>
        <row r="106">
          <cell r="A106">
            <v>102</v>
          </cell>
          <cell r="B106">
            <v>37152</v>
          </cell>
          <cell r="C106">
            <v>22.75</v>
          </cell>
          <cell r="D106">
            <v>32.049999999999997</v>
          </cell>
          <cell r="E106">
            <v>34.78</v>
          </cell>
          <cell r="F106">
            <v>17.25</v>
          </cell>
          <cell r="G106">
            <v>28.400000000000002</v>
          </cell>
          <cell r="H106">
            <v>35.340000000000003</v>
          </cell>
          <cell r="I106">
            <v>35.800000000000004</v>
          </cell>
          <cell r="J106">
            <v>26.55</v>
          </cell>
          <cell r="K106">
            <v>1032.74</v>
          </cell>
          <cell r="L106">
            <v>1555.08</v>
          </cell>
          <cell r="M106">
            <v>435.17</v>
          </cell>
        </row>
        <row r="107">
          <cell r="A107">
            <v>103</v>
          </cell>
          <cell r="B107">
            <v>37145</v>
          </cell>
          <cell r="C107">
            <v>27.25</v>
          </cell>
          <cell r="D107">
            <v>36.71</v>
          </cell>
          <cell r="E107">
            <v>41.92</v>
          </cell>
          <cell r="F107">
            <v>19.900000000000002</v>
          </cell>
          <cell r="G107">
            <v>34.119999999999997</v>
          </cell>
          <cell r="H107">
            <v>39.75</v>
          </cell>
          <cell r="I107">
            <v>42.910000000000004</v>
          </cell>
          <cell r="J107">
            <v>31.05</v>
          </cell>
          <cell r="K107">
            <v>1092.54</v>
          </cell>
          <cell r="L107">
            <v>1695.38</v>
          </cell>
          <cell r="M107">
            <v>509.15000000000003</v>
          </cell>
        </row>
        <row r="108">
          <cell r="A108">
            <v>104</v>
          </cell>
          <cell r="B108">
            <v>37138</v>
          </cell>
          <cell r="C108">
            <v>31.53</v>
          </cell>
          <cell r="D108">
            <v>36.86</v>
          </cell>
          <cell r="E108">
            <v>45.300000000000004</v>
          </cell>
          <cell r="F108">
            <v>21.400000000000002</v>
          </cell>
          <cell r="G108">
            <v>35.57</v>
          </cell>
          <cell r="H108">
            <v>40.43</v>
          </cell>
          <cell r="I108">
            <v>44.25</v>
          </cell>
          <cell r="J108">
            <v>31.68</v>
          </cell>
          <cell r="K108">
            <v>1132.94</v>
          </cell>
          <cell r="L108">
            <v>1770.78</v>
          </cell>
          <cell r="M108">
            <v>543.66</v>
          </cell>
        </row>
        <row r="109">
          <cell r="A109">
            <v>105</v>
          </cell>
          <cell r="B109">
            <v>37131</v>
          </cell>
          <cell r="C109">
            <v>31.86</v>
          </cell>
          <cell r="D109">
            <v>37.910000000000004</v>
          </cell>
          <cell r="E109">
            <v>51.28</v>
          </cell>
          <cell r="F109">
            <v>22</v>
          </cell>
          <cell r="G109">
            <v>38.400000000000006</v>
          </cell>
          <cell r="H109">
            <v>40.619999999999997</v>
          </cell>
          <cell r="I109">
            <v>46.39</v>
          </cell>
          <cell r="J109">
            <v>33.56</v>
          </cell>
          <cell r="K109">
            <v>1161.51</v>
          </cell>
          <cell r="L109">
            <v>1864.98</v>
          </cell>
          <cell r="M109">
            <v>589.19000000000005</v>
          </cell>
        </row>
        <row r="110">
          <cell r="A110">
            <v>106</v>
          </cell>
          <cell r="B110">
            <v>36977</v>
          </cell>
          <cell r="C110">
            <v>32.5</v>
          </cell>
          <cell r="D110">
            <v>32</v>
          </cell>
          <cell r="E110">
            <v>40.28</v>
          </cell>
          <cell r="F110">
            <v>14.36</v>
          </cell>
          <cell r="G110">
            <v>20.875</v>
          </cell>
          <cell r="H110">
            <v>44.375</v>
          </cell>
          <cell r="I110">
            <v>46.550000000000004</v>
          </cell>
          <cell r="J110">
            <v>28.900000000000002</v>
          </cell>
          <cell r="K110">
            <v>1182.17</v>
          </cell>
          <cell r="L110">
            <v>1972.26</v>
          </cell>
          <cell r="M110">
            <v>622.29</v>
          </cell>
        </row>
        <row r="111">
          <cell r="A111">
            <v>107</v>
          </cell>
          <cell r="B111">
            <v>36970</v>
          </cell>
          <cell r="C111">
            <v>29.75</v>
          </cell>
          <cell r="D111">
            <v>27.375</v>
          </cell>
          <cell r="E111">
            <v>38.450000000000003</v>
          </cell>
          <cell r="F111">
            <v>13.57</v>
          </cell>
          <cell r="G111">
            <v>14</v>
          </cell>
          <cell r="H111">
            <v>41</v>
          </cell>
          <cell r="I111">
            <v>43.4375</v>
          </cell>
          <cell r="J111">
            <v>25.17</v>
          </cell>
          <cell r="K111">
            <v>1142.6200000000001</v>
          </cell>
          <cell r="L111">
            <v>1857.44</v>
          </cell>
          <cell r="M111">
            <v>542.04999999999995</v>
          </cell>
        </row>
        <row r="112">
          <cell r="A112">
            <v>108</v>
          </cell>
          <cell r="B112">
            <v>36963</v>
          </cell>
          <cell r="C112">
            <v>28.25</v>
          </cell>
          <cell r="D112">
            <v>25.671875</v>
          </cell>
          <cell r="E112">
            <v>40.14</v>
          </cell>
          <cell r="F112">
            <v>14.99</v>
          </cell>
          <cell r="G112">
            <v>16.5625</v>
          </cell>
          <cell r="H112">
            <v>46.25</v>
          </cell>
          <cell r="I112">
            <v>49.375</v>
          </cell>
          <cell r="J112">
            <v>24.85</v>
          </cell>
          <cell r="K112">
            <v>1197.6600000000001</v>
          </cell>
          <cell r="L112">
            <v>2014.78</v>
          </cell>
          <cell r="M112">
            <v>612.51</v>
          </cell>
        </row>
        <row r="113">
          <cell r="A113">
            <v>109</v>
          </cell>
          <cell r="B113">
            <v>36956</v>
          </cell>
          <cell r="C113">
            <v>32.3125</v>
          </cell>
          <cell r="D113">
            <v>28.875</v>
          </cell>
          <cell r="E113">
            <v>44.5</v>
          </cell>
          <cell r="F113">
            <v>16.45</v>
          </cell>
          <cell r="G113">
            <v>20.25</v>
          </cell>
          <cell r="H113">
            <v>47.9375</v>
          </cell>
          <cell r="I113">
            <v>55.9375</v>
          </cell>
          <cell r="J113">
            <v>25.09</v>
          </cell>
          <cell r="K113">
            <v>1253.8000000000002</v>
          </cell>
          <cell r="L113">
            <v>2204.4299999999998</v>
          </cell>
          <cell r="M113">
            <v>646.26</v>
          </cell>
        </row>
        <row r="114">
          <cell r="A114">
            <v>110</v>
          </cell>
          <cell r="B114">
            <v>36949</v>
          </cell>
          <cell r="C114">
            <v>30.0625</v>
          </cell>
          <cell r="D114">
            <v>26.0625</v>
          </cell>
          <cell r="E114">
            <v>40.25</v>
          </cell>
          <cell r="F114">
            <v>15.16</v>
          </cell>
          <cell r="G114">
            <v>19.5</v>
          </cell>
          <cell r="H114">
            <v>43.6875</v>
          </cell>
          <cell r="I114">
            <v>48.1875</v>
          </cell>
          <cell r="J114">
            <v>21.45</v>
          </cell>
          <cell r="K114">
            <v>1257.94</v>
          </cell>
          <cell r="L114">
            <v>2207.8200000000002</v>
          </cell>
          <cell r="M114">
            <v>569.22</v>
          </cell>
        </row>
        <row r="115">
          <cell r="A115">
            <v>111</v>
          </cell>
          <cell r="B115">
            <v>36942</v>
          </cell>
          <cell r="C115">
            <v>35.5625</v>
          </cell>
          <cell r="D115">
            <v>25.625</v>
          </cell>
          <cell r="E115">
            <v>44.95</v>
          </cell>
          <cell r="F115">
            <v>15.530000000000001</v>
          </cell>
          <cell r="G115">
            <v>17.75</v>
          </cell>
          <cell r="H115">
            <v>53.5625</v>
          </cell>
          <cell r="I115">
            <v>56.0625</v>
          </cell>
          <cell r="J115">
            <v>22.200000000000003</v>
          </cell>
          <cell r="K115">
            <v>1278.94</v>
          </cell>
          <cell r="L115">
            <v>2318.35</v>
          </cell>
          <cell r="M115">
            <v>612.11</v>
          </cell>
        </row>
        <row r="116">
          <cell r="A116">
            <v>112</v>
          </cell>
          <cell r="B116">
            <v>36935</v>
          </cell>
          <cell r="C116">
            <v>36.4375</v>
          </cell>
          <cell r="D116">
            <v>27.5</v>
          </cell>
          <cell r="E116">
            <v>47.51</v>
          </cell>
          <cell r="F116">
            <v>15.19</v>
          </cell>
          <cell r="G116">
            <v>20.125</v>
          </cell>
          <cell r="H116">
            <v>56.0625</v>
          </cell>
          <cell r="I116">
            <v>58</v>
          </cell>
          <cell r="J116">
            <v>23.55</v>
          </cell>
          <cell r="K116">
            <v>1318.8000000000002</v>
          </cell>
          <cell r="L116">
            <v>2427.7200000000003</v>
          </cell>
          <cell r="M116">
            <v>628.89</v>
          </cell>
        </row>
        <row r="117">
          <cell r="A117">
            <v>113</v>
          </cell>
          <cell r="B117">
            <v>36928</v>
          </cell>
          <cell r="C117">
            <v>39.9375</v>
          </cell>
          <cell r="D117">
            <v>30</v>
          </cell>
          <cell r="E117">
            <v>52.44</v>
          </cell>
          <cell r="F117">
            <v>16.420000000000002</v>
          </cell>
          <cell r="G117">
            <v>23.25</v>
          </cell>
          <cell r="H117">
            <v>57.6875</v>
          </cell>
          <cell r="I117">
            <v>57.9375</v>
          </cell>
          <cell r="J117">
            <v>23.91</v>
          </cell>
          <cell r="K117">
            <v>1352.26</v>
          </cell>
          <cell r="L117">
            <v>2664.4900000000002</v>
          </cell>
          <cell r="M117">
            <v>663.09</v>
          </cell>
        </row>
        <row r="118">
          <cell r="A118">
            <v>114</v>
          </cell>
          <cell r="B118">
            <v>36921</v>
          </cell>
          <cell r="C118">
            <v>44.4375</v>
          </cell>
          <cell r="D118">
            <v>28.25</v>
          </cell>
          <cell r="E118">
            <v>60.410000000000004</v>
          </cell>
          <cell r="F118">
            <v>18.240000000000002</v>
          </cell>
          <cell r="G118">
            <v>31.5625</v>
          </cell>
          <cell r="H118">
            <v>62.8125</v>
          </cell>
          <cell r="I118">
            <v>58.125</v>
          </cell>
          <cell r="J118">
            <v>28.01</v>
          </cell>
          <cell r="K118">
            <v>1373.73</v>
          </cell>
          <cell r="L118">
            <v>2838.35</v>
          </cell>
          <cell r="M118">
            <v>728.57</v>
          </cell>
        </row>
        <row r="119">
          <cell r="A119">
            <v>115</v>
          </cell>
          <cell r="B119">
            <v>36914</v>
          </cell>
          <cell r="C119">
            <v>48.1875</v>
          </cell>
          <cell r="D119">
            <v>29.4375</v>
          </cell>
          <cell r="E119">
            <v>56.3125</v>
          </cell>
          <cell r="F119">
            <v>17.5</v>
          </cell>
          <cell r="G119">
            <v>32</v>
          </cell>
          <cell r="H119">
            <v>65.0625</v>
          </cell>
          <cell r="I119">
            <v>68.375</v>
          </cell>
          <cell r="J119">
            <v>28.1875</v>
          </cell>
          <cell r="K119">
            <v>1360.4</v>
          </cell>
          <cell r="L119">
            <v>2840.39</v>
          </cell>
          <cell r="M119">
            <v>711.71</v>
          </cell>
        </row>
        <row r="120">
          <cell r="A120">
            <v>116</v>
          </cell>
          <cell r="B120">
            <v>36907</v>
          </cell>
          <cell r="C120">
            <v>42.1875</v>
          </cell>
          <cell r="D120">
            <v>26.125</v>
          </cell>
          <cell r="E120">
            <v>52.5625</v>
          </cell>
          <cell r="F120">
            <v>15.8125</v>
          </cell>
          <cell r="G120">
            <v>26.9375</v>
          </cell>
          <cell r="H120">
            <v>52.9375</v>
          </cell>
          <cell r="I120">
            <v>57.5625</v>
          </cell>
          <cell r="J120">
            <v>25.25</v>
          </cell>
          <cell r="K120">
            <v>1326.65</v>
          </cell>
          <cell r="L120">
            <v>2618.5500000000002</v>
          </cell>
          <cell r="M120">
            <v>637.40000000000009</v>
          </cell>
        </row>
        <row r="121">
          <cell r="A121">
            <v>117</v>
          </cell>
          <cell r="B121">
            <v>36900</v>
          </cell>
          <cell r="C121">
            <v>38.4375</v>
          </cell>
          <cell r="D121">
            <v>23.125</v>
          </cell>
          <cell r="E121">
            <v>45.875</v>
          </cell>
          <cell r="F121">
            <v>15.25</v>
          </cell>
          <cell r="G121">
            <v>26.9375</v>
          </cell>
          <cell r="H121">
            <v>47.875</v>
          </cell>
          <cell r="I121">
            <v>52.0625</v>
          </cell>
          <cell r="J121">
            <v>24.5625</v>
          </cell>
          <cell r="K121">
            <v>1300.8000000000002</v>
          </cell>
          <cell r="L121">
            <v>2441.3000000000002</v>
          </cell>
          <cell r="M121">
            <v>630.98</v>
          </cell>
        </row>
        <row r="122">
          <cell r="A122">
            <v>118</v>
          </cell>
          <cell r="B122">
            <v>36893</v>
          </cell>
          <cell r="C122">
            <v>33</v>
          </cell>
          <cell r="D122">
            <v>20.5</v>
          </cell>
          <cell r="E122">
            <v>47</v>
          </cell>
          <cell r="F122">
            <v>13.25</v>
          </cell>
          <cell r="G122">
            <v>21.25</v>
          </cell>
          <cell r="H122">
            <v>45.375</v>
          </cell>
          <cell r="I122">
            <v>46.375</v>
          </cell>
          <cell r="J122">
            <v>20.0625</v>
          </cell>
          <cell r="K122">
            <v>1283.27</v>
          </cell>
          <cell r="L122">
            <v>2291.86</v>
          </cell>
          <cell r="M122">
            <v>570.34</v>
          </cell>
        </row>
        <row r="123">
          <cell r="A123">
            <v>119</v>
          </cell>
          <cell r="B123">
            <v>36886</v>
          </cell>
          <cell r="C123">
            <v>33.4375</v>
          </cell>
          <cell r="D123">
            <v>17.75</v>
          </cell>
          <cell r="E123">
            <v>51.625</v>
          </cell>
          <cell r="F123">
            <v>12</v>
          </cell>
          <cell r="G123">
            <v>21</v>
          </cell>
          <cell r="H123">
            <v>50.0625</v>
          </cell>
          <cell r="I123">
            <v>51.0625</v>
          </cell>
          <cell r="J123">
            <v>20.3125</v>
          </cell>
          <cell r="K123">
            <v>1315.19</v>
          </cell>
          <cell r="L123">
            <v>2493.52</v>
          </cell>
          <cell r="M123">
            <v>578.88</v>
          </cell>
        </row>
        <row r="124">
          <cell r="A124">
            <v>120</v>
          </cell>
          <cell r="B124">
            <v>36879</v>
          </cell>
          <cell r="K124">
            <v>1249.44</v>
          </cell>
          <cell r="L124">
            <v>2085.58</v>
          </cell>
          <cell r="M124">
            <v>603.55000000000007</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EW)"/>
      <sheetName val="SCSC Preview"/>
      <sheetName val="Marketing Sheet"/>
      <sheetName val="%%TOBA_CACHE%%"/>
      <sheetName val="VAR"/>
      <sheetName val="Income Statement"/>
      <sheetName val="BS"/>
      <sheetName val="CFS"/>
      <sheetName val="Guidance Table"/>
      <sheetName val="Mktg"/>
      <sheetName val="Notes"/>
      <sheetName val="Sheet1"/>
      <sheetName val="Param (Old)"/>
      <sheetName val="PrevRev (Old)"/>
      <sheetName val="AnnIs (Old)"/>
      <sheetName val="Trans (Old)"/>
      <sheetName val="Mix (Old)"/>
      <sheetName val="ROIC (Old)"/>
      <sheetName val="Segment Breakdown (Old)"/>
      <sheetName val="Figure 1 (Old)"/>
      <sheetName val="SBL (Old)"/>
      <sheetName val="Icome Statement"/>
      <sheetName val="Iome Statement"/>
      <sheetName val="Ime Statement"/>
      <sheetName val="Ie Statement"/>
      <sheetName val="I Statement"/>
      <sheetName val="IStatement"/>
      <sheetName val="ISatement"/>
      <sheetName val="IStement"/>
      <sheetName val="ISement"/>
      <sheetName val="ISment"/>
      <sheetName val="ISent"/>
      <sheetName val="ISnt"/>
      <sheetName val="ISt"/>
      <sheetName val="IS"/>
    </sheetNames>
    <sheetDataSet>
      <sheetData sheetId="0"/>
      <sheetData sheetId="1"/>
      <sheetData sheetId="2"/>
      <sheetData sheetId="3"/>
      <sheetData sheetId="4"/>
      <sheetData sheetId="5"/>
      <sheetData sheetId="6">
        <row r="199">
          <cell r="G199" t="str">
            <v>Average equity</v>
          </cell>
        </row>
      </sheetData>
      <sheetData sheetId="7"/>
      <sheetData sheetId="8"/>
      <sheetData sheetId="9"/>
      <sheetData sheetId="10"/>
      <sheetData sheetId="11"/>
      <sheetData sheetId="12">
        <row r="2">
          <cell r="C2" t="str">
            <v>Q</v>
          </cell>
        </row>
        <row r="6">
          <cell r="C6" t="str">
            <v>4Q</v>
          </cell>
        </row>
        <row r="9">
          <cell r="C9">
            <v>91.25</v>
          </cell>
        </row>
        <row r="10">
          <cell r="C10">
            <v>365</v>
          </cell>
        </row>
        <row r="18">
          <cell r="C18">
            <v>-1E-3</v>
          </cell>
        </row>
        <row r="19">
          <cell r="C19">
            <v>-1E-3</v>
          </cell>
        </row>
        <row r="20">
          <cell r="C20">
            <v>150</v>
          </cell>
        </row>
        <row r="21">
          <cell r="C21">
            <v>10</v>
          </cell>
        </row>
        <row r="22">
          <cell r="C22">
            <v>-10</v>
          </cell>
        </row>
        <row r="23">
          <cell r="C23">
            <v>0.38</v>
          </cell>
        </row>
        <row r="24">
          <cell r="C24">
            <v>1</v>
          </cell>
        </row>
        <row r="26">
          <cell r="C26">
            <v>0</v>
          </cell>
        </row>
        <row r="27">
          <cell r="C27">
            <v>0</v>
          </cell>
        </row>
        <row r="28">
          <cell r="C28">
            <v>0</v>
          </cell>
        </row>
        <row r="30">
          <cell r="C30">
            <v>1800</v>
          </cell>
        </row>
        <row r="31">
          <cell r="C31">
            <v>1250</v>
          </cell>
        </row>
        <row r="32">
          <cell r="C32">
            <v>550</v>
          </cell>
        </row>
        <row r="34">
          <cell r="C34">
            <v>9.1666666666666661</v>
          </cell>
        </row>
        <row r="36">
          <cell r="C36">
            <v>20.643999999999998</v>
          </cell>
        </row>
        <row r="38">
          <cell r="C38">
            <v>650</v>
          </cell>
        </row>
        <row r="39">
          <cell r="C39">
            <v>1000</v>
          </cell>
        </row>
        <row r="40">
          <cell r="C40">
            <v>400</v>
          </cell>
        </row>
        <row r="44">
          <cell r="C44">
            <v>0</v>
          </cell>
        </row>
        <row r="46">
          <cell r="C46">
            <v>50</v>
          </cell>
        </row>
        <row r="47">
          <cell r="C47">
            <v>25</v>
          </cell>
        </row>
        <row r="48">
          <cell r="C48">
            <v>0</v>
          </cell>
        </row>
        <row r="49">
          <cell r="C49">
            <v>50</v>
          </cell>
        </row>
        <row r="50">
          <cell r="C50">
            <v>25</v>
          </cell>
        </row>
        <row r="51">
          <cell r="C51">
            <v>0</v>
          </cell>
        </row>
        <row r="88">
          <cell r="C88">
            <v>0.05</v>
          </cell>
        </row>
        <row r="89">
          <cell r="C89">
            <v>0.09</v>
          </cell>
        </row>
      </sheetData>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m"/>
      <sheetName val="covenants"/>
      <sheetName val="Reconcile cov"/>
      <sheetName val="Acquisitions"/>
      <sheetName val="Customers"/>
      <sheetName val="Qtrly - Annual Metrics"/>
      <sheetName val="Qrtly 6 Blocker"/>
      <sheetName val="Quality of Earnings"/>
      <sheetName val="Annual 6 Blocker"/>
      <sheetName val="SANM&amp;SCI"/>
      <sheetName val="SANM&amp;SCI Annual 6 Blocker"/>
      <sheetName val="SANM&amp;SCI Qtrly 6 Blocker"/>
      <sheetName val="Qtrly - Annual Metrics SCI"/>
      <sheetName val="SANM ROIC-EVA"/>
      <sheetName val="Qrt Variance"/>
      <sheetName val="SCI model"/>
      <sheetName val="SCI program wins"/>
      <sheetName val="Facilities-new"/>
      <sheetName val="Facilities-old"/>
      <sheetName val="F1Q02 segment"/>
      <sheetName val="Profit Maps"/>
      <sheetName val="Old model sections"/>
      <sheetName val="NY UPLOAD"/>
      <sheetName val="NY UPLOAD shadow"/>
      <sheetName val="MainCode"/>
    </sheetNames>
    <sheetDataSet>
      <sheetData sheetId="0" refreshError="1">
        <row r="4">
          <cell r="A4" t="str">
            <v xml:space="preserve">Income Statement Comparisons </v>
          </cell>
        </row>
        <row r="5">
          <cell r="A5" t="str">
            <v>($ Millions Except EPS)</v>
          </cell>
          <cell r="ER5" t="str">
            <v xml:space="preserve"> </v>
          </cell>
        </row>
        <row r="6">
          <cell r="CH6" t="str">
            <v>_F1Q99</v>
          </cell>
          <cell r="CI6" t="str">
            <v>_f2q99</v>
          </cell>
          <cell r="CJ6" t="str">
            <v>_f3q99</v>
          </cell>
          <cell r="CK6" t="str">
            <v>_f4q99</v>
          </cell>
          <cell r="CM6" t="str">
            <v>_F1Q00</v>
          </cell>
          <cell r="CN6" t="str">
            <v>_f2q00</v>
          </cell>
          <cell r="CO6" t="str">
            <v>_f3q00</v>
          </cell>
          <cell r="CP6" t="str">
            <v>_f4q00</v>
          </cell>
          <cell r="CR6" t="str">
            <v>_F1Q01</v>
          </cell>
          <cell r="CS6" t="str">
            <v>_f2q01</v>
          </cell>
          <cell r="CT6" t="str">
            <v>_f3q01</v>
          </cell>
          <cell r="CU6" t="str">
            <v>_f4q01</v>
          </cell>
          <cell r="DB6" t="str">
            <v>_F1Q02</v>
          </cell>
          <cell r="DC6" t="str">
            <v>_f2q02</v>
          </cell>
          <cell r="DD6" t="str">
            <v>_f3q02</v>
          </cell>
          <cell r="DE6" t="str">
            <v>_f4q02</v>
          </cell>
          <cell r="DG6" t="str">
            <v>_F1Q03</v>
          </cell>
          <cell r="DH6" t="str">
            <v>_f2q03</v>
          </cell>
          <cell r="DI6" t="str">
            <v>_f3q03</v>
          </cell>
          <cell r="DJ6" t="str">
            <v>_f4q03</v>
          </cell>
          <cell r="DL6" t="str">
            <v>_F1Q04</v>
          </cell>
          <cell r="DM6" t="str">
            <v>_f2q04</v>
          </cell>
          <cell r="DN6" t="str">
            <v>_f3q04</v>
          </cell>
          <cell r="DO6" t="str">
            <v>_f4q04</v>
          </cell>
          <cell r="ER6" t="str">
            <v>_fy00</v>
          </cell>
          <cell r="ES6" t="str">
            <v>_fy01</v>
          </cell>
          <cell r="EU6" t="str">
            <v>_fy02</v>
          </cell>
          <cell r="EV6" t="str">
            <v>_fy03</v>
          </cell>
          <cell r="EW6" t="str">
            <v>_fy04</v>
          </cell>
        </row>
        <row r="7">
          <cell r="AD7" t="str">
            <v>F1997</v>
          </cell>
          <cell r="AN7" t="str">
            <v>F1998</v>
          </cell>
          <cell r="AS7" t="str">
            <v>F1998</v>
          </cell>
          <cell r="BG7" t="str">
            <v>F1999</v>
          </cell>
          <cell r="BL7" t="str">
            <v>F2000E</v>
          </cell>
          <cell r="BQ7" t="str">
            <v>F1998</v>
          </cell>
          <cell r="BV7" t="str">
            <v>F1999</v>
          </cell>
          <cell r="CA7" t="str">
            <v>F2000</v>
          </cell>
          <cell r="CF7" t="str">
            <v>Sanmina Only</v>
          </cell>
          <cell r="CH7" t="str">
            <v>F1999</v>
          </cell>
          <cell r="CM7" t="str">
            <v>F2000</v>
          </cell>
          <cell r="CW7" t="str">
            <v>F2001</v>
          </cell>
          <cell r="DX7" t="str">
            <v xml:space="preserve"> </v>
          </cell>
          <cell r="EA7" t="str">
            <v>Proforma</v>
          </cell>
          <cell r="EB7" t="str">
            <v>Proforma for Altron</v>
          </cell>
          <cell r="EE7" t="str">
            <v xml:space="preserve"> </v>
          </cell>
          <cell r="EN7" t="str">
            <v>SANM</v>
          </cell>
          <cell r="ER7" t="str">
            <v xml:space="preserve"> </v>
          </cell>
          <cell r="ET7" t="str">
            <v>Proforma</v>
          </cell>
        </row>
        <row r="8">
          <cell r="D8" t="str">
            <v>F1993</v>
          </cell>
          <cell r="I8" t="str">
            <v>F1994</v>
          </cell>
          <cell r="N8" t="str">
            <v>F1995</v>
          </cell>
          <cell r="S8" t="str">
            <v>F1996</v>
          </cell>
          <cell r="X8" t="str">
            <v>F1997</v>
          </cell>
          <cell r="AD8" t="str">
            <v xml:space="preserve"> Proforma for Elexsys Acquisition</v>
          </cell>
          <cell r="AH8" t="str">
            <v>F1998</v>
          </cell>
          <cell r="AM8" t="str">
            <v xml:space="preserve"> Pro forma for Altron</v>
          </cell>
          <cell r="AR8" t="str">
            <v xml:space="preserve"> Pro forma for Manu-Tronics / Altron</v>
          </cell>
          <cell r="AW8" t="str">
            <v>F1999</v>
          </cell>
          <cell r="BB8" t="str">
            <v>F2000E</v>
          </cell>
          <cell r="BG8" t="str">
            <v xml:space="preserve"> Pro forma for Hadco</v>
          </cell>
          <cell r="BL8" t="str">
            <v xml:space="preserve"> Pro forma for Hadco</v>
          </cell>
          <cell r="BQ8" t="str">
            <v xml:space="preserve"> Pro forma for Hadco / Essex</v>
          </cell>
          <cell r="BV8" t="str">
            <v xml:space="preserve"> Pro forma for Hadco / Essex</v>
          </cell>
          <cell r="CA8" t="str">
            <v xml:space="preserve"> Pro forma for Hadco / Essex</v>
          </cell>
          <cell r="CF8" t="str">
            <v>F2001</v>
          </cell>
          <cell r="CH8" t="str">
            <v xml:space="preserve"> Pro forma for Segerstrom</v>
          </cell>
          <cell r="CM8" t="str">
            <v xml:space="preserve"> Pro forma for Segerstrom</v>
          </cell>
          <cell r="CR8" t="str">
            <v>F2001</v>
          </cell>
          <cell r="CW8" t="str">
            <v xml:space="preserve"> Pro forma for SCI Systems</v>
          </cell>
          <cell r="DC8" t="str">
            <v>F2002E</v>
          </cell>
          <cell r="DH8" t="str">
            <v>F2003E</v>
          </cell>
          <cell r="DM8" t="str">
            <v>F2004E</v>
          </cell>
          <cell r="DT8" t="str">
            <v xml:space="preserve"> </v>
          </cell>
          <cell r="DU8" t="str">
            <v xml:space="preserve"> </v>
          </cell>
          <cell r="DX8" t="str">
            <v>Proforma for Elexsys</v>
          </cell>
          <cell r="DZ8" t="str">
            <v xml:space="preserve"> </v>
          </cell>
          <cell r="EA8" t="str">
            <v>Altron</v>
          </cell>
          <cell r="EB8" t="str">
            <v xml:space="preserve">   and Manu-Tronics</v>
          </cell>
          <cell r="EE8" t="str">
            <v xml:space="preserve">                SANM ONLY</v>
          </cell>
          <cell r="EH8" t="str">
            <v xml:space="preserve"> Proforma for Hadco</v>
          </cell>
          <cell r="EJ8" t="str">
            <v xml:space="preserve"> </v>
          </cell>
          <cell r="EK8" t="str">
            <v>Proforma for Hadco / Essex</v>
          </cell>
          <cell r="EN8" t="str">
            <v>Only</v>
          </cell>
          <cell r="EP8" t="str">
            <v>Proforma for Segerstrom</v>
          </cell>
          <cell r="ET8" t="str">
            <v>for SCI</v>
          </cell>
          <cell r="FA8" t="str">
            <v>Unrestated</v>
          </cell>
          <cell r="FB8" t="str">
            <v>Proforma</v>
          </cell>
        </row>
        <row r="9">
          <cell r="D9">
            <v>33939</v>
          </cell>
          <cell r="E9">
            <v>34029</v>
          </cell>
          <cell r="F9" t="str">
            <v xml:space="preserve"> 6/93</v>
          </cell>
          <cell r="G9">
            <v>34213</v>
          </cell>
          <cell r="I9">
            <v>34304</v>
          </cell>
          <cell r="J9">
            <v>34394</v>
          </cell>
          <cell r="K9">
            <v>34486</v>
          </cell>
          <cell r="L9">
            <v>34578</v>
          </cell>
          <cell r="N9">
            <v>34669</v>
          </cell>
          <cell r="O9">
            <v>34759</v>
          </cell>
          <cell r="P9">
            <v>34851</v>
          </cell>
          <cell r="Q9">
            <v>34943</v>
          </cell>
          <cell r="S9">
            <v>35034</v>
          </cell>
          <cell r="T9">
            <v>35125</v>
          </cell>
          <cell r="U9">
            <v>35217</v>
          </cell>
          <cell r="V9">
            <v>35309</v>
          </cell>
          <cell r="X9">
            <v>35400</v>
          </cell>
          <cell r="Y9">
            <v>35490</v>
          </cell>
          <cell r="Z9">
            <v>35582</v>
          </cell>
          <cell r="AA9">
            <v>35674</v>
          </cell>
          <cell r="AC9">
            <v>35400</v>
          </cell>
          <cell r="AD9" t="str">
            <v xml:space="preserve">  3/97</v>
          </cell>
          <cell r="AE9" t="str">
            <v xml:space="preserve"> 6/97</v>
          </cell>
          <cell r="AF9" t="str">
            <v xml:space="preserve"> 9/97</v>
          </cell>
          <cell r="AH9" t="str">
            <v xml:space="preserve"> 12/97</v>
          </cell>
          <cell r="AI9" t="str">
            <v xml:space="preserve"> 3/98</v>
          </cell>
          <cell r="AJ9" t="str">
            <v xml:space="preserve"> 6/98</v>
          </cell>
          <cell r="AK9" t="str">
            <v xml:space="preserve"> 9/98</v>
          </cell>
          <cell r="AM9" t="str">
            <v xml:space="preserve"> 12/97</v>
          </cell>
          <cell r="AN9" t="str">
            <v xml:space="preserve"> 3/98</v>
          </cell>
          <cell r="AO9" t="str">
            <v xml:space="preserve"> 6/98</v>
          </cell>
          <cell r="AP9" t="str">
            <v xml:space="preserve"> 9/98</v>
          </cell>
          <cell r="AR9" t="str">
            <v xml:space="preserve"> 12/97</v>
          </cell>
          <cell r="AS9" t="str">
            <v xml:space="preserve"> 3/98</v>
          </cell>
          <cell r="AT9" t="str">
            <v xml:space="preserve"> 6/98</v>
          </cell>
          <cell r="AU9" t="str">
            <v xml:space="preserve"> 9/98</v>
          </cell>
          <cell r="AW9" t="str">
            <v xml:space="preserve"> 12/98</v>
          </cell>
          <cell r="AX9" t="str">
            <v xml:space="preserve"> 3/99</v>
          </cell>
          <cell r="AY9" t="str">
            <v xml:space="preserve"> 6/99</v>
          </cell>
          <cell r="AZ9" t="str">
            <v xml:space="preserve"> 9/99</v>
          </cell>
          <cell r="BB9" t="str">
            <v xml:space="preserve"> 12/99</v>
          </cell>
          <cell r="BC9" t="str">
            <v xml:space="preserve"> 3/00</v>
          </cell>
          <cell r="BD9" t="str">
            <v xml:space="preserve"> 6/00E</v>
          </cell>
          <cell r="BE9" t="str">
            <v xml:space="preserve"> 9/00E</v>
          </cell>
          <cell r="BG9" t="str">
            <v xml:space="preserve"> 12/98</v>
          </cell>
          <cell r="BH9" t="str">
            <v xml:space="preserve"> 3/99</v>
          </cell>
          <cell r="BI9" t="str">
            <v xml:space="preserve"> 6/99</v>
          </cell>
          <cell r="BJ9" t="str">
            <v xml:space="preserve"> 9/99</v>
          </cell>
          <cell r="BL9" t="str">
            <v xml:space="preserve"> 12/99</v>
          </cell>
          <cell r="BM9" t="str">
            <v xml:space="preserve"> 3/00</v>
          </cell>
          <cell r="BN9" t="str">
            <v xml:space="preserve"> 6/00E</v>
          </cell>
          <cell r="BO9" t="str">
            <v xml:space="preserve"> 9/00E</v>
          </cell>
          <cell r="BQ9" t="str">
            <v xml:space="preserve"> 12/97</v>
          </cell>
          <cell r="BR9" t="str">
            <v xml:space="preserve"> 3/98</v>
          </cell>
          <cell r="BS9" t="str">
            <v xml:space="preserve"> 6/98</v>
          </cell>
          <cell r="BT9" t="str">
            <v xml:space="preserve"> 9/98</v>
          </cell>
          <cell r="BV9" t="str">
            <v xml:space="preserve"> 12/98</v>
          </cell>
          <cell r="BW9" t="str">
            <v xml:space="preserve"> 3/99</v>
          </cell>
          <cell r="BX9" t="str">
            <v xml:space="preserve"> 6/99</v>
          </cell>
          <cell r="BY9" t="str">
            <v xml:space="preserve"> 9/99</v>
          </cell>
          <cell r="CA9" t="str">
            <v xml:space="preserve"> 12/99</v>
          </cell>
          <cell r="CB9" t="str">
            <v xml:space="preserve"> 3/00</v>
          </cell>
          <cell r="CC9" t="str">
            <v xml:space="preserve"> 6/00</v>
          </cell>
          <cell r="CD9" t="str">
            <v xml:space="preserve"> 9/00</v>
          </cell>
          <cell r="CF9" t="str">
            <v xml:space="preserve"> 12/00</v>
          </cell>
          <cell r="CH9" t="str">
            <v xml:space="preserve"> 12/98</v>
          </cell>
          <cell r="CI9" t="str">
            <v xml:space="preserve"> 3/99</v>
          </cell>
          <cell r="CJ9" t="str">
            <v xml:space="preserve"> 6/99</v>
          </cell>
          <cell r="CK9" t="str">
            <v xml:space="preserve"> 9/99</v>
          </cell>
          <cell r="CM9" t="str">
            <v xml:space="preserve"> 12/99</v>
          </cell>
          <cell r="CN9" t="str">
            <v xml:space="preserve"> 3/00</v>
          </cell>
          <cell r="CO9" t="str">
            <v xml:space="preserve"> 6/00</v>
          </cell>
          <cell r="CP9" t="str">
            <v xml:space="preserve"> 9/00</v>
          </cell>
          <cell r="CR9">
            <v>36861</v>
          </cell>
          <cell r="CS9" t="str">
            <v xml:space="preserve"> 3/01</v>
          </cell>
          <cell r="CT9" t="str">
            <v xml:space="preserve"> 6/01</v>
          </cell>
          <cell r="CU9" t="str">
            <v xml:space="preserve"> 9/01</v>
          </cell>
          <cell r="CW9">
            <v>36861</v>
          </cell>
          <cell r="CX9" t="str">
            <v xml:space="preserve"> 3/01</v>
          </cell>
          <cell r="CY9" t="str">
            <v xml:space="preserve"> 6/01</v>
          </cell>
          <cell r="CZ9" t="str">
            <v xml:space="preserve"> 9/01</v>
          </cell>
          <cell r="DB9" t="str">
            <v xml:space="preserve"> 12/01</v>
          </cell>
          <cell r="DC9" t="str">
            <v xml:space="preserve"> 3/02</v>
          </cell>
          <cell r="DD9" t="str">
            <v xml:space="preserve"> 6/02</v>
          </cell>
          <cell r="DE9" t="str">
            <v xml:space="preserve"> 9/02E</v>
          </cell>
          <cell r="DG9" t="str">
            <v xml:space="preserve"> 12/02E</v>
          </cell>
          <cell r="DH9" t="str">
            <v xml:space="preserve"> 3/03E</v>
          </cell>
          <cell r="DI9" t="str">
            <v xml:space="preserve"> 6/03E</v>
          </cell>
          <cell r="DJ9" t="str">
            <v xml:space="preserve"> 9/03E</v>
          </cell>
          <cell r="DL9" t="str">
            <v xml:space="preserve"> 12/03E</v>
          </cell>
          <cell r="DM9" t="str">
            <v xml:space="preserve"> 3/04E</v>
          </cell>
          <cell r="DN9" t="str">
            <v xml:space="preserve"> 6/04E</v>
          </cell>
          <cell r="DO9" t="str">
            <v xml:space="preserve"> 9/04E</v>
          </cell>
          <cell r="DQ9" t="str">
            <v>F1991</v>
          </cell>
          <cell r="DR9" t="str">
            <v>F1992</v>
          </cell>
          <cell r="DS9" t="str">
            <v>F1993</v>
          </cell>
          <cell r="DT9" t="str">
            <v>F1994</v>
          </cell>
          <cell r="DU9" t="str">
            <v>F1995</v>
          </cell>
          <cell r="DV9" t="str">
            <v>F1996</v>
          </cell>
          <cell r="DW9" t="str">
            <v>F1997</v>
          </cell>
          <cell r="DX9" t="str">
            <v>F1996</v>
          </cell>
          <cell r="DY9" t="str">
            <v>F1997</v>
          </cell>
          <cell r="DZ9" t="str">
            <v>F1998</v>
          </cell>
          <cell r="EA9" t="str">
            <v>F1998</v>
          </cell>
          <cell r="EB9" t="str">
            <v>F1997</v>
          </cell>
          <cell r="EC9" t="str">
            <v>F1998</v>
          </cell>
          <cell r="EE9" t="str">
            <v>F1999</v>
          </cell>
          <cell r="EF9" t="str">
            <v>F2000E</v>
          </cell>
          <cell r="EH9" t="str">
            <v>F1998</v>
          </cell>
          <cell r="EI9" t="str">
            <v>F1999</v>
          </cell>
          <cell r="EK9" t="str">
            <v>F1997</v>
          </cell>
          <cell r="EL9" t="str">
            <v>F1998</v>
          </cell>
          <cell r="EM9" t="str">
            <v>F1999</v>
          </cell>
          <cell r="EN9" t="str">
            <v>F2000</v>
          </cell>
          <cell r="EP9" t="str">
            <v>F1998</v>
          </cell>
          <cell r="EQ9" t="str">
            <v>F1999</v>
          </cell>
          <cell r="ER9" t="str">
            <v>F2000</v>
          </cell>
          <cell r="ES9" t="str">
            <v>F2001</v>
          </cell>
          <cell r="ET9" t="str">
            <v>F2001</v>
          </cell>
          <cell r="EU9" t="str">
            <v>F2002E</v>
          </cell>
          <cell r="EV9" t="str">
            <v>F2003E</v>
          </cell>
          <cell r="EW9" t="str">
            <v>F2004E</v>
          </cell>
          <cell r="EY9" t="str">
            <v>C1999</v>
          </cell>
          <cell r="EZ9" t="str">
            <v>C2000</v>
          </cell>
          <cell r="FA9" t="str">
            <v>C2001</v>
          </cell>
          <cell r="FB9" t="str">
            <v>C2001</v>
          </cell>
          <cell r="FC9" t="str">
            <v>C2002</v>
          </cell>
        </row>
        <row r="11">
          <cell r="A11" t="str">
            <v>Revenue</v>
          </cell>
          <cell r="B11" t="str">
            <v>rev</v>
          </cell>
          <cell r="D11">
            <v>20.379000000000001</v>
          </cell>
          <cell r="E11">
            <v>21.321000000000002</v>
          </cell>
          <cell r="F11">
            <v>22.06</v>
          </cell>
          <cell r="G11">
            <v>24.713999999999999</v>
          </cell>
          <cell r="I11">
            <v>28.042000000000002</v>
          </cell>
          <cell r="J11">
            <v>27.885000000000002</v>
          </cell>
          <cell r="K11">
            <v>28.898</v>
          </cell>
          <cell r="L11">
            <v>30.3</v>
          </cell>
          <cell r="N11">
            <v>34.749000000000002</v>
          </cell>
          <cell r="O11">
            <v>39.344999999999999</v>
          </cell>
          <cell r="P11">
            <v>44.588999999999999</v>
          </cell>
          <cell r="Q11">
            <v>49.106000000000002</v>
          </cell>
          <cell r="S11">
            <v>52.17</v>
          </cell>
          <cell r="T11">
            <v>63.222000000000001</v>
          </cell>
          <cell r="U11">
            <v>71.182000000000002</v>
          </cell>
          <cell r="V11">
            <v>78.501999999999995</v>
          </cell>
          <cell r="X11">
            <v>88.867999999999995</v>
          </cell>
          <cell r="Y11">
            <v>96.7</v>
          </cell>
          <cell r="Z11">
            <v>105.40600000000001</v>
          </cell>
          <cell r="AA11">
            <v>114.238</v>
          </cell>
          <cell r="AC11">
            <v>125.17400000000001</v>
          </cell>
          <cell r="AD11">
            <v>133.82300000000001</v>
          </cell>
          <cell r="AE11">
            <v>150.19800000000001</v>
          </cell>
          <cell r="AF11">
            <v>160.59200000000001</v>
          </cell>
          <cell r="AH11">
            <v>159.107</v>
          </cell>
          <cell r="AI11">
            <v>172.14599999999999</v>
          </cell>
          <cell r="AJ11">
            <v>197.13900000000001</v>
          </cell>
          <cell r="AK11">
            <v>194.18899999999999</v>
          </cell>
          <cell r="AM11">
            <v>206.26599999999999</v>
          </cell>
          <cell r="AN11">
            <v>222.714</v>
          </cell>
          <cell r="AO11">
            <v>248.803</v>
          </cell>
          <cell r="AP11">
            <v>246.005</v>
          </cell>
          <cell r="AR11">
            <v>220.67099999999999</v>
          </cell>
          <cell r="AS11">
            <v>240.886</v>
          </cell>
          <cell r="AT11">
            <v>267.61700000000002</v>
          </cell>
          <cell r="AU11">
            <v>262.64699999999999</v>
          </cell>
          <cell r="AW11">
            <v>275.53300000000002</v>
          </cell>
          <cell r="AX11">
            <v>281.14</v>
          </cell>
          <cell r="AY11">
            <v>309.49599999999998</v>
          </cell>
          <cell r="AZ11">
            <v>348.57499999999999</v>
          </cell>
          <cell r="BB11">
            <v>459.685</v>
          </cell>
          <cell r="BC11">
            <v>555.31200000000001</v>
          </cell>
          <cell r="BD11">
            <v>585</v>
          </cell>
          <cell r="BE11">
            <v>610</v>
          </cell>
          <cell r="BG11">
            <v>511.04300000000001</v>
          </cell>
          <cell r="BH11">
            <v>535.36599999999999</v>
          </cell>
          <cell r="BI11">
            <v>561.01400000000001</v>
          </cell>
          <cell r="BJ11">
            <v>610.15099999999995</v>
          </cell>
          <cell r="BL11">
            <v>709.56200000000001</v>
          </cell>
          <cell r="BM11">
            <v>818.33699999999999</v>
          </cell>
          <cell r="BN11">
            <v>920</v>
          </cell>
          <cell r="BO11">
            <v>975</v>
          </cell>
          <cell r="BQ11">
            <v>435.79899999999998</v>
          </cell>
          <cell r="BR11">
            <v>483.01</v>
          </cell>
          <cell r="BS11">
            <v>499.48599999999999</v>
          </cell>
          <cell r="BT11">
            <v>523.15899999999999</v>
          </cell>
          <cell r="BV11">
            <v>548.73800000000006</v>
          </cell>
          <cell r="BW11">
            <v>576.33299999999997</v>
          </cell>
          <cell r="BX11">
            <v>604.62199999999996</v>
          </cell>
          <cell r="BY11">
            <v>664.29</v>
          </cell>
          <cell r="CA11">
            <v>763.70100000000002</v>
          </cell>
          <cell r="CB11">
            <v>875.24699999999996</v>
          </cell>
          <cell r="CC11">
            <v>1000.6319999999999</v>
          </cell>
          <cell r="CD11">
            <v>1271.979</v>
          </cell>
          <cell r="CF11">
            <v>1390.3430000000001</v>
          </cell>
          <cell r="CH11">
            <v>603.37900000000002</v>
          </cell>
          <cell r="CI11">
            <v>627.72299999999996</v>
          </cell>
          <cell r="CJ11">
            <v>658.48400000000004</v>
          </cell>
          <cell r="CK11">
            <v>730.99199999999996</v>
          </cell>
          <cell r="CM11">
            <v>837.35500000000002</v>
          </cell>
          <cell r="CN11">
            <v>948.35799999999995</v>
          </cell>
          <cell r="CO11">
            <v>1086.182</v>
          </cell>
          <cell r="CP11">
            <v>1367.2070000000001</v>
          </cell>
          <cell r="CR11">
            <v>1485.5709999999999</v>
          </cell>
          <cell r="CS11">
            <v>1191.1379999999999</v>
          </cell>
          <cell r="CT11">
            <v>776.60199999999998</v>
          </cell>
          <cell r="CU11">
            <v>600.73699999999997</v>
          </cell>
          <cell r="CV11" t="str">
            <v xml:space="preserve"> </v>
          </cell>
          <cell r="CW11">
            <v>4068.1660000000002</v>
          </cell>
          <cell r="CX11">
            <v>3197.67</v>
          </cell>
          <cell r="CY11">
            <v>2842</v>
          </cell>
          <cell r="CZ11">
            <v>2365.9749999999999</v>
          </cell>
          <cell r="DB11">
            <v>2406.2269999999999</v>
          </cell>
          <cell r="DC11">
            <v>2411.241</v>
          </cell>
          <cell r="DD11">
            <v>2617.6260000000002</v>
          </cell>
          <cell r="DE11">
            <v>2684.5710674000002</v>
          </cell>
          <cell r="DG11">
            <v>2691.5236299880003</v>
          </cell>
          <cell r="DH11">
            <v>2557.0720889691602</v>
          </cell>
          <cell r="DI11">
            <v>2592.3802551308127</v>
          </cell>
          <cell r="DJ11">
            <v>2656.6835724948942</v>
          </cell>
          <cell r="DL11">
            <v>3020.2177493777358</v>
          </cell>
          <cell r="DM11">
            <v>2841.7840501272372</v>
          </cell>
          <cell r="DN11">
            <v>2884.4787051282647</v>
          </cell>
          <cell r="DO11">
            <v>3024.5202500315872</v>
          </cell>
          <cell r="DQ11">
            <v>58.871000000000002</v>
          </cell>
          <cell r="DR11">
            <v>65.096000000000004</v>
          </cell>
          <cell r="DS11">
            <v>88.474000000000004</v>
          </cell>
          <cell r="DT11">
            <v>115.125</v>
          </cell>
          <cell r="DU11">
            <v>167.78899999999999</v>
          </cell>
          <cell r="DV11">
            <v>265.07600000000002</v>
          </cell>
          <cell r="DW11">
            <v>405.21199999999999</v>
          </cell>
          <cell r="DX11">
            <v>391.98200000000003</v>
          </cell>
          <cell r="DY11">
            <v>569.78700000000003</v>
          </cell>
          <cell r="DZ11">
            <v>722.58100000000002</v>
          </cell>
          <cell r="EA11">
            <v>923.78800000000001</v>
          </cell>
          <cell r="EB11">
            <v>803.06399999999996</v>
          </cell>
          <cell r="EC11">
            <v>991.82099999999991</v>
          </cell>
          <cell r="EE11">
            <v>1214.7439999999999</v>
          </cell>
          <cell r="EF11">
            <v>2209.9970000000003</v>
          </cell>
          <cell r="EH11">
            <v>1816.769</v>
          </cell>
          <cell r="EI11">
            <v>2217.5740000000001</v>
          </cell>
          <cell r="EK11">
            <v>1522.8109999999999</v>
          </cell>
          <cell r="EL11">
            <v>1941.4540000000002</v>
          </cell>
          <cell r="EM11">
            <v>2393.9829999999997</v>
          </cell>
          <cell r="EN11">
            <v>3911.5590000000002</v>
          </cell>
          <cell r="EP11">
            <v>2171.4270000000001</v>
          </cell>
          <cell r="EQ11">
            <v>2620.5779999999995</v>
          </cell>
          <cell r="ER11">
            <v>4239.1019999999999</v>
          </cell>
          <cell r="ES11">
            <v>4054.0479999999998</v>
          </cell>
          <cell r="ET11">
            <v>12473.811</v>
          </cell>
          <cell r="EU11">
            <v>10119.665067400001</v>
          </cell>
          <cell r="EV11">
            <v>10497.659546582867</v>
          </cell>
          <cell r="EW11">
            <v>11771.000754664823</v>
          </cell>
          <cell r="EY11">
            <v>2854.5540000000001</v>
          </cell>
          <cell r="EZ11">
            <v>4887.3180000000002</v>
          </cell>
          <cell r="FA11">
            <v>4974.7039999999997</v>
          </cell>
          <cell r="FB11">
            <v>10811.871999999999</v>
          </cell>
          <cell r="FC11">
            <v>10404.961697388</v>
          </cell>
        </row>
        <row r="12">
          <cell r="A12" t="str">
            <v>Communications</v>
          </cell>
          <cell r="N12">
            <v>26.06175</v>
          </cell>
          <cell r="O12">
            <v>31.475999999999999</v>
          </cell>
          <cell r="P12">
            <v>34.779420000000002</v>
          </cell>
          <cell r="Q12">
            <v>39.284800000000004</v>
          </cell>
          <cell r="S12">
            <v>41.736000000000004</v>
          </cell>
          <cell r="T12">
            <v>46.784279999999995</v>
          </cell>
          <cell r="U12">
            <v>52.674680000000002</v>
          </cell>
          <cell r="V12">
            <v>58.091479999999997</v>
          </cell>
          <cell r="X12">
            <v>65.762320000000003</v>
          </cell>
          <cell r="Y12">
            <v>75.426000000000002</v>
          </cell>
          <cell r="Z12">
            <v>83.270740000000004</v>
          </cell>
          <cell r="AA12">
            <v>94.817540000000008</v>
          </cell>
          <cell r="AH12">
            <v>128.87666999999999</v>
          </cell>
          <cell r="AI12">
            <v>139.43825999999999</v>
          </cell>
          <cell r="AJ12">
            <v>161.65398000000002</v>
          </cell>
          <cell r="AK12">
            <v>163.11876000000001</v>
          </cell>
          <cell r="AW12">
            <v>184.60711000000003</v>
          </cell>
          <cell r="AX12">
            <v>188.3638</v>
          </cell>
          <cell r="AY12">
            <v>219.74215999999998</v>
          </cell>
          <cell r="AZ12">
            <v>257.94549999999998</v>
          </cell>
          <cell r="BB12">
            <v>353.95744999999999</v>
          </cell>
          <cell r="BC12">
            <v>438.69648000000001</v>
          </cell>
          <cell r="BV12">
            <v>378.62922000000003</v>
          </cell>
          <cell r="BW12">
            <v>392.48277300000001</v>
          </cell>
          <cell r="BX12">
            <v>428.07237599999996</v>
          </cell>
          <cell r="BY12">
            <v>494.23175999999995</v>
          </cell>
          <cell r="CA12">
            <v>510.15226800000005</v>
          </cell>
          <cell r="CB12">
            <v>596.04320700000005</v>
          </cell>
          <cell r="CC12">
            <v>740.46767999999997</v>
          </cell>
          <cell r="CD12">
            <v>954.01308900000026</v>
          </cell>
          <cell r="CF12">
            <v>1066.3930810000002</v>
          </cell>
          <cell r="CM12" t="str">
            <v>--</v>
          </cell>
          <cell r="CN12" t="str">
            <v>--</v>
          </cell>
          <cell r="CO12" t="str">
            <v>--</v>
          </cell>
          <cell r="CP12" t="str">
            <v>--</v>
          </cell>
          <cell r="CR12">
            <v>1145.375241</v>
          </cell>
          <cell r="CS12">
            <v>861.19277399999987</v>
          </cell>
          <cell r="CT12">
            <v>568.47266400000001</v>
          </cell>
          <cell r="CU12">
            <v>432.53063999999995</v>
          </cell>
          <cell r="CW12">
            <v>1993.4013400000001</v>
          </cell>
          <cell r="CX12">
            <v>1502.9049</v>
          </cell>
          <cell r="CY12">
            <v>1222.06</v>
          </cell>
          <cell r="CZ12">
            <v>970.0497499999999</v>
          </cell>
          <cell r="DB12">
            <v>818.11717999999996</v>
          </cell>
          <cell r="DC12">
            <v>771.59712000000002</v>
          </cell>
          <cell r="DD12">
            <v>811.46406000000002</v>
          </cell>
          <cell r="DE12">
            <v>755.31765400000006</v>
          </cell>
          <cell r="DG12">
            <v>679.78588860000002</v>
          </cell>
          <cell r="DH12">
            <v>645.79659416999993</v>
          </cell>
          <cell r="DI12">
            <v>645.79659416999993</v>
          </cell>
          <cell r="DJ12">
            <v>645.79659416999993</v>
          </cell>
          <cell r="DL12">
            <v>766.00235576189993</v>
          </cell>
          <cell r="DM12">
            <v>727.70223797380493</v>
          </cell>
          <cell r="DN12">
            <v>734.97926035354294</v>
          </cell>
          <cell r="DO12">
            <v>749.67884556061381</v>
          </cell>
          <cell r="DU12">
            <v>131.60196999999999</v>
          </cell>
          <cell r="DV12">
            <v>199.28644</v>
          </cell>
          <cell r="DW12">
            <v>319.27660000000003</v>
          </cell>
          <cell r="DZ12">
            <v>593.08767000000012</v>
          </cell>
          <cell r="EC12">
            <v>724.02933000000007</v>
          </cell>
          <cell r="EE12">
            <v>850.65857000000005</v>
          </cell>
          <cell r="EL12">
            <v>1283.3010940000001</v>
          </cell>
          <cell r="EM12">
            <v>1693.416129</v>
          </cell>
          <cell r="EP12" t="str">
            <v>--</v>
          </cell>
          <cell r="EQ12" t="str">
            <v>--</v>
          </cell>
          <cell r="ER12">
            <v>3128.2192439999999</v>
          </cell>
          <cell r="ES12">
            <v>3007.5713189999997</v>
          </cell>
          <cell r="ET12">
            <v>5688.4159899999995</v>
          </cell>
          <cell r="EU12">
            <v>3156.4960139999998</v>
          </cell>
          <cell r="EV12">
            <v>2617.1756711099997</v>
          </cell>
          <cell r="EW12">
            <v>2978.3626996498615</v>
          </cell>
          <cell r="EY12" t="str">
            <v>--</v>
          </cell>
          <cell r="EZ12">
            <v>1145.375241</v>
          </cell>
          <cell r="FA12">
            <v>2680.3132580000001</v>
          </cell>
          <cell r="FB12">
            <v>4513.1318300000003</v>
          </cell>
          <cell r="FC12">
            <v>3018.1647226</v>
          </cell>
        </row>
        <row r="13">
          <cell r="A13" t="str">
            <v>PCs</v>
          </cell>
          <cell r="N13" t="str">
            <v>--</v>
          </cell>
          <cell r="O13" t="str">
            <v>--</v>
          </cell>
          <cell r="P13" t="str">
            <v>--</v>
          </cell>
          <cell r="Q13" t="str">
            <v>--</v>
          </cell>
          <cell r="S13" t="str">
            <v>--</v>
          </cell>
          <cell r="T13" t="str">
            <v>--</v>
          </cell>
          <cell r="U13" t="str">
            <v>--</v>
          </cell>
          <cell r="V13" t="str">
            <v>--</v>
          </cell>
          <cell r="X13" t="str">
            <v>--</v>
          </cell>
          <cell r="Y13" t="str">
            <v>--</v>
          </cell>
          <cell r="Z13" t="str">
            <v>--</v>
          </cell>
          <cell r="AA13" t="str">
            <v>--</v>
          </cell>
          <cell r="AH13" t="str">
            <v>--</v>
          </cell>
          <cell r="AI13" t="str">
            <v>--</v>
          </cell>
          <cell r="AJ13" t="str">
            <v>--</v>
          </cell>
          <cell r="AK13" t="str">
            <v>--</v>
          </cell>
          <cell r="AW13" t="str">
            <v>--</v>
          </cell>
          <cell r="AX13" t="str">
            <v>--</v>
          </cell>
          <cell r="AY13" t="str">
            <v>--</v>
          </cell>
          <cell r="AZ13" t="str">
            <v>--</v>
          </cell>
          <cell r="BB13" t="str">
            <v>--</v>
          </cell>
          <cell r="BC13" t="str">
            <v>--</v>
          </cell>
          <cell r="BV13" t="str">
            <v>--</v>
          </cell>
          <cell r="BW13" t="str">
            <v>--</v>
          </cell>
          <cell r="BX13" t="str">
            <v>--</v>
          </cell>
          <cell r="BY13" t="str">
            <v>--</v>
          </cell>
          <cell r="CA13" t="str">
            <v>--</v>
          </cell>
          <cell r="CB13" t="str">
            <v>--</v>
          </cell>
          <cell r="CC13" t="str">
            <v>--</v>
          </cell>
          <cell r="CD13" t="str">
            <v>--</v>
          </cell>
          <cell r="CF13" t="str">
            <v>--</v>
          </cell>
          <cell r="CM13" t="str">
            <v>--</v>
          </cell>
          <cell r="CN13" t="str">
            <v>--</v>
          </cell>
          <cell r="CO13" t="str">
            <v>--</v>
          </cell>
          <cell r="CP13" t="str">
            <v>--</v>
          </cell>
          <cell r="CR13" t="str">
            <v>--</v>
          </cell>
          <cell r="CS13" t="str">
            <v>--</v>
          </cell>
          <cell r="CT13" t="str">
            <v>--</v>
          </cell>
          <cell r="CU13" t="str">
            <v>--</v>
          </cell>
          <cell r="CW13">
            <v>894.99652000000003</v>
          </cell>
          <cell r="CX13">
            <v>607.55730000000005</v>
          </cell>
          <cell r="CY13">
            <v>568.4</v>
          </cell>
          <cell r="CZ13">
            <v>496.85474999999997</v>
          </cell>
          <cell r="DB13">
            <v>697.8058299999999</v>
          </cell>
          <cell r="DC13">
            <v>819.82194000000004</v>
          </cell>
          <cell r="DD13">
            <v>1020.8741400000001</v>
          </cell>
          <cell r="DE13">
            <v>1129.8304330000001</v>
          </cell>
          <cell r="DG13">
            <v>1177.4270416600002</v>
          </cell>
          <cell r="DH13">
            <v>1095.0071487438001</v>
          </cell>
          <cell r="DI13">
            <v>1105.9572202312381</v>
          </cell>
          <cell r="DJ13">
            <v>1139.1359368381752</v>
          </cell>
          <cell r="DL13">
            <v>1264.4408898903746</v>
          </cell>
          <cell r="DM13">
            <v>1175.9300275980484</v>
          </cell>
          <cell r="DN13">
            <v>1175.9300275980484</v>
          </cell>
          <cell r="DO13">
            <v>1246.4858292539313</v>
          </cell>
          <cell r="DU13">
            <v>0</v>
          </cell>
          <cell r="DV13">
            <v>0</v>
          </cell>
          <cell r="DW13">
            <v>0</v>
          </cell>
          <cell r="DZ13">
            <v>0</v>
          </cell>
          <cell r="EE13">
            <v>0</v>
          </cell>
          <cell r="EM13">
            <v>0</v>
          </cell>
          <cell r="EP13" t="str">
            <v>--</v>
          </cell>
          <cell r="EQ13" t="str">
            <v>--</v>
          </cell>
          <cell r="ER13">
            <v>0</v>
          </cell>
          <cell r="ES13">
            <v>0</v>
          </cell>
          <cell r="ET13">
            <v>2567.8085700000001</v>
          </cell>
          <cell r="EU13">
            <v>3668.332343</v>
          </cell>
          <cell r="EV13">
            <v>4517.5273474732139</v>
          </cell>
          <cell r="EW13">
            <v>4862.7867743404022</v>
          </cell>
          <cell r="EY13" t="str">
            <v>--</v>
          </cell>
          <cell r="EZ13">
            <v>0</v>
          </cell>
          <cell r="FA13">
            <v>697.8058299999999</v>
          </cell>
          <cell r="FB13">
            <v>2370.6178799999998</v>
          </cell>
          <cell r="FC13">
            <v>4147.95355466</v>
          </cell>
        </row>
        <row r="14">
          <cell r="A14" t="str">
            <v>High-End Computing</v>
          </cell>
          <cell r="N14">
            <v>3.127410000000002</v>
          </cell>
          <cell r="O14">
            <v>2.3606999999999987</v>
          </cell>
          <cell r="P14">
            <v>2.2294499999999999</v>
          </cell>
          <cell r="Q14">
            <v>2.4553000000000011</v>
          </cell>
          <cell r="R14" t="str">
            <v xml:space="preserve"> </v>
          </cell>
          <cell r="S14">
            <v>3.1302000000000003</v>
          </cell>
          <cell r="T14">
            <v>3.1611000000000065</v>
          </cell>
          <cell r="U14">
            <v>2.1354599999999984</v>
          </cell>
          <cell r="V14">
            <v>7.065179999999998</v>
          </cell>
          <cell r="X14">
            <v>6.2207599999999985</v>
          </cell>
          <cell r="Y14">
            <v>7.7360000000000042</v>
          </cell>
          <cell r="Z14">
            <v>6.3243599999999986</v>
          </cell>
          <cell r="AA14">
            <v>5.7118999999999911</v>
          </cell>
          <cell r="AH14">
            <v>11.137490000000003</v>
          </cell>
          <cell r="AI14">
            <v>12.050220000000003</v>
          </cell>
          <cell r="AJ14">
            <v>9.8569499999999834</v>
          </cell>
          <cell r="AK14">
            <v>13.593229999999998</v>
          </cell>
          <cell r="AW14">
            <v>46.840609999999977</v>
          </cell>
          <cell r="AX14">
            <v>42.170999999999992</v>
          </cell>
          <cell r="AY14">
            <v>43.329439999999998</v>
          </cell>
          <cell r="AZ14">
            <v>34.857500000000002</v>
          </cell>
          <cell r="BB14">
            <v>50.565350000000009</v>
          </cell>
          <cell r="BC14">
            <v>38.871839999999992</v>
          </cell>
          <cell r="BV14">
            <v>103.71148200000002</v>
          </cell>
          <cell r="BW14">
            <v>111.232269</v>
          </cell>
          <cell r="BX14">
            <v>110.04120399999999</v>
          </cell>
          <cell r="BY14">
            <v>92.336309999999997</v>
          </cell>
          <cell r="CA14">
            <v>160.37720999999999</v>
          </cell>
          <cell r="CB14">
            <v>158.41970699999999</v>
          </cell>
          <cell r="CC14">
            <v>143.09037599999999</v>
          </cell>
          <cell r="CD14">
            <v>167.87370600000008</v>
          </cell>
          <cell r="CF14">
            <v>190.47699099999991</v>
          </cell>
          <cell r="CM14" t="str">
            <v>--</v>
          </cell>
          <cell r="CN14" t="str">
            <v>--</v>
          </cell>
          <cell r="CO14" t="str">
            <v>--</v>
          </cell>
          <cell r="CP14" t="str">
            <v>--</v>
          </cell>
          <cell r="CR14">
            <v>191.63865899999999</v>
          </cell>
          <cell r="CS14">
            <v>189.39094200000005</v>
          </cell>
          <cell r="CT14">
            <v>110.27748399999997</v>
          </cell>
          <cell r="CU14">
            <v>84.103180000000009</v>
          </cell>
          <cell r="CW14">
            <v>650.90656000000001</v>
          </cell>
          <cell r="CX14">
            <v>581.97594000000004</v>
          </cell>
          <cell r="CY14">
            <v>511.56</v>
          </cell>
          <cell r="CZ14">
            <v>402.21575000000001</v>
          </cell>
          <cell r="DB14">
            <v>409.05858999999998</v>
          </cell>
          <cell r="DC14">
            <v>409.91097000000002</v>
          </cell>
          <cell r="DD14">
            <v>418.82016000000004</v>
          </cell>
          <cell r="DE14">
            <v>418.82016000000004</v>
          </cell>
          <cell r="DG14">
            <v>418.82016000000004</v>
          </cell>
          <cell r="DH14">
            <v>414.63195840000003</v>
          </cell>
          <cell r="DI14">
            <v>422.92459756800002</v>
          </cell>
          <cell r="DJ14">
            <v>435.61233549504004</v>
          </cell>
          <cell r="DL14">
            <v>487.88581575444488</v>
          </cell>
          <cell r="DM14">
            <v>463.49152496672264</v>
          </cell>
          <cell r="DN14">
            <v>486.6661012150588</v>
          </cell>
          <cell r="DO14">
            <v>515.86606728796232</v>
          </cell>
          <cell r="DU14">
            <v>10.172860000000002</v>
          </cell>
          <cell r="DV14">
            <v>15.491940000000003</v>
          </cell>
          <cell r="DW14">
            <v>25.993019999999994</v>
          </cell>
          <cell r="DZ14">
            <v>46.637889999999992</v>
          </cell>
          <cell r="EC14">
            <v>119.01851999999991</v>
          </cell>
          <cell r="EE14">
            <v>167.19854999999995</v>
          </cell>
          <cell r="EL14">
            <v>401.88097800000003</v>
          </cell>
          <cell r="EM14">
            <v>417.32126500000004</v>
          </cell>
          <cell r="EP14" t="str">
            <v>--</v>
          </cell>
          <cell r="EQ14" t="str">
            <v>--</v>
          </cell>
          <cell r="ER14">
            <v>629.76099900000008</v>
          </cell>
          <cell r="ES14">
            <v>575.41026499999998</v>
          </cell>
          <cell r="ET14">
            <v>2146.65825</v>
          </cell>
          <cell r="EU14">
            <v>1656.60988</v>
          </cell>
          <cell r="EV14">
            <v>1691.9890514630401</v>
          </cell>
          <cell r="EW14">
            <v>1953.9095092241887</v>
          </cell>
          <cell r="EY14" t="str">
            <v>--</v>
          </cell>
          <cell r="EZ14">
            <v>191.63865899999999</v>
          </cell>
          <cell r="FA14">
            <v>792.830196</v>
          </cell>
          <cell r="FB14">
            <v>1904.8102800000001</v>
          </cell>
          <cell r="FC14">
            <v>1666.3714500000001</v>
          </cell>
        </row>
        <row r="15">
          <cell r="A15" t="str">
            <v>Medical/Industrial/Aerospace</v>
          </cell>
          <cell r="N15">
            <v>5.5598400000000003</v>
          </cell>
          <cell r="O15">
            <v>5.5083000000000002</v>
          </cell>
          <cell r="P15">
            <v>7.5801300000000005</v>
          </cell>
          <cell r="Q15">
            <v>7.3658999999999999</v>
          </cell>
          <cell r="R15" t="str">
            <v xml:space="preserve"> </v>
          </cell>
          <cell r="S15">
            <v>7.3038000000000007</v>
          </cell>
          <cell r="T15">
            <v>13.276619999999999</v>
          </cell>
          <cell r="U15">
            <v>16.371860000000002</v>
          </cell>
          <cell r="V15">
            <v>13.34534</v>
          </cell>
          <cell r="X15">
            <v>16.884919999999997</v>
          </cell>
          <cell r="Y15">
            <v>13.538000000000002</v>
          </cell>
          <cell r="Z15">
            <v>15.8109</v>
          </cell>
          <cell r="AA15">
            <v>13.70856</v>
          </cell>
          <cell r="AH15">
            <v>19.092839999999999</v>
          </cell>
          <cell r="AI15">
            <v>20.657519999999998</v>
          </cell>
          <cell r="AJ15">
            <v>25.628070000000001</v>
          </cell>
          <cell r="AK15">
            <v>17.47701</v>
          </cell>
          <cell r="AW15">
            <v>44.085280000000004</v>
          </cell>
          <cell r="AX15">
            <v>50.605199999999996</v>
          </cell>
          <cell r="AY15">
            <v>46.424399999999999</v>
          </cell>
          <cell r="AZ15">
            <v>55.771999999999998</v>
          </cell>
          <cell r="BB15">
            <v>55.162199999999999</v>
          </cell>
          <cell r="BC15">
            <v>77.743680000000012</v>
          </cell>
          <cell r="BV15">
            <v>66.397298000000006</v>
          </cell>
          <cell r="BW15">
            <v>72.617958000000002</v>
          </cell>
          <cell r="BX15">
            <v>66.508420000000001</v>
          </cell>
          <cell r="BY15">
            <v>77.72193</v>
          </cell>
          <cell r="CA15">
            <v>93.171521999999996</v>
          </cell>
          <cell r="CB15">
            <v>120.784086</v>
          </cell>
          <cell r="CC15">
            <v>117.073944</v>
          </cell>
          <cell r="CD15">
            <v>150.09220500000004</v>
          </cell>
          <cell r="CF15">
            <v>133.472928</v>
          </cell>
          <cell r="CM15" t="str">
            <v>--</v>
          </cell>
          <cell r="CN15" t="str">
            <v>--</v>
          </cell>
          <cell r="CO15" t="str">
            <v>--</v>
          </cell>
          <cell r="CP15" t="str">
            <v>--</v>
          </cell>
          <cell r="CR15">
            <v>148.55709999999999</v>
          </cell>
          <cell r="CS15">
            <v>140.554284</v>
          </cell>
          <cell r="CT15">
            <v>97.851851999999994</v>
          </cell>
          <cell r="CU15">
            <v>84.103180000000009</v>
          </cell>
          <cell r="CW15">
            <v>325.45328000000001</v>
          </cell>
          <cell r="CX15">
            <v>332.55768</v>
          </cell>
          <cell r="CY15">
            <v>312.62</v>
          </cell>
          <cell r="CZ15">
            <v>236.5975</v>
          </cell>
          <cell r="DB15">
            <v>240.62270000000001</v>
          </cell>
          <cell r="DC15">
            <v>241.1241</v>
          </cell>
          <cell r="DD15">
            <v>209.41008000000002</v>
          </cell>
          <cell r="DE15">
            <v>215.69238240000004</v>
          </cell>
          <cell r="DG15">
            <v>230.79084916800005</v>
          </cell>
          <cell r="DH15">
            <v>235.40666615136004</v>
          </cell>
          <cell r="DI15">
            <v>244.82293279741444</v>
          </cell>
          <cell r="DJ15">
            <v>254.61585010931103</v>
          </cell>
          <cell r="DL15">
            <v>274.98511811805594</v>
          </cell>
          <cell r="DM15">
            <v>274.98511811805594</v>
          </cell>
          <cell r="DN15">
            <v>283.23467166159764</v>
          </cell>
          <cell r="DO15">
            <v>294.56405852806154</v>
          </cell>
          <cell r="DU15">
            <v>26.01417</v>
          </cell>
          <cell r="DV15">
            <v>50.297620000000002</v>
          </cell>
          <cell r="DW15">
            <v>59.942379999999993</v>
          </cell>
          <cell r="DZ15">
            <v>82.855440000000016</v>
          </cell>
          <cell r="EC15">
            <v>148.77314999999999</v>
          </cell>
          <cell r="EE15">
            <v>196.88687999999999</v>
          </cell>
          <cell r="EL15">
            <v>256.27192800000006</v>
          </cell>
          <cell r="EM15">
            <v>283.24560600000001</v>
          </cell>
          <cell r="EP15" t="str">
            <v>--</v>
          </cell>
          <cell r="EQ15" t="str">
            <v>--</v>
          </cell>
          <cell r="ER15">
            <v>481.121757</v>
          </cell>
          <cell r="ES15">
            <v>471.066416</v>
          </cell>
          <cell r="ET15">
            <v>1207.22846</v>
          </cell>
          <cell r="EU15">
            <v>906.84926240000004</v>
          </cell>
          <cell r="EV15">
            <v>965.63629822608561</v>
          </cell>
          <cell r="EW15">
            <v>1127.7689664257709</v>
          </cell>
          <cell r="EY15" t="str">
            <v>--</v>
          </cell>
          <cell r="EZ15">
            <v>148.55709999999999</v>
          </cell>
          <cell r="FA15">
            <v>563.13201600000002</v>
          </cell>
          <cell r="FB15">
            <v>1122.39788</v>
          </cell>
          <cell r="FC15">
            <v>897.01741156800006</v>
          </cell>
        </row>
        <row r="16">
          <cell r="A16" t="str">
            <v>Multimedia</v>
          </cell>
          <cell r="N16" t="str">
            <v>--</v>
          </cell>
          <cell r="O16" t="str">
            <v>--</v>
          </cell>
          <cell r="P16" t="str">
            <v>--</v>
          </cell>
          <cell r="Q16" t="str">
            <v>--</v>
          </cell>
          <cell r="S16" t="str">
            <v>--</v>
          </cell>
          <cell r="T16" t="str">
            <v>--</v>
          </cell>
          <cell r="U16" t="str">
            <v>--</v>
          </cell>
          <cell r="V16" t="str">
            <v>--</v>
          </cell>
          <cell r="X16" t="str">
            <v>--</v>
          </cell>
          <cell r="Y16" t="str">
            <v>--</v>
          </cell>
          <cell r="Z16" t="str">
            <v>--</v>
          </cell>
          <cell r="AA16" t="str">
            <v>--</v>
          </cell>
          <cell r="AH16" t="str">
            <v>--</v>
          </cell>
          <cell r="AI16" t="str">
            <v>--</v>
          </cell>
          <cell r="AJ16" t="str">
            <v>--</v>
          </cell>
          <cell r="AK16" t="str">
            <v>--</v>
          </cell>
          <cell r="AW16" t="str">
            <v>--</v>
          </cell>
          <cell r="AX16" t="str">
            <v>--</v>
          </cell>
          <cell r="AY16" t="str">
            <v>--</v>
          </cell>
          <cell r="AZ16" t="str">
            <v>--</v>
          </cell>
          <cell r="BB16" t="str">
            <v>--</v>
          </cell>
          <cell r="BC16" t="str">
            <v>--</v>
          </cell>
          <cell r="BV16" t="str">
            <v>--</v>
          </cell>
          <cell r="BW16" t="str">
            <v>--</v>
          </cell>
          <cell r="BX16" t="str">
            <v>--</v>
          </cell>
          <cell r="BY16" t="str">
            <v>--</v>
          </cell>
          <cell r="CA16" t="str">
            <v>--</v>
          </cell>
          <cell r="CB16" t="str">
            <v>--</v>
          </cell>
          <cell r="CC16" t="str">
            <v>--</v>
          </cell>
          <cell r="CD16" t="str">
            <v>--</v>
          </cell>
          <cell r="CF16" t="str">
            <v>--</v>
          </cell>
          <cell r="CM16" t="str">
            <v>--</v>
          </cell>
          <cell r="CN16" t="str">
            <v>--</v>
          </cell>
          <cell r="CO16" t="str">
            <v>--</v>
          </cell>
          <cell r="CP16" t="str">
            <v>--</v>
          </cell>
          <cell r="CR16" t="str">
            <v>--</v>
          </cell>
          <cell r="CS16" t="str">
            <v>--</v>
          </cell>
          <cell r="CT16" t="str">
            <v>--</v>
          </cell>
          <cell r="CU16" t="str">
            <v>--</v>
          </cell>
          <cell r="CW16">
            <v>244.08995999999999</v>
          </cell>
          <cell r="CX16">
            <v>172.67418000000001</v>
          </cell>
          <cell r="CY16">
            <v>227.36</v>
          </cell>
          <cell r="CZ16">
            <v>236.5975</v>
          </cell>
          <cell r="DB16">
            <v>240.62270000000001</v>
          </cell>
          <cell r="DC16">
            <v>168.78687000000002</v>
          </cell>
          <cell r="DD16">
            <v>157.05756</v>
          </cell>
          <cell r="DE16">
            <v>164.910438</v>
          </cell>
          <cell r="DG16">
            <v>184.69969056000002</v>
          </cell>
          <cell r="DH16">
            <v>166.22972150400003</v>
          </cell>
          <cell r="DI16">
            <v>172.87891036416002</v>
          </cell>
          <cell r="DJ16">
            <v>181.52285588236802</v>
          </cell>
          <cell r="DL16">
            <v>226.90356985296003</v>
          </cell>
          <cell r="DM16">
            <v>199.67514147060484</v>
          </cell>
          <cell r="DN16">
            <v>203.66864430001695</v>
          </cell>
          <cell r="DO16">
            <v>217.92544940101814</v>
          </cell>
          <cell r="DU16">
            <v>0</v>
          </cell>
          <cell r="DV16">
            <v>0</v>
          </cell>
          <cell r="DW16">
            <v>0</v>
          </cell>
          <cell r="DZ16">
            <v>0</v>
          </cell>
          <cell r="EE16">
            <v>0</v>
          </cell>
          <cell r="EM16">
            <v>0</v>
          </cell>
          <cell r="EP16" t="str">
            <v>--</v>
          </cell>
          <cell r="EQ16" t="str">
            <v>--</v>
          </cell>
          <cell r="ER16">
            <v>0</v>
          </cell>
          <cell r="ES16">
            <v>0</v>
          </cell>
          <cell r="ET16">
            <v>880.72163999999998</v>
          </cell>
          <cell r="EU16">
            <v>731.377568</v>
          </cell>
          <cell r="EV16">
            <v>705.33117831052812</v>
          </cell>
          <cell r="EW16">
            <v>848.17280502459994</v>
          </cell>
          <cell r="EY16" t="str">
            <v>--</v>
          </cell>
          <cell r="EZ16">
            <v>0</v>
          </cell>
          <cell r="FA16">
            <v>240.62270000000001</v>
          </cell>
          <cell r="FB16">
            <v>877.25437999999997</v>
          </cell>
          <cell r="FC16">
            <v>675.45455856000001</v>
          </cell>
        </row>
        <row r="18">
          <cell r="A18" t="str">
            <v>ORGANIC Revenue Growth (Yr-Yr)</v>
          </cell>
          <cell r="DB18" t="str">
            <v>--</v>
          </cell>
          <cell r="DC18" t="str">
            <v>--</v>
          </cell>
          <cell r="DD18" t="str">
            <v>--</v>
          </cell>
          <cell r="DE18">
            <v>-0.52629675315487445</v>
          </cell>
          <cell r="DG18">
            <v>-0.16819002114596815</v>
          </cell>
          <cell r="DH18">
            <v>-0.14066155603311314</v>
          </cell>
          <cell r="DI18">
            <v>-8.2229373053747001E-2</v>
          </cell>
          <cell r="DJ18">
            <v>-1.0388063569542583E-2</v>
          </cell>
          <cell r="DL18">
            <v>0.12212195194110231</v>
          </cell>
          <cell r="DM18">
            <v>0.11134295446197373</v>
          </cell>
          <cell r="DN18">
            <v>0.11267577332427736</v>
          </cell>
          <cell r="DO18">
            <v>0.13845709039080534</v>
          </cell>
          <cell r="EP18" t="str">
            <v>--</v>
          </cell>
          <cell r="EQ18">
            <v>0.37856193543629835</v>
          </cell>
          <cell r="ER18">
            <v>0.46421985277039424</v>
          </cell>
          <cell r="ES18">
            <v>-0.11831609619207084</v>
          </cell>
          <cell r="ET18">
            <v>0</v>
          </cell>
          <cell r="EU18">
            <v>-0.58124199136270682</v>
          </cell>
          <cell r="EV18">
            <v>-9.7533417780468201E-2</v>
          </cell>
          <cell r="EW18">
            <v>0.12129762852677439</v>
          </cell>
          <cell r="EY18" t="str">
            <v>--</v>
          </cell>
          <cell r="EZ18">
            <v>0.55563752983244785</v>
          </cell>
          <cell r="FA18">
            <v>-0.42367081495413239</v>
          </cell>
          <cell r="FB18">
            <v>0</v>
          </cell>
          <cell r="FC18">
            <v>-0.34429029397769184</v>
          </cell>
        </row>
        <row r="19">
          <cell r="A19" t="str">
            <v>ORGANIC Revenue Growth (Seq.)</v>
          </cell>
          <cell r="DB19" t="str">
            <v>--</v>
          </cell>
          <cell r="DC19" t="str">
            <v>--</v>
          </cell>
          <cell r="DD19" t="str">
            <v>--</v>
          </cell>
          <cell r="DE19">
            <v>-4.5100000000000029E-2</v>
          </cell>
          <cell r="DG19">
            <v>-2.7210096353584734E-2</v>
          </cell>
          <cell r="DH19">
            <v>-4.9953691478250017E-2</v>
          </cell>
          <cell r="DI19">
            <v>1.3808044878346193E-2</v>
          </cell>
          <cell r="DJ19">
            <v>2.4804739673824017E-2</v>
          </cell>
          <cell r="DL19">
            <v>0.13683758978546567</v>
          </cell>
          <cell r="DM19">
            <v>-5.907974658027948E-2</v>
          </cell>
          <cell r="DN19">
            <v>1.5023891417476287E-2</v>
          </cell>
          <cell r="DO19">
            <v>4.8550035975077677E-2</v>
          </cell>
        </row>
        <row r="20">
          <cell r="A20" t="str">
            <v>Communications</v>
          </cell>
          <cell r="CW20" t="str">
            <v>--</v>
          </cell>
          <cell r="CX20" t="str">
            <v>--</v>
          </cell>
          <cell r="CY20" t="str">
            <v>--</v>
          </cell>
          <cell r="CZ20" t="str">
            <v>--</v>
          </cell>
          <cell r="DB20" t="str">
            <v>--</v>
          </cell>
          <cell r="DC20" t="str">
            <v>--</v>
          </cell>
          <cell r="DD20" t="str">
            <v>--</v>
          </cell>
          <cell r="DE20">
            <v>-0.1</v>
          </cell>
          <cell r="DG20">
            <v>-0.1</v>
          </cell>
          <cell r="DH20">
            <v>-0.05</v>
          </cell>
          <cell r="DI20">
            <v>0</v>
          </cell>
          <cell r="DJ20">
            <v>0</v>
          </cell>
          <cell r="DL20">
            <v>7.0000000000000007E-2</v>
          </cell>
          <cell r="DM20">
            <v>-0.05</v>
          </cell>
          <cell r="DN20">
            <v>0.01</v>
          </cell>
          <cell r="DO20">
            <v>0.02</v>
          </cell>
        </row>
        <row r="21">
          <cell r="A21" t="str">
            <v>PCs</v>
          </cell>
          <cell r="CW21" t="str">
            <v>--</v>
          </cell>
          <cell r="CX21" t="str">
            <v>--</v>
          </cell>
          <cell r="CY21" t="str">
            <v>--</v>
          </cell>
          <cell r="CZ21" t="str">
            <v>--</v>
          </cell>
          <cell r="DB21" t="str">
            <v>--</v>
          </cell>
          <cell r="DC21" t="str">
            <v>--</v>
          </cell>
          <cell r="DD21" t="str">
            <v>--</v>
          </cell>
          <cell r="DE21">
            <v>-0.05</v>
          </cell>
          <cell r="DG21">
            <v>0.02</v>
          </cell>
          <cell r="DH21">
            <v>-7.0000000000000007E-2</v>
          </cell>
          <cell r="DI21">
            <v>0.01</v>
          </cell>
          <cell r="DJ21">
            <v>0.03</v>
          </cell>
          <cell r="DL21">
            <v>0.11</v>
          </cell>
          <cell r="DM21">
            <v>-7.0000000000000007E-2</v>
          </cell>
          <cell r="DN21">
            <v>0</v>
          </cell>
          <cell r="DO21">
            <v>0.06</v>
          </cell>
        </row>
        <row r="22">
          <cell r="A22" t="str">
            <v>High-End Computing</v>
          </cell>
          <cell r="CW22" t="str">
            <v>--</v>
          </cell>
          <cell r="CX22" t="str">
            <v>--</v>
          </cell>
          <cell r="CY22" t="str">
            <v>--</v>
          </cell>
          <cell r="CZ22" t="str">
            <v>--</v>
          </cell>
          <cell r="DB22" t="str">
            <v>--</v>
          </cell>
          <cell r="DC22" t="str">
            <v>--</v>
          </cell>
          <cell r="DD22" t="str">
            <v>--</v>
          </cell>
          <cell r="DE22">
            <v>0</v>
          </cell>
          <cell r="DG22">
            <v>0</v>
          </cell>
          <cell r="DH22">
            <v>-0.01</v>
          </cell>
          <cell r="DI22">
            <v>0.02</v>
          </cell>
          <cell r="DJ22">
            <v>0.03</v>
          </cell>
          <cell r="DL22">
            <v>0.12</v>
          </cell>
          <cell r="DM22">
            <v>-0.05</v>
          </cell>
          <cell r="DN22">
            <v>0.05</v>
          </cell>
          <cell r="DO22">
            <v>0.06</v>
          </cell>
        </row>
        <row r="23">
          <cell r="A23" t="str">
            <v>Medical/Industrial/Aerospace</v>
          </cell>
          <cell r="CW23" t="str">
            <v>--</v>
          </cell>
          <cell r="CX23" t="str">
            <v>--</v>
          </cell>
          <cell r="CY23" t="str">
            <v>--</v>
          </cell>
          <cell r="CZ23" t="str">
            <v>--</v>
          </cell>
          <cell r="DB23" t="str">
            <v>--</v>
          </cell>
          <cell r="DC23" t="str">
            <v>--</v>
          </cell>
          <cell r="DD23" t="str">
            <v>--</v>
          </cell>
          <cell r="DE23">
            <v>0.03</v>
          </cell>
          <cell r="DG23">
            <v>7.0000000000000007E-2</v>
          </cell>
          <cell r="DH23">
            <v>0.02</v>
          </cell>
          <cell r="DI23">
            <v>0.04</v>
          </cell>
          <cell r="DJ23">
            <v>0.04</v>
          </cell>
          <cell r="DL23">
            <v>0.08</v>
          </cell>
          <cell r="DM23">
            <v>0</v>
          </cell>
          <cell r="DN23">
            <v>0.03</v>
          </cell>
          <cell r="DO23">
            <v>0.04</v>
          </cell>
        </row>
        <row r="24">
          <cell r="A24" t="str">
            <v>Multimedia</v>
          </cell>
          <cell r="CW24" t="str">
            <v>--</v>
          </cell>
          <cell r="CX24" t="str">
            <v>--</v>
          </cell>
          <cell r="CY24" t="str">
            <v>--</v>
          </cell>
          <cell r="CZ24" t="str">
            <v>--</v>
          </cell>
          <cell r="DB24" t="str">
            <v>--</v>
          </cell>
          <cell r="DC24" t="str">
            <v>--</v>
          </cell>
          <cell r="DD24" t="str">
            <v>--</v>
          </cell>
          <cell r="DE24">
            <v>0.05</v>
          </cell>
          <cell r="DG24">
            <v>0.12</v>
          </cell>
          <cell r="DH24">
            <v>-0.1</v>
          </cell>
          <cell r="DI24">
            <v>0.04</v>
          </cell>
          <cell r="DJ24">
            <v>0.05</v>
          </cell>
          <cell r="DL24">
            <v>0.25</v>
          </cell>
          <cell r="DM24">
            <v>-0.12</v>
          </cell>
          <cell r="DN24">
            <v>0.02</v>
          </cell>
          <cell r="DO24">
            <v>7.0000000000000007E-2</v>
          </cell>
        </row>
        <row r="26">
          <cell r="A26" t="str">
            <v>Revenue Growth (Seq.)</v>
          </cell>
          <cell r="CW26" t="str">
            <v>--</v>
          </cell>
          <cell r="CX26">
            <v>-0.2139775023929702</v>
          </cell>
          <cell r="CY26">
            <v>-0.11122786278759222</v>
          </cell>
          <cell r="CZ26">
            <v>-0.16749648135116124</v>
          </cell>
          <cell r="DB26">
            <v>1.7012859392005364E-2</v>
          </cell>
          <cell r="DC26">
            <v>2.0837601772401015E-3</v>
          </cell>
          <cell r="DD26">
            <v>8.5592854467886115E-2</v>
          </cell>
          <cell r="DE26">
            <v>2.5574725877570037E-2</v>
          </cell>
          <cell r="DG26">
            <v>2.5898225129623587E-3</v>
          </cell>
          <cell r="DH26">
            <v>-4.9953691478250017E-2</v>
          </cell>
          <cell r="DI26">
            <v>1.3808044878346193E-2</v>
          </cell>
          <cell r="DJ26">
            <v>2.4804739673824017E-2</v>
          </cell>
          <cell r="DL26">
            <v>0.13683758978546567</v>
          </cell>
          <cell r="DM26">
            <v>-5.907974658027948E-2</v>
          </cell>
          <cell r="DN26">
            <v>1.5023891417476287E-2</v>
          </cell>
          <cell r="DO26">
            <v>4.8550035975077677E-2</v>
          </cell>
          <cell r="EP26" t="str">
            <v>--</v>
          </cell>
          <cell r="EQ26" t="str">
            <v>--</v>
          </cell>
          <cell r="ER26" t="str">
            <v>--</v>
          </cell>
          <cell r="ES26" t="str">
            <v>--</v>
          </cell>
          <cell r="ET26" t="str">
            <v>--</v>
          </cell>
          <cell r="EU26" t="str">
            <v>--</v>
          </cell>
          <cell r="EV26" t="str">
            <v>--</v>
          </cell>
          <cell r="EW26" t="str">
            <v>--</v>
          </cell>
          <cell r="EY26" t="str">
            <v>--</v>
          </cell>
          <cell r="EZ26" t="str">
            <v>--</v>
          </cell>
          <cell r="FA26" t="str">
            <v>--</v>
          </cell>
          <cell r="FB26" t="str">
            <v>--</v>
          </cell>
          <cell r="FC26" t="str">
            <v>--</v>
          </cell>
        </row>
        <row r="27">
          <cell r="A27" t="str">
            <v>Communications</v>
          </cell>
          <cell r="CW27" t="str">
            <v>--</v>
          </cell>
          <cell r="CX27">
            <v>-0.24606005331570613</v>
          </cell>
          <cell r="CY27">
            <v>-0.18686804467800988</v>
          </cell>
          <cell r="CZ27">
            <v>-0.20621757524180484</v>
          </cell>
          <cell r="DB27">
            <v>-0.15662348245541013</v>
          </cell>
          <cell r="DC27">
            <v>-5.6862343362597434E-2</v>
          </cell>
          <cell r="DD27">
            <v>5.1668077765764542E-2</v>
          </cell>
          <cell r="DE27">
            <v>-6.9191488283535274E-2</v>
          </cell>
          <cell r="DG27">
            <v>-0.10000000000000009</v>
          </cell>
          <cell r="DH27">
            <v>-5.0000000000000155E-2</v>
          </cell>
          <cell r="DI27">
            <v>0</v>
          </cell>
          <cell r="DJ27">
            <v>0</v>
          </cell>
          <cell r="DL27">
            <v>0.18613563880186246</v>
          </cell>
          <cell r="DM27">
            <v>-5.0000000000000044E-2</v>
          </cell>
          <cell r="DN27">
            <v>1.0000000000000009E-2</v>
          </cell>
          <cell r="DO27">
            <v>2.0000000000000018E-2</v>
          </cell>
          <cell r="EP27" t="str">
            <v>--</v>
          </cell>
          <cell r="EQ27" t="str">
            <v>--</v>
          </cell>
          <cell r="ER27" t="str">
            <v>--</v>
          </cell>
          <cell r="ES27" t="str">
            <v>--</v>
          </cell>
          <cell r="ET27" t="str">
            <v>--</v>
          </cell>
          <cell r="EU27" t="str">
            <v>--</v>
          </cell>
          <cell r="EV27" t="str">
            <v>--</v>
          </cell>
          <cell r="EW27" t="str">
            <v>--</v>
          </cell>
          <cell r="EY27" t="str">
            <v>--</v>
          </cell>
          <cell r="EZ27" t="str">
            <v>--</v>
          </cell>
          <cell r="FA27" t="str">
            <v>--</v>
          </cell>
          <cell r="FB27" t="str">
            <v>--</v>
          </cell>
          <cell r="FC27" t="str">
            <v>--</v>
          </cell>
        </row>
        <row r="28">
          <cell r="A28" t="str">
            <v>PCs</v>
          </cell>
          <cell r="CW28" t="str">
            <v>--</v>
          </cell>
          <cell r="CX28">
            <v>-0.32116238843029243</v>
          </cell>
          <cell r="CY28">
            <v>-6.4450381881676178E-2</v>
          </cell>
          <cell r="CZ28">
            <v>-0.12587130541871927</v>
          </cell>
          <cell r="DB28">
            <v>0.40444632963657878</v>
          </cell>
          <cell r="DC28">
            <v>0.17485682227676458</v>
          </cell>
          <cell r="DD28">
            <v>0.24523886247786941</v>
          </cell>
          <cell r="DE28">
            <v>0.10672842883452804</v>
          </cell>
          <cell r="DG28">
            <v>4.2127214199407348E-2</v>
          </cell>
          <cell r="DH28">
            <v>-7.0000000000000062E-2</v>
          </cell>
          <cell r="DI28">
            <v>1.0000000000000009E-2</v>
          </cell>
          <cell r="DJ28">
            <v>3.0000000000000027E-2</v>
          </cell>
          <cell r="DL28">
            <v>0.1100000000000001</v>
          </cell>
          <cell r="DM28">
            <v>-7.0000000000000062E-2</v>
          </cell>
          <cell r="DN28">
            <v>0</v>
          </cell>
          <cell r="DO28">
            <v>6.0000000000000053E-2</v>
          </cell>
          <cell r="EP28" t="str">
            <v>--</v>
          </cell>
          <cell r="EQ28" t="str">
            <v>--</v>
          </cell>
          <cell r="ER28" t="str">
            <v>--</v>
          </cell>
          <cell r="ES28" t="str">
            <v>--</v>
          </cell>
          <cell r="ET28" t="str">
            <v>--</v>
          </cell>
          <cell r="EU28" t="str">
            <v>--</v>
          </cell>
          <cell r="EV28" t="str">
            <v>--</v>
          </cell>
          <cell r="EW28" t="str">
            <v>--</v>
          </cell>
          <cell r="EY28" t="str">
            <v>--</v>
          </cell>
          <cell r="EZ28" t="str">
            <v>--</v>
          </cell>
          <cell r="FA28" t="str">
            <v>--</v>
          </cell>
          <cell r="FB28" t="str">
            <v>--</v>
          </cell>
          <cell r="FC28" t="str">
            <v>--</v>
          </cell>
        </row>
        <row r="29">
          <cell r="A29" t="str">
            <v>High-End Computing</v>
          </cell>
          <cell r="CW29" t="str">
            <v>--</v>
          </cell>
          <cell r="CX29">
            <v>-0.10589940897200356</v>
          </cell>
          <cell r="CY29">
            <v>-0.12099458957014619</v>
          </cell>
          <cell r="CZ29">
            <v>-0.21374667683165216</v>
          </cell>
          <cell r="DB29">
            <v>1.7012859392005364E-2</v>
          </cell>
          <cell r="DC29">
            <v>2.0837601772403236E-3</v>
          </cell>
          <cell r="DD29">
            <v>2.173445126389284E-2</v>
          </cell>
          <cell r="DE29">
            <v>0</v>
          </cell>
          <cell r="DG29">
            <v>0</v>
          </cell>
          <cell r="DH29">
            <v>-1.0000000000000009E-2</v>
          </cell>
          <cell r="DI29">
            <v>2.0000000000000018E-2</v>
          </cell>
          <cell r="DJ29">
            <v>3.0000000000000027E-2</v>
          </cell>
          <cell r="DL29">
            <v>0.12000000000000011</v>
          </cell>
          <cell r="DM29">
            <v>-5.0000000000000044E-2</v>
          </cell>
          <cell r="DN29">
            <v>5.0000000000000044E-2</v>
          </cell>
          <cell r="DO29">
            <v>6.0000000000000053E-2</v>
          </cell>
          <cell r="EP29" t="str">
            <v>--</v>
          </cell>
          <cell r="EQ29" t="str">
            <v>--</v>
          </cell>
          <cell r="ER29" t="str">
            <v>--</v>
          </cell>
          <cell r="ES29" t="str">
            <v>--</v>
          </cell>
          <cell r="ET29" t="str">
            <v>--</v>
          </cell>
          <cell r="EU29" t="str">
            <v>--</v>
          </cell>
          <cell r="EV29" t="str">
            <v>--</v>
          </cell>
          <cell r="EW29" t="str">
            <v>--</v>
          </cell>
          <cell r="EY29" t="str">
            <v>--</v>
          </cell>
          <cell r="EZ29" t="str">
            <v>--</v>
          </cell>
          <cell r="FA29" t="str">
            <v>--</v>
          </cell>
          <cell r="FB29" t="str">
            <v>--</v>
          </cell>
          <cell r="FC29" t="str">
            <v>--</v>
          </cell>
        </row>
        <row r="30">
          <cell r="A30" t="str">
            <v>Medical/Industrial/Aerospace</v>
          </cell>
          <cell r="CW30" t="str">
            <v>--</v>
          </cell>
          <cell r="CX30">
            <v>2.1829246889138787E-2</v>
          </cell>
          <cell r="CY30">
            <v>-5.9952547179184079E-2</v>
          </cell>
          <cell r="CZ30">
            <v>-0.24317861941014651</v>
          </cell>
          <cell r="DB30">
            <v>1.7012859392005364E-2</v>
          </cell>
          <cell r="DC30">
            <v>2.0837601772401015E-3</v>
          </cell>
          <cell r="DD30">
            <v>-0.13152571642569111</v>
          </cell>
          <cell r="DE30">
            <v>3.0000000000000027E-2</v>
          </cell>
          <cell r="DG30">
            <v>7.0000000000000062E-2</v>
          </cell>
          <cell r="DH30">
            <v>2.0000000000000018E-2</v>
          </cell>
          <cell r="DI30">
            <v>4.0000000000000036E-2</v>
          </cell>
          <cell r="DJ30">
            <v>4.0000000000000036E-2</v>
          </cell>
          <cell r="DL30">
            <v>8.0000000000000071E-2</v>
          </cell>
          <cell r="DM30">
            <v>0</v>
          </cell>
          <cell r="DN30">
            <v>3.0000000000000027E-2</v>
          </cell>
          <cell r="DO30">
            <v>4.0000000000000036E-2</v>
          </cell>
          <cell r="EP30" t="str">
            <v>--</v>
          </cell>
          <cell r="EQ30" t="str">
            <v>--</v>
          </cell>
          <cell r="ER30" t="str">
            <v>--</v>
          </cell>
          <cell r="ES30" t="str">
            <v>--</v>
          </cell>
          <cell r="ET30" t="str">
            <v>--</v>
          </cell>
          <cell r="EU30" t="str">
            <v>--</v>
          </cell>
          <cell r="EV30" t="str">
            <v>--</v>
          </cell>
          <cell r="EW30" t="str">
            <v>--</v>
          </cell>
          <cell r="EY30" t="str">
            <v>--</v>
          </cell>
          <cell r="EZ30" t="str">
            <v>--</v>
          </cell>
          <cell r="FA30" t="str">
            <v>--</v>
          </cell>
          <cell r="FB30" t="str">
            <v>--</v>
          </cell>
          <cell r="FC30" t="str">
            <v>--</v>
          </cell>
        </row>
        <row r="31">
          <cell r="A31" t="str">
            <v>Multimedia</v>
          </cell>
          <cell r="CW31" t="str">
            <v>--</v>
          </cell>
          <cell r="CX31">
            <v>-0.29257975215367316</v>
          </cell>
          <cell r="CY31">
            <v>0.3166994625369004</v>
          </cell>
          <cell r="CZ31">
            <v>4.0629398311048393E-2</v>
          </cell>
          <cell r="DB31">
            <v>1.7012859392005364E-2</v>
          </cell>
          <cell r="DC31">
            <v>-0.29854136787593188</v>
          </cell>
          <cell r="DD31">
            <v>-6.9491839027526425E-2</v>
          </cell>
          <cell r="DE31">
            <v>5.0000000000000044E-2</v>
          </cell>
          <cell r="DG31">
            <v>0.12000000000000011</v>
          </cell>
          <cell r="DH31">
            <v>-9.9999999999999978E-2</v>
          </cell>
          <cell r="DI31">
            <v>4.0000000000000036E-2</v>
          </cell>
          <cell r="DJ31">
            <v>5.0000000000000044E-2</v>
          </cell>
          <cell r="DL31">
            <v>0.25</v>
          </cell>
          <cell r="DM31">
            <v>-0.11999999999999988</v>
          </cell>
          <cell r="DN31">
            <v>2.0000000000000018E-2</v>
          </cell>
          <cell r="DO31">
            <v>7.0000000000000062E-2</v>
          </cell>
          <cell r="EP31" t="str">
            <v>--</v>
          </cell>
          <cell r="EQ31" t="str">
            <v>--</v>
          </cell>
          <cell r="ER31" t="str">
            <v>--</v>
          </cell>
          <cell r="ES31" t="str">
            <v>--</v>
          </cell>
          <cell r="ET31" t="str">
            <v>--</v>
          </cell>
          <cell r="EU31" t="str">
            <v>--</v>
          </cell>
          <cell r="EV31" t="str">
            <v>--</v>
          </cell>
          <cell r="EW31" t="str">
            <v>--</v>
          </cell>
          <cell r="EY31" t="str">
            <v>--</v>
          </cell>
          <cell r="EZ31" t="str">
            <v>--</v>
          </cell>
          <cell r="FA31" t="str">
            <v>--</v>
          </cell>
          <cell r="FB31" t="str">
            <v>--</v>
          </cell>
          <cell r="FC31" t="str">
            <v>--</v>
          </cell>
        </row>
        <row r="33">
          <cell r="A33" t="str">
            <v>Revenue Growth (Yr-Yr)</v>
          </cell>
          <cell r="CW33" t="str">
            <v>--</v>
          </cell>
          <cell r="CX33" t="str">
            <v>--</v>
          </cell>
          <cell r="CY33" t="str">
            <v>--</v>
          </cell>
          <cell r="CZ33" t="str">
            <v>--</v>
          </cell>
          <cell r="DB33">
            <v>-0.40852290688236426</v>
          </cell>
          <cell r="DC33">
            <v>-0.2459381362054246</v>
          </cell>
          <cell r="DD33">
            <v>-7.8949331456720562E-2</v>
          </cell>
          <cell r="DE33">
            <v>0.13465741075032511</v>
          </cell>
          <cell r="DG33">
            <v>0.11856596654762841</v>
          </cell>
          <cell r="DH33">
            <v>6.0479682026458592E-2</v>
          </cell>
          <cell r="DI33">
            <v>-9.6445194497561948E-3</v>
          </cell>
          <cell r="DJ33">
            <v>-1.0388063569542583E-2</v>
          </cell>
          <cell r="DL33">
            <v>0.12212195194110231</v>
          </cell>
          <cell r="DM33">
            <v>0.11134295446197373</v>
          </cell>
          <cell r="DN33">
            <v>0.11267577332427736</v>
          </cell>
          <cell r="DO33">
            <v>0.13845709039080534</v>
          </cell>
          <cell r="EP33" t="str">
            <v>--</v>
          </cell>
          <cell r="EQ33">
            <v>0.20684600495434546</v>
          </cell>
          <cell r="ER33">
            <v>0.61762099811568305</v>
          </cell>
          <cell r="ES33">
            <v>-4.3654056920545914E-2</v>
          </cell>
          <cell r="ET33" t="str">
            <v>--</v>
          </cell>
          <cell r="EU33">
            <v>-0.18872708048887377</v>
          </cell>
          <cell r="EV33">
            <v>3.7352469342148087E-2</v>
          </cell>
          <cell r="EW33">
            <v>0.12129762852677439</v>
          </cell>
          <cell r="EY33">
            <v>0</v>
          </cell>
          <cell r="EZ33">
            <v>0</v>
          </cell>
          <cell r="FA33">
            <v>1.7880154309582341E-2</v>
          </cell>
          <cell r="FB33">
            <v>0</v>
          </cell>
          <cell r="FC33">
            <v>-3.7635508690076924E-2</v>
          </cell>
          <cell r="FD33">
            <v>4.0499136934870839E-2</v>
          </cell>
          <cell r="FX33">
            <v>-7.8949331456720562E-2</v>
          </cell>
          <cell r="FY33">
            <v>-0.10909166893033073</v>
          </cell>
        </row>
        <row r="34">
          <cell r="A34" t="str">
            <v>Communications</v>
          </cell>
          <cell r="CW34" t="str">
            <v>--</v>
          </cell>
          <cell r="CX34" t="str">
            <v>--</v>
          </cell>
          <cell r="CY34" t="str">
            <v>--</v>
          </cell>
          <cell r="CZ34" t="str">
            <v>--</v>
          </cell>
          <cell r="DB34">
            <v>-0.58958732314286499</v>
          </cell>
          <cell r="DC34">
            <v>-0.48659617784199116</v>
          </cell>
          <cell r="DD34">
            <v>-0.33598672732926371</v>
          </cell>
          <cell r="DE34">
            <v>-0.22136194148805244</v>
          </cell>
          <cell r="DG34">
            <v>-0.16908493646350264</v>
          </cell>
          <cell r="DH34">
            <v>-0.16303913346643917</v>
          </cell>
          <cell r="DI34">
            <v>-0.20415872248242284</v>
          </cell>
          <cell r="DJ34">
            <v>-0.14500000000000013</v>
          </cell>
          <cell r="DL34">
            <v>0.12682885686176903</v>
          </cell>
          <cell r="DM34">
            <v>0.12682885686176926</v>
          </cell>
          <cell r="DN34">
            <v>0.13809714543038676</v>
          </cell>
          <cell r="DO34">
            <v>0.16085908833899465</v>
          </cell>
          <cell r="EP34" t="str">
            <v>--</v>
          </cell>
          <cell r="EQ34" t="str">
            <v>--</v>
          </cell>
          <cell r="ER34" t="str">
            <v>--</v>
          </cell>
          <cell r="ES34" t="str">
            <v>--</v>
          </cell>
          <cell r="ET34" t="str">
            <v>--</v>
          </cell>
          <cell r="EU34">
            <v>-0.44510105808910783</v>
          </cell>
          <cell r="EV34">
            <v>-0.17086045428156849</v>
          </cell>
          <cell r="EW34">
            <v>0.13800641375619804</v>
          </cell>
          <cell r="EY34">
            <v>0</v>
          </cell>
          <cell r="EZ34">
            <v>0</v>
          </cell>
          <cell r="FA34">
            <v>1.34011803473234</v>
          </cell>
          <cell r="FB34">
            <v>0</v>
          </cell>
          <cell r="FC34">
            <v>-0.33124826920910044</v>
          </cell>
        </row>
        <row r="35">
          <cell r="A35" t="str">
            <v>PCs</v>
          </cell>
          <cell r="CW35" t="str">
            <v>--</v>
          </cell>
          <cell r="CX35" t="str">
            <v>--</v>
          </cell>
          <cell r="CY35" t="str">
            <v>--</v>
          </cell>
          <cell r="CZ35" t="str">
            <v>--</v>
          </cell>
          <cell r="DB35">
            <v>-0.22032564998129844</v>
          </cell>
          <cell r="DC35">
            <v>0.3493738615271349</v>
          </cell>
          <cell r="DD35">
            <v>0.79604880365939512</v>
          </cell>
          <cell r="DE35">
            <v>1.273965244369708</v>
          </cell>
          <cell r="DG35">
            <v>0.68732760753804589</v>
          </cell>
          <cell r="DH35">
            <v>0.33566460632146544</v>
          </cell>
          <cell r="DI35">
            <v>8.3343359281525142E-2</v>
          </cell>
          <cell r="DJ35">
            <v>8.2361950664282535E-3</v>
          </cell>
          <cell r="DL35">
            <v>7.390169000000002E-2</v>
          </cell>
          <cell r="DM35">
            <v>7.390169000000002E-2</v>
          </cell>
          <cell r="DN35">
            <v>6.326900000000002E-2</v>
          </cell>
          <cell r="DO35">
            <v>9.4238000000000044E-2</v>
          </cell>
          <cell r="EP35" t="str">
            <v>--</v>
          </cell>
          <cell r="EQ35" t="str">
            <v>--</v>
          </cell>
          <cell r="ER35" t="str">
            <v>--</v>
          </cell>
          <cell r="ES35" t="str">
            <v>--</v>
          </cell>
          <cell r="ET35" t="str">
            <v>--</v>
          </cell>
          <cell r="EU35">
            <v>0.42858481970094831</v>
          </cell>
          <cell r="EV35">
            <v>0.23149347580070501</v>
          </cell>
          <cell r="EW35">
            <v>7.6426637917377915E-2</v>
          </cell>
          <cell r="EY35">
            <v>0</v>
          </cell>
          <cell r="EZ35">
            <v>0</v>
          </cell>
          <cell r="FA35">
            <v>0</v>
          </cell>
          <cell r="FB35">
            <v>0</v>
          </cell>
          <cell r="FC35">
            <v>0.74973520180316888</v>
          </cell>
        </row>
        <row r="36">
          <cell r="A36" t="str">
            <v>High-End Computing</v>
          </cell>
          <cell r="CW36" t="str">
            <v>--</v>
          </cell>
          <cell r="CX36" t="str">
            <v>--</v>
          </cell>
          <cell r="CY36" t="str">
            <v>--</v>
          </cell>
          <cell r="CZ36" t="str">
            <v>--</v>
          </cell>
          <cell r="DB36">
            <v>-0.37155558856251203</v>
          </cell>
          <cell r="DC36">
            <v>-0.29565650085122075</v>
          </cell>
          <cell r="DD36">
            <v>-0.18128829462819607</v>
          </cell>
          <cell r="DE36">
            <v>4.1282346601295483E-2</v>
          </cell>
          <cell r="DG36">
            <v>2.3863500825150874E-2</v>
          </cell>
          <cell r="DH36">
            <v>1.1517106751253836E-2</v>
          </cell>
          <cell r="DI36">
            <v>9.8000000000000309E-3</v>
          </cell>
          <cell r="DJ36">
            <v>4.0094000000000074E-2</v>
          </cell>
          <cell r="DL36">
            <v>0.16490528000000015</v>
          </cell>
          <cell r="DM36">
            <v>0.11783840000000012</v>
          </cell>
          <cell r="DN36">
            <v>0.15071600000000029</v>
          </cell>
          <cell r="DO36">
            <v>0.18423200000000017</v>
          </cell>
          <cell r="EP36" t="str">
            <v>--</v>
          </cell>
          <cell r="EQ36" t="str">
            <v>--</v>
          </cell>
          <cell r="ER36" t="str">
            <v>--</v>
          </cell>
          <cell r="ES36" t="str">
            <v>--</v>
          </cell>
          <cell r="ET36" t="str">
            <v>--</v>
          </cell>
          <cell r="EU36">
            <v>-0.22828429723268717</v>
          </cell>
          <cell r="EV36">
            <v>2.1356368744486875E-2</v>
          </cell>
          <cell r="EW36">
            <v>0.15480032659470777</v>
          </cell>
          <cell r="EY36">
            <v>0</v>
          </cell>
          <cell r="EZ36">
            <v>0</v>
          </cell>
          <cell r="FA36">
            <v>3.1371099137152703</v>
          </cell>
          <cell r="FB36">
            <v>0</v>
          </cell>
          <cell r="FC36">
            <v>-0.12517720662448339</v>
          </cell>
        </row>
        <row r="37">
          <cell r="A37" t="str">
            <v>Medical/Industrial/Aerospace</v>
          </cell>
          <cell r="CW37" t="str">
            <v>--</v>
          </cell>
          <cell r="CX37" t="str">
            <v>--</v>
          </cell>
          <cell r="CY37" t="str">
            <v>--</v>
          </cell>
          <cell r="CZ37" t="str">
            <v>--</v>
          </cell>
          <cell r="DB37">
            <v>-0.26065363360295524</v>
          </cell>
          <cell r="DC37">
            <v>-0.27494051558213906</v>
          </cell>
          <cell r="DD37">
            <v>-0.33014496833216034</v>
          </cell>
          <cell r="DE37">
            <v>-8.8357305550565646E-2</v>
          </cell>
          <cell r="DG37">
            <v>-4.0860030379511025E-2</v>
          </cell>
          <cell r="DH37">
            <v>-2.371158191420919E-2</v>
          </cell>
          <cell r="DI37">
            <v>0.16910767999999998</v>
          </cell>
          <cell r="DJ37">
            <v>0.1804582400000001</v>
          </cell>
          <cell r="DL37">
            <v>0.19149056000000009</v>
          </cell>
          <cell r="DM37">
            <v>0.16812800000000006</v>
          </cell>
          <cell r="DN37">
            <v>0.15689600000000037</v>
          </cell>
          <cell r="DO37">
            <v>0.15689600000000015</v>
          </cell>
          <cell r="EP37" t="str">
            <v>--</v>
          </cell>
          <cell r="EQ37" t="str">
            <v>--</v>
          </cell>
          <cell r="ER37" t="str">
            <v>--</v>
          </cell>
          <cell r="ES37" t="str">
            <v>--</v>
          </cell>
          <cell r="ET37" t="str">
            <v>--</v>
          </cell>
          <cell r="EU37">
            <v>-0.2488171937232162</v>
          </cell>
          <cell r="EV37">
            <v>6.4825587077729008E-2</v>
          </cell>
          <cell r="EW37">
            <v>0.16790241677692719</v>
          </cell>
          <cell r="EY37">
            <v>0</v>
          </cell>
          <cell r="EZ37">
            <v>0</v>
          </cell>
          <cell r="FA37">
            <v>2.7906772278134135</v>
          </cell>
          <cell r="FB37">
            <v>0</v>
          </cell>
          <cell r="FC37">
            <v>-0.20080264979830498</v>
          </cell>
        </row>
        <row r="38">
          <cell r="A38" t="str">
            <v>Multimedia</v>
          </cell>
          <cell r="CW38" t="str">
            <v>--</v>
          </cell>
          <cell r="CX38" t="str">
            <v>--</v>
          </cell>
          <cell r="CY38" t="str">
            <v>--</v>
          </cell>
          <cell r="CZ38" t="str">
            <v>--</v>
          </cell>
          <cell r="DB38">
            <v>-1.4204844803940242E-2</v>
          </cell>
          <cell r="DC38">
            <v>-2.2512398784809595E-2</v>
          </cell>
          <cell r="DD38">
            <v>-0.30921199859254056</v>
          </cell>
          <cell r="DE38">
            <v>-0.30299162924375789</v>
          </cell>
          <cell r="DG38">
            <v>-0.23240953343138437</v>
          </cell>
          <cell r="DH38">
            <v>-1.5150162426733726E-2</v>
          </cell>
          <cell r="DI38">
            <v>0.10073600000000016</v>
          </cell>
          <cell r="DJ38">
            <v>0.10073600000000016</v>
          </cell>
          <cell r="DL38">
            <v>0.22849999999999993</v>
          </cell>
          <cell r="DM38">
            <v>0.20120000000000005</v>
          </cell>
          <cell r="DN38">
            <v>0.17810000000000015</v>
          </cell>
          <cell r="DO38">
            <v>0.20054000000000016</v>
          </cell>
          <cell r="EP38" t="str">
            <v>--</v>
          </cell>
          <cell r="EQ38" t="str">
            <v>--</v>
          </cell>
          <cell r="ER38" t="str">
            <v>--</v>
          </cell>
          <cell r="ES38" t="str">
            <v>--</v>
          </cell>
          <cell r="ET38" t="str">
            <v>--</v>
          </cell>
          <cell r="EU38">
            <v>-0.16957011752317108</v>
          </cell>
          <cell r="EV38">
            <v>-3.5612781727360709E-2</v>
          </cell>
          <cell r="EW38">
            <v>0.20251710275479207</v>
          </cell>
          <cell r="EY38">
            <v>0</v>
          </cell>
          <cell r="EZ38">
            <v>0</v>
          </cell>
          <cell r="FA38">
            <v>0</v>
          </cell>
          <cell r="FB38">
            <v>0</v>
          </cell>
          <cell r="FC38">
            <v>-0.23003569550715719</v>
          </cell>
        </row>
        <row r="39">
          <cell r="A39" t="str">
            <v xml:space="preserve">                                                                                                                                                                                                                                                               </v>
          </cell>
          <cell r="G39" t="str">
            <v xml:space="preserve"> </v>
          </cell>
          <cell r="BE39" t="str">
            <v/>
          </cell>
          <cell r="EU39" t="str">
            <v xml:space="preserve"> </v>
          </cell>
        </row>
        <row r="40">
          <cell r="A40" t="str">
            <v>Cost of Goods</v>
          </cell>
          <cell r="B40" t="str">
            <v>cogs</v>
          </cell>
          <cell r="D40">
            <v>16.149999999999999</v>
          </cell>
          <cell r="E40">
            <v>16.420999999999999</v>
          </cell>
          <cell r="F40">
            <v>16.428000000000001</v>
          </cell>
          <cell r="G40">
            <v>18.584</v>
          </cell>
          <cell r="I40">
            <v>21.170999999999999</v>
          </cell>
          <cell r="J40">
            <v>21.175000000000001</v>
          </cell>
          <cell r="K40">
            <v>21.901</v>
          </cell>
          <cell r="L40">
            <v>22.928000000000001</v>
          </cell>
          <cell r="N40">
            <v>26.74</v>
          </cell>
          <cell r="O40">
            <v>30.294</v>
          </cell>
          <cell r="P40">
            <v>34.298000000000002</v>
          </cell>
          <cell r="Q40">
            <v>37.317</v>
          </cell>
          <cell r="S40">
            <v>39.543999999999997</v>
          </cell>
          <cell r="T40">
            <v>48.042000000000002</v>
          </cell>
          <cell r="U40">
            <v>54.158000000000001</v>
          </cell>
          <cell r="V40">
            <v>59.786999999999999</v>
          </cell>
          <cell r="X40">
            <v>67.805000000000007</v>
          </cell>
          <cell r="Y40">
            <v>73.995000000000005</v>
          </cell>
          <cell r="Z40">
            <v>80.832999999999998</v>
          </cell>
          <cell r="AA40">
            <v>87.814999999999998</v>
          </cell>
          <cell r="AC40">
            <v>97.322999999999993</v>
          </cell>
          <cell r="AD40">
            <v>105.78700000000001</v>
          </cell>
          <cell r="AE40">
            <v>117.304</v>
          </cell>
          <cell r="AF40">
            <v>127.61619999999999</v>
          </cell>
          <cell r="AH40">
            <v>124.43</v>
          </cell>
          <cell r="AI40">
            <v>134.52000000000001</v>
          </cell>
          <cell r="AJ40">
            <v>153.708</v>
          </cell>
          <cell r="AK40">
            <v>151.255</v>
          </cell>
          <cell r="AM40">
            <v>162.17599999999999</v>
          </cell>
          <cell r="AN40">
            <v>175.17400000000001</v>
          </cell>
          <cell r="AO40">
            <v>195.40100000000001</v>
          </cell>
          <cell r="AP40">
            <v>194.23</v>
          </cell>
          <cell r="AR40">
            <v>174.64099999999999</v>
          </cell>
          <cell r="AS40">
            <v>189.708</v>
          </cell>
          <cell r="AT40">
            <v>210.67599999999999</v>
          </cell>
          <cell r="AU40">
            <v>208.92400000000001</v>
          </cell>
          <cell r="AW40">
            <v>215.75800000000001</v>
          </cell>
          <cell r="AX40">
            <v>219.52500000000001</v>
          </cell>
          <cell r="AY40">
            <v>243.12200000000001</v>
          </cell>
          <cell r="AZ40">
            <v>276.69900000000001</v>
          </cell>
          <cell r="BB40">
            <v>381.72199999999998</v>
          </cell>
          <cell r="BC40">
            <v>467.94799999999998</v>
          </cell>
          <cell r="BD40">
            <v>490.58100000000002</v>
          </cell>
          <cell r="BE40">
            <v>510.32600000000002</v>
          </cell>
          <cell r="BG40">
            <v>418.83499999999998</v>
          </cell>
          <cell r="BH40">
            <v>435.44600000000003</v>
          </cell>
          <cell r="BI40">
            <v>453.61799999999999</v>
          </cell>
          <cell r="BJ40">
            <v>493.23700000000002</v>
          </cell>
          <cell r="BL40">
            <v>593.27</v>
          </cell>
          <cell r="BM40">
            <v>684.42700000000002</v>
          </cell>
          <cell r="BN40">
            <v>769.12</v>
          </cell>
          <cell r="BO40">
            <v>814.125</v>
          </cell>
          <cell r="BQ40">
            <v>349.42599999999999</v>
          </cell>
          <cell r="BR40">
            <v>393.80099999999999</v>
          </cell>
          <cell r="BS40">
            <v>422.83699999999999</v>
          </cell>
          <cell r="BT40">
            <v>438.108</v>
          </cell>
          <cell r="BV40">
            <v>455.72899999999998</v>
          </cell>
          <cell r="BW40">
            <v>475.32</v>
          </cell>
          <cell r="BX40">
            <v>494.517</v>
          </cell>
          <cell r="BY40">
            <v>544.01599999999996</v>
          </cell>
          <cell r="CA40">
            <v>644.04899999999998</v>
          </cell>
          <cell r="CB40">
            <v>738.53399999999999</v>
          </cell>
          <cell r="CC40">
            <v>835.72400000000005</v>
          </cell>
          <cell r="CD40">
            <v>1047.9839999999999</v>
          </cell>
          <cell r="CF40">
            <v>1144.394</v>
          </cell>
          <cell r="CH40">
            <v>507.339</v>
          </cell>
          <cell r="CI40">
            <v>522.875</v>
          </cell>
          <cell r="CJ40">
            <v>544.08500000000004</v>
          </cell>
          <cell r="CK40">
            <v>604.28899999999999</v>
          </cell>
          <cell r="CM40">
            <v>707.21600000000001</v>
          </cell>
          <cell r="CN40">
            <v>801.71500000000003</v>
          </cell>
          <cell r="CO40">
            <v>909.69399999999996</v>
          </cell>
          <cell r="CP40">
            <v>1126.2629999999999</v>
          </cell>
          <cell r="CR40">
            <v>1222.673</v>
          </cell>
          <cell r="CS40">
            <v>948.74099999999999</v>
          </cell>
          <cell r="CT40">
            <v>680.23099999999999</v>
          </cell>
          <cell r="CU40">
            <v>552.34299999999996</v>
          </cell>
          <cell r="CW40">
            <v>3650.5329999999999</v>
          </cell>
          <cell r="CX40">
            <v>2832.2220000000002</v>
          </cell>
          <cell r="CY40">
            <v>2620.2289999999998</v>
          </cell>
          <cell r="CZ40">
            <v>2236.8310000000001</v>
          </cell>
          <cell r="DB40">
            <v>2296.8989999999999</v>
          </cell>
          <cell r="DC40">
            <v>2311.0590000000002</v>
          </cell>
          <cell r="DD40">
            <v>2508.3000000000002</v>
          </cell>
          <cell r="DE40">
            <v>2569.1345115018003</v>
          </cell>
          <cell r="DG40">
            <v>2567.7135430085523</v>
          </cell>
          <cell r="DH40">
            <v>2434.3326286986403</v>
          </cell>
          <cell r="DI40">
            <v>2454.9841016088794</v>
          </cell>
          <cell r="DJ40">
            <v>2505.2526088626851</v>
          </cell>
          <cell r="DL40">
            <v>2839.0046844150716</v>
          </cell>
          <cell r="DM40">
            <v>2674.1187911697302</v>
          </cell>
          <cell r="DN40">
            <v>2711.409982820569</v>
          </cell>
          <cell r="DO40">
            <v>2840.0245147796604</v>
          </cell>
          <cell r="DQ40">
            <v>47.748000000000005</v>
          </cell>
          <cell r="DR40">
            <v>54.927</v>
          </cell>
          <cell r="DS40">
            <v>67.573999999999998</v>
          </cell>
          <cell r="DT40">
            <v>87.174999999999997</v>
          </cell>
          <cell r="DU40">
            <v>128.649</v>
          </cell>
          <cell r="DV40">
            <v>201.53100000000001</v>
          </cell>
          <cell r="DW40">
            <v>310.44799999999998</v>
          </cell>
          <cell r="DX40">
            <v>305.22699999999998</v>
          </cell>
          <cell r="DY40">
            <v>448.03019999999998</v>
          </cell>
          <cell r="DZ40">
            <v>563.91300000000001</v>
          </cell>
          <cell r="EA40">
            <v>726.98099999999999</v>
          </cell>
          <cell r="EB40">
            <v>640.64400000000001</v>
          </cell>
          <cell r="EC40">
            <v>783.94899999999996</v>
          </cell>
          <cell r="EE40">
            <v>955.10400000000004</v>
          </cell>
          <cell r="EF40">
            <v>1850.577</v>
          </cell>
          <cell r="EH40">
            <v>1485.2070000000001</v>
          </cell>
          <cell r="EI40">
            <v>1801.136</v>
          </cell>
          <cell r="EK40">
            <v>1212.4069999999999</v>
          </cell>
          <cell r="EL40">
            <v>1604.1719999999998</v>
          </cell>
          <cell r="EM40">
            <v>1969.5819999999999</v>
          </cell>
          <cell r="EN40">
            <v>3266.2910000000002</v>
          </cell>
          <cell r="EP40">
            <v>1809.106</v>
          </cell>
          <cell r="EQ40">
            <v>2178.5879999999997</v>
          </cell>
          <cell r="ER40">
            <v>3544.8879999999999</v>
          </cell>
          <cell r="ES40">
            <v>3403.9879999999994</v>
          </cell>
          <cell r="ET40">
            <v>11339.815000000001</v>
          </cell>
          <cell r="EU40">
            <v>9685.392511501801</v>
          </cell>
          <cell r="EV40">
            <v>9962.2828821787571</v>
          </cell>
          <cell r="EW40">
            <v>11064.55797318503</v>
          </cell>
          <cell r="EY40">
            <v>2378.4650000000001</v>
          </cell>
          <cell r="EZ40">
            <v>4060.3450000000003</v>
          </cell>
          <cell r="FA40">
            <v>4478.2139999999999</v>
          </cell>
          <cell r="FC40">
            <v>9956.2070545103525</v>
          </cell>
        </row>
        <row r="41">
          <cell r="EC41" t="str">
            <v xml:space="preserve"> </v>
          </cell>
          <cell r="ER41" t="str">
            <v xml:space="preserve"> </v>
          </cell>
          <cell r="EU41" t="str">
            <v xml:space="preserve"> </v>
          </cell>
        </row>
        <row r="42">
          <cell r="A42" t="str">
            <v>Gross Profit</v>
          </cell>
          <cell r="B42" t="str">
            <v>gp</v>
          </cell>
          <cell r="D42">
            <v>4.2290000000000028</v>
          </cell>
          <cell r="E42">
            <v>4.9000000000000021</v>
          </cell>
          <cell r="F42">
            <v>5.6319999999999979</v>
          </cell>
          <cell r="G42">
            <v>6.13</v>
          </cell>
          <cell r="I42">
            <v>6.8710000000000022</v>
          </cell>
          <cell r="J42">
            <v>6.7100000000000009</v>
          </cell>
          <cell r="K42">
            <v>6.9969999999999999</v>
          </cell>
          <cell r="L42">
            <v>7.3719999999999999</v>
          </cell>
          <cell r="N42">
            <v>8.0090000000000039</v>
          </cell>
          <cell r="O42">
            <v>9.0509999999999984</v>
          </cell>
          <cell r="P42">
            <v>10.290999999999997</v>
          </cell>
          <cell r="Q42">
            <v>11.789000000000001</v>
          </cell>
          <cell r="S42">
            <v>12.626000000000005</v>
          </cell>
          <cell r="T42">
            <v>15.18</v>
          </cell>
          <cell r="U42">
            <v>17.024000000000001</v>
          </cell>
          <cell r="V42">
            <v>18.714999999999996</v>
          </cell>
          <cell r="X42">
            <v>21.062999999999988</v>
          </cell>
          <cell r="Y42">
            <v>22.704999999999998</v>
          </cell>
          <cell r="Z42">
            <v>24.573000000000008</v>
          </cell>
          <cell r="AA42">
            <v>26.423000000000002</v>
          </cell>
          <cell r="AC42">
            <v>27.851000000000013</v>
          </cell>
          <cell r="AD42">
            <v>28.036000000000001</v>
          </cell>
          <cell r="AE42">
            <v>32.894000000000005</v>
          </cell>
          <cell r="AF42">
            <v>32.975800000000021</v>
          </cell>
          <cell r="AH42">
            <v>34.676999999999992</v>
          </cell>
          <cell r="AI42">
            <v>37.625999999999976</v>
          </cell>
          <cell r="AJ42">
            <v>43.431000000000012</v>
          </cell>
          <cell r="AK42">
            <v>42.933999999999997</v>
          </cell>
          <cell r="AM42">
            <v>44.09</v>
          </cell>
          <cell r="AN42">
            <v>47.539999999999992</v>
          </cell>
          <cell r="AO42">
            <v>53.401999999999987</v>
          </cell>
          <cell r="AP42">
            <v>51.775000000000006</v>
          </cell>
          <cell r="AR42">
            <v>46.03</v>
          </cell>
          <cell r="AS42">
            <v>51.177999999999997</v>
          </cell>
          <cell r="AT42">
            <v>56.941000000000031</v>
          </cell>
          <cell r="AU42">
            <v>53.722999999999985</v>
          </cell>
          <cell r="AW42">
            <v>59.775000000000006</v>
          </cell>
          <cell r="AX42">
            <v>61.614999999999981</v>
          </cell>
          <cell r="AY42">
            <v>66.373999999999967</v>
          </cell>
          <cell r="AZ42">
            <v>71.875999999999976</v>
          </cell>
          <cell r="BB42">
            <v>77.963000000000022</v>
          </cell>
          <cell r="BC42">
            <v>87.364000000000033</v>
          </cell>
          <cell r="BD42">
            <v>94.418999999999997</v>
          </cell>
          <cell r="BE42">
            <v>99.673999999999992</v>
          </cell>
          <cell r="BG42">
            <v>92.208000000000027</v>
          </cell>
          <cell r="BH42">
            <v>99.919999999999959</v>
          </cell>
          <cell r="BI42">
            <v>107.39600000000002</v>
          </cell>
          <cell r="BJ42">
            <v>116.91399999999993</v>
          </cell>
          <cell r="BL42">
            <v>116.29200000000003</v>
          </cell>
          <cell r="BM42">
            <v>133.90999999999997</v>
          </cell>
          <cell r="BN42">
            <v>150.88</v>
          </cell>
          <cell r="BO42">
            <v>160.875</v>
          </cell>
          <cell r="BQ42">
            <v>86.37299999999999</v>
          </cell>
          <cell r="BR42">
            <v>89.209000000000003</v>
          </cell>
          <cell r="BS42">
            <v>76.649000000000001</v>
          </cell>
          <cell r="BT42">
            <v>85.050999999999988</v>
          </cell>
          <cell r="BV42">
            <v>93.009000000000071</v>
          </cell>
          <cell r="BW42">
            <v>101.01299999999998</v>
          </cell>
          <cell r="BX42">
            <v>110.10499999999996</v>
          </cell>
          <cell r="BY42">
            <v>120.274</v>
          </cell>
          <cell r="CA42">
            <v>119.65200000000004</v>
          </cell>
          <cell r="CB42">
            <v>136.71299999999997</v>
          </cell>
          <cell r="CC42">
            <v>164.9079999999999</v>
          </cell>
          <cell r="CD42">
            <v>223.99500000000012</v>
          </cell>
          <cell r="CF42">
            <v>245.94900000000007</v>
          </cell>
          <cell r="CH42">
            <v>96.04000000000002</v>
          </cell>
          <cell r="CI42">
            <v>104.84799999999996</v>
          </cell>
          <cell r="CJ42">
            <v>114.399</v>
          </cell>
          <cell r="CK42">
            <v>126.70299999999997</v>
          </cell>
          <cell r="CM42">
            <v>130.13900000000001</v>
          </cell>
          <cell r="CN42">
            <v>146.64299999999992</v>
          </cell>
          <cell r="CO42">
            <v>176.48800000000006</v>
          </cell>
          <cell r="CP42">
            <v>240.94400000000019</v>
          </cell>
          <cell r="CR42">
            <v>262.89799999999991</v>
          </cell>
          <cell r="CS42">
            <v>242.39699999999993</v>
          </cell>
          <cell r="CT42">
            <v>96.370999999999981</v>
          </cell>
          <cell r="CU42">
            <v>48.394000000000005</v>
          </cell>
          <cell r="CW42">
            <v>417.63300000000027</v>
          </cell>
          <cell r="CX42">
            <v>365.44799999999987</v>
          </cell>
          <cell r="CY42">
            <v>221.77100000000019</v>
          </cell>
          <cell r="CZ42">
            <v>129.14399999999978</v>
          </cell>
          <cell r="DB42">
            <v>109.32799999999997</v>
          </cell>
          <cell r="DC42">
            <v>100.18199999999979</v>
          </cell>
          <cell r="DD42">
            <v>109.32600000000002</v>
          </cell>
          <cell r="DE42">
            <v>115.4365558982</v>
          </cell>
          <cell r="DG42">
            <v>123.81008697944802</v>
          </cell>
          <cell r="DH42">
            <v>122.73946027051969</v>
          </cell>
          <cell r="DI42">
            <v>137.39615352193306</v>
          </cell>
          <cell r="DJ42">
            <v>151.43096363220897</v>
          </cell>
          <cell r="DL42">
            <v>181.21306496266413</v>
          </cell>
          <cell r="DM42">
            <v>167.66525895750698</v>
          </cell>
          <cell r="DN42">
            <v>173.06872230769588</v>
          </cell>
          <cell r="DO42">
            <v>184.49573525192682</v>
          </cell>
          <cell r="DQ42">
            <v>11.122999999999999</v>
          </cell>
          <cell r="DR42">
            <v>10.169000000000004</v>
          </cell>
          <cell r="DS42">
            <v>20.900000000000006</v>
          </cell>
          <cell r="DT42">
            <v>27.950000000000003</v>
          </cell>
          <cell r="DU42">
            <v>39.139999999999986</v>
          </cell>
          <cell r="DV42">
            <v>63.545000000000016</v>
          </cell>
          <cell r="DW42">
            <v>94.76400000000001</v>
          </cell>
          <cell r="DX42">
            <v>86.755000000000052</v>
          </cell>
          <cell r="DY42">
            <v>121.75680000000004</v>
          </cell>
          <cell r="DZ42">
            <v>158.66800000000001</v>
          </cell>
          <cell r="EA42">
            <v>196.80700000000002</v>
          </cell>
          <cell r="EB42">
            <v>162.41999999999996</v>
          </cell>
          <cell r="EC42">
            <v>207.87200000000001</v>
          </cell>
          <cell r="EE42">
            <v>259.63999999999987</v>
          </cell>
          <cell r="EF42">
            <v>359.42</v>
          </cell>
          <cell r="EH42">
            <v>331.5619999999999</v>
          </cell>
          <cell r="EI42">
            <v>416.43799999999993</v>
          </cell>
          <cell r="EK42">
            <v>310.404</v>
          </cell>
          <cell r="EL42">
            <v>337.28199999999998</v>
          </cell>
          <cell r="EM42">
            <v>424.40100000000001</v>
          </cell>
          <cell r="EN42">
            <v>645.26800000000003</v>
          </cell>
          <cell r="EP42">
            <v>362.32100000000014</v>
          </cell>
          <cell r="EQ42">
            <v>441.98999999999995</v>
          </cell>
          <cell r="ER42">
            <v>694.21400000000017</v>
          </cell>
          <cell r="ES42">
            <v>650.05999999999983</v>
          </cell>
          <cell r="ET42">
            <v>1133.9960000000001</v>
          </cell>
          <cell r="EU42">
            <v>434.27255589819981</v>
          </cell>
          <cell r="EV42">
            <v>535.37666440410976</v>
          </cell>
          <cell r="EW42">
            <v>706.44278147979378</v>
          </cell>
          <cell r="EY42">
            <v>476.08899999999994</v>
          </cell>
          <cell r="EZ42">
            <v>826.97300000000007</v>
          </cell>
          <cell r="FA42">
            <v>496.4899999999999</v>
          </cell>
          <cell r="FC42">
            <v>448.75464287764783</v>
          </cell>
        </row>
        <row r="43">
          <cell r="EC43" t="str">
            <v xml:space="preserve"> </v>
          </cell>
          <cell r="ER43" t="str">
            <v xml:space="preserve"> </v>
          </cell>
          <cell r="EU43" t="str">
            <v xml:space="preserve"> </v>
          </cell>
        </row>
        <row r="44">
          <cell r="A44" t="str">
            <v>SG&amp;A</v>
          </cell>
          <cell r="B44" t="str">
            <v>sga</v>
          </cell>
          <cell r="D44">
            <v>1.6479999999999999</v>
          </cell>
          <cell r="E44">
            <v>1.998</v>
          </cell>
          <cell r="F44">
            <v>2.0430000000000001</v>
          </cell>
          <cell r="G44">
            <v>2.141</v>
          </cell>
          <cell r="I44">
            <v>2.214</v>
          </cell>
          <cell r="J44">
            <v>2.2879999999999998</v>
          </cell>
          <cell r="K44">
            <v>2.3439999999999999</v>
          </cell>
          <cell r="L44">
            <v>2.3940000000000001</v>
          </cell>
          <cell r="N44">
            <v>2.64</v>
          </cell>
          <cell r="O44">
            <v>2.8319999999999999</v>
          </cell>
          <cell r="P44">
            <v>3.09</v>
          </cell>
          <cell r="Q44">
            <v>3.2250000000000001</v>
          </cell>
          <cell r="S44">
            <v>3.3849999999999998</v>
          </cell>
          <cell r="T44">
            <v>3.9910000000000001</v>
          </cell>
          <cell r="U44">
            <v>4.4619999999999997</v>
          </cell>
          <cell r="V44">
            <v>4.7549999999999999</v>
          </cell>
          <cell r="X44">
            <v>5.4009999999999998</v>
          </cell>
          <cell r="Y44">
            <v>5.7949999999999999</v>
          </cell>
          <cell r="Z44">
            <v>6.25</v>
          </cell>
          <cell r="AA44">
            <v>6.6989999999999998</v>
          </cell>
          <cell r="AC44">
            <v>8.9209999999999994</v>
          </cell>
          <cell r="AD44">
            <v>9.7560000000000002</v>
          </cell>
          <cell r="AE44">
            <v>11.244</v>
          </cell>
          <cell r="AF44">
            <v>10.589</v>
          </cell>
          <cell r="AH44">
            <v>9.9949999999999992</v>
          </cell>
          <cell r="AI44">
            <v>10.558999999999999</v>
          </cell>
          <cell r="AJ44">
            <v>11.786</v>
          </cell>
          <cell r="AK44">
            <v>11.505000000000001</v>
          </cell>
          <cell r="AM44">
            <v>14.364000000000001</v>
          </cell>
          <cell r="AN44">
            <v>14.891999999999999</v>
          </cell>
          <cell r="AO44">
            <v>16.111999999999998</v>
          </cell>
          <cell r="AP44">
            <v>16.053000000000001</v>
          </cell>
          <cell r="AR44">
            <v>15.558</v>
          </cell>
          <cell r="AS44">
            <v>16.228000000000002</v>
          </cell>
          <cell r="AT44">
            <v>17.593</v>
          </cell>
          <cell r="AU44">
            <v>17.786000000000001</v>
          </cell>
          <cell r="AW44">
            <v>17.72</v>
          </cell>
          <cell r="AX44">
            <v>17.308</v>
          </cell>
          <cell r="AY44">
            <v>17.923999999999999</v>
          </cell>
          <cell r="AZ44">
            <v>19.484999999999999</v>
          </cell>
          <cell r="BB44">
            <v>20.907</v>
          </cell>
          <cell r="BC44">
            <v>21.463999999999999</v>
          </cell>
          <cell r="BD44">
            <v>23</v>
          </cell>
          <cell r="BE44">
            <v>23.4</v>
          </cell>
          <cell r="BG44">
            <v>35.637999999999998</v>
          </cell>
          <cell r="BH44">
            <v>37.368000000000002</v>
          </cell>
          <cell r="BI44">
            <v>37.972000000000001</v>
          </cell>
          <cell r="BJ44">
            <v>40.137</v>
          </cell>
          <cell r="BL44">
            <v>41.817999999999998</v>
          </cell>
          <cell r="BM44">
            <v>42.076999999999998</v>
          </cell>
          <cell r="BN44">
            <v>44</v>
          </cell>
          <cell r="BO44">
            <v>45.5</v>
          </cell>
          <cell r="BQ44">
            <v>32.372</v>
          </cell>
          <cell r="BR44">
            <v>36.021999999999998</v>
          </cell>
          <cell r="BS44">
            <v>36.308999999999997</v>
          </cell>
          <cell r="BT44">
            <v>36.432000000000002</v>
          </cell>
          <cell r="BV44">
            <v>36.326000000000001</v>
          </cell>
          <cell r="BW44">
            <v>38.069000000000003</v>
          </cell>
          <cell r="BX44">
            <v>38.584000000000003</v>
          </cell>
          <cell r="BY44">
            <v>40.942</v>
          </cell>
          <cell r="CA44">
            <v>42.622999999999998</v>
          </cell>
          <cell r="CB44">
            <v>42.884</v>
          </cell>
          <cell r="CC44">
            <v>52.506</v>
          </cell>
          <cell r="CD44">
            <v>64.257999999999996</v>
          </cell>
          <cell r="CF44">
            <v>68.921000000000006</v>
          </cell>
          <cell r="CH44">
            <v>41.47</v>
          </cell>
          <cell r="CI44">
            <v>43.468000000000004</v>
          </cell>
          <cell r="CJ44">
            <v>42.155999999999999</v>
          </cell>
          <cell r="CK44">
            <v>44.692</v>
          </cell>
          <cell r="CM44">
            <v>46.595999999999997</v>
          </cell>
          <cell r="CN44">
            <v>47.713999999999999</v>
          </cell>
          <cell r="CO44">
            <v>53.238999999999997</v>
          </cell>
          <cell r="CP44">
            <v>71.546000000000006</v>
          </cell>
          <cell r="CR44">
            <v>76.209000000000003</v>
          </cell>
          <cell r="CS44">
            <v>57.228999999999999</v>
          </cell>
          <cell r="CT44">
            <v>42.069000000000003</v>
          </cell>
          <cell r="CU44">
            <v>38.966999999999999</v>
          </cell>
          <cell r="CW44">
            <v>118.744</v>
          </cell>
          <cell r="CX44">
            <v>94.468999999999994</v>
          </cell>
          <cell r="CY44">
            <v>81.760999999999996</v>
          </cell>
          <cell r="CZ44">
            <v>76.730999999999995</v>
          </cell>
          <cell r="DB44">
            <v>71.188000000000002</v>
          </cell>
          <cell r="DC44">
            <v>84.606999999999999</v>
          </cell>
          <cell r="DD44">
            <v>78.608000000000004</v>
          </cell>
          <cell r="DE44">
            <v>83.221703089400009</v>
          </cell>
          <cell r="DG44">
            <v>80.745708899640007</v>
          </cell>
          <cell r="DH44">
            <v>81.826306847013129</v>
          </cell>
          <cell r="DI44">
            <v>80.363787909055191</v>
          </cell>
          <cell r="DJ44">
            <v>79.70050717484682</v>
          </cell>
          <cell r="DL44">
            <v>90.606532481332067</v>
          </cell>
          <cell r="DM44">
            <v>88.095305553944357</v>
          </cell>
          <cell r="DN44">
            <v>86.534361153847939</v>
          </cell>
          <cell r="DO44">
            <v>90.735607500947609</v>
          </cell>
          <cell r="DQ44">
            <v>6.0720000000000001</v>
          </cell>
          <cell r="DR44">
            <v>6.8629999999999995</v>
          </cell>
          <cell r="DS44">
            <v>7.83</v>
          </cell>
          <cell r="DT44">
            <v>9.24</v>
          </cell>
          <cell r="DU44">
            <v>11.786999999999999</v>
          </cell>
          <cell r="DV44">
            <v>16.593</v>
          </cell>
          <cell r="DW44">
            <v>24.144999999999996</v>
          </cell>
          <cell r="DX44">
            <v>29.702999999999999</v>
          </cell>
          <cell r="DY44">
            <v>40.51</v>
          </cell>
          <cell r="DZ44">
            <v>43.844999999999999</v>
          </cell>
          <cell r="EA44">
            <v>61.420999999999992</v>
          </cell>
          <cell r="EB44">
            <v>63.856000000000002</v>
          </cell>
          <cell r="EC44">
            <v>67.165000000000006</v>
          </cell>
          <cell r="EE44">
            <v>72.436999999999998</v>
          </cell>
          <cell r="EF44">
            <v>88.770999999999987</v>
          </cell>
          <cell r="EH44">
            <v>139.042</v>
          </cell>
          <cell r="EI44">
            <v>151.11500000000001</v>
          </cell>
          <cell r="EK44">
            <v>124.90300000000001</v>
          </cell>
          <cell r="EL44">
            <v>141.13499999999999</v>
          </cell>
          <cell r="EM44">
            <v>153.92100000000002</v>
          </cell>
          <cell r="EN44">
            <v>202.27100000000002</v>
          </cell>
          <cell r="EP44">
            <v>155.18</v>
          </cell>
          <cell r="EQ44">
            <v>171.786</v>
          </cell>
          <cell r="ER44">
            <v>219.09500000000003</v>
          </cell>
          <cell r="ES44">
            <v>214.47399999999999</v>
          </cell>
          <cell r="ET44">
            <v>371.70499999999998</v>
          </cell>
          <cell r="EU44">
            <v>317.62470308940004</v>
          </cell>
          <cell r="EV44">
            <v>322.63631083055515</v>
          </cell>
          <cell r="EW44">
            <v>355.97180669007196</v>
          </cell>
          <cell r="EY44">
            <v>176.91200000000001</v>
          </cell>
          <cell r="EZ44">
            <v>248.70800000000003</v>
          </cell>
          <cell r="FA44">
            <v>209.45299999999997</v>
          </cell>
          <cell r="FC44">
            <v>327.18241198904002</v>
          </cell>
        </row>
        <row r="45">
          <cell r="A45" t="str">
            <v>Amortization</v>
          </cell>
          <cell r="B45" t="str">
            <v>amort</v>
          </cell>
          <cell r="D45">
            <v>0.16600000000000001</v>
          </cell>
          <cell r="E45">
            <v>0.16700000000000001</v>
          </cell>
          <cell r="F45">
            <v>0.16600000000000001</v>
          </cell>
          <cell r="G45">
            <v>1.401</v>
          </cell>
          <cell r="I45">
            <v>0.1</v>
          </cell>
          <cell r="J45">
            <v>0.16700000000000001</v>
          </cell>
          <cell r="K45">
            <v>0.16600000000000001</v>
          </cell>
          <cell r="L45">
            <v>0.16600000000000001</v>
          </cell>
          <cell r="N45">
            <v>0</v>
          </cell>
          <cell r="O45">
            <v>0</v>
          </cell>
          <cell r="P45">
            <v>4.9000000000000002E-2</v>
          </cell>
          <cell r="Q45">
            <v>0.24199999999999999</v>
          </cell>
          <cell r="S45">
            <v>0.219</v>
          </cell>
          <cell r="T45">
            <v>0.501</v>
          </cell>
          <cell r="U45">
            <v>0.501</v>
          </cell>
          <cell r="V45">
            <v>0.502</v>
          </cell>
          <cell r="X45">
            <v>0.501</v>
          </cell>
          <cell r="Y45">
            <v>0.502</v>
          </cell>
          <cell r="Z45">
            <v>0.501</v>
          </cell>
          <cell r="AA45">
            <v>0.502</v>
          </cell>
          <cell r="AC45">
            <v>0.501</v>
          </cell>
          <cell r="AD45">
            <v>0.502</v>
          </cell>
          <cell r="AE45">
            <v>0.501</v>
          </cell>
          <cell r="AF45">
            <v>0.502</v>
          </cell>
          <cell r="AH45">
            <v>0.56699999999999995</v>
          </cell>
          <cell r="AI45">
            <v>0.63400000000000001</v>
          </cell>
          <cell r="AJ45">
            <v>0.82499999999999996</v>
          </cell>
          <cell r="AK45">
            <v>0.82499999999999996</v>
          </cell>
          <cell r="AM45">
            <v>0.56699999999999995</v>
          </cell>
          <cell r="AN45">
            <v>0.63400000000000001</v>
          </cell>
          <cell r="AO45">
            <v>0.82499999999999996</v>
          </cell>
          <cell r="AP45">
            <v>0.82499999999999996</v>
          </cell>
          <cell r="AR45">
            <v>0.63600000000000001</v>
          </cell>
          <cell r="AS45">
            <v>0.70299999999999996</v>
          </cell>
          <cell r="AT45">
            <v>0.89400000000000002</v>
          </cell>
          <cell r="AU45">
            <v>0.89400000000000002</v>
          </cell>
          <cell r="AW45">
            <v>0.751</v>
          </cell>
          <cell r="AX45">
            <v>0.80400000000000005</v>
          </cell>
          <cell r="AY45">
            <v>0.85499999999999998</v>
          </cell>
          <cell r="AZ45">
            <v>0.85899999999999999</v>
          </cell>
          <cell r="BB45">
            <v>1.9019999999999999</v>
          </cell>
          <cell r="BC45">
            <v>1.992</v>
          </cell>
          <cell r="BD45">
            <v>2</v>
          </cell>
          <cell r="BE45">
            <v>2</v>
          </cell>
          <cell r="BG45">
            <v>3.828000000000003</v>
          </cell>
          <cell r="BH45">
            <v>3.8529999999999944</v>
          </cell>
          <cell r="BI45">
            <v>3.9039999999999964</v>
          </cell>
          <cell r="BJ45">
            <v>3.9099999999999966</v>
          </cell>
          <cell r="BL45">
            <v>4.953000000000003</v>
          </cell>
          <cell r="BM45">
            <v>5.044000000000004</v>
          </cell>
          <cell r="BN45">
            <v>5</v>
          </cell>
          <cell r="BO45">
            <v>6.75</v>
          </cell>
          <cell r="BQ45">
            <v>2.0070000000000001</v>
          </cell>
          <cell r="BR45">
            <v>3.044</v>
          </cell>
          <cell r="BS45">
            <v>4.0449999999999999</v>
          </cell>
          <cell r="BT45">
            <v>3.9820000000000002</v>
          </cell>
          <cell r="BV45">
            <v>3.894999999999996</v>
          </cell>
          <cell r="BW45">
            <v>3.9199999999999946</v>
          </cell>
          <cell r="BX45">
            <v>3.9709999999999965</v>
          </cell>
          <cell r="BY45">
            <v>3.9769999999999968</v>
          </cell>
          <cell r="CA45">
            <v>5.0199999999999996</v>
          </cell>
          <cell r="CB45">
            <v>5.1109999999999998</v>
          </cell>
          <cell r="CC45">
            <v>5.1100000000000003</v>
          </cell>
          <cell r="CD45">
            <v>6.31</v>
          </cell>
          <cell r="CF45">
            <v>6.3170000000000002</v>
          </cell>
          <cell r="CH45">
            <v>4.1070000000000002</v>
          </cell>
          <cell r="CI45">
            <v>4.2130000000000001</v>
          </cell>
          <cell r="CJ45">
            <v>4.0730000000000004</v>
          </cell>
          <cell r="CK45">
            <v>4.0830000000000002</v>
          </cell>
          <cell r="CM45">
            <v>5.4390000000000001</v>
          </cell>
          <cell r="CN45">
            <v>5.5309999999999997</v>
          </cell>
          <cell r="CO45">
            <v>5.6139999999999999</v>
          </cell>
          <cell r="CP45">
            <v>6.9610000000000003</v>
          </cell>
          <cell r="CR45">
            <v>6.968</v>
          </cell>
          <cell r="CS45">
            <v>6.6989999999999998</v>
          </cell>
          <cell r="CT45">
            <v>6.681</v>
          </cell>
          <cell r="CU45">
            <v>6.0019999999999998</v>
          </cell>
          <cell r="CV45" t="str">
            <v xml:space="preserve"> </v>
          </cell>
          <cell r="CW45">
            <v>6.968</v>
          </cell>
          <cell r="CX45">
            <v>6.6989999999999998</v>
          </cell>
          <cell r="CY45">
            <v>6.681</v>
          </cell>
          <cell r="CZ45">
            <v>6.0019999999999998</v>
          </cell>
          <cell r="DB45">
            <v>2.4780000000000002</v>
          </cell>
          <cell r="DC45">
            <v>1.2509999999999999</v>
          </cell>
          <cell r="DD45">
            <v>1.296</v>
          </cell>
          <cell r="DE45">
            <v>1.296</v>
          </cell>
          <cell r="DG45">
            <v>1.296</v>
          </cell>
          <cell r="DH45">
            <v>1.296</v>
          </cell>
          <cell r="DI45">
            <v>1.296</v>
          </cell>
          <cell r="DJ45">
            <v>1.296</v>
          </cell>
          <cell r="DL45">
            <v>1.296</v>
          </cell>
          <cell r="DM45">
            <v>1.296</v>
          </cell>
          <cell r="DN45">
            <v>1.296</v>
          </cell>
          <cell r="DO45">
            <v>1.296</v>
          </cell>
          <cell r="DQ45">
            <v>1.9</v>
          </cell>
          <cell r="DR45">
            <v>1.9</v>
          </cell>
          <cell r="DS45">
            <v>1.9</v>
          </cell>
          <cell r="DT45">
            <v>1.9</v>
          </cell>
          <cell r="DU45">
            <v>1.9</v>
          </cell>
          <cell r="DV45">
            <v>1.9</v>
          </cell>
          <cell r="DW45">
            <v>1.9</v>
          </cell>
          <cell r="DX45">
            <v>1.9</v>
          </cell>
          <cell r="DY45">
            <v>1.9</v>
          </cell>
          <cell r="DZ45">
            <v>1.9</v>
          </cell>
          <cell r="EA45">
            <v>1.9</v>
          </cell>
          <cell r="EB45">
            <v>2.2829999999999999</v>
          </cell>
          <cell r="EC45">
            <v>1.9</v>
          </cell>
          <cell r="EE45">
            <v>3.2690000000000001</v>
          </cell>
          <cell r="EF45">
            <v>7.8940000000000001</v>
          </cell>
          <cell r="EH45">
            <v>12.850999999999999</v>
          </cell>
          <cell r="EI45">
            <v>15.49499999999999</v>
          </cell>
          <cell r="EK45">
            <v>7.4980000000000002</v>
          </cell>
          <cell r="EL45">
            <v>13.077999999999999</v>
          </cell>
          <cell r="EM45">
            <v>15.762999999999984</v>
          </cell>
          <cell r="EN45">
            <v>21.550999999999998</v>
          </cell>
          <cell r="EP45">
            <v>13.974</v>
          </cell>
          <cell r="EQ45">
            <v>16.475999999999999</v>
          </cell>
          <cell r="ER45">
            <v>23.545000000000002</v>
          </cell>
          <cell r="ES45">
            <v>26.349999999999998</v>
          </cell>
          <cell r="ET45">
            <v>26.349999999999998</v>
          </cell>
          <cell r="EU45">
            <v>6.3210000000000006</v>
          </cell>
          <cell r="EV45">
            <v>5.1840000000000002</v>
          </cell>
          <cell r="EW45">
            <v>5.1840000000000002</v>
          </cell>
          <cell r="EY45">
            <v>17.808</v>
          </cell>
          <cell r="EZ45">
            <v>25.074000000000002</v>
          </cell>
          <cell r="FA45">
            <v>21.86</v>
          </cell>
          <cell r="FC45">
            <v>5.1390000000000002</v>
          </cell>
        </row>
        <row r="46">
          <cell r="EC46" t="str">
            <v xml:space="preserve"> </v>
          </cell>
          <cell r="EI46" t="str">
            <v xml:space="preserve"> </v>
          </cell>
          <cell r="EL46" t="str">
            <v xml:space="preserve"> </v>
          </cell>
          <cell r="EM46" t="str">
            <v xml:space="preserve"> </v>
          </cell>
          <cell r="ER46" t="str">
            <v xml:space="preserve"> </v>
          </cell>
        </row>
        <row r="47">
          <cell r="A47" t="str">
            <v>Operating Income</v>
          </cell>
          <cell r="B47" t="str">
            <v>oi</v>
          </cell>
          <cell r="D47">
            <v>2.4150000000000031</v>
          </cell>
          <cell r="E47">
            <v>2.7350000000000021</v>
          </cell>
          <cell r="F47">
            <v>3.4229999999999978</v>
          </cell>
          <cell r="G47">
            <v>2.5880000000000001</v>
          </cell>
          <cell r="I47">
            <v>4.5570000000000022</v>
          </cell>
          <cell r="J47">
            <v>4.2550000000000008</v>
          </cell>
          <cell r="K47">
            <v>4.4870000000000001</v>
          </cell>
          <cell r="L47">
            <v>4.8119999999999994</v>
          </cell>
          <cell r="N47">
            <v>5.3690000000000033</v>
          </cell>
          <cell r="O47">
            <v>6.2189999999999985</v>
          </cell>
          <cell r="P47">
            <v>7.1519999999999966</v>
          </cell>
          <cell r="Q47">
            <v>8.3220000000000027</v>
          </cell>
          <cell r="S47">
            <v>9.0220000000000056</v>
          </cell>
          <cell r="T47">
            <v>10.688000000000001</v>
          </cell>
          <cell r="U47">
            <v>12.061000000000002</v>
          </cell>
          <cell r="V47">
            <v>13.457999999999997</v>
          </cell>
          <cell r="X47">
            <v>15.160999999999987</v>
          </cell>
          <cell r="Y47">
            <v>16.407999999999998</v>
          </cell>
          <cell r="Z47">
            <v>17.822000000000006</v>
          </cell>
          <cell r="AA47">
            <v>19.222000000000001</v>
          </cell>
          <cell r="AC47">
            <v>18.429000000000016</v>
          </cell>
          <cell r="AD47">
            <v>17.777999999999999</v>
          </cell>
          <cell r="AE47">
            <v>21.149000000000008</v>
          </cell>
          <cell r="AF47">
            <v>21.88480000000002</v>
          </cell>
          <cell r="AH47">
            <v>24.114999999999995</v>
          </cell>
          <cell r="AI47">
            <v>26.432999999999979</v>
          </cell>
          <cell r="AJ47">
            <v>30.820000000000014</v>
          </cell>
          <cell r="AK47">
            <v>30.603999999999999</v>
          </cell>
          <cell r="AM47">
            <v>29.159000000000002</v>
          </cell>
          <cell r="AN47">
            <v>32.013999999999996</v>
          </cell>
          <cell r="AO47">
            <v>36.464999999999989</v>
          </cell>
          <cell r="AP47">
            <v>34.897000000000006</v>
          </cell>
          <cell r="AR47">
            <v>29.836000000000002</v>
          </cell>
          <cell r="AS47">
            <v>34.247</v>
          </cell>
          <cell r="AT47">
            <v>38.454000000000036</v>
          </cell>
          <cell r="AU47">
            <v>35.042999999999985</v>
          </cell>
          <cell r="AW47">
            <v>41.304000000000002</v>
          </cell>
          <cell r="AX47">
            <v>43.502999999999986</v>
          </cell>
          <cell r="AY47">
            <v>47.59499999999997</v>
          </cell>
          <cell r="AZ47">
            <v>51.531999999999975</v>
          </cell>
          <cell r="BB47">
            <v>55.154000000000025</v>
          </cell>
          <cell r="BC47">
            <v>63.90800000000003</v>
          </cell>
          <cell r="BD47">
            <v>69.418999999999997</v>
          </cell>
          <cell r="BE47">
            <v>74.274000000000001</v>
          </cell>
          <cell r="BG47">
            <v>52.742000000000026</v>
          </cell>
          <cell r="BH47">
            <v>58.698999999999963</v>
          </cell>
          <cell r="BI47">
            <v>65.52000000000001</v>
          </cell>
          <cell r="BJ47">
            <v>72.866999999999933</v>
          </cell>
          <cell r="BL47">
            <v>69.521000000000029</v>
          </cell>
          <cell r="BM47">
            <v>86.788999999999959</v>
          </cell>
          <cell r="BN47">
            <v>101.88</v>
          </cell>
          <cell r="BO47">
            <v>108.625</v>
          </cell>
          <cell r="BQ47">
            <v>51.993999999999993</v>
          </cell>
          <cell r="BR47">
            <v>50.143000000000008</v>
          </cell>
          <cell r="BS47">
            <v>36.295000000000002</v>
          </cell>
          <cell r="BT47">
            <v>44.636999999999986</v>
          </cell>
          <cell r="BV47">
            <v>52.788000000000075</v>
          </cell>
          <cell r="BW47">
            <v>59.02399999999998</v>
          </cell>
          <cell r="BX47">
            <v>67.549999999999955</v>
          </cell>
          <cell r="BY47">
            <v>75.355000000000004</v>
          </cell>
          <cell r="CA47">
            <v>72.009000000000043</v>
          </cell>
          <cell r="CB47">
            <v>88.717999999999961</v>
          </cell>
          <cell r="CC47">
            <v>107.2919999999999</v>
          </cell>
          <cell r="CD47">
            <v>153.42700000000013</v>
          </cell>
          <cell r="CF47">
            <v>170.71100000000007</v>
          </cell>
          <cell r="CH47">
            <v>50.463000000000022</v>
          </cell>
          <cell r="CI47">
            <v>57.166999999999952</v>
          </cell>
          <cell r="CJ47">
            <v>68.17</v>
          </cell>
          <cell r="CK47">
            <v>77.927999999999969</v>
          </cell>
          <cell r="CM47">
            <v>78.104000000000013</v>
          </cell>
          <cell r="CN47">
            <v>93.397999999999911</v>
          </cell>
          <cell r="CO47">
            <v>117.63500000000006</v>
          </cell>
          <cell r="CP47">
            <v>162.43700000000018</v>
          </cell>
          <cell r="CR47">
            <v>179.72099999999989</v>
          </cell>
          <cell r="CS47">
            <v>178.46899999999994</v>
          </cell>
          <cell r="CT47">
            <v>47.620999999999981</v>
          </cell>
          <cell r="CU47">
            <v>3.4250000000000043</v>
          </cell>
          <cell r="CW47">
            <v>291.92100000000028</v>
          </cell>
          <cell r="CX47">
            <v>264.27999999999986</v>
          </cell>
          <cell r="CY47">
            <v>133.32900000000018</v>
          </cell>
          <cell r="CZ47">
            <v>46.410999999999788</v>
          </cell>
          <cell r="DB47">
            <v>35.661999999999978</v>
          </cell>
          <cell r="DC47">
            <v>14.323999999999785</v>
          </cell>
          <cell r="DD47">
            <v>29.422000000000011</v>
          </cell>
          <cell r="DE47">
            <v>30.918852808799983</v>
          </cell>
          <cell r="DG47">
            <v>41.768378079808002</v>
          </cell>
          <cell r="DH47">
            <v>39.617153423506551</v>
          </cell>
          <cell r="DI47">
            <v>55.736365612877862</v>
          </cell>
          <cell r="DJ47">
            <v>70.434456457362145</v>
          </cell>
          <cell r="DL47">
            <v>89.310532481332061</v>
          </cell>
          <cell r="DM47">
            <v>78.273953403562615</v>
          </cell>
          <cell r="DN47">
            <v>85.238361153847933</v>
          </cell>
          <cell r="DO47">
            <v>92.464127750979202</v>
          </cell>
          <cell r="DQ47">
            <v>3.1509999999999994</v>
          </cell>
          <cell r="DR47">
            <v>1.4060000000000046</v>
          </cell>
          <cell r="DS47">
            <v>11.170000000000005</v>
          </cell>
          <cell r="DT47">
            <v>16.810000000000002</v>
          </cell>
          <cell r="DU47">
            <v>27.062000000000001</v>
          </cell>
          <cell r="DV47">
            <v>45.052000000000014</v>
          </cell>
          <cell r="DW47">
            <v>68.719000000000008</v>
          </cell>
          <cell r="DX47">
            <v>55.152000000000051</v>
          </cell>
          <cell r="DY47">
            <v>79.770180000000011</v>
          </cell>
          <cell r="DZ47">
            <v>112.923</v>
          </cell>
          <cell r="EA47">
            <v>132.535</v>
          </cell>
          <cell r="EB47">
            <v>96.280999999999963</v>
          </cell>
          <cell r="EC47">
            <v>137.58000000000001</v>
          </cell>
          <cell r="EE47">
            <v>183.93399999999994</v>
          </cell>
          <cell r="EF47">
            <v>262.755</v>
          </cell>
          <cell r="EH47">
            <v>179.6689999999999</v>
          </cell>
          <cell r="EI47">
            <v>249.82799999999995</v>
          </cell>
          <cell r="EK47">
            <v>178.00299999999999</v>
          </cell>
          <cell r="EL47">
            <v>183.06900000000002</v>
          </cell>
          <cell r="EM47">
            <v>254.71700000000004</v>
          </cell>
          <cell r="EN47">
            <v>421.44600000000003</v>
          </cell>
          <cell r="EP47">
            <v>193.16700000000014</v>
          </cell>
          <cell r="EQ47">
            <v>253.72799999999992</v>
          </cell>
          <cell r="ER47">
            <v>451.57400000000018</v>
          </cell>
          <cell r="ES47">
            <v>409.23599999999982</v>
          </cell>
          <cell r="ET47">
            <v>735.94100000000014</v>
          </cell>
          <cell r="EU47">
            <v>110.32685280879976</v>
          </cell>
          <cell r="EV47">
            <v>207.55635357355459</v>
          </cell>
          <cell r="EW47">
            <v>345.2869747897218</v>
          </cell>
          <cell r="EY47">
            <v>281.36899999999991</v>
          </cell>
          <cell r="EZ47">
            <v>553.19100000000003</v>
          </cell>
          <cell r="FA47">
            <v>265.17699999999991</v>
          </cell>
          <cell r="FC47">
            <v>116.43323088860778</v>
          </cell>
        </row>
        <row r="48">
          <cell r="EC48" t="str">
            <v xml:space="preserve"> </v>
          </cell>
          <cell r="EI48" t="str">
            <v xml:space="preserve"> </v>
          </cell>
          <cell r="EL48" t="str">
            <v xml:space="preserve"> </v>
          </cell>
          <cell r="EM48" t="str">
            <v xml:space="preserve"> </v>
          </cell>
          <cell r="ER48" t="str">
            <v xml:space="preserve"> </v>
          </cell>
          <cell r="EU48" t="str">
            <v xml:space="preserve"> </v>
          </cell>
        </row>
        <row r="49">
          <cell r="A49" t="str">
            <v xml:space="preserve">Interest Inc./(Exp.) </v>
          </cell>
          <cell r="B49" t="str">
            <v>int</v>
          </cell>
          <cell r="D49">
            <v>-0.98499999999999999</v>
          </cell>
          <cell r="E49">
            <v>-1.0629999999999999</v>
          </cell>
          <cell r="F49">
            <v>-0.40600000000000003</v>
          </cell>
          <cell r="G49">
            <v>-8.4000000000000005E-2</v>
          </cell>
          <cell r="I49">
            <v>-3.4000000000000002E-2</v>
          </cell>
          <cell r="J49">
            <v>9.1999999999999998E-2</v>
          </cell>
          <cell r="K49">
            <v>0.128</v>
          </cell>
          <cell r="L49">
            <v>0.183</v>
          </cell>
          <cell r="N49">
            <v>0.17299999999999999</v>
          </cell>
          <cell r="O49">
            <v>0.24199999999999999</v>
          </cell>
          <cell r="P49">
            <v>0.30399999999999999</v>
          </cell>
          <cell r="Q49">
            <v>0.20499999999999999</v>
          </cell>
          <cell r="S49">
            <v>0.151</v>
          </cell>
          <cell r="T49">
            <v>-3.4000000000000002E-2</v>
          </cell>
          <cell r="U49">
            <v>-4.5999999999999999E-2</v>
          </cell>
          <cell r="V49">
            <v>1.2E-2</v>
          </cell>
          <cell r="W49" t="str">
            <v xml:space="preserve"> </v>
          </cell>
          <cell r="X49">
            <v>-0.122</v>
          </cell>
          <cell r="Y49">
            <v>-0.159</v>
          </cell>
          <cell r="Z49">
            <v>-8.5000000000000006E-2</v>
          </cell>
          <cell r="AA49">
            <v>0.13800000000000001</v>
          </cell>
          <cell r="AC49">
            <v>-0.58699999999999997</v>
          </cell>
          <cell r="AD49">
            <v>-0.68799999999999994</v>
          </cell>
          <cell r="AE49">
            <v>-0.68100000000000005</v>
          </cell>
          <cell r="AF49">
            <v>-0.50600000000000001</v>
          </cell>
          <cell r="AH49">
            <v>-0.47099999999999997</v>
          </cell>
          <cell r="AI49">
            <v>0.154</v>
          </cell>
          <cell r="AJ49">
            <v>-0.29799999999999999</v>
          </cell>
          <cell r="AK49">
            <v>-7.2999999999999995E-2</v>
          </cell>
          <cell r="AM49">
            <v>-0.158</v>
          </cell>
          <cell r="AN49">
            <v>0.42899999999999999</v>
          </cell>
          <cell r="AO49">
            <v>-3.4000000000000002E-2</v>
          </cell>
          <cell r="AP49">
            <v>0.13700000000000001</v>
          </cell>
          <cell r="AR49">
            <v>-0.24399999999999999</v>
          </cell>
          <cell r="AS49">
            <v>0.315</v>
          </cell>
          <cell r="AT49">
            <v>-0.245</v>
          </cell>
          <cell r="AU49">
            <v>-9.8000000000000004E-2</v>
          </cell>
          <cell r="AW49">
            <v>1.738</v>
          </cell>
          <cell r="AX49">
            <v>1.8089999999999999</v>
          </cell>
          <cell r="AY49">
            <v>1.7869999999999999</v>
          </cell>
          <cell r="AZ49">
            <v>2.2149999999999999</v>
          </cell>
          <cell r="BB49">
            <v>1.39</v>
          </cell>
          <cell r="BC49">
            <v>4.702</v>
          </cell>
          <cell r="BD49">
            <v>7.2</v>
          </cell>
          <cell r="BE49">
            <v>7.1</v>
          </cell>
          <cell r="BG49">
            <v>-6.3570000000000002</v>
          </cell>
          <cell r="BH49">
            <v>-5.7880000000000003</v>
          </cell>
          <cell r="BI49">
            <v>-5.2160000000000002</v>
          </cell>
          <cell r="BJ49">
            <v>-4.601</v>
          </cell>
          <cell r="BL49">
            <v>-4.641</v>
          </cell>
          <cell r="BM49">
            <v>-1.2649999999999999</v>
          </cell>
          <cell r="BN49">
            <v>-1.2</v>
          </cell>
          <cell r="BO49">
            <v>0</v>
          </cell>
          <cell r="BQ49">
            <v>-2</v>
          </cell>
          <cell r="BR49">
            <v>-3.363</v>
          </cell>
          <cell r="BS49">
            <v>-8.0760000000000005</v>
          </cell>
          <cell r="BT49">
            <v>-8.0530000000000008</v>
          </cell>
          <cell r="BV49">
            <v>-6.6520000000000001</v>
          </cell>
          <cell r="BW49">
            <v>-6.05</v>
          </cell>
          <cell r="BX49">
            <v>-5.4829999999999997</v>
          </cell>
          <cell r="BY49">
            <v>-4.8650000000000002</v>
          </cell>
          <cell r="CA49">
            <v>-4.9050000000000002</v>
          </cell>
          <cell r="CB49">
            <v>-1.552</v>
          </cell>
          <cell r="CC49">
            <v>2.1469999999999998</v>
          </cell>
          <cell r="CD49">
            <v>3.2210000000000001</v>
          </cell>
          <cell r="CF49">
            <v>7.8239999999999998</v>
          </cell>
          <cell r="CH49">
            <v>-8.9659999999999993</v>
          </cell>
          <cell r="CI49">
            <v>-6.9550000000000001</v>
          </cell>
          <cell r="CJ49">
            <v>-6.5780000000000003</v>
          </cell>
          <cell r="CK49">
            <v>-5.1680000000000001</v>
          </cell>
          <cell r="CM49">
            <v>-5.3419999999999996</v>
          </cell>
          <cell r="CN49">
            <v>-1.2190000000000001</v>
          </cell>
          <cell r="CO49">
            <v>1.5269999999999999</v>
          </cell>
          <cell r="CP49">
            <v>1.5469999999999999</v>
          </cell>
          <cell r="CR49">
            <v>6.15</v>
          </cell>
          <cell r="CS49">
            <v>6.8380000000000001</v>
          </cell>
          <cell r="CT49">
            <v>3.8809999999999998</v>
          </cell>
          <cell r="CU49">
            <v>2.4500000000000002</v>
          </cell>
          <cell r="CW49">
            <v>-12.260999999999999</v>
          </cell>
          <cell r="CX49">
            <v>-17.181000000000001</v>
          </cell>
          <cell r="CY49">
            <v>-24.803000000000001</v>
          </cell>
          <cell r="CZ49">
            <v>-19.684999999999999</v>
          </cell>
          <cell r="DB49">
            <v>-24.253</v>
          </cell>
          <cell r="DC49">
            <v>-22.117000000000001</v>
          </cell>
          <cell r="DD49">
            <v>-24.803000000000001</v>
          </cell>
          <cell r="DE49">
            <v>-26</v>
          </cell>
          <cell r="DG49">
            <v>-26</v>
          </cell>
          <cell r="DH49">
            <v>-25</v>
          </cell>
          <cell r="DI49">
            <v>-25</v>
          </cell>
          <cell r="DJ49">
            <v>-24</v>
          </cell>
          <cell r="DL49">
            <v>-24</v>
          </cell>
          <cell r="DM49">
            <v>-24</v>
          </cell>
          <cell r="DN49">
            <v>-24</v>
          </cell>
          <cell r="DO49">
            <v>-24</v>
          </cell>
          <cell r="DQ49">
            <v>-4.702</v>
          </cell>
          <cell r="DR49">
            <v>-3.9159999999999999</v>
          </cell>
          <cell r="DS49">
            <v>-2.5379999999999998</v>
          </cell>
          <cell r="DT49">
            <v>0.36899999999999999</v>
          </cell>
          <cell r="DU49">
            <v>0.92399999999999993</v>
          </cell>
          <cell r="DV49">
            <v>8.299999999999999E-2</v>
          </cell>
          <cell r="DW49">
            <v>-0.22800000000000004</v>
          </cell>
          <cell r="DX49">
            <v>-1.345</v>
          </cell>
          <cell r="DY49">
            <v>-2.4619999999999997</v>
          </cell>
          <cell r="DZ49">
            <v>-0.68799999999999994</v>
          </cell>
          <cell r="EA49">
            <v>0.374</v>
          </cell>
          <cell r="EB49">
            <v>-1.6910000000000001</v>
          </cell>
          <cell r="EC49">
            <v>-0.27200000000000002</v>
          </cell>
          <cell r="EE49">
            <v>7.5489999999999995</v>
          </cell>
          <cell r="EF49">
            <v>20.391999999999999</v>
          </cell>
          <cell r="EH49">
            <v>-20.445</v>
          </cell>
          <cell r="EI49">
            <v>-21.962</v>
          </cell>
          <cell r="EK49">
            <v>-9.9570000000000007</v>
          </cell>
          <cell r="EL49">
            <v>-21.492000000000001</v>
          </cell>
          <cell r="EM49">
            <v>-23.049999999999997</v>
          </cell>
          <cell r="EN49">
            <v>-1.0890000000000004</v>
          </cell>
          <cell r="EP49">
            <v>-22.97</v>
          </cell>
          <cell r="EQ49">
            <v>-27.666999999999998</v>
          </cell>
          <cell r="ER49">
            <v>-3.4870000000000001</v>
          </cell>
          <cell r="ES49">
            <v>19.318999999999999</v>
          </cell>
          <cell r="ET49">
            <v>-73.930000000000007</v>
          </cell>
          <cell r="EU49">
            <v>-97.173000000000002</v>
          </cell>
          <cell r="EV49">
            <v>-100</v>
          </cell>
          <cell r="EW49">
            <v>-96</v>
          </cell>
          <cell r="EY49">
            <v>-24.042999999999999</v>
          </cell>
          <cell r="EZ49">
            <v>8.0050000000000008</v>
          </cell>
          <cell r="FA49">
            <v>-11.084</v>
          </cell>
          <cell r="FC49">
            <v>-98.92</v>
          </cell>
        </row>
        <row r="50">
          <cell r="EC50" t="str">
            <v xml:space="preserve"> </v>
          </cell>
          <cell r="EI50" t="str">
            <v xml:space="preserve"> </v>
          </cell>
          <cell r="EL50" t="str">
            <v xml:space="preserve"> </v>
          </cell>
          <cell r="EM50" t="str">
            <v xml:space="preserve"> </v>
          </cell>
          <cell r="ER50" t="str">
            <v xml:space="preserve"> </v>
          </cell>
          <cell r="EU50" t="str">
            <v xml:space="preserve"> </v>
          </cell>
        </row>
        <row r="51">
          <cell r="A51" t="str">
            <v>Pretax Income</v>
          </cell>
          <cell r="B51" t="str">
            <v>ptinc</v>
          </cell>
          <cell r="D51">
            <v>1.4300000000000033</v>
          </cell>
          <cell r="E51">
            <v>1.6720000000000022</v>
          </cell>
          <cell r="F51">
            <v>3.0169999999999977</v>
          </cell>
          <cell r="G51">
            <v>2.504</v>
          </cell>
          <cell r="I51">
            <v>4.5230000000000024</v>
          </cell>
          <cell r="J51">
            <v>4.3470000000000004</v>
          </cell>
          <cell r="K51">
            <v>4.6150000000000002</v>
          </cell>
          <cell r="L51">
            <v>4.9949999999999992</v>
          </cell>
          <cell r="N51">
            <v>5.5420000000000034</v>
          </cell>
          <cell r="O51">
            <v>6.4609999999999985</v>
          </cell>
          <cell r="P51">
            <v>7.4559999999999969</v>
          </cell>
          <cell r="Q51">
            <v>8.5270000000000028</v>
          </cell>
          <cell r="S51">
            <v>9.1730000000000054</v>
          </cell>
          <cell r="T51">
            <v>10.654</v>
          </cell>
          <cell r="U51">
            <v>12.015000000000002</v>
          </cell>
          <cell r="V51">
            <v>13.469999999999997</v>
          </cell>
          <cell r="X51">
            <v>15.038999999999987</v>
          </cell>
          <cell r="Y51">
            <v>16.248999999999999</v>
          </cell>
          <cell r="Z51">
            <v>17.737000000000005</v>
          </cell>
          <cell r="AA51">
            <v>19.360000000000003</v>
          </cell>
          <cell r="AC51">
            <v>17.842000000000017</v>
          </cell>
          <cell r="AD51">
            <v>17.09</v>
          </cell>
          <cell r="AE51">
            <v>20.468000000000007</v>
          </cell>
          <cell r="AF51">
            <v>21.37880000000002</v>
          </cell>
          <cell r="AH51">
            <v>23.643999999999995</v>
          </cell>
          <cell r="AI51">
            <v>26.586999999999978</v>
          </cell>
          <cell r="AJ51">
            <v>30.522000000000016</v>
          </cell>
          <cell r="AK51">
            <v>30.530999999999999</v>
          </cell>
          <cell r="AM51">
            <v>29.001000000000001</v>
          </cell>
          <cell r="AN51">
            <v>32.442999999999998</v>
          </cell>
          <cell r="AO51">
            <v>36.43099999999999</v>
          </cell>
          <cell r="AP51">
            <v>35.034000000000006</v>
          </cell>
          <cell r="AR51">
            <v>29.592000000000002</v>
          </cell>
          <cell r="AS51">
            <v>34.561999999999998</v>
          </cell>
          <cell r="AT51">
            <v>38.209000000000039</v>
          </cell>
          <cell r="AU51">
            <v>34.944999999999986</v>
          </cell>
          <cell r="AW51">
            <v>43.042000000000002</v>
          </cell>
          <cell r="AX51">
            <v>45.311999999999983</v>
          </cell>
          <cell r="AY51">
            <v>49.381999999999969</v>
          </cell>
          <cell r="AZ51">
            <v>53.746999999999971</v>
          </cell>
          <cell r="BB51">
            <v>56.544000000000025</v>
          </cell>
          <cell r="BC51">
            <v>68.610000000000028</v>
          </cell>
          <cell r="BD51">
            <v>76.619</v>
          </cell>
          <cell r="BE51">
            <v>81.373999999999995</v>
          </cell>
          <cell r="BG51">
            <v>46.385000000000026</v>
          </cell>
          <cell r="BH51">
            <v>52.910999999999959</v>
          </cell>
          <cell r="BI51">
            <v>60.304000000000009</v>
          </cell>
          <cell r="BJ51">
            <v>68.265999999999934</v>
          </cell>
          <cell r="BL51">
            <v>64.880000000000024</v>
          </cell>
          <cell r="BM51">
            <v>85.523999999999958</v>
          </cell>
          <cell r="BN51">
            <v>100.67999999999999</v>
          </cell>
          <cell r="BO51">
            <v>108.625</v>
          </cell>
          <cell r="BQ51">
            <v>49.993999999999993</v>
          </cell>
          <cell r="BR51">
            <v>46.780000000000008</v>
          </cell>
          <cell r="BS51">
            <v>28.219000000000001</v>
          </cell>
          <cell r="BT51">
            <v>36.583999999999989</v>
          </cell>
          <cell r="BV51">
            <v>46.136000000000074</v>
          </cell>
          <cell r="BW51">
            <v>52.973999999999982</v>
          </cell>
          <cell r="BX51">
            <v>62.066999999999958</v>
          </cell>
          <cell r="BY51">
            <v>70.490000000000009</v>
          </cell>
          <cell r="CA51">
            <v>67.104000000000042</v>
          </cell>
          <cell r="CB51">
            <v>87.165999999999954</v>
          </cell>
          <cell r="CC51">
            <v>109.43899999999991</v>
          </cell>
          <cell r="CD51">
            <v>156.64800000000014</v>
          </cell>
          <cell r="CF51">
            <v>178.53500000000008</v>
          </cell>
          <cell r="CH51">
            <v>41.497000000000021</v>
          </cell>
          <cell r="CI51">
            <v>50.211999999999954</v>
          </cell>
          <cell r="CJ51">
            <v>61.591999999999999</v>
          </cell>
          <cell r="CK51">
            <v>72.759999999999962</v>
          </cell>
          <cell r="CM51">
            <v>72.762000000000015</v>
          </cell>
          <cell r="CN51">
            <v>92.178999999999917</v>
          </cell>
          <cell r="CO51">
            <v>119.16200000000006</v>
          </cell>
          <cell r="CP51">
            <v>163.98400000000018</v>
          </cell>
          <cell r="CR51">
            <v>185.8709999999999</v>
          </cell>
          <cell r="CS51">
            <v>185.30699999999993</v>
          </cell>
          <cell r="CT51">
            <v>51.501999999999981</v>
          </cell>
          <cell r="CU51">
            <v>5.8750000000000044</v>
          </cell>
          <cell r="CW51">
            <v>279.66000000000025</v>
          </cell>
          <cell r="CX51">
            <v>247.09899999999985</v>
          </cell>
          <cell r="CY51">
            <v>108.52600000000018</v>
          </cell>
          <cell r="CZ51">
            <v>26.725999999999789</v>
          </cell>
          <cell r="DB51">
            <v>11.408999999999978</v>
          </cell>
          <cell r="DC51">
            <v>-7.793000000000216</v>
          </cell>
          <cell r="DD51">
            <v>4.6190000000000104</v>
          </cell>
          <cell r="DE51">
            <v>4.9188528087999828</v>
          </cell>
          <cell r="DG51">
            <v>15.768378079808002</v>
          </cell>
          <cell r="DH51">
            <v>14.617153423506551</v>
          </cell>
          <cell r="DI51">
            <v>30.736365612877862</v>
          </cell>
          <cell r="DJ51">
            <v>46.434456457362145</v>
          </cell>
          <cell r="DL51">
            <v>65.310532481332061</v>
          </cell>
          <cell r="DM51">
            <v>54.273953403562615</v>
          </cell>
          <cell r="DN51">
            <v>61.238361153847933</v>
          </cell>
          <cell r="DO51">
            <v>68.464127750979202</v>
          </cell>
          <cell r="DQ51">
            <v>-1.5510000000000006</v>
          </cell>
          <cell r="DR51">
            <v>-2.5099999999999953</v>
          </cell>
          <cell r="DS51">
            <v>8.632000000000005</v>
          </cell>
          <cell r="DT51">
            <v>17.179000000000002</v>
          </cell>
          <cell r="DU51">
            <v>27.986000000000001</v>
          </cell>
          <cell r="DV51">
            <v>45.135000000000012</v>
          </cell>
          <cell r="DW51">
            <v>68.491000000000014</v>
          </cell>
          <cell r="DX51">
            <v>53.807000000000052</v>
          </cell>
          <cell r="DY51">
            <v>76.778800000000047</v>
          </cell>
          <cell r="DZ51">
            <v>111.28399999999999</v>
          </cell>
          <cell r="EA51">
            <v>132.90899999999999</v>
          </cell>
          <cell r="EB51">
            <v>94.589999999999961</v>
          </cell>
          <cell r="EC51">
            <v>137.30800000000002</v>
          </cell>
          <cell r="EE51">
            <v>191.48299999999995</v>
          </cell>
          <cell r="EF51">
            <v>283.14699999999999</v>
          </cell>
          <cell r="EH51">
            <v>159.2239999999999</v>
          </cell>
          <cell r="EI51">
            <v>227.86599999999993</v>
          </cell>
          <cell r="EK51">
            <v>168.04599999999999</v>
          </cell>
          <cell r="EL51">
            <v>161.577</v>
          </cell>
          <cell r="EM51">
            <v>231.66700000000003</v>
          </cell>
          <cell r="EN51">
            <v>420.35700000000003</v>
          </cell>
          <cell r="EP51">
            <v>170.19700000000014</v>
          </cell>
          <cell r="EQ51">
            <v>226.06099999999995</v>
          </cell>
          <cell r="ER51">
            <v>448.0870000000001</v>
          </cell>
          <cell r="ES51">
            <v>428.55499999999984</v>
          </cell>
          <cell r="ET51">
            <v>662.01100000000008</v>
          </cell>
          <cell r="EU51">
            <v>13.153852808799755</v>
          </cell>
          <cell r="EV51">
            <v>107.55635357355456</v>
          </cell>
          <cell r="EW51">
            <v>249.28697478972182</v>
          </cell>
          <cell r="EY51">
            <v>257.32599999999991</v>
          </cell>
          <cell r="EZ51">
            <v>561.19600000000003</v>
          </cell>
          <cell r="FA51">
            <v>254.0929999999999</v>
          </cell>
          <cell r="FC51">
            <v>17.513230888607779</v>
          </cell>
        </row>
        <row r="52">
          <cell r="A52" t="str">
            <v>Taxes</v>
          </cell>
          <cell r="B52" t="str">
            <v>tax</v>
          </cell>
          <cell r="D52">
            <v>0.56999999999999995</v>
          </cell>
          <cell r="E52">
            <v>0.67300000000000004</v>
          </cell>
          <cell r="F52">
            <v>1.2150000000000001</v>
          </cell>
          <cell r="G52">
            <v>1.4880000000000002</v>
          </cell>
          <cell r="I52">
            <v>1.784</v>
          </cell>
          <cell r="J52">
            <v>1.738</v>
          </cell>
          <cell r="K52">
            <v>1.8460000000000001</v>
          </cell>
          <cell r="L52">
            <v>1.998</v>
          </cell>
          <cell r="N52">
            <v>2.2189999999999999</v>
          </cell>
          <cell r="O52">
            <v>2.585</v>
          </cell>
          <cell r="P52">
            <v>2.9079999999999999</v>
          </cell>
          <cell r="Q52">
            <v>3.3250000000000002</v>
          </cell>
          <cell r="S52">
            <v>3.4860000000000002</v>
          </cell>
          <cell r="T52">
            <v>4.0490000000000004</v>
          </cell>
          <cell r="U52">
            <v>4.5629999999999997</v>
          </cell>
          <cell r="V52">
            <v>5.1189999999999998</v>
          </cell>
          <cell r="X52">
            <v>5.8650000000000002</v>
          </cell>
          <cell r="Y52">
            <v>6.3360000000000003</v>
          </cell>
          <cell r="Z52">
            <v>6.9169999999999998</v>
          </cell>
          <cell r="AA52">
            <v>7.5504000000000016</v>
          </cell>
          <cell r="AC52">
            <v>6.0289999999999999</v>
          </cell>
          <cell r="AD52">
            <v>6.4089999999999998</v>
          </cell>
          <cell r="AE52">
            <v>7.0490000000000004</v>
          </cell>
          <cell r="AF52">
            <v>6.85</v>
          </cell>
          <cell r="AH52">
            <v>8.6300599999999985</v>
          </cell>
          <cell r="AI52">
            <v>9.7140000000000004</v>
          </cell>
          <cell r="AJ52">
            <v>11.141</v>
          </cell>
          <cell r="AK52">
            <v>11.141999999999999</v>
          </cell>
          <cell r="AM52">
            <v>10.820374000000001</v>
          </cell>
          <cell r="AN52">
            <v>11.997999999999999</v>
          </cell>
          <cell r="AO52">
            <v>13.448</v>
          </cell>
          <cell r="AP52">
            <v>12.898</v>
          </cell>
          <cell r="AR52">
            <v>11.067</v>
          </cell>
          <cell r="AS52">
            <v>11.997999999999999</v>
          </cell>
          <cell r="AT52">
            <v>13.448</v>
          </cell>
          <cell r="AU52">
            <v>12.898</v>
          </cell>
          <cell r="AW52">
            <v>15.407</v>
          </cell>
          <cell r="AX52">
            <v>16.54</v>
          </cell>
          <cell r="AY52">
            <v>18.024429999999988</v>
          </cell>
          <cell r="AZ52">
            <v>19.617999999999999</v>
          </cell>
          <cell r="BB52">
            <v>20.356000000000002</v>
          </cell>
          <cell r="BC52">
            <v>24.7</v>
          </cell>
          <cell r="BD52">
            <v>27.582839999999997</v>
          </cell>
          <cell r="BE52">
            <v>29.294639999999998</v>
          </cell>
          <cell r="BG52">
            <v>16.736000000000001</v>
          </cell>
          <cell r="BH52">
            <v>19.588999999999999</v>
          </cell>
          <cell r="BI52">
            <v>22.36</v>
          </cell>
          <cell r="BJ52">
            <v>25.395</v>
          </cell>
          <cell r="BL52">
            <v>23.663</v>
          </cell>
          <cell r="BM52">
            <v>31.125</v>
          </cell>
          <cell r="BN52">
            <v>36.647519999999993</v>
          </cell>
          <cell r="BO52">
            <v>39.539499999999997</v>
          </cell>
          <cell r="BQ52">
            <v>18.850000000000001</v>
          </cell>
          <cell r="BR52">
            <v>17.114999999999998</v>
          </cell>
          <cell r="BS52">
            <v>9.4670000000000005</v>
          </cell>
          <cell r="BT52">
            <v>13.388</v>
          </cell>
          <cell r="BV52">
            <v>16.905999999999999</v>
          </cell>
          <cell r="BW52">
            <v>19.651</v>
          </cell>
          <cell r="BX52">
            <v>22.602</v>
          </cell>
          <cell r="BY52">
            <v>26.044</v>
          </cell>
          <cell r="CA52">
            <v>24.312000000000001</v>
          </cell>
          <cell r="CB52">
            <v>31.603999999999999</v>
          </cell>
          <cell r="CC52">
            <v>45.527000000000001</v>
          </cell>
          <cell r="CD52">
            <v>59.53</v>
          </cell>
          <cell r="CF52">
            <v>67.843000000000004</v>
          </cell>
          <cell r="CH52">
            <v>15.35</v>
          </cell>
          <cell r="CI52">
            <v>18.82</v>
          </cell>
          <cell r="CJ52">
            <v>22.488</v>
          </cell>
          <cell r="CK52">
            <v>25.523</v>
          </cell>
          <cell r="CM52">
            <v>25.968</v>
          </cell>
          <cell r="CN52">
            <v>33.188000000000002</v>
          </cell>
          <cell r="CO52">
            <v>50.18</v>
          </cell>
          <cell r="CP52">
            <v>61.606999999999999</v>
          </cell>
          <cell r="CR52">
            <v>69.92</v>
          </cell>
          <cell r="CS52">
            <v>70.417000000000002</v>
          </cell>
          <cell r="CT52">
            <v>19.57</v>
          </cell>
          <cell r="CU52">
            <v>2.2269999999999999</v>
          </cell>
          <cell r="CW52">
            <v>102.34</v>
          </cell>
          <cell r="CX52">
            <v>90.424000000000007</v>
          </cell>
          <cell r="CY52">
            <v>39.884999999999998</v>
          </cell>
          <cell r="CZ52">
            <v>5.843</v>
          </cell>
          <cell r="DB52">
            <v>4.1070000000000002</v>
          </cell>
          <cell r="DC52">
            <v>-2.8049999999999997</v>
          </cell>
          <cell r="DD52">
            <v>1.663</v>
          </cell>
          <cell r="DE52">
            <v>1.7707870111679938</v>
          </cell>
          <cell r="DG52">
            <v>5.2035647663366413</v>
          </cell>
          <cell r="DH52">
            <v>4.8236606297571623</v>
          </cell>
          <cell r="DI52">
            <v>10.143000652249695</v>
          </cell>
          <cell r="DJ52">
            <v>15.323370630929508</v>
          </cell>
          <cell r="DL52">
            <v>21.552475718839581</v>
          </cell>
          <cell r="DM52">
            <v>17.910404623175666</v>
          </cell>
          <cell r="DN52">
            <v>20.208659180769818</v>
          </cell>
          <cell r="DO52">
            <v>22.593162157823137</v>
          </cell>
          <cell r="DQ52">
            <v>0.34100000000000003</v>
          </cell>
          <cell r="DR52">
            <v>0.17499999999999999</v>
          </cell>
          <cell r="DS52">
            <v>3.9460000000000002</v>
          </cell>
          <cell r="DT52">
            <v>7.3660000000000005</v>
          </cell>
          <cell r="DU52">
            <v>11.036999999999999</v>
          </cell>
          <cell r="DV52">
            <v>17.216999999999999</v>
          </cell>
          <cell r="DW52">
            <v>26.668400000000005</v>
          </cell>
          <cell r="DX52">
            <v>17.419</v>
          </cell>
          <cell r="DY52">
            <v>26.336999999999996</v>
          </cell>
          <cell r="DZ52">
            <v>40.62706</v>
          </cell>
          <cell r="EA52">
            <v>49.164373999999995</v>
          </cell>
          <cell r="EB52">
            <v>32.444369999999992</v>
          </cell>
          <cell r="EC52">
            <v>49.411000000000001</v>
          </cell>
          <cell r="EE52">
            <v>69.589429999999979</v>
          </cell>
          <cell r="EF52">
            <v>101.93347999999999</v>
          </cell>
          <cell r="EH52">
            <v>58.12</v>
          </cell>
          <cell r="EI52">
            <v>84.08</v>
          </cell>
          <cell r="EK52">
            <v>101.78999999999999</v>
          </cell>
          <cell r="EL52">
            <v>58.82</v>
          </cell>
          <cell r="EM52">
            <v>85.203000000000003</v>
          </cell>
          <cell r="EN52">
            <v>160.97300000000001</v>
          </cell>
          <cell r="EP52">
            <v>61.453000000000003</v>
          </cell>
          <cell r="EQ52">
            <v>82.180999999999997</v>
          </cell>
          <cell r="ER52">
            <v>170.94300000000001</v>
          </cell>
          <cell r="ES52">
            <v>162.13399999999999</v>
          </cell>
          <cell r="ET52">
            <v>238.49199999999999</v>
          </cell>
          <cell r="EU52">
            <v>4.7357870111679947</v>
          </cell>
          <cell r="EV52">
            <v>35.493596679273011</v>
          </cell>
          <cell r="EW52">
            <v>82.264701680608198</v>
          </cell>
          <cell r="EY52">
            <v>92.799000000000007</v>
          </cell>
          <cell r="EZ52">
            <v>214.89499999999998</v>
          </cell>
          <cell r="FA52">
            <v>96.320999999999998</v>
          </cell>
          <cell r="FC52">
            <v>5.8323517775046358</v>
          </cell>
        </row>
        <row r="53">
          <cell r="AF53" t="str">
            <v xml:space="preserve"> </v>
          </cell>
          <cell r="EC53" t="str">
            <v xml:space="preserve"> </v>
          </cell>
          <cell r="EI53" t="str">
            <v xml:space="preserve"> </v>
          </cell>
          <cell r="EL53" t="str">
            <v xml:space="preserve"> </v>
          </cell>
          <cell r="EM53" t="str">
            <v xml:space="preserve"> </v>
          </cell>
          <cell r="ER53" t="str">
            <v xml:space="preserve"> </v>
          </cell>
          <cell r="EU53" t="str">
            <v xml:space="preserve"> </v>
          </cell>
        </row>
        <row r="54">
          <cell r="A54" t="str">
            <v>Net Income, Op.</v>
          </cell>
          <cell r="B54" t="str">
            <v>opni</v>
          </cell>
          <cell r="D54">
            <v>0.86000000000000332</v>
          </cell>
          <cell r="E54">
            <v>0.99900000000000211</v>
          </cell>
          <cell r="F54">
            <v>1.8019999999999976</v>
          </cell>
          <cell r="G54">
            <v>1.0159999999999998</v>
          </cell>
          <cell r="I54">
            <v>2.7390000000000025</v>
          </cell>
          <cell r="J54">
            <v>2.6090000000000004</v>
          </cell>
          <cell r="K54">
            <v>2.7690000000000001</v>
          </cell>
          <cell r="L54">
            <v>2.996999999999999</v>
          </cell>
          <cell r="N54">
            <v>3.3230000000000035</v>
          </cell>
          <cell r="O54">
            <v>3.8759999999999986</v>
          </cell>
          <cell r="P54">
            <v>4.5479999999999965</v>
          </cell>
          <cell r="Q54">
            <v>5.2020000000000026</v>
          </cell>
          <cell r="S54">
            <v>5.6870000000000047</v>
          </cell>
          <cell r="T54">
            <v>6.6049999999999995</v>
          </cell>
          <cell r="U54">
            <v>7.4520000000000026</v>
          </cell>
          <cell r="V54">
            <v>8.3509999999999973</v>
          </cell>
          <cell r="X54">
            <v>9.1739999999999871</v>
          </cell>
          <cell r="Y54">
            <v>9.9129999999999985</v>
          </cell>
          <cell r="Z54">
            <v>10.820000000000006</v>
          </cell>
          <cell r="AA54">
            <v>11.809600000000001</v>
          </cell>
          <cell r="AC54">
            <v>11.813000000000017</v>
          </cell>
          <cell r="AD54">
            <v>10.681000000000001</v>
          </cell>
          <cell r="AE54">
            <v>13.419000000000008</v>
          </cell>
          <cell r="AF54">
            <v>14.52880000000002</v>
          </cell>
          <cell r="AH54">
            <v>15.013939999999996</v>
          </cell>
          <cell r="AI54">
            <v>16.872999999999976</v>
          </cell>
          <cell r="AJ54">
            <v>19.381000000000014</v>
          </cell>
          <cell r="AK54">
            <v>19.388999999999999</v>
          </cell>
          <cell r="AM54">
            <v>18.180626</v>
          </cell>
          <cell r="AN54">
            <v>20.445</v>
          </cell>
          <cell r="AO54">
            <v>22.98299999999999</v>
          </cell>
          <cell r="AP54">
            <v>22.136000000000006</v>
          </cell>
          <cell r="AR54">
            <v>18.525000000000002</v>
          </cell>
          <cell r="AS54">
            <v>22.564</v>
          </cell>
          <cell r="AT54">
            <v>24.761000000000038</v>
          </cell>
          <cell r="AU54">
            <v>22.046999999999986</v>
          </cell>
          <cell r="AW54">
            <v>27.635000000000002</v>
          </cell>
          <cell r="AX54">
            <v>28.771999999999984</v>
          </cell>
          <cell r="AY54">
            <v>31.357569999999981</v>
          </cell>
          <cell r="AZ54">
            <v>34.128999999999976</v>
          </cell>
          <cell r="BB54">
            <v>36.188000000000024</v>
          </cell>
          <cell r="BC54">
            <v>43.910000000000025</v>
          </cell>
          <cell r="BD54">
            <v>49.036160000000002</v>
          </cell>
          <cell r="BE54">
            <v>52.079359999999994</v>
          </cell>
          <cell r="BG54">
            <v>29.649000000000026</v>
          </cell>
          <cell r="BH54">
            <v>33.32199999999996</v>
          </cell>
          <cell r="BI54">
            <v>37.94400000000001</v>
          </cell>
          <cell r="BJ54">
            <v>42.870999999999938</v>
          </cell>
          <cell r="BL54">
            <v>41.217000000000027</v>
          </cell>
          <cell r="BM54">
            <v>54.398999999999958</v>
          </cell>
          <cell r="BN54">
            <v>64.032479999999993</v>
          </cell>
          <cell r="BO54">
            <v>69.085499999999996</v>
          </cell>
          <cell r="BQ54">
            <v>31.143999999999991</v>
          </cell>
          <cell r="BR54">
            <v>29.66500000000001</v>
          </cell>
          <cell r="BS54">
            <v>18.752000000000002</v>
          </cell>
          <cell r="BT54">
            <v>23.195999999999991</v>
          </cell>
          <cell r="BV54">
            <v>29.230000000000075</v>
          </cell>
          <cell r="BW54">
            <v>33.322999999999979</v>
          </cell>
          <cell r="BX54">
            <v>39.464999999999961</v>
          </cell>
          <cell r="BY54">
            <v>44.446000000000012</v>
          </cell>
          <cell r="CA54">
            <v>42.792000000000044</v>
          </cell>
          <cell r="CB54">
            <v>55.561999999999955</v>
          </cell>
          <cell r="CC54">
            <v>63.911999999999907</v>
          </cell>
          <cell r="CD54">
            <v>97.118000000000137</v>
          </cell>
          <cell r="CF54">
            <v>110.69200000000008</v>
          </cell>
          <cell r="CH54">
            <v>26.14700000000002</v>
          </cell>
          <cell r="CI54">
            <v>31.391999999999953</v>
          </cell>
          <cell r="CJ54">
            <v>39.103999999999999</v>
          </cell>
          <cell r="CK54">
            <v>47.236999999999966</v>
          </cell>
          <cell r="CM54">
            <v>46.794000000000011</v>
          </cell>
          <cell r="CN54">
            <v>58.990999999999914</v>
          </cell>
          <cell r="CO54">
            <v>68.982000000000056</v>
          </cell>
          <cell r="CP54">
            <v>102.37700000000018</v>
          </cell>
          <cell r="CR54">
            <v>115.95099999999989</v>
          </cell>
          <cell r="CS54">
            <v>114.88999999999993</v>
          </cell>
          <cell r="CT54">
            <v>31.931999999999981</v>
          </cell>
          <cell r="CU54">
            <v>3.6480000000000046</v>
          </cell>
          <cell r="CW54">
            <v>177.32000000000025</v>
          </cell>
          <cell r="CX54">
            <v>156.67499999999984</v>
          </cell>
          <cell r="CY54">
            <v>68.64100000000019</v>
          </cell>
          <cell r="CZ54">
            <v>20.88299999999979</v>
          </cell>
          <cell r="DB54">
            <v>7.3019999999999774</v>
          </cell>
          <cell r="DC54">
            <v>-4.9880000000002163</v>
          </cell>
          <cell r="DD54">
            <v>2.9560000000000102</v>
          </cell>
          <cell r="DE54">
            <v>3.1480657976319888</v>
          </cell>
          <cell r="DG54">
            <v>10.564813313471362</v>
          </cell>
          <cell r="DH54">
            <v>9.7934927937493885</v>
          </cell>
          <cell r="DI54">
            <v>20.593364960628165</v>
          </cell>
          <cell r="DJ54">
            <v>31.111085826432635</v>
          </cell>
          <cell r="DL54">
            <v>43.75805676249248</v>
          </cell>
          <cell r="DM54">
            <v>36.363548780386949</v>
          </cell>
          <cell r="DN54">
            <v>41.029701973078119</v>
          </cell>
          <cell r="DO54">
            <v>45.870965593156065</v>
          </cell>
          <cell r="DQ54">
            <v>-1.8920000000000006</v>
          </cell>
          <cell r="DR54">
            <v>-2.6849999999999952</v>
          </cell>
          <cell r="DS54">
            <v>4.6860000000000053</v>
          </cell>
          <cell r="DT54">
            <v>9.8130000000000024</v>
          </cell>
          <cell r="DU54">
            <v>16.949000000000002</v>
          </cell>
          <cell r="DV54">
            <v>27.918000000000013</v>
          </cell>
          <cell r="DW54">
            <v>41.822600000000008</v>
          </cell>
          <cell r="DX54">
            <v>36.388000000000048</v>
          </cell>
          <cell r="DY54">
            <v>50.44180000000005</v>
          </cell>
          <cell r="DZ54">
            <v>70.656939999999992</v>
          </cell>
          <cell r="EA54">
            <v>83.744625999999997</v>
          </cell>
          <cell r="EB54">
            <v>62.145629999999969</v>
          </cell>
          <cell r="EC54">
            <v>87.89700000000002</v>
          </cell>
          <cell r="EE54">
            <v>121.89356999999994</v>
          </cell>
          <cell r="EF54">
            <v>181.21352000000002</v>
          </cell>
          <cell r="EH54">
            <v>101.1039999999999</v>
          </cell>
          <cell r="EI54">
            <v>143.78599999999994</v>
          </cell>
          <cell r="EK54">
            <v>66.256</v>
          </cell>
          <cell r="EL54">
            <v>102.75700000000001</v>
          </cell>
          <cell r="EM54">
            <v>146.46400000000003</v>
          </cell>
          <cell r="EN54">
            <v>259.38400000000001</v>
          </cell>
          <cell r="EP54">
            <v>108.74400000000014</v>
          </cell>
          <cell r="EQ54">
            <v>143.87999999999994</v>
          </cell>
          <cell r="ER54">
            <v>277.14400000000018</v>
          </cell>
          <cell r="ES54">
            <v>266.42099999999982</v>
          </cell>
          <cell r="ET54">
            <v>423.51900000000012</v>
          </cell>
          <cell r="EU54">
            <v>8.4180657976317601</v>
          </cell>
          <cell r="EV54">
            <v>72.062756894281549</v>
          </cell>
          <cell r="EW54">
            <v>167.0222731091136</v>
          </cell>
          <cell r="EY54">
            <v>164.52699999999993</v>
          </cell>
          <cell r="EZ54">
            <v>346.30100000000004</v>
          </cell>
          <cell r="FA54">
            <v>157.77199999999988</v>
          </cell>
          <cell r="FC54">
            <v>11.680879111103145</v>
          </cell>
        </row>
        <row r="55">
          <cell r="A55" t="str">
            <v>Extraordinary Item (a)</v>
          </cell>
          <cell r="B55" t="str">
            <v>exitem</v>
          </cell>
          <cell r="D55" t="str">
            <v xml:space="preserve"> -- </v>
          </cell>
          <cell r="E55">
            <v>-0.82399999999999995</v>
          </cell>
          <cell r="F55" t="str">
            <v xml:space="preserve"> -- </v>
          </cell>
          <cell r="G55" t="str">
            <v xml:space="preserve"> -- </v>
          </cell>
          <cell r="I55" t="str">
            <v xml:space="preserve"> -- </v>
          </cell>
          <cell r="J55" t="str">
            <v xml:space="preserve"> -- </v>
          </cell>
          <cell r="K55" t="str">
            <v xml:space="preserve"> -- </v>
          </cell>
          <cell r="L55">
            <v>-14.157</v>
          </cell>
          <cell r="N55" t="str">
            <v xml:space="preserve"> -- </v>
          </cell>
          <cell r="O55" t="str">
            <v xml:space="preserve"> -- </v>
          </cell>
          <cell r="P55" t="str">
            <v xml:space="preserve"> -- </v>
          </cell>
          <cell r="Q55" t="str">
            <v xml:space="preserve"> -- </v>
          </cell>
          <cell r="R55" t="str">
            <v xml:space="preserve"> </v>
          </cell>
          <cell r="S55" t="str">
            <v xml:space="preserve"> -- </v>
          </cell>
          <cell r="T55" t="str">
            <v xml:space="preserve"> -- </v>
          </cell>
          <cell r="U55" t="str">
            <v xml:space="preserve"> -- </v>
          </cell>
          <cell r="V55" t="str">
            <v xml:space="preserve"> -- </v>
          </cell>
          <cell r="W55" t="str">
            <v xml:space="preserve"> </v>
          </cell>
          <cell r="X55" t="str">
            <v xml:space="preserve"> -- </v>
          </cell>
          <cell r="Y55" t="str">
            <v xml:space="preserve"> -- </v>
          </cell>
          <cell r="Z55" t="str">
            <v xml:space="preserve"> -- </v>
          </cell>
          <cell r="AA55">
            <v>-0.81499999999999995</v>
          </cell>
          <cell r="AC55" t="str">
            <v xml:space="preserve"> -- </v>
          </cell>
          <cell r="AD55" t="str">
            <v xml:space="preserve"> -- </v>
          </cell>
          <cell r="AE55" t="str">
            <v xml:space="preserve"> -- </v>
          </cell>
          <cell r="AF55">
            <v>-19.917000000000002</v>
          </cell>
          <cell r="AH55">
            <v>-2.5059999999999998</v>
          </cell>
          <cell r="AI55" t="str">
            <v xml:space="preserve"> -- </v>
          </cell>
          <cell r="AJ55" t="str">
            <v xml:space="preserve"> -- </v>
          </cell>
          <cell r="AK55" t="str">
            <v xml:space="preserve"> -- </v>
          </cell>
          <cell r="AM55">
            <v>-2.5059999999999998</v>
          </cell>
          <cell r="AN55" t="str">
            <v xml:space="preserve"> -- </v>
          </cell>
          <cell r="AO55" t="str">
            <v xml:space="preserve"> -- </v>
          </cell>
          <cell r="AP55" t="str">
            <v xml:space="preserve"> -- </v>
          </cell>
          <cell r="AR55">
            <v>-2.5059999999999998</v>
          </cell>
          <cell r="AS55" t="str">
            <v xml:space="preserve"> -- </v>
          </cell>
          <cell r="AT55" t="str">
            <v xml:space="preserve"> -- </v>
          </cell>
          <cell r="AU55" t="str">
            <v xml:space="preserve"> -- </v>
          </cell>
          <cell r="AW55">
            <v>-28.19700000000001</v>
          </cell>
          <cell r="AX55" t="str">
            <v xml:space="preserve"> -- </v>
          </cell>
          <cell r="AY55" t="str">
            <v xml:space="preserve"> -- </v>
          </cell>
          <cell r="AZ55" t="str">
            <v xml:space="preserve"> -- </v>
          </cell>
          <cell r="BB55" t="str">
            <v xml:space="preserve"> -- </v>
          </cell>
          <cell r="BC55" t="str">
            <v xml:space="preserve"> -- </v>
          </cell>
          <cell r="BD55" t="str">
            <v xml:space="preserve"> -- </v>
          </cell>
          <cell r="BE55" t="str">
            <v xml:space="preserve"> -- </v>
          </cell>
          <cell r="BG55" t="str">
            <v xml:space="preserve"> -- </v>
          </cell>
          <cell r="BH55" t="str">
            <v xml:space="preserve"> -- </v>
          </cell>
          <cell r="BI55" t="str">
            <v xml:space="preserve"> -- </v>
          </cell>
          <cell r="BJ55" t="str">
            <v xml:space="preserve"> -- </v>
          </cell>
          <cell r="BL55" t="str">
            <v xml:space="preserve"> -- </v>
          </cell>
          <cell r="BM55" t="str">
            <v xml:space="preserve"> -- </v>
          </cell>
          <cell r="BN55" t="str">
            <v xml:space="preserve"> -- </v>
          </cell>
          <cell r="BO55" t="str">
            <v xml:space="preserve"> -- </v>
          </cell>
          <cell r="BQ55">
            <v>-2.2599999999999998</v>
          </cell>
          <cell r="BR55">
            <v>-66.63300000000001</v>
          </cell>
          <cell r="BS55">
            <v>-0.66600000000000004</v>
          </cell>
          <cell r="BT55" t="str">
            <v xml:space="preserve"> -- </v>
          </cell>
          <cell r="BV55">
            <v>-28.196999999999999</v>
          </cell>
          <cell r="BW55" t="str">
            <v xml:space="preserve"> -- </v>
          </cell>
          <cell r="BX55" t="str">
            <v xml:space="preserve"> -- </v>
          </cell>
          <cell r="BY55" t="str">
            <v xml:space="preserve"> -- </v>
          </cell>
          <cell r="CA55" t="str">
            <v xml:space="preserve"> -- </v>
          </cell>
          <cell r="CB55" t="str">
            <v xml:space="preserve"> -- </v>
          </cell>
          <cell r="CC55">
            <v>-62.091000000000001</v>
          </cell>
          <cell r="CD55">
            <v>-4.9589999999999996</v>
          </cell>
          <cell r="CF55" t="str">
            <v xml:space="preserve"> -- </v>
          </cell>
          <cell r="CH55">
            <v>-28.19700000000002</v>
          </cell>
          <cell r="CI55">
            <v>-10.963999999999952</v>
          </cell>
          <cell r="CJ55">
            <v>0</v>
          </cell>
          <cell r="CK55">
            <v>0</v>
          </cell>
          <cell r="CM55">
            <v>0</v>
          </cell>
          <cell r="CN55">
            <v>0</v>
          </cell>
          <cell r="CO55">
            <v>-62.091000000000058</v>
          </cell>
          <cell r="CP55">
            <v>-4.9590000000001737</v>
          </cell>
          <cell r="CR55">
            <v>0</v>
          </cell>
          <cell r="CS55">
            <v>-52.644999999999932</v>
          </cell>
          <cell r="CT55">
            <v>-1.8349999999999795</v>
          </cell>
          <cell r="CU55">
            <v>-171.495</v>
          </cell>
          <cell r="CW55">
            <v>-61.369000000000355</v>
          </cell>
          <cell r="CX55">
            <v>-94.429999999999836</v>
          </cell>
          <cell r="CY55">
            <v>-38.544000000000189</v>
          </cell>
          <cell r="CZ55">
            <v>-188.73</v>
          </cell>
          <cell r="DB55">
            <v>-198</v>
          </cell>
          <cell r="DC55">
            <v>-34.326000000000001</v>
          </cell>
          <cell r="DD55">
            <v>-7.95</v>
          </cell>
          <cell r="DE55">
            <v>-18</v>
          </cell>
          <cell r="DG55" t="str">
            <v xml:space="preserve"> -- </v>
          </cell>
          <cell r="DH55" t="str">
            <v xml:space="preserve"> -- </v>
          </cell>
          <cell r="DI55" t="str">
            <v xml:space="preserve"> -- </v>
          </cell>
          <cell r="DJ55" t="str">
            <v xml:space="preserve"> -- </v>
          </cell>
          <cell r="DL55" t="str">
            <v xml:space="preserve"> -- </v>
          </cell>
          <cell r="DM55" t="str">
            <v xml:space="preserve"> -- </v>
          </cell>
          <cell r="DN55" t="str">
            <v xml:space="preserve"> -- </v>
          </cell>
          <cell r="DO55" t="str">
            <v xml:space="preserve"> -- </v>
          </cell>
          <cell r="DQ55">
            <v>-1.321</v>
          </cell>
          <cell r="DR55">
            <v>1.2350000000000001</v>
          </cell>
          <cell r="DS55">
            <v>-0.82399999999999995</v>
          </cell>
          <cell r="DT55">
            <v>-14.157</v>
          </cell>
          <cell r="DU55" t="str">
            <v xml:space="preserve"> -- </v>
          </cell>
          <cell r="DV55" t="str">
            <v xml:space="preserve"> -- </v>
          </cell>
          <cell r="DW55">
            <v>-0.81499999999999995</v>
          </cell>
          <cell r="DX55" t="str">
            <v xml:space="preserve"> -- </v>
          </cell>
          <cell r="DY55">
            <v>-19.917000000000002</v>
          </cell>
          <cell r="DZ55">
            <v>-2.5059999999999998</v>
          </cell>
          <cell r="EA55">
            <v>-2.5059999999999998</v>
          </cell>
          <cell r="EB55">
            <v>-12.789629999999967</v>
          </cell>
          <cell r="EC55">
            <v>-2.5059999999999998</v>
          </cell>
          <cell r="EE55">
            <v>-28.19700000000001</v>
          </cell>
          <cell r="EF55" t="str">
            <v xml:space="preserve"> -- </v>
          </cell>
          <cell r="EH55" t="str">
            <v xml:space="preserve"> -- </v>
          </cell>
          <cell r="EI55" t="str">
            <v xml:space="preserve"> -- </v>
          </cell>
          <cell r="EK55">
            <v>-50.38</v>
          </cell>
          <cell r="EL55">
            <v>-69.559000000000012</v>
          </cell>
          <cell r="EM55">
            <v>-28.196999999999999</v>
          </cell>
          <cell r="EN55">
            <v>-67.05</v>
          </cell>
          <cell r="EP55">
            <v>-69.55900000000014</v>
          </cell>
          <cell r="EQ55">
            <v>-39.160999999999973</v>
          </cell>
          <cell r="ER55">
            <v>-67.050000000000239</v>
          </cell>
          <cell r="ES55">
            <v>-225.97499999999991</v>
          </cell>
          <cell r="ET55">
            <v>-383.07300000000038</v>
          </cell>
          <cell r="EU55">
            <v>-258.27599999999995</v>
          </cell>
          <cell r="EV55">
            <v>0</v>
          </cell>
          <cell r="EW55">
            <v>0</v>
          </cell>
          <cell r="EY55">
            <v>-10.963999999999952</v>
          </cell>
          <cell r="EZ55">
            <v>-67.050000000000239</v>
          </cell>
          <cell r="FA55">
            <v>-423.97499999999991</v>
          </cell>
          <cell r="FC55">
            <v>-60.276000000000003</v>
          </cell>
        </row>
        <row r="56">
          <cell r="A56" t="str">
            <v>Net Income</v>
          </cell>
          <cell r="B56" t="str">
            <v>ni</v>
          </cell>
          <cell r="D56">
            <v>0.86000000000000332</v>
          </cell>
          <cell r="E56">
            <v>0.17500000000000215</v>
          </cell>
          <cell r="F56">
            <v>1.8019999999999976</v>
          </cell>
          <cell r="G56">
            <v>1.0159999999999998</v>
          </cell>
          <cell r="I56">
            <v>2.7390000000000025</v>
          </cell>
          <cell r="J56">
            <v>2.6090000000000004</v>
          </cell>
          <cell r="K56">
            <v>2.7690000000000001</v>
          </cell>
          <cell r="L56">
            <v>-11.16</v>
          </cell>
          <cell r="N56">
            <v>3.3230000000000035</v>
          </cell>
          <cell r="O56">
            <v>3.8759999999999986</v>
          </cell>
          <cell r="P56">
            <v>4.5479999999999965</v>
          </cell>
          <cell r="Q56">
            <v>5.2020000000000026</v>
          </cell>
          <cell r="S56">
            <v>5.6870000000000047</v>
          </cell>
          <cell r="T56">
            <v>6.6049999999999995</v>
          </cell>
          <cell r="U56">
            <v>7.4520000000000026</v>
          </cell>
          <cell r="V56">
            <v>8.3509999999999973</v>
          </cell>
          <cell r="X56">
            <v>9.1739999999999871</v>
          </cell>
          <cell r="Y56">
            <v>9.9129999999999985</v>
          </cell>
          <cell r="Z56">
            <v>10.820000000000006</v>
          </cell>
          <cell r="AA56">
            <v>10.994600000000002</v>
          </cell>
          <cell r="AC56">
            <v>11.813000000000017</v>
          </cell>
          <cell r="AD56">
            <v>10.681000000000001</v>
          </cell>
          <cell r="AE56">
            <v>13.419000000000008</v>
          </cell>
          <cell r="AF56">
            <v>-5.3881999999999817</v>
          </cell>
          <cell r="AH56">
            <v>12.507939999999996</v>
          </cell>
          <cell r="AI56">
            <v>16.872999999999976</v>
          </cell>
          <cell r="AJ56">
            <v>19.381000000000014</v>
          </cell>
          <cell r="AK56">
            <v>19.388999999999999</v>
          </cell>
          <cell r="AM56">
            <v>15.674626</v>
          </cell>
          <cell r="AN56">
            <v>20.445</v>
          </cell>
          <cell r="AO56">
            <v>22.98299999999999</v>
          </cell>
          <cell r="AP56">
            <v>22.136000000000006</v>
          </cell>
          <cell r="AR56">
            <v>16.019000000000002</v>
          </cell>
          <cell r="AS56">
            <v>22.564</v>
          </cell>
          <cell r="AT56">
            <v>24.761000000000038</v>
          </cell>
          <cell r="AU56">
            <v>22.046999999999986</v>
          </cell>
          <cell r="AW56">
            <v>-0.56200000000000827</v>
          </cell>
          <cell r="AX56">
            <v>28.771999999999984</v>
          </cell>
          <cell r="AY56">
            <v>31.357569999999981</v>
          </cell>
          <cell r="AZ56">
            <v>34.128999999999976</v>
          </cell>
          <cell r="BB56">
            <v>36.188000000000024</v>
          </cell>
          <cell r="BC56">
            <v>43.910000000000025</v>
          </cell>
          <cell r="BD56">
            <v>49.036160000000002</v>
          </cell>
          <cell r="BE56">
            <v>52.079359999999994</v>
          </cell>
          <cell r="BG56">
            <v>29.649000000000026</v>
          </cell>
          <cell r="BH56">
            <v>33.32199999999996</v>
          </cell>
          <cell r="BI56">
            <v>37.94400000000001</v>
          </cell>
          <cell r="BJ56">
            <v>42.870999999999938</v>
          </cell>
          <cell r="BL56">
            <v>41.217000000000027</v>
          </cell>
          <cell r="BM56">
            <v>54.398999999999958</v>
          </cell>
          <cell r="BN56">
            <v>64.032479999999993</v>
          </cell>
          <cell r="BO56">
            <v>69.085499999999996</v>
          </cell>
          <cell r="BQ56">
            <v>28.883999999999993</v>
          </cell>
          <cell r="BR56">
            <v>-36.968000000000004</v>
          </cell>
          <cell r="BS56">
            <v>18.086000000000002</v>
          </cell>
          <cell r="BT56">
            <v>23.195999999999991</v>
          </cell>
          <cell r="BV56">
            <v>1.0330000000000759</v>
          </cell>
          <cell r="BW56">
            <v>33.322999999999979</v>
          </cell>
          <cell r="BX56">
            <v>39.464999999999961</v>
          </cell>
          <cell r="BY56">
            <v>44.446000000000012</v>
          </cell>
          <cell r="CA56">
            <v>42.792000000000044</v>
          </cell>
          <cell r="CB56">
            <v>55.561999999999955</v>
          </cell>
          <cell r="CC56">
            <v>1.8209999999999056</v>
          </cell>
          <cell r="CD56">
            <v>92.159000000000134</v>
          </cell>
          <cell r="CF56">
            <v>110.69200000000008</v>
          </cell>
          <cell r="CH56">
            <v>-2.0499999999999998</v>
          </cell>
          <cell r="CI56">
            <v>20.428000000000001</v>
          </cell>
          <cell r="CJ56">
            <v>39.103999999999999</v>
          </cell>
          <cell r="CK56">
            <v>47.236999999999966</v>
          </cell>
          <cell r="CM56">
            <v>46.793999999999997</v>
          </cell>
          <cell r="CN56">
            <v>58.99</v>
          </cell>
          <cell r="CO56">
            <v>6.891</v>
          </cell>
          <cell r="CP56">
            <v>97.418000000000006</v>
          </cell>
          <cell r="CR56">
            <v>115.95099999999989</v>
          </cell>
          <cell r="CS56">
            <v>62.244999999999997</v>
          </cell>
          <cell r="CT56">
            <v>30.097000000000001</v>
          </cell>
          <cell r="CU56">
            <v>-167.84700000000001</v>
          </cell>
          <cell r="CW56">
            <v>115.95099999999989</v>
          </cell>
          <cell r="CX56">
            <v>62.245000000000005</v>
          </cell>
          <cell r="CY56">
            <v>30.097000000000001</v>
          </cell>
          <cell r="CZ56">
            <v>-167.84700000000021</v>
          </cell>
          <cell r="DB56">
            <v>-190.69800000000004</v>
          </cell>
          <cell r="DC56">
            <v>-39.31400000000022</v>
          </cell>
          <cell r="DD56">
            <v>-4.99399999999999</v>
          </cell>
          <cell r="DE56">
            <v>-14.85193420236801</v>
          </cell>
          <cell r="DG56">
            <v>10.564813313471362</v>
          </cell>
          <cell r="DH56">
            <v>9.7934927937493885</v>
          </cell>
          <cell r="DI56">
            <v>20.593364960628165</v>
          </cell>
          <cell r="DJ56">
            <v>31.111085826432635</v>
          </cell>
          <cell r="DL56">
            <v>43.75805676249248</v>
          </cell>
          <cell r="DM56">
            <v>36.363548780386949</v>
          </cell>
          <cell r="DN56">
            <v>41.029701973078119</v>
          </cell>
          <cell r="DO56">
            <v>45.870965593156065</v>
          </cell>
          <cell r="DQ56">
            <v>-3.2130000000000005</v>
          </cell>
          <cell r="DR56">
            <v>-1.4499999999999951</v>
          </cell>
          <cell r="DS56">
            <v>3.8620000000000054</v>
          </cell>
          <cell r="DT56">
            <v>-4.3439999999999976</v>
          </cell>
          <cell r="DU56">
            <v>16.949000000000002</v>
          </cell>
          <cell r="DV56">
            <v>27.918000000000013</v>
          </cell>
          <cell r="DW56">
            <v>41.007600000000011</v>
          </cell>
          <cell r="DX56">
            <v>36.388000000000048</v>
          </cell>
          <cell r="DY56">
            <v>30.524800000000049</v>
          </cell>
          <cell r="DZ56">
            <v>68.150939999999991</v>
          </cell>
          <cell r="EA56">
            <v>81.238625999999996</v>
          </cell>
          <cell r="EB56">
            <v>49.356000000000002</v>
          </cell>
          <cell r="EC56">
            <v>85.39100000000002</v>
          </cell>
          <cell r="EE56">
            <v>93.696569999999923</v>
          </cell>
          <cell r="EF56">
            <v>181.21352000000002</v>
          </cell>
          <cell r="EH56">
            <v>101.1039999999999</v>
          </cell>
          <cell r="EI56">
            <v>143.78599999999994</v>
          </cell>
          <cell r="EK56">
            <v>15.875999999999998</v>
          </cell>
          <cell r="EL56">
            <v>33.197999999999993</v>
          </cell>
          <cell r="EM56">
            <v>118.26700000000002</v>
          </cell>
          <cell r="EN56">
            <v>192.334</v>
          </cell>
          <cell r="EP56">
            <v>39.185000000000002</v>
          </cell>
          <cell r="EQ56">
            <v>104.71899999999997</v>
          </cell>
          <cell r="ER56">
            <v>210.09300000000002</v>
          </cell>
          <cell r="ES56">
            <v>40.445999999999884</v>
          </cell>
          <cell r="ET56">
            <v>40.445999999999714</v>
          </cell>
          <cell r="EU56">
            <v>-249.8579342023682</v>
          </cell>
          <cell r="EV56">
            <v>72.062756894281549</v>
          </cell>
          <cell r="EW56">
            <v>167.0222731091136</v>
          </cell>
          <cell r="EY56">
            <v>153.56299999999996</v>
          </cell>
          <cell r="EZ56">
            <v>279.24999999999989</v>
          </cell>
          <cell r="FA56">
            <v>-266.20300000000003</v>
          </cell>
          <cell r="FC56">
            <v>-48.595120888896858</v>
          </cell>
        </row>
        <row r="58">
          <cell r="A58" t="str">
            <v>Diluted Operating EPS</v>
          </cell>
          <cell r="B58" t="str">
            <v>opeps</v>
          </cell>
          <cell r="D58">
            <v>1.2035378414688805E-2</v>
          </cell>
          <cell r="E58">
            <v>1.3980631437528018E-2</v>
          </cell>
          <cell r="F58">
            <v>1.6451212386795186E-2</v>
          </cell>
          <cell r="G58">
            <v>8.9222987213713623E-3</v>
          </cell>
          <cell r="I58">
            <v>2.2243698024948046E-2</v>
          </cell>
          <cell r="J58">
            <v>1.9961133553678543E-2</v>
          </cell>
          <cell r="K58">
            <v>2.1151613297482278E-2</v>
          </cell>
          <cell r="L58">
            <v>2.3561320754716973E-2</v>
          </cell>
          <cell r="N58">
            <v>2.5076974160830743E-2</v>
          </cell>
          <cell r="O58">
            <v>2.9081632653061212E-2</v>
          </cell>
          <cell r="P58">
            <v>3.3627114633857778E-2</v>
          </cell>
          <cell r="Q58">
            <v>3.797745590468405E-2</v>
          </cell>
          <cell r="S58">
            <v>3.9811854402361076E-2</v>
          </cell>
          <cell r="T58">
            <v>4.4790858860023264E-2</v>
          </cell>
          <cell r="U58">
            <v>4.9543049543049555E-2</v>
          </cell>
          <cell r="V58">
            <v>5.4484427910526052E-2</v>
          </cell>
          <cell r="X58">
            <v>5.8462441314553915E-2</v>
          </cell>
          <cell r="Y58">
            <v>6.2884913732311587E-2</v>
          </cell>
          <cell r="Z58">
            <v>6.7341161182531237E-2</v>
          </cell>
          <cell r="AA58">
            <v>7.2187585953974523E-2</v>
          </cell>
          <cell r="AC58">
            <v>6.4659954797616687E-2</v>
          </cell>
          <cell r="AD58">
            <v>5.8211382113821139E-2</v>
          </cell>
          <cell r="AE58">
            <v>7.1907676096295739E-2</v>
          </cell>
          <cell r="AF58">
            <v>9.3498289345063657E-2</v>
          </cell>
          <cell r="AH58">
            <v>7.9281348305658403E-2</v>
          </cell>
          <cell r="AI58">
            <v>8.8177791964249963E-2</v>
          </cell>
          <cell r="AJ58">
            <v>9.9493366451791035E-2</v>
          </cell>
          <cell r="AK58">
            <v>0.10221837944664032</v>
          </cell>
          <cell r="AM58">
            <v>8.3256126061705363E-2</v>
          </cell>
          <cell r="AN58">
            <v>9.2983265711250818E-2</v>
          </cell>
          <cell r="AO58">
            <v>0.10296702917909029</v>
          </cell>
          <cell r="AP58">
            <v>9.9554273275400409E-2</v>
          </cell>
          <cell r="AR58">
            <v>8.3162208874514448E-2</v>
          </cell>
          <cell r="AS58">
            <v>0.10063092564335557</v>
          </cell>
          <cell r="AT58">
            <v>0.10893823933741807</v>
          </cell>
          <cell r="AU58">
            <v>9.7651531905482827E-2</v>
          </cell>
          <cell r="AW58">
            <v>0.12040345067967934</v>
          </cell>
          <cell r="AX58">
            <v>0.11647828480746181</v>
          </cell>
          <cell r="AY58">
            <v>0.12675461218814163</v>
          </cell>
          <cell r="AZ58">
            <v>0.13694106506596468</v>
          </cell>
          <cell r="BB58">
            <v>0.14423966072510452</v>
          </cell>
          <cell r="BC58">
            <v>0.16645311943229299</v>
          </cell>
          <cell r="BD58">
            <v>0.17766724637681161</v>
          </cell>
          <cell r="BE58">
            <v>0.18733582733812948</v>
          </cell>
          <cell r="BG58">
            <v>0.10539917952947375</v>
          </cell>
          <cell r="BH58">
            <v>0.11674970393883959</v>
          </cell>
          <cell r="BI58">
            <v>0.13270102400537187</v>
          </cell>
          <cell r="BJ58">
            <v>0.14862541168313378</v>
          </cell>
          <cell r="BL58">
            <v>0.14225414334131753</v>
          </cell>
          <cell r="BM58">
            <v>0.17903863037752402</v>
          </cell>
          <cell r="BN58">
            <v>0.18833082352941174</v>
          </cell>
          <cell r="BO58">
            <v>0.20295387779083432</v>
          </cell>
          <cell r="BQ58">
            <v>0.11607882761728912</v>
          </cell>
          <cell r="BR58">
            <v>0.11127340714556982</v>
          </cell>
          <cell r="BS58">
            <v>7.0710685957643724E-2</v>
          </cell>
          <cell r="BT58">
            <v>9.1211363515454544E-2</v>
          </cell>
          <cell r="BV58">
            <v>0.10252183367822972</v>
          </cell>
          <cell r="BW58">
            <v>0.11518174402367021</v>
          </cell>
          <cell r="BX58">
            <v>0.13612563639123043</v>
          </cell>
          <cell r="BY58">
            <v>0.1521404636531492</v>
          </cell>
          <cell r="CA58">
            <v>0.14583049647321564</v>
          </cell>
          <cell r="CB58">
            <v>0.18051590127891479</v>
          </cell>
          <cell r="CC58">
            <v>0.19867589311368614</v>
          </cell>
          <cell r="CD58">
            <v>0.29602056506432556</v>
          </cell>
          <cell r="CF58">
            <v>0.33535802030607137</v>
          </cell>
          <cell r="CH58">
            <v>8.8225369981711876E-2</v>
          </cell>
          <cell r="CI58">
            <v>0.10444399343897937</v>
          </cell>
          <cell r="CJ58">
            <v>0.13886417064003292</v>
          </cell>
          <cell r="CK58">
            <v>0.16447985776138807</v>
          </cell>
          <cell r="CM58">
            <v>0.16233016838902592</v>
          </cell>
          <cell r="CN58">
            <v>0.18461929769439059</v>
          </cell>
          <cell r="CO58">
            <v>0.20686161559437052</v>
          </cell>
          <cell r="CP58">
            <v>0.30114894398109426</v>
          </cell>
          <cell r="CR58">
            <v>0.35097238255927504</v>
          </cell>
          <cell r="CS58">
            <v>0.33650855476827357</v>
          </cell>
          <cell r="CT58">
            <v>9.5905586511672539E-2</v>
          </cell>
          <cell r="CU58">
            <v>1.1365689823844284E-2</v>
          </cell>
          <cell r="CW58">
            <v>0.32320404912352629</v>
          </cell>
          <cell r="CX58">
            <v>0.2872748698186216</v>
          </cell>
          <cell r="CY58">
            <v>0.12870340335291516</v>
          </cell>
          <cell r="CZ58">
            <v>3.9395642954701125E-2</v>
          </cell>
          <cell r="DB58">
            <v>1.3696112119802487E-2</v>
          </cell>
          <cell r="DC58">
            <v>-9.4103264560729729E-3</v>
          </cell>
          <cell r="DD58">
            <v>5.6237705136351901E-3</v>
          </cell>
          <cell r="DE58">
            <v>6.0539726877538247E-3</v>
          </cell>
          <cell r="DG58">
            <v>2.0239105964504525E-2</v>
          </cell>
          <cell r="DH58">
            <v>1.8689871743796542E-2</v>
          </cell>
          <cell r="DI58">
            <v>3.9150883955566852E-2</v>
          </cell>
          <cell r="DJ58">
            <v>5.8922511034910294E-2</v>
          </cell>
          <cell r="DL58">
            <v>8.2562371249985805E-2</v>
          </cell>
          <cell r="DM58">
            <v>6.8352535301479223E-2</v>
          </cell>
          <cell r="DN58">
            <v>7.6834647889659394E-2</v>
          </cell>
          <cell r="DO58">
            <v>8.5580159688723997E-2</v>
          </cell>
          <cell r="DQ58">
            <v>-2.6477832512315277E-2</v>
          </cell>
          <cell r="DR58">
            <v>-3.7575570980743322E-2</v>
          </cell>
          <cell r="DS58">
            <v>5.1166142557652047E-2</v>
          </cell>
          <cell r="DT58">
            <v>7.9198411673553737E-2</v>
          </cell>
          <cell r="DU58">
            <v>0.12601112234580383</v>
          </cell>
          <cell r="DV58">
            <v>0.18863019071595993</v>
          </cell>
          <cell r="DW58">
            <v>0.26087610218337126</v>
          </cell>
          <cell r="DX58">
            <v>0.2054540143548659</v>
          </cell>
          <cell r="DY58">
            <v>0.28827730235279725</v>
          </cell>
          <cell r="DZ58">
            <v>0.36917088616833971</v>
          </cell>
          <cell r="EA58">
            <v>0.37876069422744685</v>
          </cell>
          <cell r="EB58">
            <v>0.28310985663704513</v>
          </cell>
          <cell r="EC58">
            <v>0.39068979640595941</v>
          </cell>
          <cell r="EE58">
            <v>0.50057741274124745</v>
          </cell>
          <cell r="EF58">
            <v>0.67569585387233866</v>
          </cell>
          <cell r="EH58">
            <v>0.38296969696969657</v>
          </cell>
          <cell r="EI58">
            <v>0.50424688760301584</v>
          </cell>
          <cell r="EK58">
            <v>0.27419528385436065</v>
          </cell>
          <cell r="EL58">
            <v>0.40550022098749844</v>
          </cell>
          <cell r="EM58">
            <v>0.50596967774627954</v>
          </cell>
          <cell r="EN58">
            <v>0.83651749893574479</v>
          </cell>
          <cell r="EP58">
            <v>0.39</v>
          </cell>
          <cell r="EQ58">
            <v>0.49601339182211224</v>
          </cell>
          <cell r="ER58">
            <v>0.85260708463020651</v>
          </cell>
          <cell r="ES58">
            <v>0.83831522973451711</v>
          </cell>
          <cell r="ET58">
            <v>0.79263603420442208</v>
          </cell>
          <cell r="EU58">
            <v>1.5967635910457807E-2</v>
          </cell>
          <cell r="EV58">
            <v>0.13726239408434582</v>
          </cell>
          <cell r="EW58">
            <v>0.31336261371315871</v>
          </cell>
          <cell r="EY58">
            <v>0.57011819022942634</v>
          </cell>
          <cell r="EZ58">
            <v>1.0436022398291305</v>
          </cell>
          <cell r="FA58">
            <v>0.45747594322359286</v>
          </cell>
          <cell r="FC58">
            <v>2.2506522709820568E-2</v>
          </cell>
        </row>
        <row r="59">
          <cell r="A59" t="str">
            <v>Extraordinary Items (a)</v>
          </cell>
          <cell r="B59" t="str">
            <v>xitem</v>
          </cell>
          <cell r="D59" t="str">
            <v xml:space="preserve"> -- </v>
          </cell>
          <cell r="E59">
            <v>-1.1531571876399461E-2</v>
          </cell>
          <cell r="F59" t="str">
            <v xml:space="preserve"> -- </v>
          </cell>
          <cell r="G59" t="str">
            <v xml:space="preserve"> -- </v>
          </cell>
          <cell r="I59" t="str">
            <v xml:space="preserve"> -- </v>
          </cell>
          <cell r="J59" t="str">
            <v xml:space="preserve"> -- </v>
          </cell>
          <cell r="K59" t="str">
            <v xml:space="preserve"> -- </v>
          </cell>
          <cell r="L59">
            <v>-0.11129716981132075</v>
          </cell>
          <cell r="N59" t="str">
            <v xml:space="preserve"> -- </v>
          </cell>
          <cell r="O59" t="str">
            <v xml:space="preserve"> -- </v>
          </cell>
          <cell r="P59" t="str">
            <v xml:space="preserve"> -- </v>
          </cell>
          <cell r="Q59" t="str">
            <v xml:space="preserve"> -- </v>
          </cell>
          <cell r="S59" t="str">
            <v xml:space="preserve"> -- </v>
          </cell>
          <cell r="T59" t="str">
            <v xml:space="preserve"> -- </v>
          </cell>
          <cell r="U59" t="str">
            <v xml:space="preserve"> -- </v>
          </cell>
          <cell r="V59" t="str">
            <v xml:space="preserve"> -- </v>
          </cell>
          <cell r="X59" t="str">
            <v xml:space="preserve"> -- </v>
          </cell>
          <cell r="Y59" t="str">
            <v xml:space="preserve"> -- </v>
          </cell>
          <cell r="Z59" t="str">
            <v xml:space="preserve"> -- </v>
          </cell>
          <cell r="AA59">
            <v>-4.6701659484734573E-3</v>
          </cell>
          <cell r="AC59" t="str">
            <v xml:space="preserve"> -- </v>
          </cell>
          <cell r="AD59" t="str">
            <v xml:space="preserve"> -- </v>
          </cell>
          <cell r="AE59" t="str">
            <v xml:space="preserve"> -- </v>
          </cell>
          <cell r="AF59">
            <v>-0.1216825513196481</v>
          </cell>
          <cell r="AH59">
            <v>-1.2473619241030541E-2</v>
          </cell>
          <cell r="AI59" t="str">
            <v xml:space="preserve"> -- </v>
          </cell>
          <cell r="AJ59" t="str">
            <v xml:space="preserve"> -- </v>
          </cell>
          <cell r="AK59" t="str">
            <v xml:space="preserve"> -- </v>
          </cell>
          <cell r="AM59">
            <v>-1.0926626785496274E-2</v>
          </cell>
          <cell r="AN59" t="str">
            <v xml:space="preserve"> -- </v>
          </cell>
          <cell r="AO59" t="str">
            <v xml:space="preserve"> -- </v>
          </cell>
          <cell r="AP59" t="str">
            <v xml:space="preserve"> -- </v>
          </cell>
          <cell r="AR59">
            <v>-1.0720947345004022E-2</v>
          </cell>
          <cell r="AS59" t="str">
            <v xml:space="preserve"> -- </v>
          </cell>
          <cell r="AT59" t="str">
            <v xml:space="preserve"> -- </v>
          </cell>
          <cell r="AU59" t="str">
            <v xml:space="preserve"> -- </v>
          </cell>
          <cell r="AW59">
            <v>-0.12285203903799237</v>
          </cell>
          <cell r="AX59" t="str">
            <v xml:space="preserve"> -- </v>
          </cell>
          <cell r="AY59" t="str">
            <v xml:space="preserve"> -- </v>
          </cell>
          <cell r="AZ59" t="str">
            <v xml:space="preserve"> -- </v>
          </cell>
          <cell r="BB59" t="str">
            <v xml:space="preserve"> -- </v>
          </cell>
          <cell r="BC59" t="str">
            <v xml:space="preserve"> -- </v>
          </cell>
          <cell r="BD59" t="str">
            <v xml:space="preserve"> -- </v>
          </cell>
          <cell r="BE59" t="str">
            <v xml:space="preserve"> -- </v>
          </cell>
          <cell r="BG59" t="str">
            <v xml:space="preserve"> -- </v>
          </cell>
          <cell r="BH59" t="str">
            <v xml:space="preserve"> -- </v>
          </cell>
          <cell r="BI59" t="str">
            <v xml:space="preserve"> -- </v>
          </cell>
          <cell r="BJ59" t="str">
            <v xml:space="preserve"> -- </v>
          </cell>
          <cell r="BL59" t="str">
            <v xml:space="preserve"> -- </v>
          </cell>
          <cell r="BM59" t="str">
            <v xml:space="preserve"> -- </v>
          </cell>
          <cell r="BN59" t="str">
            <v xml:space="preserve"> -- </v>
          </cell>
          <cell r="BO59" t="str">
            <v xml:space="preserve"> -- </v>
          </cell>
          <cell r="BQ59">
            <v>-8.2142389834697523E-3</v>
          </cell>
          <cell r="BR59">
            <v>-0.24332111244193863</v>
          </cell>
          <cell r="BS59">
            <v>-2.4077568816294661E-3</v>
          </cell>
          <cell r="BT59" t="str">
            <v xml:space="preserve"> -- </v>
          </cell>
          <cell r="BV59">
            <v>-9.8898670688506177E-2</v>
          </cell>
          <cell r="BW59" t="str">
            <v xml:space="preserve"> -- </v>
          </cell>
          <cell r="BX59" t="str">
            <v xml:space="preserve"> -- </v>
          </cell>
          <cell r="BY59" t="str">
            <v xml:space="preserve"> -- </v>
          </cell>
          <cell r="CA59" t="str">
            <v xml:space="preserve"> -- </v>
          </cell>
          <cell r="CB59" t="str">
            <v xml:space="preserve"> -- </v>
          </cell>
          <cell r="CC59">
            <v>-0.18583888037544297</v>
          </cell>
          <cell r="CD59">
            <v>-1.4720287815911802E-2</v>
          </cell>
          <cell r="CF59" t="str">
            <v xml:space="preserve"> -- </v>
          </cell>
          <cell r="CH59">
            <v>-9.5142492728585673E-2</v>
          </cell>
          <cell r="CI59">
            <v>-3.6478209227349852E-2</v>
          </cell>
          <cell r="CJ59">
            <v>0</v>
          </cell>
          <cell r="CK59">
            <v>0</v>
          </cell>
          <cell r="CM59">
            <v>0</v>
          </cell>
          <cell r="CN59">
            <v>0</v>
          </cell>
          <cell r="CO59">
            <v>-0.17973530791007894</v>
          </cell>
          <cell r="CP59">
            <v>-1.4222698957174658E-2</v>
          </cell>
          <cell r="CR59">
            <v>0</v>
          </cell>
          <cell r="CS59">
            <v>-0.15077528482480893</v>
          </cell>
          <cell r="CT59">
            <v>-5.5090546642328139E-3</v>
          </cell>
          <cell r="CU59">
            <v>-0.53430892991781065</v>
          </cell>
          <cell r="CW59">
            <v>-0.1083786905337969</v>
          </cell>
          <cell r="CX59">
            <v>-0.16708158386900973</v>
          </cell>
          <cell r="CY59">
            <v>-7.2290241267555275E-2</v>
          </cell>
          <cell r="CZ59">
            <v>-0.35603791097260057</v>
          </cell>
          <cell r="DB59">
            <v>-0.37138184055339646</v>
          </cell>
          <cell r="DC59">
            <v>-6.4759195254840987E-2</v>
          </cell>
          <cell r="DD59">
            <v>-1.5124822592489718E-2</v>
          </cell>
          <cell r="DE59" t="str">
            <v xml:space="preserve"> -- </v>
          </cell>
          <cell r="DG59" t="str">
            <v xml:space="preserve"> -- </v>
          </cell>
          <cell r="DH59" t="str">
            <v xml:space="preserve"> -- </v>
          </cell>
          <cell r="DI59" t="str">
            <v xml:space="preserve"> -- </v>
          </cell>
          <cell r="DJ59" t="str">
            <v xml:space="preserve"> -- </v>
          </cell>
          <cell r="DL59" t="str">
            <v xml:space="preserve"> -- </v>
          </cell>
          <cell r="DM59" t="str">
            <v xml:space="preserve"> -- </v>
          </cell>
          <cell r="DN59" t="str">
            <v xml:space="preserve"> -- </v>
          </cell>
          <cell r="DO59" t="str">
            <v xml:space="preserve"> -- </v>
          </cell>
          <cell r="DQ59">
            <v>-1.8486901030004478E-2</v>
          </cell>
          <cell r="DR59">
            <v>1.7283363188535603E-2</v>
          </cell>
          <cell r="DS59">
            <v>-8.9972047519217314E-3</v>
          </cell>
          <cell r="DT59">
            <v>-0.11129716981132075</v>
          </cell>
          <cell r="DU59" t="str">
            <v xml:space="preserve"> -- </v>
          </cell>
          <cell r="DV59" t="str">
            <v xml:space="preserve"> -- </v>
          </cell>
          <cell r="DW59" t="str">
            <v xml:space="preserve"> -- </v>
          </cell>
          <cell r="DX59" t="str">
            <v xml:space="preserve"> -- </v>
          </cell>
          <cell r="DY59">
            <v>-0.1216825513196481</v>
          </cell>
          <cell r="DZ59">
            <v>-1.2473619241030541E-2</v>
          </cell>
          <cell r="EA59">
            <v>-1.0926626785496274E-2</v>
          </cell>
          <cell r="EB59">
            <v>-5.5495131560677445E-2</v>
          </cell>
          <cell r="EC59">
            <v>-1.0720947345004022E-2</v>
          </cell>
          <cell r="EE59">
            <v>-0.12285203903799237</v>
          </cell>
          <cell r="EF59" t="str">
            <v xml:space="preserve"> -- </v>
          </cell>
          <cell r="EH59" t="str">
            <v xml:space="preserve"> -- </v>
          </cell>
          <cell r="EI59" t="str">
            <v xml:space="preserve"> -- </v>
          </cell>
          <cell r="EK59">
            <v>-0.20849369718339003</v>
          </cell>
          <cell r="EL59">
            <v>-0.27449409647682793</v>
          </cell>
          <cell r="EM59">
            <v>-9.8898670688506177E-2</v>
          </cell>
          <cell r="EN59">
            <v>-0.21623730956281684</v>
          </cell>
          <cell r="EP59">
            <v>-0.24290074309978818</v>
          </cell>
          <cell r="EQ59">
            <v>-0.13162070195593553</v>
          </cell>
          <cell r="ER59">
            <v>-0.19875500222321102</v>
          </cell>
          <cell r="ES59">
            <v>-0.68429786602630271</v>
          </cell>
          <cell r="ET59">
            <v>-0.69818247431182745</v>
          </cell>
          <cell r="EU59">
            <v>-0.48990554737284353</v>
          </cell>
          <cell r="EV59">
            <v>0</v>
          </cell>
          <cell r="EW59">
            <v>0</v>
          </cell>
          <cell r="EY59">
            <v>-3.6478209227349852E-2</v>
          </cell>
          <cell r="EZ59">
            <v>-0.19395800686725359</v>
          </cell>
          <cell r="FA59">
            <v>-1.0619751099602488</v>
          </cell>
          <cell r="FC59">
            <v>-7.9884017847330707E-2</v>
          </cell>
        </row>
        <row r="60">
          <cell r="A60" t="str">
            <v>Diluted EPS</v>
          </cell>
          <cell r="D60">
            <v>1.2035378414688805E-2</v>
          </cell>
          <cell r="E60">
            <v>2.4490595611285568E-3</v>
          </cell>
          <cell r="F60">
            <v>1.6451212386795186E-2</v>
          </cell>
          <cell r="G60">
            <v>8.9222987213713623E-3</v>
          </cell>
          <cell r="I60">
            <v>2.2243698024948046E-2</v>
          </cell>
          <cell r="J60">
            <v>1.9961133553678543E-2</v>
          </cell>
          <cell r="K60">
            <v>2.1151613297482278E-2</v>
          </cell>
          <cell r="L60">
            <v>-8.7735849056603782E-2</v>
          </cell>
          <cell r="N60">
            <v>2.5076974160830743E-2</v>
          </cell>
          <cell r="O60">
            <v>2.9081632653061212E-2</v>
          </cell>
          <cell r="P60">
            <v>3.3627114633857778E-2</v>
          </cell>
          <cell r="Q60">
            <v>3.797745590468405E-2</v>
          </cell>
          <cell r="S60">
            <v>3.9811854402361076E-2</v>
          </cell>
          <cell r="T60">
            <v>4.4790858860023264E-2</v>
          </cell>
          <cell r="U60">
            <v>4.9543049543049555E-2</v>
          </cell>
          <cell r="V60">
            <v>5.4484427910526052E-2</v>
          </cell>
          <cell r="X60">
            <v>5.8462441314553915E-2</v>
          </cell>
          <cell r="Y60">
            <v>6.2884913732311587E-2</v>
          </cell>
          <cell r="Z60">
            <v>6.7341161182531237E-2</v>
          </cell>
          <cell r="AA60">
            <v>6.7517420005501066E-2</v>
          </cell>
          <cell r="AC60">
            <v>6.4659954797616687E-2</v>
          </cell>
          <cell r="AD60">
            <v>5.8211382113821139E-2</v>
          </cell>
          <cell r="AE60">
            <v>7.1907676096295739E-2</v>
          </cell>
          <cell r="AF60">
            <v>-2.8184261974584443E-2</v>
          </cell>
          <cell r="AH60">
            <v>6.6807729064627869E-2</v>
          </cell>
          <cell r="AI60">
            <v>8.8177791964249963E-2</v>
          </cell>
          <cell r="AJ60">
            <v>9.9493366451791035E-2</v>
          </cell>
          <cell r="AK60">
            <v>0.10221837944664032</v>
          </cell>
          <cell r="AM60">
            <v>7.2329499276209089E-2</v>
          </cell>
          <cell r="AN60">
            <v>9.2983265711250818E-2</v>
          </cell>
          <cell r="AO60">
            <v>0.10296702917909029</v>
          </cell>
          <cell r="AP60">
            <v>9.9554273275400409E-2</v>
          </cell>
          <cell r="AR60">
            <v>7.2441261529510428E-2</v>
          </cell>
          <cell r="AS60">
            <v>0.10063092564335557</v>
          </cell>
          <cell r="AT60">
            <v>0.10893823933741807</v>
          </cell>
          <cell r="AU60">
            <v>9.7651531905482827E-2</v>
          </cell>
          <cell r="AW60">
            <v>-2.4485883583130336E-3</v>
          </cell>
          <cell r="AX60">
            <v>0.11647828480746181</v>
          </cell>
          <cell r="AY60">
            <v>0.12675461218814163</v>
          </cell>
          <cell r="AZ60">
            <v>0.13694106506596468</v>
          </cell>
          <cell r="BB60">
            <v>0.14423966072510452</v>
          </cell>
          <cell r="BC60">
            <v>0.16645311943229299</v>
          </cell>
          <cell r="BD60">
            <v>0.17766724637681161</v>
          </cell>
          <cell r="BE60">
            <v>0.18733582733812948</v>
          </cell>
          <cell r="BG60">
            <v>0.10539917952947375</v>
          </cell>
          <cell r="BH60">
            <v>0.11674970393883959</v>
          </cell>
          <cell r="BI60">
            <v>0.13270102400537187</v>
          </cell>
          <cell r="BJ60">
            <v>0.14862541168313378</v>
          </cell>
          <cell r="BL60">
            <v>0.14225414334131753</v>
          </cell>
          <cell r="BM60">
            <v>0.17903863037752402</v>
          </cell>
          <cell r="BN60">
            <v>0.18833082352941174</v>
          </cell>
          <cell r="BO60">
            <v>0.20295387779083432</v>
          </cell>
          <cell r="BQ60">
            <v>0.10786458863381937</v>
          </cell>
          <cell r="BR60">
            <v>-0.13204770529636881</v>
          </cell>
          <cell r="BS60">
            <v>6.8302929076014263E-2</v>
          </cell>
          <cell r="BT60">
            <v>9.1211363515454544E-2</v>
          </cell>
          <cell r="BV60">
            <v>3.6231629897235385E-3</v>
          </cell>
          <cell r="BW60">
            <v>0.11518174402367021</v>
          </cell>
          <cell r="BX60">
            <v>0.13612563639123043</v>
          </cell>
          <cell r="BY60">
            <v>0.1521404636531492</v>
          </cell>
          <cell r="CA60">
            <v>0.14583049647321564</v>
          </cell>
          <cell r="CB60">
            <v>0.18051590127891479</v>
          </cell>
          <cell r="CC60">
            <v>1.283701273824317E-2</v>
          </cell>
          <cell r="CD60">
            <v>0.28130027724841378</v>
          </cell>
          <cell r="CF60">
            <v>0.33535802030607137</v>
          </cell>
          <cell r="CH60">
            <v>-6.9171227468737967E-3</v>
          </cell>
          <cell r="CI60">
            <v>6.7965784211629521E-2</v>
          </cell>
          <cell r="CJ60">
            <v>0.13886417064003292</v>
          </cell>
          <cell r="CK60">
            <v>0.16447985776138807</v>
          </cell>
          <cell r="CM60">
            <v>0.16233016838902592</v>
          </cell>
          <cell r="CN60">
            <v>0.18461929769439059</v>
          </cell>
          <cell r="CO60">
            <v>2.7126307684291584E-2</v>
          </cell>
          <cell r="CP60">
            <v>0.28692624502391961</v>
          </cell>
          <cell r="CR60">
            <v>0.35097238255927504</v>
          </cell>
          <cell r="CS60">
            <v>0.18573326994346465</v>
          </cell>
          <cell r="CT60">
            <v>9.0396531847439732E-2</v>
          </cell>
          <cell r="CU60">
            <v>-0.52294324009396631</v>
          </cell>
          <cell r="CW60">
            <v>0.2148253585897294</v>
          </cell>
          <cell r="CX60">
            <v>0.12019328594961187</v>
          </cell>
          <cell r="CY60">
            <v>5.6413162085359889E-2</v>
          </cell>
          <cell r="CZ60">
            <v>-0.31664226801789946</v>
          </cell>
          <cell r="DB60">
            <v>-0.35768572843359397</v>
          </cell>
          <cell r="DC60">
            <v>-7.4169521710913955E-2</v>
          </cell>
          <cell r="DD60">
            <v>-9.5010520788545282E-3</v>
          </cell>
          <cell r="DE60">
            <v>6.0539726877538247E-3</v>
          </cell>
          <cell r="DG60">
            <v>2.0239105964504525E-2</v>
          </cell>
          <cell r="DH60">
            <v>1.8689871743796542E-2</v>
          </cell>
          <cell r="DI60">
            <v>3.9150883955566852E-2</v>
          </cell>
          <cell r="DJ60">
            <v>5.8922511034910294E-2</v>
          </cell>
          <cell r="DL60">
            <v>8.2562371249985805E-2</v>
          </cell>
          <cell r="DM60">
            <v>6.8352535301479223E-2</v>
          </cell>
          <cell r="DN60">
            <v>7.6834647889659394E-2</v>
          </cell>
          <cell r="DO60">
            <v>8.5580159688723997E-2</v>
          </cell>
          <cell r="DQ60">
            <v>-4.4964733542319751E-2</v>
          </cell>
          <cell r="DR60">
            <v>-2.0292207792207719E-2</v>
          </cell>
          <cell r="DS60">
            <v>4.2168937805730319E-2</v>
          </cell>
          <cell r="DT60">
            <v>-3.2098758137767011E-2</v>
          </cell>
          <cell r="DU60">
            <v>0.12601112234580383</v>
          </cell>
          <cell r="DV60">
            <v>0.18863019071595993</v>
          </cell>
          <cell r="DW60">
            <v>0.26087610218337126</v>
          </cell>
          <cell r="DX60">
            <v>0.2054540143548659</v>
          </cell>
          <cell r="DY60">
            <v>0.16659475103314914</v>
          </cell>
          <cell r="DZ60">
            <v>0.35669726692730919</v>
          </cell>
          <cell r="EA60">
            <v>0.36783406744195057</v>
          </cell>
          <cell r="EB60">
            <v>0.22761472507636768</v>
          </cell>
          <cell r="EC60">
            <v>0.3799688490609554</v>
          </cell>
          <cell r="EE60">
            <v>0.3777253737032551</v>
          </cell>
          <cell r="EF60">
            <v>0.67569585387233866</v>
          </cell>
          <cell r="EH60">
            <v>0.38296969696969657</v>
          </cell>
          <cell r="EI60">
            <v>0.50424688760301584</v>
          </cell>
          <cell r="EK60">
            <v>6.5701586670970619E-2</v>
          </cell>
          <cell r="EL60">
            <v>0.13100612451067051</v>
          </cell>
          <cell r="EM60">
            <v>0.40707100705777338</v>
          </cell>
          <cell r="EN60">
            <v>0.62028018937292795</v>
          </cell>
          <cell r="EP60">
            <v>0.13683442284054084</v>
          </cell>
          <cell r="EQ60">
            <v>0.36439268986617673</v>
          </cell>
          <cell r="ER60">
            <v>0.65385208240699555</v>
          </cell>
          <cell r="ES60">
            <v>0.15401736370821439</v>
          </cell>
          <cell r="ET60">
            <v>9.445355989259463E-2</v>
          </cell>
          <cell r="EU60">
            <v>-0.47393791146238573</v>
          </cell>
          <cell r="EV60">
            <v>0.13726239408434582</v>
          </cell>
          <cell r="EW60">
            <v>0.31336261371315871</v>
          </cell>
          <cell r="EY60">
            <v>0.53363998100207644</v>
          </cell>
          <cell r="EZ60">
            <v>0.84964423296187674</v>
          </cell>
          <cell r="FA60">
            <v>-0.60449916673665594</v>
          </cell>
          <cell r="FC60">
            <v>-5.7377495137510129E-2</v>
          </cell>
        </row>
        <row r="61">
          <cell r="G61" t="str">
            <v xml:space="preserve"> </v>
          </cell>
          <cell r="EE61" t="str">
            <v xml:space="preserve"> </v>
          </cell>
        </row>
        <row r="62">
          <cell r="A62" t="str">
            <v>Avg. Basic Shares (MM)</v>
          </cell>
          <cell r="CH62" t="str">
            <v>--</v>
          </cell>
          <cell r="CI62" t="str">
            <v>--</v>
          </cell>
          <cell r="CJ62" t="str">
            <v>--</v>
          </cell>
          <cell r="CK62" t="str">
            <v>--</v>
          </cell>
          <cell r="CM62" t="str">
            <v>--</v>
          </cell>
          <cell r="CN62">
            <v>302.447</v>
          </cell>
          <cell r="CO62">
            <v>312.892</v>
          </cell>
          <cell r="CP62">
            <v>314.33</v>
          </cell>
          <cell r="CR62">
            <v>304.92200000000003</v>
          </cell>
          <cell r="CS62">
            <v>318.87900000000002</v>
          </cell>
          <cell r="CT62">
            <v>321.01100000000002</v>
          </cell>
          <cell r="CU62">
            <v>320.96600000000001</v>
          </cell>
          <cell r="CW62">
            <v>517.423</v>
          </cell>
          <cell r="CX62">
            <v>519.726</v>
          </cell>
          <cell r="CY62">
            <v>519.48400000000004</v>
          </cell>
          <cell r="CZ62">
            <v>519.65300000000002</v>
          </cell>
          <cell r="DB62">
            <v>521.62300000000005</v>
          </cell>
          <cell r="DC62">
            <v>521.76199999999994</v>
          </cell>
          <cell r="DD62">
            <v>520.029</v>
          </cell>
          <cell r="DE62">
            <v>515</v>
          </cell>
          <cell r="DG62">
            <v>517</v>
          </cell>
          <cell r="DH62">
            <v>519</v>
          </cell>
          <cell r="DI62">
            <v>521</v>
          </cell>
          <cell r="DJ62">
            <v>523</v>
          </cell>
          <cell r="DL62">
            <v>525</v>
          </cell>
          <cell r="DM62">
            <v>527</v>
          </cell>
          <cell r="DN62">
            <v>529</v>
          </cell>
          <cell r="DO62">
            <v>531</v>
          </cell>
          <cell r="EP62" t="str">
            <v>--</v>
          </cell>
          <cell r="EQ62" t="str">
            <v>--</v>
          </cell>
          <cell r="ER62">
            <v>304.82400000000001</v>
          </cell>
          <cell r="ES62">
            <v>319.36</v>
          </cell>
          <cell r="ET62">
            <v>519.07150000000001</v>
          </cell>
          <cell r="EU62">
            <v>519.60349999999994</v>
          </cell>
          <cell r="EV62">
            <v>520</v>
          </cell>
          <cell r="EW62">
            <v>528</v>
          </cell>
          <cell r="EY62" t="str">
            <v>--</v>
          </cell>
          <cell r="EZ62">
            <v>308.64774999999997</v>
          </cell>
          <cell r="FA62" t="str">
            <v>--</v>
          </cell>
          <cell r="FC62">
            <v>518.44775000000004</v>
          </cell>
        </row>
        <row r="63">
          <cell r="A63" t="str">
            <v>Avg. Diluted Shares (MM)</v>
          </cell>
          <cell r="CH63">
            <v>296.36599999999999</v>
          </cell>
          <cell r="CI63">
            <v>300.56299999999999</v>
          </cell>
          <cell r="CJ63">
            <v>301.17200000000003</v>
          </cell>
          <cell r="CK63">
            <v>303.71499999999997</v>
          </cell>
          <cell r="CM63">
            <v>305.00799999999998</v>
          </cell>
          <cell r="CN63">
            <v>334.185</v>
          </cell>
          <cell r="CO63">
            <v>345.45800000000003</v>
          </cell>
          <cell r="CP63">
            <v>348.66800000000001</v>
          </cell>
          <cell r="CR63">
            <v>337.83</v>
          </cell>
          <cell r="CS63">
            <v>349.16199999999998</v>
          </cell>
          <cell r="CT63">
            <v>333.08800000000002</v>
          </cell>
          <cell r="CU63">
            <v>320.96600000000001</v>
          </cell>
          <cell r="CW63">
            <v>566.24599999999998</v>
          </cell>
          <cell r="CX63">
            <v>565.173</v>
          </cell>
          <cell r="CY63">
            <v>533.18399999999997</v>
          </cell>
          <cell r="CZ63">
            <v>530.08399999999995</v>
          </cell>
          <cell r="DB63">
            <v>533.1</v>
          </cell>
          <cell r="DC63">
            <v>530.05600000000004</v>
          </cell>
          <cell r="DD63">
            <v>525.62599999999998</v>
          </cell>
          <cell r="DE63">
            <v>520</v>
          </cell>
          <cell r="DG63">
            <v>522</v>
          </cell>
          <cell r="DH63">
            <v>524</v>
          </cell>
          <cell r="DI63">
            <v>526</v>
          </cell>
          <cell r="DJ63">
            <v>528</v>
          </cell>
          <cell r="DL63">
            <v>530</v>
          </cell>
          <cell r="DM63">
            <v>532</v>
          </cell>
          <cell r="DN63">
            <v>534</v>
          </cell>
          <cell r="DO63">
            <v>536</v>
          </cell>
          <cell r="EP63" t="str">
            <v>--</v>
          </cell>
          <cell r="EQ63" t="str">
            <v>--</v>
          </cell>
          <cell r="ER63">
            <v>337.35</v>
          </cell>
          <cell r="ES63">
            <v>330.22899999999998</v>
          </cell>
          <cell r="ET63">
            <v>548.67174999999997</v>
          </cell>
          <cell r="EU63">
            <v>527.19550000000004</v>
          </cell>
          <cell r="EV63">
            <v>525</v>
          </cell>
          <cell r="EW63">
            <v>533</v>
          </cell>
          <cell r="EY63">
            <v>302.61450000000002</v>
          </cell>
          <cell r="EZ63">
            <v>341.53525000000002</v>
          </cell>
          <cell r="FA63" t="str">
            <v>--</v>
          </cell>
          <cell r="FC63">
            <v>524.42049999999995</v>
          </cell>
        </row>
        <row r="64">
          <cell r="A64" t="str">
            <v>Avg. Diluted Shares - Cash EPS (MM)</v>
          </cell>
          <cell r="B64" t="str">
            <v>so</v>
          </cell>
          <cell r="D64">
            <v>71.456000000000003</v>
          </cell>
          <cell r="E64">
            <v>71.456000000000003</v>
          </cell>
          <cell r="F64">
            <v>109.536</v>
          </cell>
          <cell r="G64">
            <v>113.872</v>
          </cell>
          <cell r="I64">
            <v>123.136</v>
          </cell>
          <cell r="J64">
            <v>130.70400000000001</v>
          </cell>
          <cell r="K64">
            <v>130.91200000000001</v>
          </cell>
          <cell r="L64">
            <v>127.2</v>
          </cell>
          <cell r="N64">
            <v>132.512</v>
          </cell>
          <cell r="O64">
            <v>133.28</v>
          </cell>
          <cell r="P64">
            <v>135.24799999999999</v>
          </cell>
          <cell r="Q64">
            <v>136.976</v>
          </cell>
          <cell r="S64">
            <v>162.63999999999999</v>
          </cell>
          <cell r="T64">
            <v>165.05600000000001</v>
          </cell>
          <cell r="U64">
            <v>166.32</v>
          </cell>
          <cell r="V64">
            <v>167.73599999999999</v>
          </cell>
          <cell r="X64">
            <v>170.4</v>
          </cell>
          <cell r="Y64">
            <v>170.16800000000001</v>
          </cell>
          <cell r="Z64">
            <v>172.376</v>
          </cell>
          <cell r="AA64">
            <v>174.512</v>
          </cell>
          <cell r="AC64">
            <v>194.68</v>
          </cell>
          <cell r="AD64">
            <v>196.8</v>
          </cell>
          <cell r="AE64">
            <v>197.392</v>
          </cell>
          <cell r="AF64">
            <v>163.68</v>
          </cell>
          <cell r="AH64">
            <v>200.904</v>
          </cell>
          <cell r="AI64">
            <v>200.50399999999999</v>
          </cell>
          <cell r="AJ64">
            <v>202.90799999999999</v>
          </cell>
          <cell r="AK64">
            <v>202.4</v>
          </cell>
          <cell r="AM64">
            <v>229.34800000000001</v>
          </cell>
          <cell r="AN64">
            <v>229.708</v>
          </cell>
          <cell r="AO64">
            <v>232.084</v>
          </cell>
          <cell r="AP64">
            <v>231.53200000000001</v>
          </cell>
          <cell r="AR64">
            <v>233.74799999999999</v>
          </cell>
          <cell r="AS64">
            <v>233.30799999999999</v>
          </cell>
          <cell r="AT64">
            <v>235.684</v>
          </cell>
          <cell r="AU64">
            <v>235.13200000000001</v>
          </cell>
          <cell r="AW64">
            <v>229.52</v>
          </cell>
          <cell r="AX64">
            <v>247.01599999999999</v>
          </cell>
          <cell r="AY64">
            <v>247.38800000000001</v>
          </cell>
          <cell r="AZ64">
            <v>249.22399999999999</v>
          </cell>
          <cell r="BB64">
            <v>250.88800000000001</v>
          </cell>
          <cell r="BC64">
            <v>263.798</v>
          </cell>
          <cell r="BD64">
            <v>276</v>
          </cell>
          <cell r="BE64">
            <v>278</v>
          </cell>
          <cell r="BG64">
            <v>281.30200000000002</v>
          </cell>
          <cell r="BH64">
            <v>285.41399999999999</v>
          </cell>
          <cell r="BI64">
            <v>285.93599999999998</v>
          </cell>
          <cell r="BJ64">
            <v>288.45</v>
          </cell>
          <cell r="BL64">
            <v>289.74200000000002</v>
          </cell>
          <cell r="BM64">
            <v>318.92</v>
          </cell>
          <cell r="BN64">
            <v>340</v>
          </cell>
          <cell r="BO64">
            <v>340.4</v>
          </cell>
          <cell r="BQ64">
            <v>275.13200000000001</v>
          </cell>
          <cell r="BR64">
            <v>273.84800000000001</v>
          </cell>
          <cell r="BS64">
            <v>276.60599999999999</v>
          </cell>
          <cell r="BT64">
            <v>263.15800000000002</v>
          </cell>
          <cell r="BV64">
            <v>285.11</v>
          </cell>
          <cell r="BW64">
            <v>289.30799999999999</v>
          </cell>
          <cell r="BX64">
            <v>289.916</v>
          </cell>
          <cell r="BY64">
            <v>292.45999999999998</v>
          </cell>
          <cell r="CA64">
            <v>293.75200000000001</v>
          </cell>
          <cell r="CB64">
            <v>322.93</v>
          </cell>
          <cell r="CC64">
            <v>334.11200000000002</v>
          </cell>
          <cell r="CD64">
            <v>336.88200000000001</v>
          </cell>
          <cell r="CF64">
            <v>337.83</v>
          </cell>
          <cell r="CH64">
            <v>296.36599999999999</v>
          </cell>
          <cell r="CI64">
            <v>300.56299999999999</v>
          </cell>
          <cell r="CJ64">
            <v>301.17200000000003</v>
          </cell>
          <cell r="CK64">
            <v>303.71499999999997</v>
          </cell>
          <cell r="CM64">
            <v>305.00799999999998</v>
          </cell>
          <cell r="CN64">
            <v>334.185</v>
          </cell>
          <cell r="CO64">
            <v>345.45800000000003</v>
          </cell>
          <cell r="CP64">
            <v>348.66800000000001</v>
          </cell>
          <cell r="CR64">
            <v>337.83</v>
          </cell>
          <cell r="CS64">
            <v>349.16199999999998</v>
          </cell>
          <cell r="CT64">
            <v>333.08800000000002</v>
          </cell>
          <cell r="CU64">
            <v>329.661</v>
          </cell>
          <cell r="CW64">
            <v>566.24599999999998</v>
          </cell>
          <cell r="CX64">
            <v>565.173</v>
          </cell>
          <cell r="CY64">
            <v>533.327</v>
          </cell>
          <cell r="CZ64">
            <v>530.08399999999995</v>
          </cell>
          <cell r="DB64">
            <v>533.14400000000001</v>
          </cell>
          <cell r="DC64">
            <v>530.05600000000004</v>
          </cell>
          <cell r="DD64">
            <v>525.62599999999998</v>
          </cell>
          <cell r="DE64">
            <v>520</v>
          </cell>
          <cell r="DG64">
            <v>522</v>
          </cell>
          <cell r="DH64">
            <v>524</v>
          </cell>
          <cell r="DI64">
            <v>526</v>
          </cell>
          <cell r="DJ64">
            <v>528</v>
          </cell>
          <cell r="DL64">
            <v>530</v>
          </cell>
          <cell r="DM64">
            <v>532</v>
          </cell>
          <cell r="DN64">
            <v>534</v>
          </cell>
          <cell r="DO64">
            <v>536</v>
          </cell>
          <cell r="DQ64">
            <v>71.456000000000003</v>
          </cell>
          <cell r="DR64">
            <v>71.456000000000003</v>
          </cell>
          <cell r="DS64">
            <v>91.584000000000003</v>
          </cell>
          <cell r="DT64">
            <v>123.904</v>
          </cell>
          <cell r="DU64">
            <v>134.50400000000002</v>
          </cell>
          <cell r="DV64">
            <v>166.49600000000001</v>
          </cell>
          <cell r="DW64">
            <v>171.86399999999998</v>
          </cell>
          <cell r="DX64">
            <v>191.71199999999999</v>
          </cell>
          <cell r="DY64">
            <v>197.70400000000001</v>
          </cell>
          <cell r="DZ64">
            <v>201.679</v>
          </cell>
          <cell r="EA64">
            <v>230.66800000000003</v>
          </cell>
          <cell r="EB64">
            <v>230.464</v>
          </cell>
          <cell r="EC64">
            <v>234.38800000000001</v>
          </cell>
          <cell r="EE64">
            <v>246.648</v>
          </cell>
          <cell r="EF64">
            <v>267.17150000000004</v>
          </cell>
          <cell r="EH64">
            <v>264</v>
          </cell>
          <cell r="EI64">
            <v>285.14999999999998</v>
          </cell>
          <cell r="EK64">
            <v>241.63800000000001</v>
          </cell>
          <cell r="EL64">
            <v>253.40799999999999</v>
          </cell>
          <cell r="EM64">
            <v>289.072</v>
          </cell>
          <cell r="EN64">
            <v>310.07600000000002</v>
          </cell>
          <cell r="EP64">
            <v>286.36799999999999</v>
          </cell>
          <cell r="EQ64">
            <v>300.32799999999997</v>
          </cell>
          <cell r="ER64">
            <v>337.35</v>
          </cell>
          <cell r="ES64">
            <v>348.34800000000001</v>
          </cell>
          <cell r="ET64">
            <v>548.70749999999998</v>
          </cell>
          <cell r="EU64">
            <v>527.20650000000001</v>
          </cell>
          <cell r="EV64">
            <v>525</v>
          </cell>
          <cell r="EW64">
            <v>533</v>
          </cell>
          <cell r="EY64">
            <v>302.61450000000002</v>
          </cell>
          <cell r="EZ64">
            <v>341.53525000000002</v>
          </cell>
          <cell r="FA64">
            <v>386.26375000000002</v>
          </cell>
          <cell r="FC64">
            <v>524.42049999999995</v>
          </cell>
        </row>
        <row r="66">
          <cell r="A66" t="str">
            <v>Cash Earnings</v>
          </cell>
          <cell r="B66" t="str">
            <v>cashearn</v>
          </cell>
          <cell r="D66">
            <v>0.92616783216783538</v>
          </cell>
          <cell r="E66">
            <v>1.0662194976076576</v>
          </cell>
          <cell r="F66">
            <v>1.8688511766655596</v>
          </cell>
          <cell r="G66">
            <v>1.8485431309904152</v>
          </cell>
          <cell r="I66">
            <v>2.7784428476674798</v>
          </cell>
          <cell r="J66">
            <v>2.6757692661605708</v>
          </cell>
          <cell r="K66">
            <v>2.8353999999999999</v>
          </cell>
          <cell r="L66">
            <v>3.0633999999999988</v>
          </cell>
          <cell r="N66">
            <v>3.3230000000000035</v>
          </cell>
          <cell r="O66">
            <v>3.8759999999999986</v>
          </cell>
          <cell r="P66">
            <v>4.5671110515021427</v>
          </cell>
          <cell r="Q66">
            <v>5.2963649583675414</v>
          </cell>
          <cell r="S66">
            <v>5.7702262073476556</v>
          </cell>
          <cell r="T66">
            <v>6.7954025718040167</v>
          </cell>
          <cell r="U66">
            <v>7.6422674157303394</v>
          </cell>
          <cell r="V66">
            <v>8.5417749072011855</v>
          </cell>
          <cell r="X66">
            <v>9.3693830041890962</v>
          </cell>
          <cell r="Y66">
            <v>10.108745707428147</v>
          </cell>
          <cell r="Z66">
            <v>11.015377854203084</v>
          </cell>
          <cell r="AA66">
            <v>12.005380000000001</v>
          </cell>
          <cell r="AC66">
            <v>11.982293184620575</v>
          </cell>
          <cell r="AD66">
            <v>10.869257343475718</v>
          </cell>
          <cell r="AE66">
            <v>13.591540013679898</v>
          </cell>
          <cell r="AF66">
            <v>14.689646258910717</v>
          </cell>
          <cell r="AH66">
            <v>15.220894999999997</v>
          </cell>
          <cell r="AI66">
            <v>17.104642381615051</v>
          </cell>
          <cell r="AJ66">
            <v>19.682137703951263</v>
          </cell>
          <cell r="AK66">
            <v>19.690075955586124</v>
          </cell>
          <cell r="AM66">
            <v>18.39217567270094</v>
          </cell>
          <cell r="AN66">
            <v>20.679464506981475</v>
          </cell>
          <cell r="AO66">
            <v>23.287537344569177</v>
          </cell>
          <cell r="AP66">
            <v>22.43972923445796</v>
          </cell>
          <cell r="AR66">
            <v>18.762855231143554</v>
          </cell>
          <cell r="AS66">
            <v>22.808042416526821</v>
          </cell>
          <cell r="AT66">
            <v>25.07565131251803</v>
          </cell>
          <cell r="AU66">
            <v>22.376970296179696</v>
          </cell>
          <cell r="AW66">
            <v>27.903822475721391</v>
          </cell>
          <cell r="AX66">
            <v>29.06547987288134</v>
          </cell>
          <cell r="AY66">
            <v>31.669644999999981</v>
          </cell>
          <cell r="AZ66">
            <v>34.442540513889121</v>
          </cell>
          <cell r="BB66">
            <v>36.872725382003416</v>
          </cell>
          <cell r="BC66">
            <v>44.627131613467448</v>
          </cell>
          <cell r="BD66">
            <v>49.756160000000001</v>
          </cell>
          <cell r="BE66">
            <v>52.799359999999993</v>
          </cell>
          <cell r="BG66">
            <v>31.030166497790262</v>
          </cell>
          <cell r="BH66">
            <v>34.748478747330381</v>
          </cell>
          <cell r="BI66">
            <v>39.391556381002928</v>
          </cell>
          <cell r="BJ66">
            <v>44.325522749245536</v>
          </cell>
          <cell r="BL66">
            <v>44.363544405055514</v>
          </cell>
          <cell r="BM66">
            <v>57.607322295495962</v>
          </cell>
          <cell r="BN66">
            <v>67.212479999999999</v>
          </cell>
          <cell r="BO66">
            <v>73.378500000000003</v>
          </cell>
          <cell r="BQ66">
            <v>32.394270192423079</v>
          </cell>
          <cell r="BR66">
            <v>31.595317657118436</v>
          </cell>
          <cell r="BS66">
            <v>21.439970516318795</v>
          </cell>
          <cell r="BT66">
            <v>25.720777826372174</v>
          </cell>
          <cell r="BV66">
            <v>31.697722602739802</v>
          </cell>
          <cell r="BW66">
            <v>35.788854192622772</v>
          </cell>
          <cell r="BX66">
            <v>41.989941031465953</v>
          </cell>
          <cell r="BY66">
            <v>46.953614441764799</v>
          </cell>
          <cell r="CA66">
            <v>45.993237482117358</v>
          </cell>
          <cell r="CB66">
            <v>58.819891632058322</v>
          </cell>
          <cell r="CC66">
            <v>66.896222443552929</v>
          </cell>
          <cell r="CD66">
            <v>101.03004854195407</v>
          </cell>
          <cell r="CF66">
            <v>114.60855061472549</v>
          </cell>
          <cell r="CH66">
            <v>28.734794997228736</v>
          </cell>
          <cell r="CI66">
            <v>34.025999999999954</v>
          </cell>
          <cell r="CJ66">
            <v>41.69</v>
          </cell>
          <cell r="CK66">
            <v>49.887999999999963</v>
          </cell>
          <cell r="CM66">
            <v>50.289000000000001</v>
          </cell>
          <cell r="CN66">
            <v>62.530999999999921</v>
          </cell>
          <cell r="CO66">
            <v>72.277000000000072</v>
          </cell>
          <cell r="CP66">
            <v>107.76100000000019</v>
          </cell>
          <cell r="CR66">
            <v>125.143</v>
          </cell>
          <cell r="CS66">
            <v>123.88800000000001</v>
          </cell>
          <cell r="CT66">
            <v>40.918999999999997</v>
          </cell>
          <cell r="CU66">
            <v>12.288</v>
          </cell>
          <cell r="CW66">
            <v>186.63900000000001</v>
          </cell>
          <cell r="CX66">
            <v>165.84299999999985</v>
          </cell>
          <cell r="CY66">
            <v>73.33799999999998</v>
          </cell>
          <cell r="CZ66">
            <v>31.755000000000003</v>
          </cell>
          <cell r="DB66">
            <v>14.028999999999977</v>
          </cell>
          <cell r="DC66">
            <v>-1.9260000000002169</v>
          </cell>
          <cell r="DD66">
            <v>8.9293951071660658</v>
          </cell>
          <cell r="DE66">
            <v>9.1215057976319898</v>
          </cell>
          <cell r="DG66">
            <v>16.577133313471361</v>
          </cell>
          <cell r="DH66">
            <v>15.805812793749388</v>
          </cell>
          <cell r="DI66">
            <v>26.605684960628167</v>
          </cell>
          <cell r="DJ66">
            <v>37.123405826432638</v>
          </cell>
          <cell r="DL66">
            <v>49.770376762492482</v>
          </cell>
          <cell r="DM66">
            <v>42.375868780386945</v>
          </cell>
          <cell r="DN66">
            <v>47.042021973078114</v>
          </cell>
          <cell r="DO66">
            <v>51.883285593156067</v>
          </cell>
          <cell r="DQ66">
            <v>-1.8920000000000006</v>
          </cell>
          <cell r="DR66">
            <v>-2.6849999999999952</v>
          </cell>
          <cell r="DS66">
            <v>4.6860000000000053</v>
          </cell>
          <cell r="DT66">
            <v>9.8130000000000024</v>
          </cell>
          <cell r="DU66">
            <v>16.949000000000002</v>
          </cell>
          <cell r="DV66">
            <v>27.918000000000013</v>
          </cell>
          <cell r="DW66">
            <v>41.822600000000008</v>
          </cell>
          <cell r="DX66">
            <v>36.388000000000048</v>
          </cell>
          <cell r="DY66">
            <v>50.44180000000005</v>
          </cell>
          <cell r="DZ66">
            <v>70.656939999999992</v>
          </cell>
          <cell r="EA66">
            <v>83.744625999999997</v>
          </cell>
          <cell r="EB66">
            <v>62.145629999999969</v>
          </cell>
          <cell r="EC66">
            <v>87.89700000000002</v>
          </cell>
          <cell r="EE66">
            <v>121.89356999999994</v>
          </cell>
          <cell r="EF66">
            <v>181.21352000000002</v>
          </cell>
          <cell r="EH66">
            <v>101.1039999999999</v>
          </cell>
          <cell r="EI66">
            <v>143.78599999999994</v>
          </cell>
          <cell r="EK66">
            <v>66.256</v>
          </cell>
          <cell r="EL66">
            <v>102.75700000000001</v>
          </cell>
          <cell r="EM66">
            <v>146.46400000000003</v>
          </cell>
          <cell r="EN66">
            <v>259.38400000000001</v>
          </cell>
          <cell r="EO66" t="str">
            <v xml:space="preserve"> </v>
          </cell>
          <cell r="EP66">
            <v>117.67241034800863</v>
          </cell>
          <cell r="EQ66">
            <v>154.33879499722866</v>
          </cell>
          <cell r="ER66">
            <v>292.85800000000017</v>
          </cell>
          <cell r="ES66">
            <v>302.238</v>
          </cell>
          <cell r="ET66">
            <v>457.57499999999982</v>
          </cell>
          <cell r="EU66">
            <v>30.153900904797815</v>
          </cell>
          <cell r="EV66">
            <v>96.112036894281545</v>
          </cell>
          <cell r="EW66">
            <v>191.07155310911361</v>
          </cell>
          <cell r="EY66">
            <v>175.89299999999992</v>
          </cell>
          <cell r="EZ66">
            <v>367.71200000000022</v>
          </cell>
          <cell r="FA66">
            <v>191.124</v>
          </cell>
          <cell r="FC66">
            <v>32.702034218269205</v>
          </cell>
        </row>
        <row r="67">
          <cell r="A67" t="str">
            <v>Income before taxes, GW, special</v>
          </cell>
          <cell r="CH67">
            <v>41.497000000000021</v>
          </cell>
          <cell r="CI67">
            <v>50.211999999999954</v>
          </cell>
          <cell r="CJ67">
            <v>61.591999999999999</v>
          </cell>
          <cell r="CK67">
            <v>72.759999999999962</v>
          </cell>
          <cell r="CM67">
            <v>72.762000000000015</v>
          </cell>
          <cell r="CN67">
            <v>92.178999999999917</v>
          </cell>
          <cell r="CO67">
            <v>119.16200000000006</v>
          </cell>
          <cell r="CP67">
            <v>163.98400000000018</v>
          </cell>
          <cell r="CR67">
            <v>192.839</v>
          </cell>
          <cell r="CS67">
            <v>192.006</v>
          </cell>
          <cell r="CT67">
            <v>58.183</v>
          </cell>
          <cell r="CU67">
            <v>11.877000000000001</v>
          </cell>
          <cell r="CW67">
            <v>286.62799999999999</v>
          </cell>
          <cell r="CX67">
            <v>253.79799999999986</v>
          </cell>
          <cell r="CY67">
            <v>115.20700000000018</v>
          </cell>
          <cell r="CZ67">
            <v>32.728000000000002</v>
          </cell>
          <cell r="DB67">
            <v>13.886999999999977</v>
          </cell>
          <cell r="DC67">
            <v>-6.5420000000002165</v>
          </cell>
          <cell r="DD67">
            <v>5.9150000000000107</v>
          </cell>
          <cell r="DE67">
            <v>6.214852808799983</v>
          </cell>
          <cell r="DG67">
            <v>17.064378079808002</v>
          </cell>
          <cell r="DH67">
            <v>15.91315342350655</v>
          </cell>
          <cell r="DI67">
            <v>32.032365612877861</v>
          </cell>
          <cell r="DJ67">
            <v>47.730456457362145</v>
          </cell>
          <cell r="DL67">
            <v>66.606532481332067</v>
          </cell>
          <cell r="DM67">
            <v>55.569953403562614</v>
          </cell>
          <cell r="DN67">
            <v>62.534361153847932</v>
          </cell>
          <cell r="DO67">
            <v>69.760127750979208</v>
          </cell>
          <cell r="EP67" t="str">
            <v xml:space="preserve"> -- </v>
          </cell>
          <cell r="EQ67" t="str">
            <v xml:space="preserve"> -- </v>
          </cell>
          <cell r="ER67">
            <v>448.0870000000001</v>
          </cell>
          <cell r="ES67">
            <v>454.90500000000003</v>
          </cell>
          <cell r="ET67">
            <v>688.36099999999999</v>
          </cell>
          <cell r="EU67">
            <v>19.474852808799753</v>
          </cell>
          <cell r="EV67">
            <v>112.74035357355456</v>
          </cell>
          <cell r="EW67">
            <v>254.47097478972182</v>
          </cell>
          <cell r="EY67">
            <v>257.32599999999991</v>
          </cell>
          <cell r="EZ67">
            <v>568.16400000000021</v>
          </cell>
          <cell r="FA67">
            <v>275.95299999999997</v>
          </cell>
          <cell r="FC67">
            <v>22.652230888607779</v>
          </cell>
        </row>
        <row r="68">
          <cell r="A68" t="str">
            <v>Provision for income taxes</v>
          </cell>
          <cell r="CH68">
            <v>-12.762</v>
          </cell>
          <cell r="CI68">
            <v>-16.186</v>
          </cell>
          <cell r="CJ68">
            <v>-19.902000000000001</v>
          </cell>
          <cell r="CK68">
            <v>-22.872</v>
          </cell>
          <cell r="CM68">
            <v>-22.473000000000013</v>
          </cell>
          <cell r="CN68">
            <v>-29.648</v>
          </cell>
          <cell r="CO68">
            <v>-46.884999999999998</v>
          </cell>
          <cell r="CP68">
            <v>-57.241999999999997</v>
          </cell>
          <cell r="CR68">
            <v>-72.540999999999997</v>
          </cell>
          <cell r="CS68">
            <v>-72.962999999999994</v>
          </cell>
          <cell r="CT68">
            <v>-22.109000000000002</v>
          </cell>
          <cell r="CU68">
            <v>-4.5019999999999998</v>
          </cell>
          <cell r="CW68">
            <v>-104.89</v>
          </cell>
          <cell r="CX68">
            <v>-92.876000000000005</v>
          </cell>
          <cell r="CY68">
            <v>-46.865000000000187</v>
          </cell>
          <cell r="CZ68">
            <v>-7.1550000000000002</v>
          </cell>
          <cell r="DB68">
            <v>-4.9989999999999997</v>
          </cell>
          <cell r="DC68">
            <v>-0.52800000000000002</v>
          </cell>
          <cell r="DD68">
            <v>-2.1296048928339459</v>
          </cell>
          <cell r="DE68">
            <v>-2.2373470111679938</v>
          </cell>
          <cell r="DG68">
            <v>-5.631244766336641</v>
          </cell>
          <cell r="DH68">
            <v>-5.2513406297571619</v>
          </cell>
          <cell r="DI68">
            <v>-10.570680652249695</v>
          </cell>
          <cell r="DJ68">
            <v>-15.751050630929509</v>
          </cell>
          <cell r="DL68">
            <v>-21.980155718839583</v>
          </cell>
          <cell r="DM68">
            <v>-18.338084623175668</v>
          </cell>
          <cell r="DN68">
            <v>-20.63633918076982</v>
          </cell>
          <cell r="DO68">
            <v>-23.020842157823139</v>
          </cell>
          <cell r="EP68" t="str">
            <v xml:space="preserve"> -- </v>
          </cell>
          <cell r="EQ68" t="str">
            <v xml:space="preserve"> -- </v>
          </cell>
          <cell r="ER68">
            <v>-156.24799999999999</v>
          </cell>
          <cell r="ES68">
            <v>-172.11500000000001</v>
          </cell>
          <cell r="ET68">
            <v>-251.7860000000002</v>
          </cell>
          <cell r="EU68">
            <v>-9.8939519040019395</v>
          </cell>
          <cell r="EV68">
            <v>-37.204316679273006</v>
          </cell>
          <cell r="EW68">
            <v>-83.975421680608207</v>
          </cell>
          <cell r="EY68">
            <v>-81.433000000000021</v>
          </cell>
          <cell r="EZ68">
            <v>-206.316</v>
          </cell>
          <cell r="FA68">
            <v>-104.57299999999999</v>
          </cell>
          <cell r="FC68">
            <v>-10.526196670338582</v>
          </cell>
        </row>
        <row r="69">
          <cell r="A69" t="str">
            <v>Non-cash interest expense, net</v>
          </cell>
          <cell r="CH69">
            <v>0</v>
          </cell>
          <cell r="CI69">
            <v>0</v>
          </cell>
          <cell r="CJ69">
            <v>0</v>
          </cell>
          <cell r="CK69">
            <v>0</v>
          </cell>
          <cell r="CM69">
            <v>0</v>
          </cell>
          <cell r="CN69">
            <v>0</v>
          </cell>
          <cell r="CO69">
            <v>0</v>
          </cell>
          <cell r="CP69">
            <v>1.0189999999999999</v>
          </cell>
          <cell r="CR69">
            <v>4.8449999999999998</v>
          </cell>
          <cell r="CS69">
            <v>4.8449999999999998</v>
          </cell>
          <cell r="CT69">
            <v>4.8449999999999998</v>
          </cell>
          <cell r="CU69">
            <v>4.9130000000000003</v>
          </cell>
          <cell r="CW69">
            <v>4.9009999999999998</v>
          </cell>
          <cell r="CX69">
            <v>4.9210000000000003</v>
          </cell>
          <cell r="CY69">
            <v>4.9960000000000004</v>
          </cell>
          <cell r="CZ69">
            <v>6.1820000000000004</v>
          </cell>
          <cell r="DB69">
            <v>5.141</v>
          </cell>
          <cell r="DC69">
            <v>5.1440000000000001</v>
          </cell>
          <cell r="DD69">
            <v>5.1440000000000001</v>
          </cell>
          <cell r="DE69">
            <v>5.1440000000000001</v>
          </cell>
          <cell r="DG69">
            <v>5.1440000000000001</v>
          </cell>
          <cell r="DH69">
            <v>5.1440000000000001</v>
          </cell>
          <cell r="DI69">
            <v>5.1440000000000001</v>
          </cell>
          <cell r="DJ69">
            <v>5.1440000000000001</v>
          </cell>
          <cell r="DL69">
            <v>5.1440000000000001</v>
          </cell>
          <cell r="DM69">
            <v>5.1440000000000001</v>
          </cell>
          <cell r="DN69">
            <v>5.1440000000000001</v>
          </cell>
          <cell r="DO69">
            <v>5.1440000000000001</v>
          </cell>
          <cell r="EP69" t="str">
            <v xml:space="preserve"> -- </v>
          </cell>
          <cell r="EQ69" t="str">
            <v xml:space="preserve"> -- </v>
          </cell>
          <cell r="ER69">
            <v>1.0189999999999999</v>
          </cell>
          <cell r="ES69">
            <v>19.448</v>
          </cell>
          <cell r="ET69">
            <v>21</v>
          </cell>
          <cell r="EU69">
            <v>20.573</v>
          </cell>
          <cell r="EV69">
            <v>20.576000000000001</v>
          </cell>
          <cell r="EW69">
            <v>20.576000000000001</v>
          </cell>
          <cell r="EY69">
            <v>0</v>
          </cell>
          <cell r="EZ69">
            <v>5.8639999999999999</v>
          </cell>
          <cell r="FA69">
            <v>19.744</v>
          </cell>
          <cell r="FC69">
            <v>20.576000000000001</v>
          </cell>
        </row>
        <row r="70">
          <cell r="A70" t="str">
            <v>Cash EPS</v>
          </cell>
          <cell r="B70" t="str">
            <v>ebg</v>
          </cell>
          <cell r="D70">
            <v>1.2961372483316101E-2</v>
          </cell>
          <cell r="E70">
            <v>1.4921343170729644E-2</v>
          </cell>
          <cell r="F70">
            <v>1.7061524765059521E-2</v>
          </cell>
          <cell r="G70">
            <v>1.6233517730349999E-2</v>
          </cell>
          <cell r="I70">
            <v>2.2564017408941983E-2</v>
          </cell>
          <cell r="J70">
            <v>2.047197688028347E-2</v>
          </cell>
          <cell r="K70">
            <v>2.1658824248350035E-2</v>
          </cell>
          <cell r="L70">
            <v>2.4083333333333325E-2</v>
          </cell>
          <cell r="N70">
            <v>2.5076974160830743E-2</v>
          </cell>
          <cell r="O70">
            <v>2.9081632653061212E-2</v>
          </cell>
          <cell r="P70">
            <v>3.3768418398069794E-2</v>
          </cell>
          <cell r="Q70">
            <v>3.8666371907250481E-2</v>
          </cell>
          <cell r="S70">
            <v>3.5478518244882296E-2</v>
          </cell>
          <cell r="T70">
            <v>4.117028506569901E-2</v>
          </cell>
          <cell r="U70">
            <v>4.5949178786257455E-2</v>
          </cell>
          <cell r="V70">
            <v>5.0923921562462358E-2</v>
          </cell>
          <cell r="X70">
            <v>5.4984642043363237E-2</v>
          </cell>
          <cell r="Y70">
            <v>5.9404504415801716E-2</v>
          </cell>
          <cell r="Z70">
            <v>6.3903199135628419E-2</v>
          </cell>
          <cell r="AA70">
            <v>6.8794008434950038E-2</v>
          </cell>
          <cell r="AC70">
            <v>6.1548660286729888E-2</v>
          </cell>
          <cell r="AD70">
            <v>5.5229966176197749E-2</v>
          </cell>
          <cell r="AE70">
            <v>6.8855576789737666E-2</v>
          </cell>
          <cell r="AF70">
            <v>8.9746128170275635E-2</v>
          </cell>
          <cell r="AH70">
            <v>7.5762030621590398E-2</v>
          </cell>
          <cell r="AI70">
            <v>8.5308235155483442E-2</v>
          </cell>
          <cell r="AJ70">
            <v>9.7000304098168941E-2</v>
          </cell>
          <cell r="AK70">
            <v>9.7282983970287173E-2</v>
          </cell>
          <cell r="AM70">
            <v>8.0193311791255814E-2</v>
          </cell>
          <cell r="AN70">
            <v>9.0025007866428142E-2</v>
          </cell>
          <cell r="AO70">
            <v>0.10034098578346279</v>
          </cell>
          <cell r="AP70">
            <v>9.6918478804044195E-2</v>
          </cell>
          <cell r="AR70">
            <v>8.0269586183169719E-2</v>
          </cell>
          <cell r="AS70">
            <v>9.7759367087827342E-2</v>
          </cell>
          <cell r="AT70">
            <v>0.10639522119667873</v>
          </cell>
          <cell r="AU70">
            <v>9.5167694300136496E-2</v>
          </cell>
          <cell r="AW70">
            <v>0.1215746883745268</v>
          </cell>
          <cell r="AX70">
            <v>0.1176663854684771</v>
          </cell>
          <cell r="AY70">
            <v>0.12801609213058021</v>
          </cell>
          <cell r="AZ70">
            <v>0.13819913216178667</v>
          </cell>
          <cell r="BB70">
            <v>0.1469688681084923</v>
          </cell>
          <cell r="BC70">
            <v>0.16917160711403212</v>
          </cell>
          <cell r="BD70">
            <v>0.1802759420289855</v>
          </cell>
          <cell r="BE70">
            <v>0.18992575539568343</v>
          </cell>
          <cell r="BG70">
            <v>0.11312812030412246</v>
          </cell>
          <cell r="BH70">
            <v>0.12452605249683051</v>
          </cell>
          <cell r="BI70">
            <v>0.14053689070632214</v>
          </cell>
          <cell r="BJ70">
            <v>0.15641713554947317</v>
          </cell>
          <cell r="BL70">
            <v>0.15311395795243876</v>
          </cell>
          <cell r="BM70">
            <v>0.18063251691802321</v>
          </cell>
          <cell r="BN70">
            <v>0.19783376470588235</v>
          </cell>
          <cell r="BO70">
            <v>0.21556551116333728</v>
          </cell>
          <cell r="BQ70">
            <v>0.12062308343785193</v>
          </cell>
          <cell r="BR70">
            <v>0.11832227241797799</v>
          </cell>
          <cell r="BS70">
            <v>8.0428372907018625E-2</v>
          </cell>
          <cell r="BT70">
            <v>0.10080551541800808</v>
          </cell>
          <cell r="BV70">
            <v>0.11117716882164709</v>
          </cell>
          <cell r="BW70">
            <v>0.12370502783408262</v>
          </cell>
          <cell r="BX70">
            <v>0.1450107652956924</v>
          </cell>
          <cell r="BY70">
            <v>0.160547132742135</v>
          </cell>
          <cell r="CA70">
            <v>0.15657165732358369</v>
          </cell>
          <cell r="CB70">
            <v>0.19060443945145486</v>
          </cell>
          <cell r="CC70">
            <v>0.20758375168671858</v>
          </cell>
          <cell r="CD70">
            <v>0.3076330838155617</v>
          </cell>
          <cell r="CF70">
            <v>0.34694535895191514</v>
          </cell>
          <cell r="CH70">
            <v>9.6957123952237226E-2</v>
          </cell>
          <cell r="CI70">
            <v>0.11320754716981117</v>
          </cell>
          <cell r="CJ70">
            <v>0.13842588288419905</v>
          </cell>
          <cell r="CK70">
            <v>0.16587261083581636</v>
          </cell>
          <cell r="CM70">
            <v>0.17378888422598754</v>
          </cell>
          <cell r="CN70">
            <v>0.19521223274533545</v>
          </cell>
          <cell r="CO70">
            <v>0.21639967810848226</v>
          </cell>
          <cell r="CP70">
            <v>0.31659056753129106</v>
          </cell>
          <cell r="CR70">
            <v>0.37818133380694435</v>
          </cell>
          <cell r="CS70">
            <v>0.36227882759292251</v>
          </cell>
          <cell r="CT70">
            <v>0.12288644442309538</v>
          </cell>
          <cell r="CU70">
            <v>3.7274654872732897E-2</v>
          </cell>
          <cell r="CW70">
            <v>0.33966156052316487</v>
          </cell>
          <cell r="CX70">
            <v>0.30349645152900057</v>
          </cell>
          <cell r="CY70">
            <v>0.13751038293579732</v>
          </cell>
          <cell r="CZ70">
            <v>5.9905599867190872E-2</v>
          </cell>
          <cell r="DB70">
            <v>2.6313716369311062E-2</v>
          </cell>
          <cell r="DC70">
            <v>-3.633578338892903E-3</v>
          </cell>
          <cell r="DD70">
            <v>1.6988115327563832E-2</v>
          </cell>
          <cell r="DE70">
            <v>1.7541357303138442E-2</v>
          </cell>
          <cell r="DG70">
            <v>3.1756960370634787E-2</v>
          </cell>
          <cell r="DH70">
            <v>3.0163764873567533E-2</v>
          </cell>
          <cell r="DI70">
            <v>5.0581150115262673E-2</v>
          </cell>
          <cell r="DJ70">
            <v>7.0309480731879995E-2</v>
          </cell>
          <cell r="DL70">
            <v>9.3906371249985812E-2</v>
          </cell>
          <cell r="DM70">
            <v>7.9653888684937862E-2</v>
          </cell>
          <cell r="DN70">
            <v>8.8093674106887856E-2</v>
          </cell>
          <cell r="DO70">
            <v>9.6797174614097134E-2</v>
          </cell>
          <cell r="DQ70">
            <v>4.2095835199283477E-2</v>
          </cell>
          <cell r="DR70">
            <v>3.0998096730855424E-2</v>
          </cell>
          <cell r="DS70">
            <v>0.10466893780573032</v>
          </cell>
          <cell r="DT70">
            <v>0.11874515754132234</v>
          </cell>
          <cell r="DU70">
            <v>0.1624412656872658</v>
          </cell>
          <cell r="DV70">
            <v>0.19710984047664815</v>
          </cell>
          <cell r="DW70">
            <v>0.27185798072894857</v>
          </cell>
          <cell r="DX70">
            <v>0.21536471373727284</v>
          </cell>
          <cell r="DY70">
            <v>0.27992251041961747</v>
          </cell>
          <cell r="DZ70">
            <v>0.37463960055335455</v>
          </cell>
          <cell r="EA70">
            <v>0.38429529020063463</v>
          </cell>
          <cell r="EB70">
            <v>0.29091584802832537</v>
          </cell>
          <cell r="EC70">
            <v>0.39591190675290555</v>
          </cell>
          <cell r="EE70">
            <v>0.51406688884564211</v>
          </cell>
          <cell r="EF70">
            <v>0.6966069359942958</v>
          </cell>
          <cell r="EH70">
            <v>0.40153030303030268</v>
          </cell>
          <cell r="EI70">
            <v>0.52143082588111511</v>
          </cell>
          <cell r="EK70">
            <v>0.29447355134540099</v>
          </cell>
          <cell r="EL70">
            <v>0.4248366270993813</v>
          </cell>
          <cell r="EM70">
            <v>0.52362041290751105</v>
          </cell>
          <cell r="EN70">
            <v>0.85232007636837415</v>
          </cell>
          <cell r="EP70">
            <v>0.42</v>
          </cell>
          <cell r="EQ70">
            <v>0.51446316484206378</v>
          </cell>
          <cell r="ER70">
            <v>0.8991877871646663</v>
          </cell>
          <cell r="ES70">
            <v>0.89753063028925095</v>
          </cell>
          <cell r="ET70">
            <v>0.8546502462605301</v>
          </cell>
          <cell r="EU70">
            <v>5.7195616717164555E-2</v>
          </cell>
          <cell r="EV70">
            <v>0.18307054646529819</v>
          </cell>
          <cell r="EW70">
            <v>0.35848321408839329</v>
          </cell>
          <cell r="EY70">
            <v>0.59129492511581416</v>
          </cell>
          <cell r="EZ70">
            <v>1.1063838121920531</v>
          </cell>
          <cell r="FA70">
            <v>0.54875364325806175</v>
          </cell>
          <cell r="FC70">
            <v>6.2652854662444163E-2</v>
          </cell>
        </row>
        <row r="72">
          <cell r="A72" t="str">
            <v>Dilutive Test</v>
          </cell>
        </row>
        <row r="73">
          <cell r="A73" t="str">
            <v>Dilutive Shares with no add back</v>
          </cell>
          <cell r="DB73">
            <v>533.14400000000001</v>
          </cell>
          <cell r="DC73">
            <v>530.05600000000004</v>
          </cell>
          <cell r="DD73">
            <v>525.6</v>
          </cell>
          <cell r="DE73">
            <v>520</v>
          </cell>
          <cell r="DG73">
            <v>522</v>
          </cell>
          <cell r="DH73">
            <v>524</v>
          </cell>
          <cell r="DI73">
            <v>526</v>
          </cell>
          <cell r="DJ73">
            <v>528</v>
          </cell>
          <cell r="DL73">
            <v>530</v>
          </cell>
          <cell r="DM73">
            <v>532</v>
          </cell>
          <cell r="DN73">
            <v>534</v>
          </cell>
          <cell r="DO73">
            <v>536</v>
          </cell>
        </row>
        <row r="74">
          <cell r="A74" t="str">
            <v>Cash EPS with no add back</v>
          </cell>
          <cell r="DB74">
            <v>2.6313716369311062E-2</v>
          </cell>
          <cell r="DC74">
            <v>-3.633578338892903E-3</v>
          </cell>
          <cell r="DD74">
            <v>1.6988955683344874E-2</v>
          </cell>
          <cell r="DE74">
            <v>1.7541357303138442E-2</v>
          </cell>
          <cell r="DG74">
            <v>3.1756960370634787E-2</v>
          </cell>
          <cell r="DH74">
            <v>3.0163764873567533E-2</v>
          </cell>
          <cell r="DI74">
            <v>5.0581150115262673E-2</v>
          </cell>
          <cell r="DJ74">
            <v>7.0309480731879995E-2</v>
          </cell>
          <cell r="DL74">
            <v>9.3906371249985812E-2</v>
          </cell>
          <cell r="DM74">
            <v>7.9653888684937862E-2</v>
          </cell>
          <cell r="DN74">
            <v>8.8093674106887856E-2</v>
          </cell>
          <cell r="DO74">
            <v>9.6797174614097134E-2</v>
          </cell>
        </row>
        <row r="76">
          <cell r="A76" t="str">
            <v>Cash Dilutive Interest Add Back</v>
          </cell>
          <cell r="CJ76">
            <v>2.718</v>
          </cell>
          <cell r="CK76">
            <v>2.718</v>
          </cell>
          <cell r="CM76">
            <v>2.718</v>
          </cell>
          <cell r="CN76">
            <v>2.706</v>
          </cell>
          <cell r="CO76">
            <v>2.48</v>
          </cell>
          <cell r="CP76">
            <v>2.6240000000000001</v>
          </cell>
          <cell r="CR76">
            <v>2.6179999999999999</v>
          </cell>
          <cell r="CS76">
            <v>2.6059999999999999</v>
          </cell>
          <cell r="CT76">
            <v>1.2999999999999999E-2</v>
          </cell>
          <cell r="CW76">
            <v>5.6929999999999996</v>
          </cell>
          <cell r="CX76">
            <v>5.6849999999999996</v>
          </cell>
          <cell r="DC76">
            <v>0</v>
          </cell>
          <cell r="DD76">
            <v>0</v>
          </cell>
          <cell r="DE76">
            <v>0</v>
          </cell>
          <cell r="DG76">
            <v>0</v>
          </cell>
          <cell r="DH76">
            <v>0</v>
          </cell>
          <cell r="DI76">
            <v>0</v>
          </cell>
          <cell r="DJ76">
            <v>0</v>
          </cell>
          <cell r="DL76">
            <v>0</v>
          </cell>
          <cell r="DM76">
            <v>0</v>
          </cell>
          <cell r="DN76">
            <v>0</v>
          </cell>
          <cell r="DO76">
            <v>0</v>
          </cell>
          <cell r="EP76" t="str">
            <v>--</v>
          </cell>
          <cell r="EQ76" t="str">
            <v>--</v>
          </cell>
          <cell r="ER76">
            <v>10.483000000000001</v>
          </cell>
          <cell r="ES76">
            <v>10.414999999999999</v>
          </cell>
          <cell r="ET76">
            <v>11.378</v>
          </cell>
          <cell r="EU76">
            <v>0</v>
          </cell>
          <cell r="EV76">
            <v>0</v>
          </cell>
          <cell r="EW76">
            <v>0</v>
          </cell>
          <cell r="EY76">
            <v>8.1539999999999999</v>
          </cell>
          <cell r="EZ76">
            <v>10.428000000000001</v>
          </cell>
          <cell r="FA76">
            <v>2.6189999999999998</v>
          </cell>
          <cell r="FC76">
            <v>0</v>
          </cell>
        </row>
        <row r="77">
          <cell r="A77" t="str">
            <v>Cash Dilutive Share Add Back</v>
          </cell>
          <cell r="CJ77">
            <v>16.125</v>
          </cell>
          <cell r="CK77">
            <v>16.125</v>
          </cell>
          <cell r="CM77">
            <v>16.125</v>
          </cell>
          <cell r="CN77">
            <v>16.125</v>
          </cell>
          <cell r="CO77">
            <v>16.120999999999999</v>
          </cell>
          <cell r="CP77">
            <v>15.981999999999999</v>
          </cell>
          <cell r="CR77">
            <v>15.98</v>
          </cell>
          <cell r="CS77">
            <v>15.936</v>
          </cell>
          <cell r="CT77">
            <v>0.14299999999999999</v>
          </cell>
          <cell r="CW77">
            <v>29.838999999999999</v>
          </cell>
          <cell r="CX77">
            <v>29.844000000000001</v>
          </cell>
          <cell r="DC77">
            <v>0</v>
          </cell>
          <cell r="DD77">
            <v>0</v>
          </cell>
          <cell r="DE77">
            <v>0</v>
          </cell>
          <cell r="DG77">
            <v>0</v>
          </cell>
          <cell r="DH77">
            <v>0</v>
          </cell>
          <cell r="DI77">
            <v>0</v>
          </cell>
          <cell r="DJ77">
            <v>0</v>
          </cell>
          <cell r="DL77">
            <v>0</v>
          </cell>
          <cell r="DM77">
            <v>0</v>
          </cell>
          <cell r="DN77">
            <v>0</v>
          </cell>
          <cell r="DO77">
            <v>0</v>
          </cell>
          <cell r="EP77" t="str">
            <v>--</v>
          </cell>
          <cell r="EQ77" t="str">
            <v>--</v>
          </cell>
          <cell r="ER77">
            <v>16.091000000000001</v>
          </cell>
          <cell r="ES77">
            <v>15.945</v>
          </cell>
          <cell r="ET77">
            <v>59.683</v>
          </cell>
          <cell r="EU77">
            <v>0</v>
          </cell>
          <cell r="EV77">
            <v>0</v>
          </cell>
          <cell r="EW77">
            <v>0</v>
          </cell>
        </row>
        <row r="79">
          <cell r="A79" t="str">
            <v>Convertible Dilutive Instruments:</v>
          </cell>
        </row>
        <row r="80">
          <cell r="A80" t="str">
            <v>1) Conv Int (issued 05/99)</v>
          </cell>
          <cell r="DB80">
            <v>2.3840783591901102</v>
          </cell>
          <cell r="DC80">
            <v>2.3842294366739756</v>
          </cell>
          <cell r="DD80">
            <v>2.3842294366739756</v>
          </cell>
          <cell r="DE80">
            <v>2.3842294366739756</v>
          </cell>
          <cell r="DG80">
            <v>2.3842294366739756</v>
          </cell>
          <cell r="DH80">
            <v>2.3842294366739756</v>
          </cell>
          <cell r="DI80">
            <v>2.3842294366739756</v>
          </cell>
          <cell r="DJ80">
            <v>2.3842294366739756</v>
          </cell>
          <cell r="DL80">
            <v>2.3842294366739756</v>
          </cell>
          <cell r="DM80">
            <v>2.3842294366739756</v>
          </cell>
          <cell r="DN80">
            <v>2.3842294366739756</v>
          </cell>
          <cell r="DO80">
            <v>2.3842294366739756</v>
          </cell>
        </row>
        <row r="81">
          <cell r="A81" t="str">
            <v>Conv Shares (issued 05/99)</v>
          </cell>
          <cell r="DB81">
            <v>15.789</v>
          </cell>
          <cell r="DC81">
            <v>15.789</v>
          </cell>
          <cell r="DD81">
            <v>15.789</v>
          </cell>
          <cell r="DE81">
            <v>15.789</v>
          </cell>
          <cell r="DG81">
            <v>15.789</v>
          </cell>
          <cell r="DH81">
            <v>15.789</v>
          </cell>
          <cell r="DI81">
            <v>15.789</v>
          </cell>
          <cell r="DJ81">
            <v>15.789</v>
          </cell>
          <cell r="DL81">
            <v>15.789</v>
          </cell>
          <cell r="DM81">
            <v>15.789</v>
          </cell>
          <cell r="DN81">
            <v>15.789</v>
          </cell>
          <cell r="DO81">
            <v>15.789</v>
          </cell>
        </row>
        <row r="82">
          <cell r="A82" t="str">
            <v>2) Conv Int (issued 3/00)</v>
          </cell>
          <cell r="DB82">
            <v>2.7600907178543226</v>
          </cell>
          <cell r="DC82">
            <v>2.7602656229950386</v>
          </cell>
          <cell r="DD82">
            <v>2.7602656229950386</v>
          </cell>
          <cell r="DE82">
            <v>2.7602656229950386</v>
          </cell>
          <cell r="DG82">
            <v>2.7602656229950386</v>
          </cell>
          <cell r="DH82">
            <v>2.7602656229950386</v>
          </cell>
          <cell r="DI82">
            <v>2.7602656229950386</v>
          </cell>
          <cell r="DJ82">
            <v>2.7602656229950386</v>
          </cell>
          <cell r="DL82">
            <v>2.7602656229950386</v>
          </cell>
          <cell r="DM82">
            <v>2.7602656229950386</v>
          </cell>
          <cell r="DN82">
            <v>2.7602656229950386</v>
          </cell>
          <cell r="DO82">
            <v>2.7602656229950386</v>
          </cell>
        </row>
        <row r="83">
          <cell r="A83" t="str">
            <v>Conv Shares (issued 3/00)</v>
          </cell>
          <cell r="DB83">
            <v>13.909000000000001</v>
          </cell>
          <cell r="DC83">
            <v>13.909000000000001</v>
          </cell>
          <cell r="DD83">
            <v>13.909000000000001</v>
          </cell>
          <cell r="DE83">
            <v>13.909000000000001</v>
          </cell>
          <cell r="DG83">
            <v>13.909000000000001</v>
          </cell>
          <cell r="DH83">
            <v>13.909000000000001</v>
          </cell>
          <cell r="DI83">
            <v>13.909000000000001</v>
          </cell>
          <cell r="DJ83">
            <v>13.909000000000001</v>
          </cell>
          <cell r="DL83">
            <v>13.909000000000001</v>
          </cell>
          <cell r="DM83">
            <v>13.909000000000001</v>
          </cell>
          <cell r="DN83">
            <v>13.909000000000001</v>
          </cell>
          <cell r="DO83">
            <v>13.909000000000001</v>
          </cell>
        </row>
        <row r="84">
          <cell r="A84" t="str">
            <v>3) Conv Int (issued 12/00)-zero coup</v>
          </cell>
          <cell r="DB84">
            <v>4.8161582960820351</v>
          </cell>
          <cell r="DC84">
            <v>4.8164634928782997</v>
          </cell>
          <cell r="DD84">
            <v>4.8157393375189503</v>
          </cell>
          <cell r="DE84">
            <v>4.8160000000000007</v>
          </cell>
          <cell r="DG84">
            <v>5.0417499999999995</v>
          </cell>
          <cell r="DH84">
            <v>5.0417499999999995</v>
          </cell>
          <cell r="DI84">
            <v>5.0417499999999995</v>
          </cell>
          <cell r="DJ84">
            <v>5.0417499999999995</v>
          </cell>
          <cell r="DL84">
            <v>5.0417499999999995</v>
          </cell>
          <cell r="DM84">
            <v>5.0417499999999995</v>
          </cell>
          <cell r="DN84">
            <v>5.0417499999999995</v>
          </cell>
          <cell r="DO84">
            <v>5.0417499999999995</v>
          </cell>
        </row>
        <row r="85">
          <cell r="A85" t="str">
            <v>Conv Shares (issued 12/00)-zero coup</v>
          </cell>
          <cell r="DB85">
            <v>10.760999999999999</v>
          </cell>
          <cell r="DC85">
            <v>10.760999999999999</v>
          </cell>
          <cell r="DD85">
            <v>10.760999999999999</v>
          </cell>
          <cell r="DE85">
            <v>10.760999999999999</v>
          </cell>
          <cell r="DG85">
            <v>10.760999999999999</v>
          </cell>
          <cell r="DH85">
            <v>10.760999999999999</v>
          </cell>
          <cell r="DI85">
            <v>10.760999999999999</v>
          </cell>
          <cell r="DJ85">
            <v>10.760999999999999</v>
          </cell>
          <cell r="DL85">
            <v>10.760999999999999</v>
          </cell>
          <cell r="DM85">
            <v>10.760999999999999</v>
          </cell>
          <cell r="DN85">
            <v>10.760999999999999</v>
          </cell>
          <cell r="DO85">
            <v>10.760999999999999</v>
          </cell>
        </row>
        <row r="87">
          <cell r="A87" t="str">
            <v>Diluted Test for Cash EPS:</v>
          </cell>
        </row>
        <row r="88">
          <cell r="A88" t="str">
            <v>Dilution of (1)</v>
          </cell>
          <cell r="DB88">
            <v>2.9899966588254102E-2</v>
          </cell>
          <cell r="DC88">
            <v>8.394863682432901E-4</v>
          </cell>
          <cell r="DD88">
            <v>2.0897403796235316E-2</v>
          </cell>
          <cell r="DE88">
            <v>2.1474377477525605E-2</v>
          </cell>
          <cell r="DG88">
            <v>3.5257996630919074E-2</v>
          </cell>
          <cell r="DH88">
            <v>3.3698430739461833E-2</v>
          </cell>
          <cell r="DI88">
            <v>5.3507757443030671E-2</v>
          </cell>
          <cell r="DJ88">
            <v>7.2652509085521441E-2</v>
          </cell>
          <cell r="DL88">
            <v>9.5558184938073984E-2</v>
          </cell>
          <cell r="DM88">
            <v>8.171047285918652E-2</v>
          </cell>
          <cell r="DN88">
            <v>8.9900400716915199E-2</v>
          </cell>
          <cell r="DO88">
            <v>9.834830891849973E-2</v>
          </cell>
        </row>
        <row r="89">
          <cell r="A89" t="str">
            <v>Dilution of (2)</v>
          </cell>
          <cell r="DB89">
            <v>3.0690062421473423E-2</v>
          </cell>
          <cell r="DC89">
            <v>1.5336751868131621E-3</v>
          </cell>
          <cell r="DD89">
            <v>2.1667220991978084E-2</v>
          </cell>
          <cell r="DE89">
            <v>2.2254300677881492E-2</v>
          </cell>
          <cell r="DG89">
            <v>3.6083362915096409E-2</v>
          </cell>
          <cell r="DH89">
            <v>3.4515277522302892E-2</v>
          </cell>
          <cell r="DI89">
            <v>5.4390555785554989E-2</v>
          </cell>
          <cell r="DJ89">
            <v>7.359846662341403E-2</v>
          </cell>
          <cell r="DL89">
            <v>9.6579836673942737E-2</v>
          </cell>
          <cell r="DM89">
            <v>8.2680692942197292E-2</v>
          </cell>
          <cell r="DN89">
            <v>9.0895180761902339E-2</v>
          </cell>
          <cell r="DO89">
            <v>9.9368352247646619E-2</v>
          </cell>
        </row>
        <row r="90">
          <cell r="A90" t="str">
            <v>Dilution of (3)</v>
          </cell>
          <cell r="DB90">
            <v>3.4647885744904003E-2</v>
          </cell>
          <cell r="DC90">
            <v>5.3446239539032296E-3</v>
          </cell>
          <cell r="DD90">
            <v>2.5626647807512136E-2</v>
          </cell>
          <cell r="DE90">
            <v>2.6259476106254964E-2</v>
          </cell>
          <cell r="DG90">
            <v>4.0578952501161614E-2</v>
          </cell>
          <cell r="DH90">
            <v>3.8984822740905541E-2</v>
          </cell>
          <cell r="DI90">
            <v>5.8960011924540291E-2</v>
          </cell>
          <cell r="DJ90">
            <v>7.8263192447917795E-2</v>
          </cell>
          <cell r="DL90">
            <v>0.10136109438826485</v>
          </cell>
          <cell r="DM90">
            <v>8.7363717695978435E-2</v>
          </cell>
          <cell r="DN90">
            <v>9.5608481468163323E-2</v>
          </cell>
          <cell r="DO90">
            <v>0.10411319679559455</v>
          </cell>
        </row>
        <row r="91">
          <cell r="A91" t="str">
            <v>Dilution of (1+2)</v>
          </cell>
          <cell r="DB91">
            <v>3.4064922441900944E-2</v>
          </cell>
          <cell r="DC91">
            <v>5.749838428432485E-3</v>
          </cell>
          <cell r="DD91">
            <v>2.5344752127389403E-2</v>
          </cell>
          <cell r="DE91">
            <v>2.5952433622281699E-2</v>
          </cell>
          <cell r="DG91">
            <v>3.9372316689820115E-2</v>
          </cell>
          <cell r="DH91">
            <v>3.7837066150534046E-2</v>
          </cell>
          <cell r="DI91">
            <v>5.7135674449606051E-2</v>
          </cell>
          <cell r="DJ91">
            <v>7.5789945250120408E-2</v>
          </cell>
          <cell r="DL91">
            <v>9.8115183227671876E-2</v>
          </cell>
          <cell r="DM91">
            <v>8.4601269436700793E-2</v>
          </cell>
          <cell r="DN91">
            <v>9.2578857886221222E-2</v>
          </cell>
          <cell r="DO91">
            <v>0.1008095850662811</v>
          </cell>
        </row>
        <row r="92">
          <cell r="A92" t="str">
            <v>Dilution of (1+3)</v>
          </cell>
          <cell r="DB92">
            <v>3.7930077248053626E-2</v>
          </cell>
          <cell r="DC92">
            <v>9.4765290520620656E-3</v>
          </cell>
          <cell r="DD92">
            <v>2.9211924081063101E-2</v>
          </cell>
          <cell r="DE92">
            <v>2.9863205990862628E-2</v>
          </cell>
          <cell r="DG92">
            <v>4.3757383556914303E-2</v>
          </cell>
          <cell r="DH92">
            <v>4.2197424812321069E-2</v>
          </cell>
          <cell r="DI92">
            <v>6.1590198891144962E-2</v>
          </cell>
          <cell r="DJ92">
            <v>8.0334298553974601E-2</v>
          </cell>
          <cell r="DL92">
            <v>0.10276948378252891</v>
          </cell>
          <cell r="DM92">
            <v>8.9162739624135581E-2</v>
          </cell>
          <cell r="DN92">
            <v>9.7168854535281596E-2</v>
          </cell>
          <cell r="DO92">
            <v>0.10542932189108532</v>
          </cell>
        </row>
        <row r="93">
          <cell r="A93" t="str">
            <v>Dilution of (2+3)</v>
          </cell>
          <cell r="DB93">
            <v>3.8731994919339312E-2</v>
          </cell>
          <cell r="DC93">
            <v>1.0186522924602634E-2</v>
          </cell>
          <cell r="DD93">
            <v>2.9995093440820065E-2</v>
          </cell>
          <cell r="DE93">
            <v>3.0656675456013787E-2</v>
          </cell>
          <cell r="DG93">
            <v>4.4595732226876184E-2</v>
          </cell>
          <cell r="DH93">
            <v>4.3027372403711572E-2</v>
          </cell>
          <cell r="DI93">
            <v>6.2483339538422659E-2</v>
          </cell>
          <cell r="DJ93">
            <v>8.1287968316405224E-2</v>
          </cell>
          <cell r="DL93">
            <v>0.10379575673010533</v>
          </cell>
          <cell r="DM93">
            <v>9.0139372345163171E-2</v>
          </cell>
          <cell r="DN93">
            <v>9.816893263657106E-2</v>
          </cell>
          <cell r="DO93">
            <v>0.10645353098284394</v>
          </cell>
        </row>
        <row r="94">
          <cell r="A94" t="str">
            <v>Dilution of (1+2+3)</v>
          </cell>
          <cell r="DB94">
            <v>4.1822179056117986E-2</v>
          </cell>
          <cell r="DC94">
            <v>1.4083693772376006E-2</v>
          </cell>
          <cell r="DD94">
            <v>3.3370425175386374E-2</v>
          </cell>
          <cell r="DE94">
            <v>3.4047095072611923E-2</v>
          </cell>
          <cell r="DG94">
            <v>4.7582807588002644E-2</v>
          </cell>
          <cell r="DH94">
            <v>4.604773394244472E-2</v>
          </cell>
          <cell r="DI94">
            <v>6.4950737865047931E-2</v>
          </cell>
          <cell r="DJ94">
            <v>8.3224385375377394E-2</v>
          </cell>
          <cell r="DL94">
            <v>0.10510242072114122</v>
          </cell>
          <cell r="DM94">
            <v>9.1818128180456524E-2</v>
          </cell>
          <cell r="DN94">
            <v>9.962115143595475E-2</v>
          </cell>
          <cell r="DO94">
            <v>0.10767379926902883</v>
          </cell>
        </row>
        <row r="96">
          <cell r="A96" t="str">
            <v>Share Section:</v>
          </cell>
        </row>
        <row r="97">
          <cell r="A97" t="str">
            <v>Dilution of (1)</v>
          </cell>
          <cell r="DC97">
            <v>0</v>
          </cell>
          <cell r="DD97">
            <v>0</v>
          </cell>
          <cell r="DE97">
            <v>0</v>
          </cell>
          <cell r="DG97">
            <v>0</v>
          </cell>
          <cell r="DH97">
            <v>0</v>
          </cell>
          <cell r="DI97">
            <v>0</v>
          </cell>
          <cell r="DJ97">
            <v>0</v>
          </cell>
          <cell r="DL97">
            <v>0</v>
          </cell>
          <cell r="DM97">
            <v>0</v>
          </cell>
          <cell r="DN97">
            <v>0</v>
          </cell>
          <cell r="DO97">
            <v>0</v>
          </cell>
        </row>
        <row r="98">
          <cell r="A98" t="str">
            <v>Dilution of (2)</v>
          </cell>
          <cell r="DC98">
            <v>0</v>
          </cell>
          <cell r="DD98">
            <v>0</v>
          </cell>
          <cell r="DE98">
            <v>0</v>
          </cell>
          <cell r="DG98">
            <v>0</v>
          </cell>
          <cell r="DH98">
            <v>0</v>
          </cell>
          <cell r="DI98">
            <v>0</v>
          </cell>
          <cell r="DJ98">
            <v>0</v>
          </cell>
          <cell r="DL98">
            <v>0</v>
          </cell>
          <cell r="DM98">
            <v>0</v>
          </cell>
          <cell r="DN98">
            <v>0</v>
          </cell>
          <cell r="DO98">
            <v>0</v>
          </cell>
        </row>
        <row r="99">
          <cell r="A99" t="str">
            <v>Dilution of (3)</v>
          </cell>
          <cell r="DC99">
            <v>0</v>
          </cell>
          <cell r="DD99">
            <v>0</v>
          </cell>
          <cell r="DE99">
            <v>0</v>
          </cell>
          <cell r="DG99">
            <v>0</v>
          </cell>
          <cell r="DH99">
            <v>0</v>
          </cell>
          <cell r="DI99">
            <v>0</v>
          </cell>
          <cell r="DJ99">
            <v>0</v>
          </cell>
          <cell r="DL99">
            <v>0</v>
          </cell>
          <cell r="DM99">
            <v>0</v>
          </cell>
          <cell r="DN99">
            <v>0</v>
          </cell>
          <cell r="DO99">
            <v>0</v>
          </cell>
        </row>
        <row r="100">
          <cell r="A100" t="str">
            <v>Dilution of (1+2)</v>
          </cell>
          <cell r="DC100">
            <v>0</v>
          </cell>
          <cell r="DD100">
            <v>0</v>
          </cell>
          <cell r="DE100">
            <v>0</v>
          </cell>
          <cell r="DG100">
            <v>0</v>
          </cell>
          <cell r="DH100">
            <v>0</v>
          </cell>
          <cell r="DI100">
            <v>0</v>
          </cell>
          <cell r="DJ100">
            <v>0</v>
          </cell>
          <cell r="DL100">
            <v>0</v>
          </cell>
          <cell r="DM100">
            <v>0</v>
          </cell>
          <cell r="DN100">
            <v>0</v>
          </cell>
          <cell r="DO100">
            <v>0</v>
          </cell>
        </row>
        <row r="101">
          <cell r="A101" t="str">
            <v>Dilution of (1+3)</v>
          </cell>
          <cell r="DC101">
            <v>0</v>
          </cell>
          <cell r="DD101">
            <v>0</v>
          </cell>
          <cell r="DE101">
            <v>0</v>
          </cell>
          <cell r="DG101">
            <v>0</v>
          </cell>
          <cell r="DH101">
            <v>0</v>
          </cell>
          <cell r="DI101">
            <v>0</v>
          </cell>
          <cell r="DJ101">
            <v>0</v>
          </cell>
          <cell r="DL101">
            <v>0</v>
          </cell>
          <cell r="DM101">
            <v>0</v>
          </cell>
          <cell r="DN101">
            <v>0</v>
          </cell>
          <cell r="DO101">
            <v>0</v>
          </cell>
        </row>
        <row r="102">
          <cell r="A102" t="str">
            <v>Dilution of (2+3)</v>
          </cell>
          <cell r="DC102">
            <v>0</v>
          </cell>
          <cell r="DD102">
            <v>0</v>
          </cell>
          <cell r="DE102">
            <v>0</v>
          </cell>
          <cell r="DG102">
            <v>0</v>
          </cell>
          <cell r="DH102">
            <v>0</v>
          </cell>
          <cell r="DI102">
            <v>0</v>
          </cell>
          <cell r="DJ102">
            <v>0</v>
          </cell>
          <cell r="DL102">
            <v>0</v>
          </cell>
          <cell r="DM102">
            <v>0</v>
          </cell>
          <cell r="DN102">
            <v>0</v>
          </cell>
          <cell r="DO102">
            <v>0</v>
          </cell>
        </row>
        <row r="103">
          <cell r="A103" t="str">
            <v>Dilution of (1+2+3)</v>
          </cell>
          <cell r="DC103">
            <v>0</v>
          </cell>
          <cell r="DD103">
            <v>0</v>
          </cell>
          <cell r="DE103">
            <v>0</v>
          </cell>
          <cell r="DG103">
            <v>0</v>
          </cell>
          <cell r="DH103">
            <v>0</v>
          </cell>
          <cell r="DI103">
            <v>0</v>
          </cell>
          <cell r="DJ103">
            <v>0</v>
          </cell>
          <cell r="DL103">
            <v>0</v>
          </cell>
          <cell r="DM103">
            <v>0</v>
          </cell>
          <cell r="DN103">
            <v>0</v>
          </cell>
          <cell r="DO103">
            <v>0</v>
          </cell>
        </row>
        <row r="105">
          <cell r="A105" t="str">
            <v>% Growth Rates</v>
          </cell>
          <cell r="DB105" t="str">
            <v xml:space="preserve"> </v>
          </cell>
          <cell r="DC105" t="str">
            <v xml:space="preserve"> </v>
          </cell>
        </row>
        <row r="106">
          <cell r="A106" t="str">
            <v>Revenues (Yr-Yr)</v>
          </cell>
          <cell r="B106" t="str">
            <v>yyrevg</v>
          </cell>
          <cell r="D106" t="str">
            <v>--</v>
          </cell>
          <cell r="E106" t="str">
            <v>--</v>
          </cell>
          <cell r="F106" t="str">
            <v>--</v>
          </cell>
          <cell r="G106" t="str">
            <v>--</v>
          </cell>
          <cell r="I106">
            <v>0.37602433878011676</v>
          </cell>
          <cell r="J106">
            <v>0.30786548473336151</v>
          </cell>
          <cell r="K106">
            <v>0.30997280145058936</v>
          </cell>
          <cell r="L106">
            <v>0.22602573440155393</v>
          </cell>
          <cell r="N106">
            <v>0.23917694886242069</v>
          </cell>
          <cell r="O106">
            <v>0.41097364174287243</v>
          </cell>
          <cell r="P106">
            <v>0.54297875285486885</v>
          </cell>
          <cell r="Q106">
            <v>0.62066006600660062</v>
          </cell>
          <cell r="S106">
            <v>0.50133816800483455</v>
          </cell>
          <cell r="T106">
            <v>0.60686237133053766</v>
          </cell>
          <cell r="U106">
            <v>0.59640270021754249</v>
          </cell>
          <cell r="V106">
            <v>0.59862338614425914</v>
          </cell>
          <cell r="X106">
            <v>0.7034310906651331</v>
          </cell>
          <cell r="Y106">
            <v>0.52953085951092982</v>
          </cell>
          <cell r="Z106">
            <v>0.48079570677980388</v>
          </cell>
          <cell r="AA106">
            <v>0.45522407072431292</v>
          </cell>
          <cell r="AC106">
            <v>1.3993482844546676</v>
          </cell>
          <cell r="AD106">
            <v>1.1167157002309325</v>
          </cell>
          <cell r="AE106">
            <v>1.1100559130117165</v>
          </cell>
          <cell r="AF106">
            <v>1.045705841889379</v>
          </cell>
          <cell r="AH106">
            <v>0.27108664738683741</v>
          </cell>
          <cell r="AI106">
            <v>0.28637080322515551</v>
          </cell>
          <cell r="AJ106">
            <v>0.31252746374785279</v>
          </cell>
          <cell r="AK106">
            <v>0.20920718342134093</v>
          </cell>
          <cell r="AM106">
            <v>0.64783421477303582</v>
          </cell>
          <cell r="AN106">
            <v>0.66424306733521132</v>
          </cell>
          <cell r="AO106">
            <v>0.65650008655241732</v>
          </cell>
          <cell r="AP106">
            <v>0.53186335558433773</v>
          </cell>
          <cell r="AR106">
            <v>0.7629140236790386</v>
          </cell>
          <cell r="AS106">
            <v>0.80003437376235764</v>
          </cell>
          <cell r="AT106">
            <v>0.7817614082744111</v>
          </cell>
          <cell r="AU106">
            <v>0.63549242801633943</v>
          </cell>
          <cell r="AW106">
            <v>0.24861445319049635</v>
          </cell>
          <cell r="AX106">
            <v>0.16710809262472703</v>
          </cell>
          <cell r="AY106">
            <v>0.15648856388047072</v>
          </cell>
          <cell r="AZ106">
            <v>0.32716155143595782</v>
          </cell>
          <cell r="BB106">
            <v>0.66834825592578739</v>
          </cell>
          <cell r="BC106">
            <v>0.97521519527637479</v>
          </cell>
          <cell r="BD106">
            <v>0.89016982448884652</v>
          </cell>
          <cell r="BE106">
            <v>0.7499820698558417</v>
          </cell>
          <cell r="BG106" t="str">
            <v xml:space="preserve">-- </v>
          </cell>
          <cell r="BH106" t="str">
            <v xml:space="preserve">-- </v>
          </cell>
          <cell r="BI106" t="str">
            <v xml:space="preserve">-- </v>
          </cell>
          <cell r="BJ106" t="str">
            <v xml:space="preserve">-- </v>
          </cell>
          <cell r="BL106" t="str">
            <v xml:space="preserve"> -- </v>
          </cell>
          <cell r="BM106" t="str">
            <v xml:space="preserve"> -- </v>
          </cell>
          <cell r="BN106" t="str">
            <v xml:space="preserve"> -- </v>
          </cell>
          <cell r="BO106" t="str">
            <v xml:space="preserve"> -- </v>
          </cell>
          <cell r="BQ106" t="str">
            <v xml:space="preserve">-- </v>
          </cell>
          <cell r="BR106" t="str">
            <v xml:space="preserve">-- </v>
          </cell>
          <cell r="BS106" t="str">
            <v xml:space="preserve">-- </v>
          </cell>
          <cell r="BT106" t="str">
            <v xml:space="preserve">-- </v>
          </cell>
          <cell r="BV106">
            <v>0.2591538759841121</v>
          </cell>
          <cell r="BW106">
            <v>0.19321132067659041</v>
          </cell>
          <cell r="BX106">
            <v>0.21048838205675424</v>
          </cell>
          <cell r="BY106">
            <v>0.26976693510003646</v>
          </cell>
          <cell r="CA106">
            <v>0.39174068498992232</v>
          </cell>
          <cell r="CB106">
            <v>0.5186480732493195</v>
          </cell>
          <cell r="CC106">
            <v>0.65497120514966389</v>
          </cell>
          <cell r="CD106">
            <v>0.91479474325972099</v>
          </cell>
          <cell r="CF106">
            <v>0.66039851675812544</v>
          </cell>
          <cell r="CH106" t="str">
            <v>--</v>
          </cell>
          <cell r="CI106" t="str">
            <v>--</v>
          </cell>
          <cell r="CJ106" t="str">
            <v>--</v>
          </cell>
          <cell r="CK106" t="str">
            <v>--</v>
          </cell>
          <cell r="CM106">
            <v>0.38777617384761487</v>
          </cell>
          <cell r="CN106">
            <v>0.51079058756808338</v>
          </cell>
          <cell r="CO106">
            <v>0.64951919864415841</v>
          </cell>
          <cell r="CP106">
            <v>0.87034468229474493</v>
          </cell>
          <cell r="CR106">
            <v>0.77412328104567352</v>
          </cell>
          <cell r="CS106">
            <v>0.25600037116785002</v>
          </cell>
          <cell r="CT106">
            <v>-0.2850166914936908</v>
          </cell>
          <cell r="CU106">
            <v>-0.56061006124164092</v>
          </cell>
          <cell r="CW106" t="str">
            <v>--</v>
          </cell>
          <cell r="CX106" t="str">
            <v>--</v>
          </cell>
          <cell r="CY106" t="str">
            <v>--</v>
          </cell>
          <cell r="CZ106" t="str">
            <v>--</v>
          </cell>
          <cell r="DB106">
            <v>-0.40852290688236426</v>
          </cell>
          <cell r="DC106">
            <v>-0.2459381362054246</v>
          </cell>
          <cell r="DD106">
            <v>-7.8949331456720562E-2</v>
          </cell>
          <cell r="DE106">
            <v>0.13465741075032511</v>
          </cell>
          <cell r="DG106">
            <v>0.11856596654762841</v>
          </cell>
          <cell r="DH106">
            <v>6.0479682026458592E-2</v>
          </cell>
          <cell r="DI106">
            <v>-9.6445194497561948E-3</v>
          </cell>
          <cell r="DJ106">
            <v>-1.0388063569542583E-2</v>
          </cell>
          <cell r="DL106">
            <v>0.12212195194110231</v>
          </cell>
          <cell r="DM106">
            <v>0.11134295446197373</v>
          </cell>
          <cell r="DN106">
            <v>0.11267577332427736</v>
          </cell>
          <cell r="DO106">
            <v>0.13845709039080534</v>
          </cell>
          <cell r="DQ106" t="str">
            <v xml:space="preserve"> -- </v>
          </cell>
          <cell r="DR106">
            <v>0.10573966808785307</v>
          </cell>
          <cell r="DS106">
            <v>0.35913112940887304</v>
          </cell>
          <cell r="DT106">
            <v>0.30122973981056567</v>
          </cell>
          <cell r="DU106">
            <v>0.45745059717698133</v>
          </cell>
          <cell r="DV106">
            <v>0.57981750889510075</v>
          </cell>
          <cell r="DW106">
            <v>0.52866347764414723</v>
          </cell>
          <cell r="DX106" t="str">
            <v xml:space="preserve"> -- </v>
          </cell>
          <cell r="DY106">
            <v>0.45360501247506257</v>
          </cell>
          <cell r="DZ106">
            <v>0.26815985622697602</v>
          </cell>
          <cell r="EA106">
            <v>0.62128655093921048</v>
          </cell>
          <cell r="EB106">
            <v>1.0487267272476797</v>
          </cell>
          <cell r="EC106">
            <v>0.23504602372911743</v>
          </cell>
          <cell r="EE106">
            <v>0.22476132285966921</v>
          </cell>
          <cell r="EF106">
            <v>0.81931090007441942</v>
          </cell>
          <cell r="EH106" t="str">
            <v xml:space="preserve"> -- </v>
          </cell>
          <cell r="EI106">
            <v>0.22061417824720708</v>
          </cell>
          <cell r="EK106" t="str">
            <v xml:space="preserve"> -- </v>
          </cell>
          <cell r="EL106">
            <v>0.27491461514265403</v>
          </cell>
          <cell r="EM106">
            <v>0.23308767552566256</v>
          </cell>
          <cell r="EN106">
            <v>0.63391260506027014</v>
          </cell>
          <cell r="EP106" t="str">
            <v xml:space="preserve"> -- </v>
          </cell>
          <cell r="EQ106">
            <v>0.20684600495434546</v>
          </cell>
          <cell r="ER106">
            <v>0.61762099811568305</v>
          </cell>
          <cell r="ES106">
            <v>-4.3654056920545914E-2</v>
          </cell>
          <cell r="ET106" t="str">
            <v>--</v>
          </cell>
          <cell r="EU106">
            <v>1.4961877775990815</v>
          </cell>
          <cell r="EV106">
            <v>3.7352469342148087E-2</v>
          </cell>
          <cell r="EW106">
            <v>0.12129762852677439</v>
          </cell>
          <cell r="EY106" t="str">
            <v>--</v>
          </cell>
          <cell r="EZ106">
            <v>0.71211264526787721</v>
          </cell>
          <cell r="FA106">
            <v>1.7880154309582341E-2</v>
          </cell>
          <cell r="FC106">
            <v>1.091574030814296</v>
          </cell>
        </row>
        <row r="107">
          <cell r="A107" t="str">
            <v>Organic Growth (Yr-Yr)</v>
          </cell>
          <cell r="B107" t="str">
            <v>yyorevg</v>
          </cell>
          <cell r="D107" t="str">
            <v>--</v>
          </cell>
          <cell r="E107" t="str">
            <v>--</v>
          </cell>
          <cell r="F107" t="str">
            <v>--</v>
          </cell>
          <cell r="G107" t="str">
            <v>--</v>
          </cell>
          <cell r="I107">
            <v>37.602433878011674</v>
          </cell>
          <cell r="J107">
            <v>30.786548473336151</v>
          </cell>
          <cell r="K107">
            <v>30.997280145058937</v>
          </cell>
          <cell r="L107">
            <v>22.602573440155393</v>
          </cell>
          <cell r="N107">
            <v>9.6533770772412772</v>
          </cell>
          <cell r="O107">
            <v>19.580419580419562</v>
          </cell>
          <cell r="P107">
            <v>33.535192746902887</v>
          </cell>
          <cell r="Q107">
            <v>29.062706270627061</v>
          </cell>
          <cell r="S107">
            <v>32.867132867132852</v>
          </cell>
          <cell r="T107">
            <v>37.811666031261915</v>
          </cell>
          <cell r="U107">
            <v>33.849155621341588</v>
          </cell>
          <cell r="V107">
            <v>44.58925589540992</v>
          </cell>
          <cell r="X107">
            <v>46.702447127979042</v>
          </cell>
          <cell r="Y107">
            <v>26.063711998987692</v>
          </cell>
          <cell r="Z107">
            <v>27.709252339074485</v>
          </cell>
          <cell r="AA107">
            <v>27.051540088150627</v>
          </cell>
          <cell r="AC107">
            <v>46.702447127979042</v>
          </cell>
          <cell r="AD107">
            <v>26.063711998987692</v>
          </cell>
          <cell r="AE107">
            <v>27.709252339074485</v>
          </cell>
          <cell r="AF107">
            <v>27.051540088150627</v>
          </cell>
          <cell r="AH107">
            <v>19.119785258919574</v>
          </cell>
          <cell r="AI107">
            <v>26.893483681180829</v>
          </cell>
          <cell r="AJ107">
            <v>26.592231587637659</v>
          </cell>
          <cell r="AK107">
            <v>16.561846169174043</v>
          </cell>
          <cell r="AM107">
            <v>19.119785258919574</v>
          </cell>
          <cell r="AN107">
            <v>26.893483681180829</v>
          </cell>
          <cell r="AO107">
            <v>26.592231587637659</v>
          </cell>
          <cell r="AP107">
            <v>16.561846169174043</v>
          </cell>
          <cell r="AR107">
            <v>19.119785258919574</v>
          </cell>
          <cell r="AS107">
            <v>26.893483681180829</v>
          </cell>
          <cell r="AT107">
            <v>26.592231587637659</v>
          </cell>
          <cell r="AU107">
            <v>16.561846169174043</v>
          </cell>
          <cell r="AW107" t="str">
            <v>--</v>
          </cell>
          <cell r="AX107" t="str">
            <v>--</v>
          </cell>
          <cell r="AY107" t="str">
            <v>--</v>
          </cell>
          <cell r="AZ107" t="str">
            <v>--</v>
          </cell>
          <cell r="BB107" t="e">
            <v>#VALUE!</v>
          </cell>
          <cell r="BC107" t="e">
            <v>#VALUE!</v>
          </cell>
          <cell r="BD107" t="str">
            <v>--</v>
          </cell>
          <cell r="BE107" t="str">
            <v>--</v>
          </cell>
          <cell r="BV107">
            <v>24.156166795548749</v>
          </cell>
          <cell r="BW107">
            <v>17.354299082834721</v>
          </cell>
          <cell r="BX107">
            <v>20.147912053591078</v>
          </cell>
          <cell r="BY107">
            <v>26.116534361446519</v>
          </cell>
          <cell r="CA107">
            <v>27.085725185182461</v>
          </cell>
          <cell r="CB107">
            <v>37.116389309652575</v>
          </cell>
          <cell r="CC107">
            <v>47.441762511673979</v>
          </cell>
          <cell r="CD107">
            <v>69.651658161345225</v>
          </cell>
          <cell r="CF107" t="str">
            <v>&gt;60%</v>
          </cell>
          <cell r="CH107" t="str">
            <v>--</v>
          </cell>
          <cell r="CI107" t="str">
            <v>--</v>
          </cell>
          <cell r="CJ107" t="str">
            <v>--</v>
          </cell>
          <cell r="CK107" t="str">
            <v>--</v>
          </cell>
          <cell r="CM107">
            <v>27.78402960659885</v>
          </cell>
          <cell r="CN107">
            <v>37.538054205437746</v>
          </cell>
          <cell r="CO107">
            <v>48.373435547915108</v>
          </cell>
          <cell r="CP107">
            <v>67.198409832118571</v>
          </cell>
          <cell r="CR107">
            <v>64.574284502988561</v>
          </cell>
          <cell r="CS107">
            <v>15.055495920317007</v>
          </cell>
          <cell r="CT107">
            <v>-34.85419570569205</v>
          </cell>
          <cell r="CU107">
            <v>-58.986678681428643</v>
          </cell>
          <cell r="CW107" t="str">
            <v>--</v>
          </cell>
          <cell r="CX107" t="str">
            <v>--</v>
          </cell>
          <cell r="CY107" t="str">
            <v>--</v>
          </cell>
          <cell r="CZ107" t="str">
            <v>--</v>
          </cell>
          <cell r="DB107">
            <v>-69.222137481143619</v>
          </cell>
          <cell r="DC107">
            <v>-55.232643069065048</v>
          </cell>
          <cell r="DD107">
            <v>-45.58010409450398</v>
          </cell>
          <cell r="DE107">
            <v>-52.629675315487447</v>
          </cell>
          <cell r="DG107">
            <v>-16.819002114596813</v>
          </cell>
          <cell r="DH107">
            <v>-14.066155603311314</v>
          </cell>
          <cell r="DI107">
            <v>-8.2229373053746997</v>
          </cell>
          <cell r="DJ107">
            <v>-1.0388063569542583</v>
          </cell>
          <cell r="DL107">
            <v>12.212195194110231</v>
          </cell>
          <cell r="DM107">
            <v>11.134295446197374</v>
          </cell>
          <cell r="DN107">
            <v>11.267577332427736</v>
          </cell>
          <cell r="DO107">
            <v>13.845709039080534</v>
          </cell>
          <cell r="EL107">
            <v>0.26808513991559035</v>
          </cell>
          <cell r="EM107">
            <v>0.22263159467079796</v>
          </cell>
          <cell r="EN107">
            <v>0.44230723442898334</v>
          </cell>
          <cell r="EP107" t="str">
            <v xml:space="preserve"> -- </v>
          </cell>
          <cell r="EQ107">
            <v>37.856193543629836</v>
          </cell>
          <cell r="ER107">
            <v>46.421985277039425</v>
          </cell>
          <cell r="ES107">
            <v>-11.831609619207084</v>
          </cell>
          <cell r="ET107" t="str">
            <v>--</v>
          </cell>
          <cell r="EU107">
            <v>-58.124199136270683</v>
          </cell>
          <cell r="EV107">
            <v>-9.7533417780468206</v>
          </cell>
          <cell r="EW107">
            <v>12.129762852677439</v>
          </cell>
          <cell r="EY107" t="str">
            <v>--</v>
          </cell>
          <cell r="EZ107">
            <v>0.55563752983244785</v>
          </cell>
          <cell r="FA107">
            <v>-0.42367081495413239</v>
          </cell>
          <cell r="FC107">
            <v>-34.429029397769185</v>
          </cell>
        </row>
        <row r="108">
          <cell r="A108" t="str">
            <v>Revenues (Seq.)</v>
          </cell>
          <cell r="B108" t="str">
            <v>seqrevg</v>
          </cell>
          <cell r="D108" t="str">
            <v xml:space="preserve"> -- </v>
          </cell>
          <cell r="E108">
            <v>4.6224054173413798</v>
          </cell>
          <cell r="F108">
            <v>3.4660663195910102</v>
          </cell>
          <cell r="G108">
            <v>12.030825022665459</v>
          </cell>
          <cell r="I108">
            <v>13.466051630654707</v>
          </cell>
          <cell r="J108">
            <v>-0.55987447400328572</v>
          </cell>
          <cell r="K108">
            <v>3.632777478931315</v>
          </cell>
          <cell r="L108">
            <v>4.8515468198491174</v>
          </cell>
          <cell r="N108">
            <v>14.683168316831697</v>
          </cell>
          <cell r="O108">
            <v>13.226279892946557</v>
          </cell>
          <cell r="P108">
            <v>13.328250095310711</v>
          </cell>
          <cell r="Q108">
            <v>10.13030119536209</v>
          </cell>
          <cell r="S108">
            <v>6.2395633934753336</v>
          </cell>
          <cell r="T108">
            <v>21.184588844163322</v>
          </cell>
          <cell r="U108">
            <v>12.590553921103421</v>
          </cell>
          <cell r="V108">
            <v>10.28349863729594</v>
          </cell>
          <cell r="X108">
            <v>13.204759114417474</v>
          </cell>
          <cell r="Y108">
            <v>8.8130710717018612</v>
          </cell>
          <cell r="Z108">
            <v>9.0031023784901798</v>
          </cell>
          <cell r="AA108">
            <v>8.3790296567557654</v>
          </cell>
          <cell r="AC108">
            <v>59.453262337265315</v>
          </cell>
          <cell r="AD108">
            <v>6.9095818620480198</v>
          </cell>
          <cell r="AE108">
            <v>12.236312143652439</v>
          </cell>
          <cell r="AF108">
            <v>6.9201986710875074</v>
          </cell>
          <cell r="AH108">
            <v>-0.92470359669224456</v>
          </cell>
          <cell r="AI108">
            <v>8.1951139799003148</v>
          </cell>
          <cell r="AJ108">
            <v>14.518490118852622</v>
          </cell>
          <cell r="AK108">
            <v>-1.4964060891046516</v>
          </cell>
          <cell r="AM108">
            <v>28.441018232539594</v>
          </cell>
          <cell r="AN108">
            <v>7.9741692765652239</v>
          </cell>
          <cell r="AO108">
            <v>11.714126637750667</v>
          </cell>
          <cell r="AP108">
            <v>-1.1245845106369279</v>
          </cell>
          <cell r="AR108">
            <v>37.410954468466649</v>
          </cell>
          <cell r="AS108">
            <v>9.1606962401040484</v>
          </cell>
          <cell r="AT108">
            <v>11.096950424682216</v>
          </cell>
          <cell r="AU108">
            <v>-1.8571316470926802</v>
          </cell>
          <cell r="AW108">
            <v>4.9062049062049251</v>
          </cell>
          <cell r="AX108">
            <v>2.0349649588252472</v>
          </cell>
          <cell r="AY108">
            <v>10.086078110549913</v>
          </cell>
          <cell r="AZ108">
            <v>12.626657533538399</v>
          </cell>
          <cell r="BB108">
            <v>31.875493078964357</v>
          </cell>
          <cell r="BC108">
            <v>20.80272360420723</v>
          </cell>
          <cell r="BD108">
            <v>5.3461837669634305</v>
          </cell>
          <cell r="BE108">
            <v>4.2735042735042805</v>
          </cell>
          <cell r="BG108" t="str">
            <v xml:space="preserve">-- </v>
          </cell>
          <cell r="BH108" t="str">
            <v xml:space="preserve">-- </v>
          </cell>
          <cell r="BI108" t="str">
            <v xml:space="preserve">-- </v>
          </cell>
          <cell r="BJ108" t="str">
            <v xml:space="preserve">-- </v>
          </cell>
          <cell r="BL108" t="str">
            <v xml:space="preserve"> -- </v>
          </cell>
          <cell r="BM108" t="str">
            <v xml:space="preserve"> -- </v>
          </cell>
          <cell r="BN108" t="str">
            <v xml:space="preserve"> -- </v>
          </cell>
          <cell r="BO108" t="str">
            <v xml:space="preserve"> -- </v>
          </cell>
          <cell r="BQ108" t="str">
            <v xml:space="preserve">-- </v>
          </cell>
          <cell r="BR108" t="str">
            <v xml:space="preserve">-- </v>
          </cell>
          <cell r="BS108" t="str">
            <v xml:space="preserve">-- </v>
          </cell>
          <cell r="BT108" t="str">
            <v xml:space="preserve">-- </v>
          </cell>
          <cell r="BV108">
            <v>4.8893357468762</v>
          </cell>
          <cell r="BW108">
            <v>5.0288115639886222</v>
          </cell>
          <cell r="BX108">
            <v>4.9084470262851454</v>
          </cell>
          <cell r="BY108">
            <v>9.8686452031186533</v>
          </cell>
          <cell r="CA108">
            <v>14.965000225805003</v>
          </cell>
          <cell r="CB108">
            <v>14.605977994005492</v>
          </cell>
          <cell r="CC108">
            <v>14.325670353625885</v>
          </cell>
          <cell r="CD108">
            <v>27.117561701004966</v>
          </cell>
          <cell r="CF108">
            <v>1.6922090071218143</v>
          </cell>
          <cell r="CH108" t="str">
            <v>--</v>
          </cell>
          <cell r="CI108">
            <v>4.0346117448568641</v>
          </cell>
          <cell r="CJ108">
            <v>4.9004098941730856</v>
          </cell>
          <cell r="CK108">
            <v>11.011353351030539</v>
          </cell>
          <cell r="CM108">
            <v>14.55050123667565</v>
          </cell>
          <cell r="CN108">
            <v>13.256384687498123</v>
          </cell>
          <cell r="CO108">
            <v>14.532908458620074</v>
          </cell>
          <cell r="CP108">
            <v>25.872735876676288</v>
          </cell>
          <cell r="CR108">
            <v>8.6573576642015269</v>
          </cell>
          <cell r="CS108">
            <v>-19.81951720920777</v>
          </cell>
          <cell r="CT108">
            <v>-34.801677051693424</v>
          </cell>
          <cell r="CU108">
            <v>-22.64544773255799</v>
          </cell>
          <cell r="CW108" t="str">
            <v>--</v>
          </cell>
          <cell r="CX108" t="str">
            <v>--</v>
          </cell>
          <cell r="CY108" t="str">
            <v>--</v>
          </cell>
          <cell r="CZ108" t="str">
            <v>--</v>
          </cell>
          <cell r="DB108" t="str">
            <v>NM</v>
          </cell>
          <cell r="DC108">
            <v>0.20837601772401015</v>
          </cell>
          <cell r="DD108">
            <v>8.5592854467886106</v>
          </cell>
          <cell r="DE108">
            <v>2.5574725877570037</v>
          </cell>
          <cell r="DG108">
            <v>0.25898225129623587</v>
          </cell>
          <cell r="DH108">
            <v>-4.9953691478250022</v>
          </cell>
          <cell r="DI108">
            <v>1.3808044878346193</v>
          </cell>
          <cell r="DJ108">
            <v>2.4804739673824017</v>
          </cell>
          <cell r="DL108">
            <v>13.683758978546567</v>
          </cell>
          <cell r="DM108">
            <v>-5.907974658027948</v>
          </cell>
          <cell r="DN108">
            <v>1.5023891417476287</v>
          </cell>
          <cell r="DO108">
            <v>4.8550035975077677</v>
          </cell>
          <cell r="DQ108" t="str">
            <v xml:space="preserve"> -- </v>
          </cell>
          <cell r="DR108" t="str">
            <v xml:space="preserve"> -- </v>
          </cell>
          <cell r="DS108" t="str">
            <v xml:space="preserve"> -- </v>
          </cell>
          <cell r="DT108" t="str">
            <v xml:space="preserve"> -- </v>
          </cell>
          <cell r="DU108" t="str">
            <v xml:space="preserve"> -- </v>
          </cell>
          <cell r="DV108" t="str">
            <v xml:space="preserve"> -- </v>
          </cell>
          <cell r="DW108" t="str">
            <v xml:space="preserve"> -- </v>
          </cell>
          <cell r="DX108" t="str">
            <v xml:space="preserve"> -- </v>
          </cell>
          <cell r="DY108" t="str">
            <v xml:space="preserve"> -- </v>
          </cell>
          <cell r="DZ108" t="str">
            <v xml:space="preserve"> -- </v>
          </cell>
          <cell r="EA108" t="str">
            <v xml:space="preserve"> -- </v>
          </cell>
          <cell r="EB108" t="str">
            <v xml:space="preserve"> -- </v>
          </cell>
          <cell r="EC108" t="str">
            <v xml:space="preserve"> -- </v>
          </cell>
          <cell r="EE108" t="str">
            <v xml:space="preserve"> -- </v>
          </cell>
          <cell r="EF108" t="str">
            <v xml:space="preserve"> -- </v>
          </cell>
          <cell r="EH108" t="str">
            <v xml:space="preserve"> -- </v>
          </cell>
          <cell r="EI108" t="str">
            <v xml:space="preserve"> -- </v>
          </cell>
          <cell r="EK108" t="str">
            <v xml:space="preserve"> -- </v>
          </cell>
          <cell r="EL108" t="str">
            <v xml:space="preserve"> -- </v>
          </cell>
          <cell r="EM108" t="str">
            <v xml:space="preserve"> -- </v>
          </cell>
          <cell r="EN108" t="str">
            <v xml:space="preserve"> -- </v>
          </cell>
          <cell r="EP108" t="str">
            <v xml:space="preserve"> -- </v>
          </cell>
          <cell r="EQ108" t="str">
            <v xml:space="preserve"> -- </v>
          </cell>
          <cell r="ER108" t="str">
            <v xml:space="preserve"> -- </v>
          </cell>
          <cell r="ES108" t="str">
            <v xml:space="preserve"> -- </v>
          </cell>
          <cell r="ET108" t="str">
            <v>--</v>
          </cell>
          <cell r="EU108" t="str">
            <v xml:space="preserve"> -- </v>
          </cell>
          <cell r="EV108" t="str">
            <v xml:space="preserve"> -- </v>
          </cell>
          <cell r="EW108" t="str">
            <v xml:space="preserve"> -- </v>
          </cell>
          <cell r="EY108" t="str">
            <v>--</v>
          </cell>
          <cell r="EZ108" t="str">
            <v xml:space="preserve"> -- </v>
          </cell>
          <cell r="FA108" t="str">
            <v xml:space="preserve"> -- </v>
          </cell>
          <cell r="FC108" t="str">
            <v xml:space="preserve"> -- </v>
          </cell>
        </row>
        <row r="109">
          <cell r="A109" t="str">
            <v>Organic Growth (Seq.)</v>
          </cell>
          <cell r="B109" t="str">
            <v>seqorevg</v>
          </cell>
          <cell r="CW109" t="str">
            <v>--</v>
          </cell>
          <cell r="CX109" t="str">
            <v>--</v>
          </cell>
          <cell r="CY109" t="str">
            <v>--</v>
          </cell>
          <cell r="CZ109" t="str">
            <v>--</v>
          </cell>
          <cell r="DB109">
            <v>-23.888989690996244</v>
          </cell>
          <cell r="DC109">
            <v>-8.1033917415106682</v>
          </cell>
          <cell r="DD109">
            <v>-3.8824406187519145</v>
          </cell>
          <cell r="DE109">
            <v>-4.5100000000000033</v>
          </cell>
          <cell r="DG109">
            <v>-2.7210096353584734</v>
          </cell>
          <cell r="DH109">
            <v>-4.9953691478250022</v>
          </cell>
          <cell r="DI109">
            <v>1.3808044878346193</v>
          </cell>
          <cell r="DJ109">
            <v>2.4804739673824017</v>
          </cell>
          <cell r="DL109">
            <v>13.683758978546567</v>
          </cell>
          <cell r="DM109">
            <v>-5.907974658027948</v>
          </cell>
          <cell r="DN109">
            <v>1.5023891417476287</v>
          </cell>
          <cell r="DO109">
            <v>4.8550035975077677</v>
          </cell>
          <cell r="EP109" t="str">
            <v xml:space="preserve"> -- </v>
          </cell>
          <cell r="EQ109" t="str">
            <v xml:space="preserve"> -- </v>
          </cell>
          <cell r="ER109" t="str">
            <v xml:space="preserve"> -- </v>
          </cell>
          <cell r="ES109" t="str">
            <v xml:space="preserve"> -- </v>
          </cell>
          <cell r="ET109" t="str">
            <v>--</v>
          </cell>
          <cell r="EU109" t="str">
            <v xml:space="preserve"> -- </v>
          </cell>
          <cell r="EV109" t="str">
            <v xml:space="preserve"> -- </v>
          </cell>
          <cell r="EW109" t="str">
            <v xml:space="preserve"> -- </v>
          </cell>
        </row>
        <row r="110">
          <cell r="A110" t="str">
            <v>SG&amp;A Exp. (Yr-Yr)</v>
          </cell>
          <cell r="D110" t="str">
            <v>--</v>
          </cell>
          <cell r="E110" t="str">
            <v>--</v>
          </cell>
          <cell r="F110" t="str">
            <v>--</v>
          </cell>
          <cell r="G110" t="str">
            <v>--</v>
          </cell>
          <cell r="I110">
            <v>34.344660194174772</v>
          </cell>
          <cell r="J110">
            <v>14.514514514514509</v>
          </cell>
          <cell r="K110">
            <v>14.733235438081227</v>
          </cell>
          <cell r="L110">
            <v>11.816907986922009</v>
          </cell>
          <cell r="N110">
            <v>19.241192411924125</v>
          </cell>
          <cell r="O110">
            <v>23.77622377622377</v>
          </cell>
          <cell r="P110">
            <v>31.825938566552914</v>
          </cell>
          <cell r="Q110">
            <v>34.711779448621563</v>
          </cell>
          <cell r="S110">
            <v>28.219696969696951</v>
          </cell>
          <cell r="T110">
            <v>40.925141242937869</v>
          </cell>
          <cell r="U110">
            <v>44.40129449838188</v>
          </cell>
          <cell r="V110">
            <v>47.441860465116271</v>
          </cell>
          <cell r="X110">
            <v>59.556868537666176</v>
          </cell>
          <cell r="Y110">
            <v>45.20170383362565</v>
          </cell>
          <cell r="Z110">
            <v>40.071716718960126</v>
          </cell>
          <cell r="AA110">
            <v>40.883280757097793</v>
          </cell>
          <cell r="AC110">
            <v>163.54505169867059</v>
          </cell>
          <cell r="AD110">
            <v>111.67157002309325</v>
          </cell>
          <cell r="AE110">
            <v>151.994621246078</v>
          </cell>
          <cell r="AF110">
            <v>122.69190325972663</v>
          </cell>
          <cell r="AH110">
            <v>12.039009079699593</v>
          </cell>
          <cell r="AI110">
            <v>8.2308323083230661</v>
          </cell>
          <cell r="AJ110">
            <v>4.8203486303806553</v>
          </cell>
          <cell r="AK110">
            <v>8.6504863537633305</v>
          </cell>
          <cell r="AM110">
            <v>61.013339311736381</v>
          </cell>
          <cell r="AN110">
            <v>52.644526445264447</v>
          </cell>
          <cell r="AO110">
            <v>43.294201351832086</v>
          </cell>
          <cell r="AP110">
            <v>51.600717725942012</v>
          </cell>
          <cell r="AR110">
            <v>74.397489070731979</v>
          </cell>
          <cell r="AS110">
            <v>66.338663386633883</v>
          </cell>
          <cell r="AT110">
            <v>56.46567057986482</v>
          </cell>
          <cell r="AU110">
            <v>67.966757956369818</v>
          </cell>
          <cell r="AW110">
            <v>13.896387710502633</v>
          </cell>
          <cell r="AX110">
            <v>6.6551639142223173</v>
          </cell>
          <cell r="AY110">
            <v>1.8814301142499934</v>
          </cell>
          <cell r="AZ110">
            <v>9.5524569886427315</v>
          </cell>
          <cell r="BB110">
            <v>17.985327313769762</v>
          </cell>
          <cell r="BC110">
            <v>24.012017564132183</v>
          </cell>
          <cell r="BD110">
            <v>28.319571524213337</v>
          </cell>
          <cell r="BE110">
            <v>20.09237875288683</v>
          </cell>
          <cell r="BG110" t="str">
            <v xml:space="preserve">-- </v>
          </cell>
          <cell r="BH110" t="str">
            <v xml:space="preserve">-- </v>
          </cell>
          <cell r="BI110" t="str">
            <v xml:space="preserve">-- </v>
          </cell>
          <cell r="BJ110" t="str">
            <v xml:space="preserve">-- </v>
          </cell>
          <cell r="BL110" t="str">
            <v xml:space="preserve"> -- </v>
          </cell>
          <cell r="BM110" t="str">
            <v xml:space="preserve"> -- </v>
          </cell>
          <cell r="BN110" t="str">
            <v xml:space="preserve"> -- </v>
          </cell>
          <cell r="BO110" t="str">
            <v xml:space="preserve"> -- </v>
          </cell>
          <cell r="BQ110" t="str">
            <v xml:space="preserve">-- </v>
          </cell>
          <cell r="BR110" t="str">
            <v xml:space="preserve">-- </v>
          </cell>
          <cell r="BS110" t="str">
            <v xml:space="preserve">-- </v>
          </cell>
          <cell r="BT110" t="str">
            <v xml:space="preserve">-- </v>
          </cell>
          <cell r="BV110">
            <v>12.214259236377112</v>
          </cell>
          <cell r="BW110">
            <v>5.6826383876519948</v>
          </cell>
          <cell r="BX110">
            <v>6.2656641604010188</v>
          </cell>
          <cell r="BY110">
            <v>12.379227053140095</v>
          </cell>
          <cell r="CA110">
            <v>17.334691405604797</v>
          </cell>
          <cell r="CB110">
            <v>12.648086369486977</v>
          </cell>
          <cell r="CC110">
            <v>36.082313912502585</v>
          </cell>
          <cell r="CD110">
            <v>56.948854477065105</v>
          </cell>
          <cell r="CF110">
            <v>47.911837926002264</v>
          </cell>
          <cell r="CH110" t="str">
            <v>--</v>
          </cell>
          <cell r="CI110" t="str">
            <v>--</v>
          </cell>
          <cell r="CJ110" t="str">
            <v>--</v>
          </cell>
          <cell r="CK110" t="str">
            <v>--</v>
          </cell>
          <cell r="CM110">
            <v>12.360742705570281</v>
          </cell>
          <cell r="CN110">
            <v>9.7681052728443731</v>
          </cell>
          <cell r="CO110">
            <v>26.290445013758411</v>
          </cell>
          <cell r="CP110">
            <v>60.08681643247116</v>
          </cell>
          <cell r="CR110">
            <v>63.55266546484679</v>
          </cell>
          <cell r="CS110">
            <v>19.941736178060943</v>
          </cell>
          <cell r="CT110">
            <v>-20.980859895940938</v>
          </cell>
          <cell r="CU110">
            <v>-45.53573924468175</v>
          </cell>
          <cell r="CW110" t="str">
            <v>--</v>
          </cell>
          <cell r="CX110" t="str">
            <v>--</v>
          </cell>
          <cell r="CY110" t="str">
            <v>--</v>
          </cell>
          <cell r="CZ110" t="str">
            <v>--</v>
          </cell>
          <cell r="DB110" t="str">
            <v>NM</v>
          </cell>
          <cell r="DC110" t="str">
            <v>NM</v>
          </cell>
          <cell r="DD110" t="str">
            <v>NM</v>
          </cell>
          <cell r="DE110" t="str">
            <v>NM</v>
          </cell>
          <cell r="DG110">
            <v>13.42601126543801</v>
          </cell>
          <cell r="DH110">
            <v>-3.2865993983794084</v>
          </cell>
          <cell r="DI110">
            <v>2.2335995179309842</v>
          </cell>
          <cell r="DJ110">
            <v>-4.2311029260847732</v>
          </cell>
          <cell r="DL110">
            <v>12.212195194110208</v>
          </cell>
          <cell r="DM110">
            <v>7.6613487135037017</v>
          </cell>
          <cell r="DN110">
            <v>7.6783006442849189</v>
          </cell>
          <cell r="DO110">
            <v>13.845709039080534</v>
          </cell>
          <cell r="DQ110" t="str">
            <v xml:space="preserve"> -- </v>
          </cell>
          <cell r="DR110">
            <v>13.027009222661379</v>
          </cell>
          <cell r="DS110">
            <v>14.09004808392833</v>
          </cell>
          <cell r="DT110">
            <v>18.00766283524904</v>
          </cell>
          <cell r="DU110">
            <v>27.56493506493505</v>
          </cell>
          <cell r="DV110">
            <v>40.77373377449733</v>
          </cell>
          <cell r="DW110">
            <v>45.513168203459273</v>
          </cell>
          <cell r="DX110" t="str">
            <v xml:space="preserve"> -- </v>
          </cell>
          <cell r="DY110">
            <v>36.383530283136388</v>
          </cell>
          <cell r="DZ110">
            <v>8.2325351764996224</v>
          </cell>
          <cell r="EA110">
            <v>51.619353246112063</v>
          </cell>
          <cell r="EB110">
            <v>114.98165168501498</v>
          </cell>
          <cell r="EC110">
            <v>5.1819719368579431</v>
          </cell>
          <cell r="EE110">
            <v>7.8493262860120483</v>
          </cell>
          <cell r="EF110">
            <v>22.549249692836515</v>
          </cell>
          <cell r="EH110" t="str">
            <v xml:space="preserve"> -- </v>
          </cell>
          <cell r="EI110">
            <v>8.6829878741675248</v>
          </cell>
          <cell r="EK110" t="str">
            <v xml:space="preserve"> -- </v>
          </cell>
          <cell r="EL110">
            <v>12.995684651289396</v>
          </cell>
          <cell r="EM110">
            <v>9.0594112020406126</v>
          </cell>
          <cell r="EN110">
            <v>31.412217955964405</v>
          </cell>
          <cell r="EP110" t="str">
            <v xml:space="preserve"> -- </v>
          </cell>
          <cell r="EQ110">
            <v>10.701121278515258</v>
          </cell>
          <cell r="ER110">
            <v>27.53949681580572</v>
          </cell>
          <cell r="ES110">
            <v>-2.1091307423720451</v>
          </cell>
          <cell r="ET110" t="str">
            <v>--</v>
          </cell>
          <cell r="EU110">
            <v>48.094735534097396</v>
          </cell>
          <cell r="EV110">
            <v>1.5778394099732473</v>
          </cell>
          <cell r="EW110">
            <v>10.332220751502529</v>
          </cell>
          <cell r="EY110" t="str">
            <v>--</v>
          </cell>
          <cell r="EZ110">
            <v>40.582888667812256</v>
          </cell>
          <cell r="FA110">
            <v>-15.783569487109405</v>
          </cell>
          <cell r="FC110">
            <v>56.208033300568651</v>
          </cell>
        </row>
        <row r="111">
          <cell r="A111" t="str">
            <v>SG&amp;A Exp. (seq.)</v>
          </cell>
          <cell r="D111" t="str">
            <v>--</v>
          </cell>
          <cell r="E111">
            <v>21.237864077669897</v>
          </cell>
          <cell r="F111">
            <v>2.2522522522522515</v>
          </cell>
          <cell r="G111">
            <v>4.7968673519334315</v>
          </cell>
          <cell r="I111">
            <v>3.4096216721158257</v>
          </cell>
          <cell r="J111">
            <v>3.342366757000903</v>
          </cell>
          <cell r="K111">
            <v>2.447552447552459</v>
          </cell>
          <cell r="L111">
            <v>2.1331058020477967</v>
          </cell>
          <cell r="N111">
            <v>10.275689223057638</v>
          </cell>
          <cell r="O111">
            <v>7.2727272727272529</v>
          </cell>
          <cell r="P111">
            <v>9.1101694915254328</v>
          </cell>
          <cell r="Q111">
            <v>4.3689320388349495</v>
          </cell>
          <cell r="S111">
            <v>4.9612403100775193</v>
          </cell>
          <cell r="T111">
            <v>17.902511078286576</v>
          </cell>
          <cell r="U111">
            <v>11.801553495364558</v>
          </cell>
          <cell r="V111">
            <v>6.5665620797848545</v>
          </cell>
          <cell r="X111">
            <v>13.585699263932693</v>
          </cell>
          <cell r="Y111">
            <v>7.2949453804850961</v>
          </cell>
          <cell r="Z111">
            <v>7.8515962036238118</v>
          </cell>
          <cell r="AA111">
            <v>7.1839999999999904</v>
          </cell>
          <cell r="AC111">
            <v>87.613038906414303</v>
          </cell>
          <cell r="AD111">
            <v>9.3599372267683112</v>
          </cell>
          <cell r="AE111">
            <v>15.252152521525208</v>
          </cell>
          <cell r="AF111">
            <v>-5.8253290643898943</v>
          </cell>
          <cell r="AH111">
            <v>-5.6095948625932701</v>
          </cell>
          <cell r="AI111">
            <v>5.6428214107053565</v>
          </cell>
          <cell r="AJ111">
            <v>11.620418600246229</v>
          </cell>
          <cell r="AK111">
            <v>-2.3841846258272459</v>
          </cell>
          <cell r="AM111">
            <v>35.650203040891505</v>
          </cell>
          <cell r="AN111">
            <v>3.6758563074352546</v>
          </cell>
          <cell r="AO111">
            <v>8.192318023099654</v>
          </cell>
          <cell r="AP111">
            <v>-0.36618669314795183</v>
          </cell>
          <cell r="AR111">
            <v>46.926055340447625</v>
          </cell>
          <cell r="AS111">
            <v>4.3064661267515181</v>
          </cell>
          <cell r="AT111">
            <v>8.411387724919873</v>
          </cell>
          <cell r="AU111">
            <v>1.0970272267379233</v>
          </cell>
          <cell r="AW111">
            <v>3.2710459305776318</v>
          </cell>
          <cell r="AX111">
            <v>1.7459375782126196</v>
          </cell>
          <cell r="AY111">
            <v>10.749117412595389</v>
          </cell>
          <cell r="AZ111">
            <v>13.810761675208338</v>
          </cell>
          <cell r="BB111">
            <v>7.2979214780600543</v>
          </cell>
          <cell r="BC111">
            <v>2.6641794614243874</v>
          </cell>
          <cell r="BD111">
            <v>7.1561684681326954</v>
          </cell>
          <cell r="BE111">
            <v>1.7391304347825987</v>
          </cell>
          <cell r="BG111" t="str">
            <v xml:space="preserve">-- </v>
          </cell>
          <cell r="BH111" t="str">
            <v xml:space="preserve">-- </v>
          </cell>
          <cell r="BI111" t="str">
            <v xml:space="preserve">-- </v>
          </cell>
          <cell r="BJ111" t="str">
            <v xml:space="preserve">-- </v>
          </cell>
          <cell r="BL111" t="str">
            <v xml:space="preserve"> -- </v>
          </cell>
          <cell r="BM111" t="str">
            <v xml:space="preserve"> -- </v>
          </cell>
          <cell r="BN111" t="str">
            <v xml:space="preserve"> -- </v>
          </cell>
          <cell r="BO111" t="str">
            <v xml:space="preserve"> -- </v>
          </cell>
          <cell r="BQ111" t="str">
            <v xml:space="preserve">-- </v>
          </cell>
          <cell r="BR111" t="str">
            <v xml:space="preserve">-- </v>
          </cell>
          <cell r="BS111" t="str">
            <v xml:space="preserve">-- </v>
          </cell>
          <cell r="BT111" t="str">
            <v xml:space="preserve">-- </v>
          </cell>
          <cell r="BV111">
            <v>-0.29095300834431903</v>
          </cell>
          <cell r="BW111">
            <v>4.7982161537191148</v>
          </cell>
          <cell r="BX111">
            <v>1.3528067456460624</v>
          </cell>
          <cell r="BY111">
            <v>6.1113414886999617</v>
          </cell>
          <cell r="CA111">
            <v>4.1058082165013943</v>
          </cell>
          <cell r="CB111">
            <v>0.61234544729371621</v>
          </cell>
          <cell r="CC111">
            <v>22.437272642477389</v>
          </cell>
          <cell r="CD111">
            <v>22.382203938597488</v>
          </cell>
          <cell r="CF111">
            <v>7.2566839926546223</v>
          </cell>
          <cell r="CH111" t="str">
            <v>--</v>
          </cell>
          <cell r="CI111">
            <v>4.8179406800096469</v>
          </cell>
          <cell r="CJ111">
            <v>-3.0183123217079388</v>
          </cell>
          <cell r="CK111">
            <v>6.0157510200208764</v>
          </cell>
          <cell r="CM111">
            <v>4.2602702944598558</v>
          </cell>
          <cell r="CN111">
            <v>2.3993475834835687</v>
          </cell>
          <cell r="CO111">
            <v>11.579410655153621</v>
          </cell>
          <cell r="CP111">
            <v>34.386446026409232</v>
          </cell>
          <cell r="CR111">
            <v>6.5174852542420281</v>
          </cell>
          <cell r="CS111">
            <v>-24.905194924483986</v>
          </cell>
          <cell r="CT111">
            <v>-26.490066225165553</v>
          </cell>
          <cell r="CU111">
            <v>-7.3736005134422129</v>
          </cell>
          <cell r="CW111" t="str">
            <v>--</v>
          </cell>
          <cell r="CX111" t="str">
            <v>--</v>
          </cell>
          <cell r="CY111" t="str">
            <v>--</v>
          </cell>
          <cell r="CZ111" t="str">
            <v>--</v>
          </cell>
          <cell r="DB111" t="str">
            <v>NM</v>
          </cell>
          <cell r="DC111">
            <v>18.850087093330337</v>
          </cell>
          <cell r="DD111">
            <v>-7.0904298698689194</v>
          </cell>
          <cell r="DE111">
            <v>5.8692538792489479</v>
          </cell>
          <cell r="DG111">
            <v>-2.9751784664875158</v>
          </cell>
          <cell r="DH111">
            <v>1.3382729089866707</v>
          </cell>
          <cell r="DI111">
            <v>-1.7873456524102216</v>
          </cell>
          <cell r="DJ111">
            <v>-0.82534777350089517</v>
          </cell>
          <cell r="DL111">
            <v>13.683758978546567</v>
          </cell>
          <cell r="DM111">
            <v>-2.7715738132955359</v>
          </cell>
          <cell r="DN111">
            <v>-1.7718814757281098</v>
          </cell>
          <cell r="DO111">
            <v>4.8550035975077455</v>
          </cell>
          <cell r="DQ111" t="str">
            <v xml:space="preserve"> -- </v>
          </cell>
          <cell r="DR111" t="str">
            <v xml:space="preserve"> -- </v>
          </cell>
          <cell r="DS111" t="str">
            <v xml:space="preserve"> -- </v>
          </cell>
          <cell r="DT111" t="str">
            <v xml:space="preserve"> -- </v>
          </cell>
          <cell r="DU111" t="str">
            <v xml:space="preserve"> -- </v>
          </cell>
          <cell r="DV111" t="str">
            <v xml:space="preserve"> -- </v>
          </cell>
          <cell r="DW111" t="str">
            <v xml:space="preserve"> -- </v>
          </cell>
          <cell r="DX111" t="str">
            <v xml:space="preserve"> -- </v>
          </cell>
          <cell r="DY111" t="str">
            <v xml:space="preserve"> -- </v>
          </cell>
          <cell r="DZ111" t="str">
            <v xml:space="preserve"> -- </v>
          </cell>
          <cell r="EA111" t="str">
            <v xml:space="preserve"> -- </v>
          </cell>
          <cell r="EB111" t="str">
            <v xml:space="preserve"> -- </v>
          </cell>
          <cell r="EC111" t="str">
            <v xml:space="preserve"> -- </v>
          </cell>
          <cell r="EE111" t="str">
            <v xml:space="preserve"> -- </v>
          </cell>
          <cell r="EF111" t="str">
            <v xml:space="preserve"> -- </v>
          </cell>
          <cell r="EH111" t="str">
            <v xml:space="preserve"> -- </v>
          </cell>
          <cell r="EI111" t="str">
            <v xml:space="preserve"> -- </v>
          </cell>
          <cell r="EK111" t="str">
            <v xml:space="preserve"> -- </v>
          </cell>
          <cell r="EL111" t="str">
            <v xml:space="preserve"> -- </v>
          </cell>
          <cell r="EM111" t="str">
            <v xml:space="preserve"> -- </v>
          </cell>
          <cell r="EN111" t="str">
            <v xml:space="preserve"> -- </v>
          </cell>
          <cell r="EP111" t="str">
            <v xml:space="preserve"> -- </v>
          </cell>
          <cell r="EQ111" t="str">
            <v xml:space="preserve"> -- </v>
          </cell>
          <cell r="ER111" t="str">
            <v xml:space="preserve"> -- </v>
          </cell>
          <cell r="ES111" t="str">
            <v xml:space="preserve"> -- </v>
          </cell>
          <cell r="ET111" t="str">
            <v>--</v>
          </cell>
          <cell r="EU111" t="str">
            <v xml:space="preserve"> -- </v>
          </cell>
          <cell r="EV111" t="str">
            <v xml:space="preserve"> -- </v>
          </cell>
          <cell r="EW111" t="str">
            <v xml:space="preserve"> -- </v>
          </cell>
          <cell r="EY111" t="str">
            <v>--</v>
          </cell>
          <cell r="EZ111" t="str">
            <v xml:space="preserve"> -- </v>
          </cell>
          <cell r="FA111" t="str">
            <v xml:space="preserve"> -- </v>
          </cell>
          <cell r="FC111" t="str">
            <v xml:space="preserve"> -- </v>
          </cell>
        </row>
        <row r="112">
          <cell r="A112" t="str">
            <v>Op. Income (Yr-Yr)</v>
          </cell>
          <cell r="D112" t="str">
            <v>--</v>
          </cell>
          <cell r="E112" t="str">
            <v>--</v>
          </cell>
          <cell r="F112" t="str">
            <v>--</v>
          </cell>
          <cell r="G112" t="str">
            <v>--</v>
          </cell>
          <cell r="I112">
            <v>88.69565217391289</v>
          </cell>
          <cell r="J112">
            <v>55.575868372943241</v>
          </cell>
          <cell r="K112">
            <v>31.083844580777175</v>
          </cell>
          <cell r="L112">
            <v>85.935085007727949</v>
          </cell>
          <cell r="N112">
            <v>17.818740399385579</v>
          </cell>
          <cell r="O112">
            <v>46.15746180963567</v>
          </cell>
          <cell r="P112">
            <v>59.393804323601444</v>
          </cell>
          <cell r="Q112">
            <v>72.942643391521273</v>
          </cell>
          <cell r="S112">
            <v>68.038740920096856</v>
          </cell>
          <cell r="T112">
            <v>71.860427721498681</v>
          </cell>
          <cell r="U112">
            <v>68.638143176733891</v>
          </cell>
          <cell r="V112">
            <v>61.715933669790822</v>
          </cell>
          <cell r="X112">
            <v>68.044779428064487</v>
          </cell>
          <cell r="Y112">
            <v>53.517964071856248</v>
          </cell>
          <cell r="Z112">
            <v>47.765525246662818</v>
          </cell>
          <cell r="AA112">
            <v>42.829543765789914</v>
          </cell>
          <cell r="AC112">
            <v>104.26734648636673</v>
          </cell>
          <cell r="AD112">
            <v>66.336077844311347</v>
          </cell>
          <cell r="AE112">
            <v>75.350302628306153</v>
          </cell>
          <cell r="AF112">
            <v>62.615544657453</v>
          </cell>
          <cell r="AH112">
            <v>30.853546041564783</v>
          </cell>
          <cell r="AI112">
            <v>48.68376645291923</v>
          </cell>
          <cell r="AJ112">
            <v>45.727930398600414</v>
          </cell>
          <cell r="AK112">
            <v>39.841351074718403</v>
          </cell>
          <cell r="AM112">
            <v>58.223452167778909</v>
          </cell>
          <cell r="AN112">
            <v>80.076499043761956</v>
          </cell>
          <cell r="AO112">
            <v>72.419499739940306</v>
          </cell>
          <cell r="AP112">
            <v>59.457705804942115</v>
          </cell>
          <cell r="AR112">
            <v>61.897010147050715</v>
          </cell>
          <cell r="AS112">
            <v>92.636967037912044</v>
          </cell>
          <cell r="AT112">
            <v>81.824199725755449</v>
          </cell>
          <cell r="AU112">
            <v>60.124835502266194</v>
          </cell>
          <cell r="AW112">
            <v>38.436787773159928</v>
          </cell>
          <cell r="AX112">
            <v>27.027184862907649</v>
          </cell>
          <cell r="AY112">
            <v>23.771259166796497</v>
          </cell>
          <cell r="AZ112">
            <v>47.053619838484153</v>
          </cell>
          <cell r="BB112">
            <v>33.53186132093748</v>
          </cell>
          <cell r="BC112">
            <v>46.904811162448688</v>
          </cell>
          <cell r="BD112">
            <v>45.853556045803209</v>
          </cell>
          <cell r="BE112">
            <v>44.131801599006515</v>
          </cell>
          <cell r="BG112" t="str">
            <v xml:space="preserve">-- </v>
          </cell>
          <cell r="BH112" t="str">
            <v xml:space="preserve">-- </v>
          </cell>
          <cell r="BI112" t="str">
            <v xml:space="preserve">-- </v>
          </cell>
          <cell r="BJ112" t="str">
            <v xml:space="preserve">-- </v>
          </cell>
          <cell r="BL112" t="str">
            <v xml:space="preserve"> -- </v>
          </cell>
          <cell r="BM112" t="str">
            <v xml:space="preserve"> -- </v>
          </cell>
          <cell r="BN112" t="str">
            <v xml:space="preserve"> -- </v>
          </cell>
          <cell r="BO112" t="str">
            <v xml:space="preserve"> -- </v>
          </cell>
          <cell r="BQ112" t="str">
            <v xml:space="preserve">-- </v>
          </cell>
          <cell r="BR112" t="str">
            <v xml:space="preserve">-- </v>
          </cell>
          <cell r="BS112" t="str">
            <v xml:space="preserve">-- </v>
          </cell>
          <cell r="BT112" t="str">
            <v xml:space="preserve">-- </v>
          </cell>
          <cell r="BV112">
            <v>1.5270992806863948</v>
          </cell>
          <cell r="BW112">
            <v>17.711345551722026</v>
          </cell>
          <cell r="BX112">
            <v>86.113789778206225</v>
          </cell>
          <cell r="BY112">
            <v>68.817348836167369</v>
          </cell>
          <cell r="CA112">
            <v>36.411684473743918</v>
          </cell>
          <cell r="CB112">
            <v>50.308349146110046</v>
          </cell>
          <cell r="CC112">
            <v>58.833456698741628</v>
          </cell>
          <cell r="CD112">
            <v>103.60560015924638</v>
          </cell>
          <cell r="CF112">
            <v>118.56883130185398</v>
          </cell>
          <cell r="CH112" t="str">
            <v>--</v>
          </cell>
          <cell r="CI112" t="str">
            <v>--</v>
          </cell>
          <cell r="CJ112" t="str">
            <v>--</v>
          </cell>
          <cell r="CK112" t="str">
            <v>--</v>
          </cell>
          <cell r="CM112">
            <v>54.774785486395942</v>
          </cell>
          <cell r="CN112">
            <v>63.377473017650019</v>
          </cell>
          <cell r="CO112">
            <v>72.561243948951244</v>
          </cell>
          <cell r="CP112">
            <v>108.44497484857851</v>
          </cell>
          <cell r="CR112">
            <v>130.10473215200227</v>
          </cell>
          <cell r="CS112">
            <v>91.084391528726655</v>
          </cell>
          <cell r="CT112">
            <v>-59.518000595061025</v>
          </cell>
          <cell r="CU112">
            <v>-97.891490239292764</v>
          </cell>
          <cell r="CW112" t="str">
            <v>--</v>
          </cell>
          <cell r="CX112" t="str">
            <v>--</v>
          </cell>
          <cell r="CY112" t="str">
            <v>--</v>
          </cell>
          <cell r="CZ112" t="str">
            <v>--</v>
          </cell>
          <cell r="DB112" t="str">
            <v>NM</v>
          </cell>
          <cell r="DC112" t="str">
            <v>NM</v>
          </cell>
          <cell r="DD112" t="str">
            <v>NM</v>
          </cell>
          <cell r="DE112" t="str">
            <v>NM</v>
          </cell>
          <cell r="DF112" t="str">
            <v xml:space="preserve"> </v>
          </cell>
          <cell r="DG112" t="str">
            <v>NM</v>
          </cell>
          <cell r="DH112" t="str">
            <v>NM</v>
          </cell>
          <cell r="DI112" t="str">
            <v>NM</v>
          </cell>
          <cell r="DJ112">
            <v>127.80423611743905</v>
          </cell>
          <cell r="DL112">
            <v>113.82331942763959</v>
          </cell>
          <cell r="DM112">
            <v>97.575915076016884</v>
          </cell>
          <cell r="DN112">
            <v>52.931322694915096</v>
          </cell>
          <cell r="DO112">
            <v>31.276838640691196</v>
          </cell>
          <cell r="DQ112" t="str">
            <v xml:space="preserve"> -- </v>
          </cell>
          <cell r="DR112" t="str">
            <v>NM</v>
          </cell>
          <cell r="DS112" t="str">
            <v>NM</v>
          </cell>
          <cell r="DT112">
            <v>109.41101152368739</v>
          </cell>
          <cell r="DU112">
            <v>72.719861408335859</v>
          </cell>
          <cell r="DV112">
            <v>64.717682459142196</v>
          </cell>
          <cell r="DW112">
            <v>49.805143634930829</v>
          </cell>
          <cell r="DX112" t="str">
            <v xml:space="preserve"> -- </v>
          </cell>
          <cell r="DY112">
            <v>44.636966927763154</v>
          </cell>
          <cell r="DZ112">
            <v>41.560417689918694</v>
          </cell>
          <cell r="EA112">
            <v>66.14604605380103</v>
          </cell>
          <cell r="EB112">
            <v>74.573904844792338</v>
          </cell>
          <cell r="EC112">
            <v>42.894236661438988</v>
          </cell>
          <cell r="EE112">
            <v>33.692397150748612</v>
          </cell>
          <cell r="EF112">
            <v>42.852871138560623</v>
          </cell>
          <cell r="EH112" t="str">
            <v xml:space="preserve"> -- </v>
          </cell>
          <cell r="EI112">
            <v>39.049029047860273</v>
          </cell>
          <cell r="EK112" t="str">
            <v xml:space="preserve"> -- </v>
          </cell>
          <cell r="EL112">
            <v>2.8460194491104263</v>
          </cell>
          <cell r="EM112">
            <v>39.137155935740076</v>
          </cell>
          <cell r="EN112">
            <v>65.456565521735868</v>
          </cell>
          <cell r="EP112" t="str">
            <v xml:space="preserve"> -- </v>
          </cell>
          <cell r="EQ112">
            <v>31.351628383730002</v>
          </cell>
          <cell r="ER112">
            <v>77.975627443561748</v>
          </cell>
          <cell r="ES112">
            <v>-9.3756505024647936</v>
          </cell>
          <cell r="ET112" t="str">
            <v>--</v>
          </cell>
          <cell r="EU112">
            <v>-73.040775296210541</v>
          </cell>
          <cell r="EV112">
            <v>88.128590900038546</v>
          </cell>
          <cell r="EW112">
            <v>66.358181209498696</v>
          </cell>
          <cell r="EY112" t="str">
            <v>--</v>
          </cell>
          <cell r="EZ112">
            <v>96.606946749642006</v>
          </cell>
          <cell r="FA112">
            <v>-52.064115287486622</v>
          </cell>
          <cell r="FC112">
            <v>-56.092258797479488</v>
          </cell>
        </row>
        <row r="113">
          <cell r="A113" t="str">
            <v>Net Income (Yr-Yr)</v>
          </cell>
          <cell r="D113" t="str">
            <v>--</v>
          </cell>
          <cell r="E113" t="str">
            <v>--</v>
          </cell>
          <cell r="F113" t="str">
            <v>--</v>
          </cell>
          <cell r="G113" t="str">
            <v>--</v>
          </cell>
          <cell r="I113">
            <v>218.48837209302232</v>
          </cell>
          <cell r="J113">
            <v>161.16116116116066</v>
          </cell>
          <cell r="K113">
            <v>53.662597114317649</v>
          </cell>
          <cell r="L113">
            <v>194.98031496062987</v>
          </cell>
          <cell r="N113">
            <v>21.321650237312895</v>
          </cell>
          <cell r="O113">
            <v>48.562667688769558</v>
          </cell>
          <cell r="P113">
            <v>64.247020585048602</v>
          </cell>
          <cell r="Q113">
            <v>73.573573573573725</v>
          </cell>
          <cell r="S113">
            <v>71.140535660547656</v>
          </cell>
          <cell r="T113">
            <v>70.407636738906135</v>
          </cell>
          <cell r="U113">
            <v>63.852242744063517</v>
          </cell>
          <cell r="V113">
            <v>60.534409842368198</v>
          </cell>
          <cell r="X113">
            <v>61.315280464216279</v>
          </cell>
          <cell r="Y113">
            <v>50.083270249810738</v>
          </cell>
          <cell r="Z113">
            <v>45.195920558239422</v>
          </cell>
          <cell r="AA113">
            <v>41.415399353370908</v>
          </cell>
          <cell r="AC113">
            <v>107.71935994373143</v>
          </cell>
          <cell r="AD113">
            <v>61.710825132475435</v>
          </cell>
          <cell r="AE113">
            <v>80.072463768115981</v>
          </cell>
          <cell r="AF113">
            <v>73.976769249192003</v>
          </cell>
          <cell r="AH113">
            <v>5.8828409379495294</v>
          </cell>
          <cell r="AI113">
            <v>57.972099990637346</v>
          </cell>
          <cell r="AJ113">
            <v>44.429540204188122</v>
          </cell>
          <cell r="AK113">
            <v>33.452177743516145</v>
          </cell>
          <cell r="AM113">
            <v>32.689630068568334</v>
          </cell>
          <cell r="AN113">
            <v>91.414661548544146</v>
          </cell>
          <cell r="AO113">
            <v>71.272076905879558</v>
          </cell>
          <cell r="AP113">
            <v>52.359451572049842</v>
          </cell>
          <cell r="AR113">
            <v>56.818758994328093</v>
          </cell>
          <cell r="AS113">
            <v>111.25362793745902</v>
          </cell>
          <cell r="AT113">
            <v>84.521946493777662</v>
          </cell>
          <cell r="AU113">
            <v>51.746875172071725</v>
          </cell>
          <cell r="AW113">
            <v>49.176788124156531</v>
          </cell>
          <cell r="AX113">
            <v>27.512852331146888</v>
          </cell>
          <cell r="AY113">
            <v>26.640967650740819</v>
          </cell>
          <cell r="AZ113">
            <v>54.801106726538748</v>
          </cell>
          <cell r="BB113">
            <v>30.949882395513018</v>
          </cell>
          <cell r="BC113">
            <v>52.613652161824163</v>
          </cell>
          <cell r="BD113">
            <v>56.377423378150901</v>
          </cell>
          <cell r="BE113">
            <v>52.595622491136652</v>
          </cell>
          <cell r="BG113" t="str">
            <v xml:space="preserve">-- </v>
          </cell>
          <cell r="BH113" t="str">
            <v xml:space="preserve">-- </v>
          </cell>
          <cell r="BI113" t="str">
            <v xml:space="preserve">-- </v>
          </cell>
          <cell r="BJ113" t="str">
            <v xml:space="preserve">-- </v>
          </cell>
          <cell r="BL113" t="str">
            <v xml:space="preserve"> -- </v>
          </cell>
          <cell r="BM113" t="str">
            <v xml:space="preserve"> -- </v>
          </cell>
          <cell r="BN113" t="str">
            <v xml:space="preserve"> -- </v>
          </cell>
          <cell r="BO113" t="str">
            <v xml:space="preserve"> -- </v>
          </cell>
          <cell r="BQ113" t="str">
            <v xml:space="preserve">-- </v>
          </cell>
          <cell r="BR113" t="str">
            <v xml:space="preserve">-- </v>
          </cell>
          <cell r="BS113" t="str">
            <v xml:space="preserve">-- </v>
          </cell>
          <cell r="BT113" t="str">
            <v xml:space="preserve">-- </v>
          </cell>
          <cell r="BV113">
            <v>-6.1456460313380372</v>
          </cell>
          <cell r="BW113">
            <v>12.331029833136586</v>
          </cell>
          <cell r="BX113">
            <v>110.45755119453902</v>
          </cell>
          <cell r="BY113">
            <v>91.610622521124469</v>
          </cell>
          <cell r="CA113">
            <v>46.397536777283399</v>
          </cell>
          <cell r="CB113">
            <v>66.737688683491854</v>
          </cell>
          <cell r="CC113">
            <v>61.946028126187677</v>
          </cell>
          <cell r="CD113">
            <v>118.50785222517234</v>
          </cell>
          <cell r="CF113">
            <v>136.55169466170886</v>
          </cell>
          <cell r="CH113" t="str">
            <v>--</v>
          </cell>
          <cell r="CI113" t="str">
            <v>--</v>
          </cell>
          <cell r="CJ113" t="str">
            <v>--</v>
          </cell>
          <cell r="CK113" t="str">
            <v>--</v>
          </cell>
          <cell r="CM113">
            <v>78.96508203617995</v>
          </cell>
          <cell r="CN113">
            <v>87.91730377166158</v>
          </cell>
          <cell r="CO113">
            <v>76.406505728314372</v>
          </cell>
          <cell r="CP113">
            <v>116.73052903444385</v>
          </cell>
          <cell r="CR113">
            <v>147.79031499764898</v>
          </cell>
          <cell r="CS113">
            <v>94.758522486481155</v>
          </cell>
          <cell r="CT113">
            <v>-53.709663390449748</v>
          </cell>
          <cell r="CU113">
            <v>-96.436699649335296</v>
          </cell>
          <cell r="CW113" t="str">
            <v>--</v>
          </cell>
          <cell r="CX113" t="str">
            <v>--</v>
          </cell>
          <cell r="CY113" t="str">
            <v>--</v>
          </cell>
          <cell r="CZ113" t="str">
            <v>--</v>
          </cell>
          <cell r="DB113" t="str">
            <v>NM</v>
          </cell>
          <cell r="DC113" t="str">
            <v>NM</v>
          </cell>
          <cell r="DD113" t="str">
            <v>NM</v>
          </cell>
          <cell r="DE113" t="str">
            <v>NM</v>
          </cell>
          <cell r="DF113" t="str">
            <v xml:space="preserve"> </v>
          </cell>
          <cell r="DG113" t="str">
            <v>NM</v>
          </cell>
          <cell r="DH113" t="str">
            <v>NM</v>
          </cell>
          <cell r="DI113" t="str">
            <v>NM</v>
          </cell>
          <cell r="DJ113" t="str">
            <v>NM</v>
          </cell>
          <cell r="DL113" t="str">
            <v>NM</v>
          </cell>
          <cell r="DM113" t="str">
            <v>NM</v>
          </cell>
          <cell r="DN113">
            <v>99.237482808281086</v>
          </cell>
          <cell r="DO113">
            <v>47.442509236315765</v>
          </cell>
          <cell r="DQ113" t="str">
            <v xml:space="preserve"> -- </v>
          </cell>
          <cell r="DR113" t="str">
            <v>NM</v>
          </cell>
          <cell r="DS113" t="str">
            <v>NM</v>
          </cell>
          <cell r="DT113">
            <v>109.41101152368739</v>
          </cell>
          <cell r="DU113">
            <v>72.719861408335859</v>
          </cell>
          <cell r="DV113">
            <v>64.717682459142196</v>
          </cell>
          <cell r="DW113">
            <v>49.805143634930829</v>
          </cell>
          <cell r="DX113" t="str">
            <v xml:space="preserve"> -- </v>
          </cell>
          <cell r="DY113">
            <v>38.622073210948614</v>
          </cell>
          <cell r="DZ113">
            <v>40.076166988489547</v>
          </cell>
          <cell r="EA113">
            <v>66.022279141505493</v>
          </cell>
          <cell r="EB113">
            <v>70.786055842585142</v>
          </cell>
          <cell r="EC113">
            <v>41.437137253255088</v>
          </cell>
          <cell r="EE113">
            <v>38.677736441516686</v>
          </cell>
          <cell r="EF113">
            <v>48.665364383043432</v>
          </cell>
          <cell r="EH113" t="str">
            <v xml:space="preserve"> -- </v>
          </cell>
          <cell r="EI113">
            <v>42.21593606583329</v>
          </cell>
          <cell r="EK113" t="str">
            <v xml:space="preserve"> -- </v>
          </cell>
          <cell r="EL113">
            <v>55.090859695725669</v>
          </cell>
          <cell r="EM113">
            <v>42.534328561557878</v>
          </cell>
          <cell r="EN113">
            <v>77.097443740441321</v>
          </cell>
          <cell r="EP113" t="str">
            <v xml:space="preserve"> -- </v>
          </cell>
          <cell r="EQ113">
            <v>32.310748179209646</v>
          </cell>
          <cell r="ER113">
            <v>92.621629135390805</v>
          </cell>
          <cell r="ES113">
            <v>-3.8691077562567955</v>
          </cell>
          <cell r="ET113" t="str">
            <v>--</v>
          </cell>
          <cell r="EU113">
            <v>-96.840314465589515</v>
          </cell>
          <cell r="EV113">
            <v>756.04886712283519</v>
          </cell>
          <cell r="EW113">
            <v>131.77336020344157</v>
          </cell>
          <cell r="EY113" t="str">
            <v>--</v>
          </cell>
          <cell r="EZ113">
            <v>110.48277790271518</v>
          </cell>
          <cell r="FA113">
            <v>-54.440789948628556</v>
          </cell>
          <cell r="FC113">
            <v>-92.596354796096165</v>
          </cell>
        </row>
        <row r="114">
          <cell r="A114" t="str">
            <v>Op. EPS (Yr-Yr)</v>
          </cell>
          <cell r="D114" t="str">
            <v>--</v>
          </cell>
          <cell r="E114" t="str">
            <v>--</v>
          </cell>
          <cell r="F114" t="str">
            <v>--</v>
          </cell>
          <cell r="G114" t="str">
            <v>--</v>
          </cell>
          <cell r="I114">
            <v>84.81926582217227</v>
          </cell>
          <cell r="J114">
            <v>42.777052974139252</v>
          </cell>
          <cell r="K114">
            <v>28.57175994189911</v>
          </cell>
          <cell r="L114">
            <v>164.0723146634972</v>
          </cell>
          <cell r="N114">
            <v>12.737433014532717</v>
          </cell>
          <cell r="O114">
            <v>45.691288397305961</v>
          </cell>
          <cell r="P114">
            <v>58.981322894459723</v>
          </cell>
          <cell r="Q114">
            <v>61.18559863449493</v>
          </cell>
          <cell r="S114">
            <v>58.758605193068483</v>
          </cell>
          <cell r="T114">
            <v>54.017690115167774</v>
          </cell>
          <cell r="U114">
            <v>47.33065885220693</v>
          </cell>
          <cell r="V114">
            <v>43.465186418150957</v>
          </cell>
          <cell r="X114">
            <v>46.846817844000618</v>
          </cell>
          <cell r="Y114">
            <v>40.396758027869907</v>
          </cell>
          <cell r="Z114">
            <v>35.924537959691662</v>
          </cell>
          <cell r="AA114">
            <v>32.49214265867024</v>
          </cell>
          <cell r="AC114">
            <v>62.413823139526947</v>
          </cell>
          <cell r="AD114">
            <v>29.962638795872621</v>
          </cell>
          <cell r="AE114">
            <v>45.141804470095927</v>
          </cell>
          <cell r="AF114">
            <v>71.60552644253859</v>
          </cell>
          <cell r="AH114">
            <v>22.612749349742266</v>
          </cell>
          <cell r="AI114">
            <v>51.478609100597005</v>
          </cell>
          <cell r="AJ114">
            <v>38.362650349809236</v>
          </cell>
          <cell r="AK114">
            <v>9.3264702088766693</v>
          </cell>
          <cell r="AM114">
            <v>28.759950919071954</v>
          </cell>
          <cell r="AN114">
            <v>59.733822381059355</v>
          </cell>
          <cell r="AO114">
            <v>43.193376241503302</v>
          </cell>
          <cell r="AP114">
            <v>6.477106664472343</v>
          </cell>
          <cell r="AR114">
            <v>28.614703079841529</v>
          </cell>
          <cell r="AS114">
            <v>72.871562208557748</v>
          </cell>
          <cell r="AT114">
            <v>51.49737170136406</v>
          </cell>
          <cell r="AU114">
            <v>4.4420519236360256</v>
          </cell>
          <cell r="AW114">
            <v>44.781448580038472</v>
          </cell>
          <cell r="AX114">
            <v>15.748000987559841</v>
          </cell>
          <cell r="AY114">
            <v>16.35456287809123</v>
          </cell>
          <cell r="AZ114">
            <v>40.234425813729466</v>
          </cell>
          <cell r="BB114">
            <v>19.79694926588018</v>
          </cell>
          <cell r="BC114">
            <v>42.90485106939839</v>
          </cell>
          <cell r="BD114">
            <v>40.166297154615926</v>
          </cell>
          <cell r="BE114">
            <v>36.800328847953367</v>
          </cell>
          <cell r="BG114" t="str">
            <v xml:space="preserve">-- </v>
          </cell>
          <cell r="BH114" t="str">
            <v xml:space="preserve">-- </v>
          </cell>
          <cell r="BI114" t="str">
            <v xml:space="preserve">-- </v>
          </cell>
          <cell r="BJ114" t="str">
            <v xml:space="preserve">-- </v>
          </cell>
          <cell r="BL114" t="str">
            <v xml:space="preserve"> -- </v>
          </cell>
          <cell r="BM114" t="str">
            <v xml:space="preserve"> -- </v>
          </cell>
          <cell r="BN114" t="str">
            <v xml:space="preserve"> -- </v>
          </cell>
          <cell r="BO114" t="str">
            <v xml:space="preserve"> -- </v>
          </cell>
          <cell r="BQ114" t="str">
            <v xml:space="preserve">-- </v>
          </cell>
          <cell r="BR114" t="str">
            <v xml:space="preserve">-- </v>
          </cell>
          <cell r="BS114" t="str">
            <v xml:space="preserve">-- </v>
          </cell>
          <cell r="BT114" t="str">
            <v xml:space="preserve">-- </v>
          </cell>
          <cell r="BV114">
            <v>-11.679127208069929</v>
          </cell>
          <cell r="BW114">
            <v>3.5123727927081738</v>
          </cell>
          <cell r="BX114">
            <v>92.510699829401744</v>
          </cell>
          <cell r="BY114">
            <v>66.799900570909728</v>
          </cell>
          <cell r="CA114">
            <v>42.243355625995235</v>
          </cell>
          <cell r="CB114">
            <v>56.722667128410741</v>
          </cell>
          <cell r="CC114">
            <v>45.950386995939411</v>
          </cell>
          <cell r="CD114">
            <v>94.570568510422788</v>
          </cell>
          <cell r="CF114">
            <v>106.59007726917551</v>
          </cell>
          <cell r="CH114" t="str">
            <v>--</v>
          </cell>
          <cell r="CI114" t="str">
            <v>--</v>
          </cell>
          <cell r="CJ114" t="str">
            <v>--</v>
          </cell>
          <cell r="CK114" t="str">
            <v>--</v>
          </cell>
          <cell r="CM114">
            <v>83.994885397108703</v>
          </cell>
          <cell r="CN114">
            <v>76.763920657872049</v>
          </cell>
          <cell r="CO114">
            <v>48.966875070029573</v>
          </cell>
          <cell r="CP114">
            <v>83.091685559439668</v>
          </cell>
          <cell r="CR114">
            <v>116.20896845136394</v>
          </cell>
          <cell r="CS114">
            <v>82.271603765556904</v>
          </cell>
          <cell r="CT114">
            <v>-53.637804560256711</v>
          </cell>
          <cell r="CU114">
            <v>-96.22589085865836</v>
          </cell>
          <cell r="CW114" t="str">
            <v>--</v>
          </cell>
          <cell r="CX114" t="str">
            <v>--</v>
          </cell>
          <cell r="CY114" t="str">
            <v>--</v>
          </cell>
          <cell r="CZ114" t="str">
            <v>--</v>
          </cell>
          <cell r="DB114" t="str">
            <v>NM</v>
          </cell>
          <cell r="DC114" t="str">
            <v>NM</v>
          </cell>
          <cell r="DD114" t="str">
            <v>NM</v>
          </cell>
          <cell r="DE114" t="str">
            <v>NM</v>
          </cell>
          <cell r="DF114" t="str">
            <v xml:space="preserve"> </v>
          </cell>
          <cell r="DG114" t="str">
            <v>NM</v>
          </cell>
          <cell r="DH114" t="str">
            <v>NM</v>
          </cell>
          <cell r="DI114" t="str">
            <v>NM</v>
          </cell>
          <cell r="DJ114" t="str">
            <v>NM</v>
          </cell>
          <cell r="DL114" t="str">
            <v>NM</v>
          </cell>
          <cell r="DM114" t="str">
            <v>NM</v>
          </cell>
          <cell r="DN114">
            <v>96.25265160516075</v>
          </cell>
          <cell r="DO114">
            <v>45.241874770102086</v>
          </cell>
          <cell r="DQ114" t="str">
            <v xml:space="preserve"> -- </v>
          </cell>
          <cell r="DR114" t="str">
            <v>NM</v>
          </cell>
          <cell r="DS114" t="str">
            <v>NM</v>
          </cell>
          <cell r="DT114">
            <v>54.786754902064395</v>
          </cell>
          <cell r="DU114">
            <v>59.108143311265415</v>
          </cell>
          <cell r="DV114">
            <v>49.693286754731702</v>
          </cell>
          <cell r="DW114">
            <v>38.300290739884524</v>
          </cell>
          <cell r="DX114" t="str">
            <v xml:space="preserve"> -- </v>
          </cell>
          <cell r="DY114">
            <v>40.312324029296718</v>
          </cell>
          <cell r="DZ114">
            <v>28.061031220745882</v>
          </cell>
          <cell r="EA114">
            <v>31.387622659211289</v>
          </cell>
          <cell r="EB114">
            <v>37.797189081956752</v>
          </cell>
          <cell r="EC114">
            <v>37.999362172273223</v>
          </cell>
          <cell r="EE114">
            <v>28.126564181140168</v>
          </cell>
          <cell r="EF114">
            <v>34.983288633043315</v>
          </cell>
          <cell r="EH114" t="str">
            <v xml:space="preserve"> -- </v>
          </cell>
          <cell r="EI114">
            <v>31.667568372365395</v>
          </cell>
          <cell r="EK114" t="str">
            <v xml:space="preserve"> -- </v>
          </cell>
          <cell r="EL114">
            <v>47.887379858393416</v>
          </cell>
          <cell r="EM114">
            <v>24.776671271377325</v>
          </cell>
          <cell r="EN114">
            <v>65.329571262414603</v>
          </cell>
          <cell r="EP114" t="str">
            <v xml:space="preserve"> -- </v>
          </cell>
          <cell r="EQ114">
            <v>27.182920980028769</v>
          </cell>
          <cell r="ER114">
            <v>71.891948622222117</v>
          </cell>
          <cell r="ES114">
            <v>-1.6762533590590656</v>
          </cell>
          <cell r="ET114" t="str">
            <v>--</v>
          </cell>
          <cell r="EU114">
            <v>-98.095270687672638</v>
          </cell>
          <cell r="EV114">
            <v>759.62878195667963</v>
          </cell>
          <cell r="EW114">
            <v>128.29458556624166</v>
          </cell>
          <cell r="EY114" t="str">
            <v>--</v>
          </cell>
          <cell r="EZ114">
            <v>83.050156566512157</v>
          </cell>
          <cell r="FA114">
            <v>-56.163763763242244</v>
          </cell>
          <cell r="FC114">
            <v>-95.080282790122482</v>
          </cell>
        </row>
        <row r="115">
          <cell r="A115" t="str">
            <v>EBG (Yr-Yr)</v>
          </cell>
          <cell r="B115" t="str">
            <v>yyebgpsg</v>
          </cell>
          <cell r="D115" t="str">
            <v>--</v>
          </cell>
          <cell r="E115" t="str">
            <v>--</v>
          </cell>
          <cell r="F115" t="str">
            <v>--</v>
          </cell>
          <cell r="G115" t="str">
            <v>--</v>
          </cell>
          <cell r="I115">
            <v>74.086636565583007</v>
          </cell>
          <cell r="J115">
            <v>37.199289943563471</v>
          </cell>
          <cell r="K115">
            <v>26.945419864849196</v>
          </cell>
          <cell r="L115">
            <v>48.35560433280213</v>
          </cell>
          <cell r="N115">
            <v>11.137009453347124</v>
          </cell>
          <cell r="O115">
            <v>42.05581035542145</v>
          </cell>
          <cell r="P115">
            <v>55.910671839180125</v>
          </cell>
          <cell r="Q115">
            <v>60.552409303462262</v>
          </cell>
          <cell r="S115">
            <v>41.478465533127839</v>
          </cell>
          <cell r="T115">
            <v>41.567997769772091</v>
          </cell>
          <cell r="U115">
            <v>36.071456603617278</v>
          </cell>
          <cell r="V115">
            <v>31.700801111141796</v>
          </cell>
          <cell r="X115">
            <v>54.98009715018091</v>
          </cell>
          <cell r="Y115">
            <v>44.289757335915404</v>
          </cell>
          <cell r="Z115">
            <v>39.073647938057768</v>
          </cell>
          <cell r="AA115">
            <v>35.091733558988693</v>
          </cell>
          <cell r="AC115">
            <v>73.481484942252791</v>
          </cell>
          <cell r="AD115">
            <v>34.150069857574429</v>
          </cell>
          <cell r="AE115">
            <v>49.851593888183011</v>
          </cell>
          <cell r="AF115">
            <v>76.235697127517298</v>
          </cell>
          <cell r="AH115">
            <v>23.092899615761354</v>
          </cell>
          <cell r="AI115">
            <v>54.460053231479996</v>
          </cell>
          <cell r="AJ115">
            <v>40.875014952494013</v>
          </cell>
          <cell r="AK115">
            <v>8.3979732091749248</v>
          </cell>
          <cell r="AM115">
            <v>30.292538322797213</v>
          </cell>
          <cell r="AN115">
            <v>63.000295128237617</v>
          </cell>
          <cell r="AO115">
            <v>45.72673770473412</v>
          </cell>
          <cell r="AP115">
            <v>7.9918217977720918</v>
          </cell>
          <cell r="AR115">
            <v>30.416463671551487</v>
          </cell>
          <cell r="AS115">
            <v>77.004213212714816</v>
          </cell>
          <cell r="AT115">
            <v>54.519395751450617</v>
          </cell>
          <cell r="AU115">
            <v>6.041002815825669</v>
          </cell>
          <cell r="AW115">
            <v>51.457973256647492</v>
          </cell>
          <cell r="AX115">
            <v>20.363284842837849</v>
          </cell>
          <cell r="AY115">
            <v>20.321280120216922</v>
          </cell>
          <cell r="AZ115">
            <v>45.216434188201674</v>
          </cell>
          <cell r="BB115">
            <v>20.887719371104119</v>
          </cell>
          <cell r="BC115">
            <v>43.772247647866514</v>
          </cell>
          <cell r="BD115">
            <v>40.822875490605284</v>
          </cell>
          <cell r="BE115">
            <v>37.429050692837592</v>
          </cell>
          <cell r="BG115" t="str">
            <v xml:space="preserve">-- </v>
          </cell>
          <cell r="BH115" t="str">
            <v xml:space="preserve">-- </v>
          </cell>
          <cell r="BI115" t="str">
            <v xml:space="preserve">-- </v>
          </cell>
          <cell r="BJ115" t="str">
            <v xml:space="preserve">-- </v>
          </cell>
          <cell r="BL115" t="str">
            <v xml:space="preserve"> -- </v>
          </cell>
          <cell r="BM115" t="str">
            <v xml:space="preserve"> -- </v>
          </cell>
          <cell r="BN115" t="str">
            <v xml:space="preserve"> -- </v>
          </cell>
          <cell r="BO115" t="str">
            <v xml:space="preserve"> -- </v>
          </cell>
          <cell r="BQ115" t="str">
            <v xml:space="preserve">-- </v>
          </cell>
          <cell r="BR115" t="str">
            <v xml:space="preserve">-- </v>
          </cell>
          <cell r="BS115" t="str">
            <v xml:space="preserve">-- </v>
          </cell>
          <cell r="BT115" t="str">
            <v xml:space="preserve">-- </v>
          </cell>
          <cell r="BV115">
            <v>-7.8309344670927867</v>
          </cell>
          <cell r="BW115">
            <v>4.5492326221472812</v>
          </cell>
          <cell r="BX115">
            <v>80.29802177315706</v>
          </cell>
          <cell r="BY115">
            <v>59.264234775644596</v>
          </cell>
          <cell r="CA115">
            <v>40.830764970062752</v>
          </cell>
          <cell r="CB115">
            <v>54.079783812101809</v>
          </cell>
          <cell r="CC115">
            <v>43.15058007137138</v>
          </cell>
          <cell r="CD115">
            <v>91.615433151130034</v>
          </cell>
          <cell r="CF115">
            <v>99.636104746931011</v>
          </cell>
          <cell r="CH115" t="str">
            <v>--</v>
          </cell>
          <cell r="CI115" t="str">
            <v>--</v>
          </cell>
          <cell r="CJ115" t="str">
            <v>--</v>
          </cell>
          <cell r="CK115" t="str">
            <v>--</v>
          </cell>
          <cell r="CM115">
            <v>79.243027373211874</v>
          </cell>
          <cell r="CN115">
            <v>72.43747225837987</v>
          </cell>
          <cell r="CO115">
            <v>56.328913061376419</v>
          </cell>
          <cell r="CP115">
            <v>90.863679022124984</v>
          </cell>
          <cell r="CR115">
            <v>117.60962186463763</v>
          </cell>
          <cell r="CS115">
            <v>85.582031667827991</v>
          </cell>
          <cell r="CT115">
            <v>-43.21320368993721</v>
          </cell>
          <cell r="CU115">
            <v>-88.22622696456402</v>
          </cell>
          <cell r="CW115" t="str">
            <v>--</v>
          </cell>
          <cell r="CX115" t="str">
            <v>--</v>
          </cell>
          <cell r="CY115" t="str">
            <v>--</v>
          </cell>
          <cell r="CZ115" t="str">
            <v>--</v>
          </cell>
          <cell r="DB115" t="str">
            <v>NM</v>
          </cell>
          <cell r="DC115" t="str">
            <v>NM</v>
          </cell>
          <cell r="DD115" t="str">
            <v>NM</v>
          </cell>
          <cell r="DE115" t="str">
            <v>NM</v>
          </cell>
          <cell r="DF115" t="str">
            <v xml:space="preserve"> </v>
          </cell>
          <cell r="DG115" t="str">
            <v>NM</v>
          </cell>
          <cell r="DH115" t="str">
            <v>NM</v>
          </cell>
          <cell r="DI115" t="str">
            <v>NM</v>
          </cell>
          <cell r="DJ115" t="str">
            <v>NM</v>
          </cell>
          <cell r="DL115">
            <v>195.7032730903922</v>
          </cell>
          <cell r="DM115">
            <v>164.07144140928662</v>
          </cell>
          <cell r="DN115">
            <v>74.163050674298361</v>
          </cell>
          <cell r="DO115">
            <v>37.673004559976775</v>
          </cell>
          <cell r="DQ115" t="str">
            <v xml:space="preserve"> -- </v>
          </cell>
          <cell r="DR115" t="str">
            <v>NM</v>
          </cell>
          <cell r="DS115" t="str">
            <v>NM</v>
          </cell>
          <cell r="DT115">
            <v>13.448325769501967</v>
          </cell>
          <cell r="DU115">
            <v>36.798223229218905</v>
          </cell>
          <cell r="DV115">
            <v>21.342221536322413</v>
          </cell>
          <cell r="DW115">
            <v>37.922074347757338</v>
          </cell>
          <cell r="DX115" t="str">
            <v xml:space="preserve"> -- </v>
          </cell>
          <cell r="DY115">
            <v>29.976032545934995</v>
          </cell>
          <cell r="DZ115">
            <v>33.836896501017932</v>
          </cell>
          <cell r="EA115">
            <v>37.286311709821859</v>
          </cell>
          <cell r="EB115">
            <v>35.080553810323202</v>
          </cell>
          <cell r="EC115">
            <v>36.091556866423133</v>
          </cell>
          <cell r="EE115">
            <v>29.843755663170501</v>
          </cell>
          <cell r="EF115">
            <v>35.509006922922957</v>
          </cell>
          <cell r="EH115" t="str">
            <v xml:space="preserve"> -- </v>
          </cell>
          <cell r="EI115">
            <v>29.860890185855737</v>
          </cell>
          <cell r="EK115" t="str">
            <v xml:space="preserve"> -- </v>
          </cell>
          <cell r="EL115">
            <v>44.269875905110311</v>
          </cell>
          <cell r="EM115">
            <v>23.252182017023081</v>
          </cell>
          <cell r="EN115">
            <v>62.774417375306292</v>
          </cell>
          <cell r="EP115" t="str">
            <v xml:space="preserve"> -- </v>
          </cell>
          <cell r="EQ115">
            <v>22.491229724300908</v>
          </cell>
          <cell r="ER115">
            <v>74.781762546733546</v>
          </cell>
          <cell r="ES115">
            <v>-0.18429486021387387</v>
          </cell>
          <cell r="ET115" t="str">
            <v>--</v>
          </cell>
          <cell r="EU115">
            <v>-93.627446820535596</v>
          </cell>
          <cell r="EV115">
            <v>220.07793074527376</v>
          </cell>
          <cell r="EW115">
            <v>95.816979306578574</v>
          </cell>
          <cell r="EY115" t="str">
            <v>--</v>
          </cell>
          <cell r="EZ115">
            <v>87.112008778927176</v>
          </cell>
          <cell r="FA115">
            <v>-50.401150377387694</v>
          </cell>
          <cell r="FC115">
            <v>-88.58269909782075</v>
          </cell>
        </row>
        <row r="117">
          <cell r="A117" t="str">
            <v>% of Revenues</v>
          </cell>
        </row>
        <row r="118">
          <cell r="A118" t="str">
            <v>Gross Margin</v>
          </cell>
          <cell r="B118" t="str">
            <v>gm</v>
          </cell>
          <cell r="D118">
            <v>20.751754256833028</v>
          </cell>
          <cell r="E118">
            <v>22.982036489845701</v>
          </cell>
          <cell r="F118">
            <v>25.530371713508604</v>
          </cell>
          <cell r="G118">
            <v>24.803754956704701</v>
          </cell>
          <cell r="I118">
            <v>24.502531916411105</v>
          </cell>
          <cell r="J118">
            <v>24.063116370808679</v>
          </cell>
          <cell r="K118">
            <v>24.212748287078689</v>
          </cell>
          <cell r="L118">
            <v>24.330033003300329</v>
          </cell>
          <cell r="N118">
            <v>23.048145270367502</v>
          </cell>
          <cell r="O118">
            <v>23.004193671368657</v>
          </cell>
          <cell r="P118">
            <v>23.079683329969271</v>
          </cell>
          <cell r="Q118">
            <v>24.007249623263963</v>
          </cell>
          <cell r="R118" t="str">
            <v xml:space="preserve"> </v>
          </cell>
          <cell r="S118">
            <v>24.201648456967614</v>
          </cell>
          <cell r="T118">
            <v>24.01062921135048</v>
          </cell>
          <cell r="U118">
            <v>23.916158579416145</v>
          </cell>
          <cell r="V118">
            <v>23.840156938676717</v>
          </cell>
          <cell r="W118" t="str">
            <v xml:space="preserve"> </v>
          </cell>
          <cell r="X118">
            <v>23.701444839537281</v>
          </cell>
          <cell r="Y118">
            <v>23.479834539813854</v>
          </cell>
          <cell r="Z118">
            <v>23.312714646225078</v>
          </cell>
          <cell r="AA118">
            <v>23.129781683853011</v>
          </cell>
          <cell r="AB118" t="str">
            <v xml:space="preserve"> </v>
          </cell>
          <cell r="AC118">
            <v>22.249828239091194</v>
          </cell>
          <cell r="AD118">
            <v>20.950060901339828</v>
          </cell>
          <cell r="AE118">
            <v>21.90042477263346</v>
          </cell>
          <cell r="AF118">
            <v>20.533899571585145</v>
          </cell>
          <cell r="AH118">
            <v>21.794767043561876</v>
          </cell>
          <cell r="AI118">
            <v>21.857028336412103</v>
          </cell>
          <cell r="AJ118">
            <v>22.030648425730075</v>
          </cell>
          <cell r="AK118">
            <v>22.109388276369931</v>
          </cell>
          <cell r="AM118">
            <v>21.375311490987368</v>
          </cell>
          <cell r="AN118">
            <v>21.345761829072259</v>
          </cell>
          <cell r="AO118">
            <v>21.463567561484382</v>
          </cell>
          <cell r="AP118">
            <v>21.04632019674397</v>
          </cell>
          <cell r="AR118">
            <v>20.859106996388292</v>
          </cell>
          <cell r="AS118">
            <v>21.245734496815921</v>
          </cell>
          <cell r="AT118">
            <v>21.277048916922329</v>
          </cell>
          <cell r="AU118">
            <v>20.454450269753693</v>
          </cell>
          <cell r="AW118">
            <v>21.694316107326529</v>
          </cell>
          <cell r="AX118">
            <v>21.916127196414593</v>
          </cell>
          <cell r="AY118">
            <v>21.44583451805515</v>
          </cell>
          <cell r="AZ118">
            <v>20.619952664419415</v>
          </cell>
          <cell r="BB118">
            <v>16.960092237075393</v>
          </cell>
          <cell r="BC118">
            <v>15.732417091652987</v>
          </cell>
          <cell r="BD118">
            <v>16.14</v>
          </cell>
          <cell r="BE118">
            <v>16.34</v>
          </cell>
          <cell r="BG118">
            <v>18.043100091381746</v>
          </cell>
          <cell r="BH118">
            <v>18.66386733561712</v>
          </cell>
          <cell r="BI118">
            <v>19.14319428748659</v>
          </cell>
          <cell r="BJ118">
            <v>19.161486255041773</v>
          </cell>
          <cell r="BL118">
            <v>16.389265490542059</v>
          </cell>
          <cell r="BM118">
            <v>16.36367413425031</v>
          </cell>
          <cell r="BN118">
            <v>16.400000000000002</v>
          </cell>
          <cell r="BO118">
            <v>16.5</v>
          </cell>
          <cell r="BQ118">
            <v>19.81945805290971</v>
          </cell>
          <cell r="BR118">
            <v>18.469389867704603</v>
          </cell>
          <cell r="BS118">
            <v>15.345575251358397</v>
          </cell>
          <cell r="BT118">
            <v>16.257199054207227</v>
          </cell>
          <cell r="BV118">
            <v>16.94961894383113</v>
          </cell>
          <cell r="BW118">
            <v>17.526846458557809</v>
          </cell>
          <cell r="BX118">
            <v>18.210551385824527</v>
          </cell>
          <cell r="BY118">
            <v>18.105646630236798</v>
          </cell>
          <cell r="CA118">
            <v>15.667388153217038</v>
          </cell>
          <cell r="CB118">
            <v>15.619933573037093</v>
          </cell>
          <cell r="CC118">
            <v>16.480384397061048</v>
          </cell>
          <cell r="CD118">
            <v>17.609960541801406</v>
          </cell>
          <cell r="CF118">
            <v>17.689807479161619</v>
          </cell>
          <cell r="CH118">
            <v>15.91702727473114</v>
          </cell>
          <cell r="CI118">
            <v>16.702908767083567</v>
          </cell>
          <cell r="CJ118">
            <v>17.37308727319115</v>
          </cell>
          <cell r="CK118">
            <v>17.333021428415083</v>
          </cell>
          <cell r="CM118">
            <v>15.541675872240567</v>
          </cell>
          <cell r="CN118">
            <v>15.462831546736561</v>
          </cell>
          <cell r="CO118">
            <v>16.248474012642454</v>
          </cell>
          <cell r="CP118">
            <v>17.623081215938786</v>
          </cell>
          <cell r="CR118">
            <v>17.696764409105988</v>
          </cell>
          <cell r="CS118">
            <v>20.35003500853805</v>
          </cell>
          <cell r="CT118">
            <v>12.409316483861744</v>
          </cell>
          <cell r="CU118">
            <v>8.0557714940148539</v>
          </cell>
          <cell r="CW118">
            <v>10.265879022635758</v>
          </cell>
          <cell r="CX118">
            <v>11.428571428571423</v>
          </cell>
          <cell r="CY118">
            <v>7.8033427163969105</v>
          </cell>
          <cell r="CZ118">
            <v>5.4583839643275933</v>
          </cell>
          <cell r="DB118">
            <v>4.5435447279080474</v>
          </cell>
          <cell r="DC118">
            <v>4.1547900023265942</v>
          </cell>
          <cell r="DD118">
            <v>4.1765324763736311</v>
          </cell>
          <cell r="DE118">
            <v>4.3</v>
          </cell>
          <cell r="DG118">
            <v>4.5999999999999996</v>
          </cell>
          <cell r="DH118">
            <v>4.8</v>
          </cell>
          <cell r="DI118">
            <v>5.3</v>
          </cell>
          <cell r="DJ118">
            <v>5.7</v>
          </cell>
          <cell r="DL118">
            <v>6</v>
          </cell>
          <cell r="DM118">
            <v>5.8999999999999995</v>
          </cell>
          <cell r="DN118">
            <v>6</v>
          </cell>
          <cell r="DO118">
            <v>6.1</v>
          </cell>
          <cell r="DQ118">
            <v>18.893852660902649</v>
          </cell>
          <cell r="DR118">
            <v>15.621543566424979</v>
          </cell>
          <cell r="DS118">
            <v>23.622759228699962</v>
          </cell>
          <cell r="DT118">
            <v>24.277958740499457</v>
          </cell>
          <cell r="DU118">
            <v>23.326916543992745</v>
          </cell>
          <cell r="DV118">
            <v>23.972370188172455</v>
          </cell>
          <cell r="DW118">
            <v>23.386276813124983</v>
          </cell>
          <cell r="DX118">
            <v>22.132393834410777</v>
          </cell>
          <cell r="DY118">
            <v>21.368827298622122</v>
          </cell>
          <cell r="DZ118">
            <v>21.95850707394742</v>
          </cell>
          <cell r="EA118">
            <v>21.30434688478309</v>
          </cell>
          <cell r="EB118">
            <v>20.22503810406144</v>
          </cell>
          <cell r="EC118">
            <v>20.958620557540126</v>
          </cell>
          <cell r="EE118">
            <v>21.3740508288166</v>
          </cell>
          <cell r="EF118">
            <v>16.263370493263114</v>
          </cell>
          <cell r="EH118">
            <v>18.250091233392901</v>
          </cell>
          <cell r="EI118">
            <v>18.778990013411047</v>
          </cell>
          <cell r="EK118">
            <v>20.383619503667887</v>
          </cell>
          <cell r="EL118">
            <v>17.372649570888619</v>
          </cell>
          <cell r="EM118">
            <v>17.727820122365117</v>
          </cell>
          <cell r="EN118">
            <v>16.496440421836919</v>
          </cell>
          <cell r="EP118">
            <v>16.685847601600244</v>
          </cell>
          <cell r="EQ118">
            <v>16.866126480494</v>
          </cell>
          <cell r="ER118">
            <v>16.376440104531579</v>
          </cell>
          <cell r="ES118">
            <v>16.034837278690333</v>
          </cell>
          <cell r="ET118" t="str">
            <v>--</v>
          </cell>
          <cell r="EU118">
            <v>4.2913728172406351</v>
          </cell>
          <cell r="EV118">
            <v>5.0999621585021044</v>
          </cell>
          <cell r="EW118">
            <v>6.0015524270511325</v>
          </cell>
          <cell r="EY118">
            <v>16.678227141613014</v>
          </cell>
          <cell r="EZ118">
            <v>16.920793776873126</v>
          </cell>
          <cell r="FA118">
            <v>9.9802922947777386</v>
          </cell>
          <cell r="FC118">
            <v>4.3128908681163187</v>
          </cell>
        </row>
        <row r="119">
          <cell r="A119" t="str">
            <v>SG&amp;A Expense</v>
          </cell>
          <cell r="B119" t="str">
            <v>sgapct</v>
          </cell>
          <cell r="D119">
            <v>8.0867559742872555</v>
          </cell>
          <cell r="E119">
            <v>9.3710426340227944</v>
          </cell>
          <cell r="F119">
            <v>9.2611060743427025</v>
          </cell>
          <cell r="G119">
            <v>8.6631059318604855</v>
          </cell>
          <cell r="I119">
            <v>7.8952999072819345</v>
          </cell>
          <cell r="J119">
            <v>8.2051282051282044</v>
          </cell>
          <cell r="K119">
            <v>8.1112879784068106</v>
          </cell>
          <cell r="L119">
            <v>7.9009900990099009</v>
          </cell>
          <cell r="N119">
            <v>7.5973409306742639</v>
          </cell>
          <cell r="O119">
            <v>7.1978650400304991</v>
          </cell>
          <cell r="P119">
            <v>6.9299603041108799</v>
          </cell>
          <cell r="Q119">
            <v>6.5674255691768826</v>
          </cell>
          <cell r="S119">
            <v>6.4884032969139342</v>
          </cell>
          <cell r="T119">
            <v>6.312675967226598</v>
          </cell>
          <cell r="U119">
            <v>6.2684386502205607</v>
          </cell>
          <cell r="V119">
            <v>6.0571705179485873</v>
          </cell>
          <cell r="X119">
            <v>6.0775532250078772</v>
          </cell>
          <cell r="Y119">
            <v>5.9927611168562569</v>
          </cell>
          <cell r="Z119">
            <v>5.9294537312866433</v>
          </cell>
          <cell r="AA119">
            <v>5.864073250582118</v>
          </cell>
          <cell r="AC119">
            <v>7.1268793838976139</v>
          </cell>
          <cell r="AD119">
            <v>7.2902266426548499</v>
          </cell>
          <cell r="AE119">
            <v>7.4861183238125673</v>
          </cell>
          <cell r="AF119">
            <v>6.5937282056391346</v>
          </cell>
          <cell r="AH119">
            <v>6.2819360556103749</v>
          </cell>
          <cell r="AI119">
            <v>6.133746935740592</v>
          </cell>
          <cell r="AJ119">
            <v>5.9785227681990873</v>
          </cell>
          <cell r="AK119">
            <v>5.9246404276246345</v>
          </cell>
          <cell r="AM119">
            <v>6.9638234124867902</v>
          </cell>
          <cell r="AN119">
            <v>6.6866025485600362</v>
          </cell>
          <cell r="AO119">
            <v>6.4758061598935699</v>
          </cell>
          <cell r="AP119">
            <v>6.5254771244486909</v>
          </cell>
          <cell r="AR119">
            <v>7.0503147219163367</v>
          </cell>
          <cell r="AS119">
            <v>6.7367966590005244</v>
          </cell>
          <cell r="AT119">
            <v>6.5739470960364992</v>
          </cell>
          <cell r="AU119">
            <v>6.7718268245972739</v>
          </cell>
          <cell r="AW119">
            <v>6.431171583803029</v>
          </cell>
          <cell r="AX119">
            <v>6.1563633776766027</v>
          </cell>
          <cell r="AY119">
            <v>5.7913510998526636</v>
          </cell>
          <cell r="AZ119">
            <v>5.589901742810012</v>
          </cell>
          <cell r="BB119">
            <v>4.5481144696912015</v>
          </cell>
          <cell r="BC119">
            <v>3.8652145100412016</v>
          </cell>
          <cell r="BD119">
            <v>3.9316239316239314</v>
          </cell>
          <cell r="BE119">
            <v>3.8360655737704921</v>
          </cell>
          <cell r="BG119">
            <v>6.9735814794449773</v>
          </cell>
          <cell r="BH119">
            <v>6.9798978642648208</v>
          </cell>
          <cell r="BI119">
            <v>6.768458541141575</v>
          </cell>
          <cell r="BJ119">
            <v>6.5782076895719257</v>
          </cell>
          <cell r="BL119">
            <v>5.8934948602095378</v>
          </cell>
          <cell r="BM119">
            <v>5.1417692222152978</v>
          </cell>
          <cell r="BN119">
            <v>4.7826086956521738</v>
          </cell>
          <cell r="BO119">
            <v>4.666666666666667</v>
          </cell>
          <cell r="BQ119">
            <v>7.4281951082953377</v>
          </cell>
          <cell r="BR119">
            <v>7.4578166083517941</v>
          </cell>
          <cell r="BS119">
            <v>7.2692728124511996</v>
          </cell>
          <cell r="BT119">
            <v>6.9638484667185319</v>
          </cell>
          <cell r="BV119">
            <v>6.6199169731274292</v>
          </cell>
          <cell r="BW119">
            <v>6.6053826520431773</v>
          </cell>
          <cell r="BX119">
            <v>6.3815077850293251</v>
          </cell>
          <cell r="BY119">
            <v>6.1632720649114097</v>
          </cell>
          <cell r="CA119">
            <v>5.5811109321580039</v>
          </cell>
          <cell r="CB119">
            <v>4.8996454715069007</v>
          </cell>
          <cell r="CC119">
            <v>5.2472837166910518</v>
          </cell>
          <cell r="CD119">
            <v>5.051812962320918</v>
          </cell>
          <cell r="CF119">
            <v>4.9571220914551306</v>
          </cell>
          <cell r="CH119">
            <v>6.872960444430448</v>
          </cell>
          <cell r="CI119">
            <v>6.9247104216350222</v>
          </cell>
          <cell r="CJ119">
            <v>6.4019778764556152</v>
          </cell>
          <cell r="CK119">
            <v>6.1138835992733167</v>
          </cell>
          <cell r="CM119">
            <v>5.5646649270619983</v>
          </cell>
          <cell r="CN119">
            <v>5.0312223864827423</v>
          </cell>
          <cell r="CO119">
            <v>4.9014805990156338</v>
          </cell>
          <cell r="CP119">
            <v>5.2330042195512458</v>
          </cell>
          <cell r="CR119">
            <v>5.1299466669718248</v>
          </cell>
          <cell r="CS119">
            <v>4.8045650461995173</v>
          </cell>
          <cell r="CT119">
            <v>5.4170604762799996</v>
          </cell>
          <cell r="CU119">
            <v>6.4865323760647335</v>
          </cell>
          <cell r="CW119">
            <v>2.9188582766779918</v>
          </cell>
          <cell r="CX119">
            <v>2.9543073550428902</v>
          </cell>
          <cell r="CY119">
            <v>2.8768824771287824</v>
          </cell>
          <cell r="CZ119">
            <v>3.2431027377719546</v>
          </cell>
          <cell r="DB119">
            <v>2.9584906162219942</v>
          </cell>
          <cell r="DC119">
            <v>3.508857057423957</v>
          </cell>
          <cell r="DD119">
            <v>3.0030264063697407</v>
          </cell>
          <cell r="DE119">
            <v>3.1</v>
          </cell>
          <cell r="DG119">
            <v>3</v>
          </cell>
          <cell r="DH119">
            <v>3.2</v>
          </cell>
          <cell r="DI119">
            <v>3.1</v>
          </cell>
          <cell r="DJ119">
            <v>3</v>
          </cell>
          <cell r="DL119">
            <v>3</v>
          </cell>
          <cell r="DM119">
            <v>3.1000000000000005</v>
          </cell>
          <cell r="DN119">
            <v>3</v>
          </cell>
          <cell r="DO119">
            <v>3</v>
          </cell>
          <cell r="DQ119">
            <v>10.314076540232033</v>
          </cell>
          <cell r="DR119">
            <v>10.542890500184342</v>
          </cell>
          <cell r="DS119">
            <v>8.8500576440536207</v>
          </cell>
          <cell r="DT119">
            <v>8.0260586319218241</v>
          </cell>
          <cell r="DU119">
            <v>7.0248943613705306</v>
          </cell>
          <cell r="DV119">
            <v>6.2597141951742135</v>
          </cell>
          <cell r="DW119">
            <v>5.9586093205531911</v>
          </cell>
          <cell r="DX119">
            <v>7.577643871402258</v>
          </cell>
          <cell r="DY119">
            <v>7.1096743168938561</v>
          </cell>
          <cell r="DZ119">
            <v>6.0678318416897206</v>
          </cell>
          <cell r="EA119">
            <v>6.6488198591018701</v>
          </cell>
          <cell r="EB119">
            <v>7.9515455804269646</v>
          </cell>
          <cell r="EC119">
            <v>6.771887265948191</v>
          </cell>
          <cell r="EE119">
            <v>5.963149437247683</v>
          </cell>
          <cell r="EF119">
            <v>4.0167927829766272</v>
          </cell>
          <cell r="EH119">
            <v>7.6532569633233498</v>
          </cell>
          <cell r="EI119">
            <v>6.8144287405967061</v>
          </cell>
          <cell r="EK119">
            <v>8.2021340796723958</v>
          </cell>
          <cell r="EL119">
            <v>7.2695515835039082</v>
          </cell>
          <cell r="EM119">
            <v>6.4294942779460023</v>
          </cell>
          <cell r="EN119">
            <v>5.171109524361003</v>
          </cell>
          <cell r="EP119">
            <v>7.1464525401959174</v>
          </cell>
          <cell r="EQ119">
            <v>6.5552713943259855</v>
          </cell>
          <cell r="ER119">
            <v>5.1684295400299414</v>
          </cell>
          <cell r="ES119">
            <v>5.2903665669474069</v>
          </cell>
          <cell r="ET119" t="str">
            <v>--</v>
          </cell>
          <cell r="EU119">
            <v>3.138687900972259</v>
          </cell>
          <cell r="EV119">
            <v>3.0734118343128944</v>
          </cell>
          <cell r="EW119">
            <v>3.024142246775416</v>
          </cell>
          <cell r="EY119">
            <v>6.1975355869953761</v>
          </cell>
          <cell r="EZ119">
            <v>5.0888442290843363</v>
          </cell>
          <cell r="FA119">
            <v>4.2103610586680125</v>
          </cell>
          <cell r="FC119">
            <v>3.1444845402090618</v>
          </cell>
        </row>
        <row r="120">
          <cell r="A120" t="str">
            <v>EBITA Margin</v>
          </cell>
          <cell r="B120" t="str">
            <v>ebitapct</v>
          </cell>
          <cell r="D120">
            <v>12.664998282545772</v>
          </cell>
          <cell r="E120">
            <v>13.610993855822906</v>
          </cell>
          <cell r="F120">
            <v>16.269265639165901</v>
          </cell>
          <cell r="G120">
            <v>16.140649024844215</v>
          </cell>
          <cell r="I120">
            <v>16.60723200912917</v>
          </cell>
          <cell r="J120">
            <v>15.857988165680476</v>
          </cell>
          <cell r="K120">
            <v>16.101460308671882</v>
          </cell>
          <cell r="L120">
            <v>16.429042904290426</v>
          </cell>
          <cell r="N120">
            <v>15.450804339693235</v>
          </cell>
          <cell r="O120">
            <v>15.806328631338159</v>
          </cell>
          <cell r="P120">
            <v>16.149723025858389</v>
          </cell>
          <cell r="Q120">
            <v>17.439824054087083</v>
          </cell>
          <cell r="S120">
            <v>17.713245160053678</v>
          </cell>
          <cell r="T120">
            <v>17.69795324412388</v>
          </cell>
          <cell r="U120">
            <v>17.647719929195585</v>
          </cell>
          <cell r="V120">
            <v>17.782986420728129</v>
          </cell>
          <cell r="X120">
            <v>17.623891614529398</v>
          </cell>
          <cell r="Y120">
            <v>17.487073422957597</v>
          </cell>
          <cell r="Z120">
            <v>17.383260914938433</v>
          </cell>
          <cell r="AA120">
            <v>17.265708433270891</v>
          </cell>
          <cell r="AC120">
            <v>15.122948855193583</v>
          </cell>
          <cell r="AD120">
            <v>13.659834258684977</v>
          </cell>
          <cell r="AE120">
            <v>14.414306448820897</v>
          </cell>
          <cell r="AF120">
            <v>13.940171365946011</v>
          </cell>
          <cell r="AH120">
            <v>15.512830987951501</v>
          </cell>
          <cell r="AI120">
            <v>15.723281400671512</v>
          </cell>
          <cell r="AJ120">
            <v>16.052125657530986</v>
          </cell>
          <cell r="AK120">
            <v>16.184747848745296</v>
          </cell>
          <cell r="AM120">
            <v>14.411488078500579</v>
          </cell>
          <cell r="AN120">
            <v>14.659159280512224</v>
          </cell>
          <cell r="AO120">
            <v>14.987761401590813</v>
          </cell>
          <cell r="AP120">
            <v>14.520843072295284</v>
          </cell>
          <cell r="AR120">
            <v>13.808792274471953</v>
          </cell>
          <cell r="AS120">
            <v>14.508937837815401</v>
          </cell>
          <cell r="AT120">
            <v>14.703101820885831</v>
          </cell>
          <cell r="AU120">
            <v>13.682623445156421</v>
          </cell>
          <cell r="AW120">
            <v>15.263144523523497</v>
          </cell>
          <cell r="AX120">
            <v>15.759763818737992</v>
          </cell>
          <cell r="AY120">
            <v>15.654483418202487</v>
          </cell>
          <cell r="AZ120">
            <v>15.030050921609403</v>
          </cell>
          <cell r="BB120">
            <v>12.411977767384192</v>
          </cell>
          <cell r="BC120">
            <v>11.867202581611783</v>
          </cell>
          <cell r="BD120">
            <v>12.208376068376067</v>
          </cell>
          <cell r="BE120">
            <v>12.503934426229508</v>
          </cell>
          <cell r="BG120">
            <v>11.06951861193677</v>
          </cell>
          <cell r="BH120">
            <v>11.683969471352301</v>
          </cell>
          <cell r="BI120">
            <v>12.374735746345012</v>
          </cell>
          <cell r="BJ120">
            <v>12.583278565469849</v>
          </cell>
          <cell r="BL120">
            <v>10.495770630332519</v>
          </cell>
          <cell r="BM120">
            <v>11.221904912035013</v>
          </cell>
          <cell r="BN120">
            <v>11.617391304347825</v>
          </cell>
          <cell r="BO120">
            <v>11.833333333333334</v>
          </cell>
          <cell r="BQ120">
            <v>12.391262944614374</v>
          </cell>
          <cell r="BR120">
            <v>11.01157325935281</v>
          </cell>
          <cell r="BS120">
            <v>8.0763024389071969</v>
          </cell>
          <cell r="BT120">
            <v>9.2933505874886961</v>
          </cell>
          <cell r="BV120">
            <v>10.329701970703699</v>
          </cell>
          <cell r="BW120">
            <v>10.921463806514632</v>
          </cell>
          <cell r="BX120">
            <v>11.829043600795201</v>
          </cell>
          <cell r="BY120">
            <v>11.942374565325386</v>
          </cell>
          <cell r="CA120">
            <v>10.086277221059031</v>
          </cell>
          <cell r="CB120">
            <v>10.720288101530192</v>
          </cell>
          <cell r="CC120">
            <v>11.233100680369997</v>
          </cell>
          <cell r="CD120">
            <v>12.558147579480488</v>
          </cell>
          <cell r="CF120">
            <v>12.732685387706491</v>
          </cell>
          <cell r="CH120">
            <v>9.044066830300693</v>
          </cell>
          <cell r="CI120">
            <v>9.7781983454485424</v>
          </cell>
          <cell r="CJ120">
            <v>10.97110939673553</v>
          </cell>
          <cell r="CK120">
            <v>11.219137829141765</v>
          </cell>
          <cell r="CM120">
            <v>9.9770109451785682</v>
          </cell>
          <cell r="CN120">
            <v>10.431609160253821</v>
          </cell>
          <cell r="CO120">
            <v>11.346993413626819</v>
          </cell>
          <cell r="CP120">
            <v>12.390076996387538</v>
          </cell>
          <cell r="CR120">
            <v>12.566817742134162</v>
          </cell>
          <cell r="CS120">
            <v>15.545469962338535</v>
          </cell>
          <cell r="CT120">
            <v>6.9922560075817444</v>
          </cell>
          <cell r="CU120">
            <v>1.5692391179501184</v>
          </cell>
          <cell r="CW120">
            <v>7.3470207459577681</v>
          </cell>
          <cell r="CX120">
            <v>8.4742640735285342</v>
          </cell>
          <cell r="CY120">
            <v>4.9264602392681276</v>
          </cell>
          <cell r="CZ120">
            <v>2.2152812265556392</v>
          </cell>
          <cell r="DB120">
            <v>1.5850541116860537</v>
          </cell>
          <cell r="DC120">
            <v>0.64593294490263664</v>
          </cell>
          <cell r="DD120">
            <v>1.1735060700038893</v>
          </cell>
          <cell r="DE120">
            <v>1.1999999999999993</v>
          </cell>
          <cell r="DG120">
            <v>1.6</v>
          </cell>
          <cell r="DH120">
            <v>1.5999999999999994</v>
          </cell>
          <cell r="DI120">
            <v>2.1999999999999993</v>
          </cell>
          <cell r="DJ120">
            <v>2.7</v>
          </cell>
          <cell r="DL120">
            <v>3</v>
          </cell>
          <cell r="DM120">
            <v>2.7999999999999994</v>
          </cell>
          <cell r="DN120">
            <v>3</v>
          </cell>
          <cell r="DO120">
            <v>3.1</v>
          </cell>
          <cell r="DQ120">
            <v>8.5797761206706173</v>
          </cell>
          <cell r="DR120">
            <v>5.0786530662406353</v>
          </cell>
          <cell r="DS120">
            <v>14.772701584646342</v>
          </cell>
          <cell r="DT120">
            <v>16.251900108577633</v>
          </cell>
          <cell r="DU120">
            <v>17.26096466395294</v>
          </cell>
          <cell r="DV120">
            <v>17.71265599299824</v>
          </cell>
          <cell r="DW120">
            <v>17.427667492571793</v>
          </cell>
          <cell r="DX120">
            <v>14.554749963008518</v>
          </cell>
          <cell r="DY120">
            <v>14.333457941300873</v>
          </cell>
          <cell r="DZ120">
            <v>15.890675232257697</v>
          </cell>
          <cell r="EA120">
            <v>14.552581328183523</v>
          </cell>
          <cell r="EB120">
            <v>12.273492523634475</v>
          </cell>
          <cell r="EC120">
            <v>14.063021452459671</v>
          </cell>
          <cell r="EE120">
            <v>15.41090139156892</v>
          </cell>
          <cell r="EF120">
            <v>12.246577710286482</v>
          </cell>
          <cell r="EH120">
            <v>10.596834270069552</v>
          </cell>
          <cell r="EI120">
            <v>11.964561272814342</v>
          </cell>
          <cell r="EK120">
            <v>12.181485423995492</v>
          </cell>
          <cell r="EL120">
            <v>10.103097987384713</v>
          </cell>
          <cell r="EM120">
            <v>11.298325844419114</v>
          </cell>
          <cell r="EN120">
            <v>11.325330897475917</v>
          </cell>
          <cell r="EP120">
            <v>9.5393950614043259</v>
          </cell>
          <cell r="EQ120">
            <v>10.310855086168013</v>
          </cell>
          <cell r="ER120">
            <v>11.208010564501638</v>
          </cell>
          <cell r="ES120">
            <v>10.744470711742926</v>
          </cell>
          <cell r="ET120" t="str">
            <v>--</v>
          </cell>
          <cell r="EU120">
            <v>1.1526849162683757</v>
          </cell>
          <cell r="EV120">
            <v>2.0265503241892096</v>
          </cell>
          <cell r="EW120">
            <v>2.9774101802757165</v>
          </cell>
          <cell r="EY120">
            <v>10.480691554617636</v>
          </cell>
          <cell r="EZ120">
            <v>11.831949547788787</v>
          </cell>
          <cell r="FA120">
            <v>5.7699312361097252</v>
          </cell>
          <cell r="FC120">
            <v>1.1684063279072574</v>
          </cell>
        </row>
        <row r="121">
          <cell r="A121" t="str">
            <v>Operating Income</v>
          </cell>
          <cell r="B121" t="str">
            <v>oipct</v>
          </cell>
          <cell r="D121">
            <v>11.850434270572663</v>
          </cell>
          <cell r="E121">
            <v>12.827728530556737</v>
          </cell>
          <cell r="F121">
            <v>15.516772438803256</v>
          </cell>
          <cell r="G121">
            <v>10.471797361819213</v>
          </cell>
          <cell r="I121">
            <v>16.250624063904151</v>
          </cell>
          <cell r="J121">
            <v>15.259099874484491</v>
          </cell>
          <cell r="K121">
            <v>15.527026091771056</v>
          </cell>
          <cell r="L121">
            <v>15.881188118811879</v>
          </cell>
          <cell r="N121">
            <v>15.450804339693235</v>
          </cell>
          <cell r="O121">
            <v>15.806328631338159</v>
          </cell>
          <cell r="P121">
            <v>16.039830451456631</v>
          </cell>
          <cell r="Q121">
            <v>16.947012585020165</v>
          </cell>
          <cell r="S121">
            <v>17.293463676442411</v>
          </cell>
          <cell r="T121">
            <v>16.905507576476545</v>
          </cell>
          <cell r="U121">
            <v>16.943890309347871</v>
          </cell>
          <cell r="V121">
            <v>17.143512267203381</v>
          </cell>
          <cell r="X121">
            <v>17.060134131520893</v>
          </cell>
          <cell r="Y121">
            <v>16.967942088934848</v>
          </cell>
          <cell r="Z121">
            <v>16.907955903838495</v>
          </cell>
          <cell r="AA121">
            <v>16.826274969799893</v>
          </cell>
          <cell r="AC121">
            <v>14.722705993257398</v>
          </cell>
          <cell r="AD121">
            <v>13.284711895563541</v>
          </cell>
          <cell r="AE121">
            <v>14.08074674762647</v>
          </cell>
          <cell r="AF121">
            <v>13.627577961542306</v>
          </cell>
          <cell r="AH121">
            <v>15.156467031620227</v>
          </cell>
          <cell r="AI121">
            <v>15.354989369488678</v>
          </cell>
          <cell r="AJ121">
            <v>15.63363920888308</v>
          </cell>
          <cell r="AK121">
            <v>15.75990401104079</v>
          </cell>
          <cell r="AM121">
            <v>14.136600312218206</v>
          </cell>
          <cell r="AN121">
            <v>14.374489255278068</v>
          </cell>
          <cell r="AO121">
            <v>14.656173759962698</v>
          </cell>
          <cell r="AP121">
            <v>14.185484034877344</v>
          </cell>
          <cell r="AR121">
            <v>13.520580411562916</v>
          </cell>
          <cell r="AS121">
            <v>14.217098544539741</v>
          </cell>
          <cell r="AT121">
            <v>14.369042325412822</v>
          </cell>
          <cell r="AU121">
            <v>13.34224262984157</v>
          </cell>
          <cell r="AW121">
            <v>14.990581890372479</v>
          </cell>
          <cell r="AX121">
            <v>15.473785302696161</v>
          </cell>
          <cell r="AY121">
            <v>15.378227828469504</v>
          </cell>
          <cell r="AZ121">
            <v>14.783619020296918</v>
          </cell>
          <cell r="BB121">
            <v>11.998216169768433</v>
          </cell>
          <cell r="BC121">
            <v>11.508485319964278</v>
          </cell>
          <cell r="BD121">
            <v>11.866495726495726</v>
          </cell>
          <cell r="BE121">
            <v>12.176065573770492</v>
          </cell>
          <cell r="BG121">
            <v>10.320462270298199</v>
          </cell>
          <cell r="BH121">
            <v>10.9642749072597</v>
          </cell>
          <cell r="BI121">
            <v>11.678852934151378</v>
          </cell>
          <cell r="BJ121">
            <v>11.942453589357378</v>
          </cell>
          <cell r="BL121">
            <v>9.797734376981861</v>
          </cell>
          <cell r="BM121">
            <v>10.605532928365694</v>
          </cell>
          <cell r="BN121">
            <v>11.07391304347826</v>
          </cell>
          <cell r="BO121">
            <v>11.141025641025641</v>
          </cell>
          <cell r="BQ121">
            <v>11.930729533569375</v>
          </cell>
          <cell r="BR121">
            <v>10.381358564004888</v>
          </cell>
          <cell r="BS121">
            <v>7.2664699310891603</v>
          </cell>
          <cell r="BT121">
            <v>8.5322053142543641</v>
          </cell>
          <cell r="BV121">
            <v>9.6198914600410532</v>
          </cell>
          <cell r="BW121">
            <v>10.241301469809985</v>
          </cell>
          <cell r="BX121">
            <v>11.172269616388414</v>
          </cell>
          <cell r="BY121">
            <v>11.343690255761791</v>
          </cell>
          <cell r="CA121">
            <v>9.4289519065707701</v>
          </cell>
          <cell r="CB121">
            <v>10.136338656402131</v>
          </cell>
          <cell r="CC121">
            <v>10.722423428393245</v>
          </cell>
          <cell r="CD121">
            <v>12.062070207133933</v>
          </cell>
          <cell r="CF121">
            <v>12.278337072218875</v>
          </cell>
          <cell r="CH121">
            <v>8.3634001183335887</v>
          </cell>
          <cell r="CI121">
            <v>9.107042437508257</v>
          </cell>
          <cell r="CJ121">
            <v>10.352567412420044</v>
          </cell>
          <cell r="CK121">
            <v>10.66058178475277</v>
          </cell>
          <cell r="CM121">
            <v>9.3274656507693887</v>
          </cell>
          <cell r="CN121">
            <v>9.8483905866771746</v>
          </cell>
          <cell r="CO121">
            <v>10.83013712250802</v>
          </cell>
          <cell r="CP121">
            <v>11.880936829609574</v>
          </cell>
          <cell r="CR121">
            <v>12.097772506329209</v>
          </cell>
          <cell r="CS121">
            <v>14.983066613608159</v>
          </cell>
          <cell r="CT121">
            <v>6.1319697863255547</v>
          </cell>
          <cell r="CU121">
            <v>0.57013301994050714</v>
          </cell>
          <cell r="CW121">
            <v>7.1757396330434959</v>
          </cell>
          <cell r="CX121">
            <v>8.2647677840427516</v>
          </cell>
          <cell r="CY121">
            <v>4.6913793103448338</v>
          </cell>
          <cell r="CZ121">
            <v>1.9616014539460387</v>
          </cell>
          <cell r="DB121">
            <v>1.482071309149136</v>
          </cell>
          <cell r="DC121">
            <v>0.5940509472093326</v>
          </cell>
          <cell r="DD121">
            <v>1.1239955593350619</v>
          </cell>
          <cell r="DE121">
            <v>1.1517241314361928</v>
          </cell>
          <cell r="DG121">
            <v>1.5518488344088668</v>
          </cell>
          <cell r="DH121">
            <v>1.5493170331180428</v>
          </cell>
          <cell r="DI121">
            <v>2.1500073340924817</v>
          </cell>
          <cell r="DJ121">
            <v>2.6512173744205856</v>
          </cell>
          <cell r="DL121">
            <v>2.9570891866897004</v>
          </cell>
          <cell r="DM121">
            <v>2.7543948457328415</v>
          </cell>
          <cell r="DN121">
            <v>2.9550698711106493</v>
          </cell>
          <cell r="DO121">
            <v>3.0571502290326387</v>
          </cell>
          <cell r="DQ121">
            <v>5.3523806288325311</v>
          </cell>
          <cell r="DR121">
            <v>2.1598869362172861</v>
          </cell>
          <cell r="DS121">
            <v>12.625178018400893</v>
          </cell>
          <cell r="DT121">
            <v>14.601520086862108</v>
          </cell>
          <cell r="DU121">
            <v>16.12859007443873</v>
          </cell>
          <cell r="DV121">
            <v>16.99588042674554</v>
          </cell>
          <cell r="DW121">
            <v>16.958777133944704</v>
          </cell>
          <cell r="DX121">
            <v>14.070033828083956</v>
          </cell>
          <cell r="DY121">
            <v>14.000000000000002</v>
          </cell>
          <cell r="DZ121">
            <v>15.627728932811685</v>
          </cell>
          <cell r="EA121">
            <v>14.346906433077718</v>
          </cell>
          <cell r="EB121">
            <v>11.989206339718873</v>
          </cell>
          <cell r="EC121">
            <v>13.871454627397487</v>
          </cell>
          <cell r="EE121">
            <v>15.141791192218273</v>
          </cell>
          <cell r="EF121">
            <v>11.889382655270571</v>
          </cell>
          <cell r="EH121">
            <v>9.8894796201388235</v>
          </cell>
          <cell r="EI121">
            <v>11.26582472557849</v>
          </cell>
          <cell r="EK121">
            <v>11.689106527336616</v>
          </cell>
          <cell r="EL121">
            <v>9.4294791429516227</v>
          </cell>
          <cell r="EM121">
            <v>10.639883407693375</v>
          </cell>
          <cell r="EN121">
            <v>10.774374105056321</v>
          </cell>
          <cell r="EP121">
            <v>8.8958551220004232</v>
          </cell>
          <cell r="EQ121">
            <v>9.6821388258620793</v>
          </cell>
          <cell r="ER121">
            <v>10.652586326066233</v>
          </cell>
          <cell r="ES121">
            <v>10.09450307445792</v>
          </cell>
          <cell r="ET121" t="str">
            <v>--</v>
          </cell>
          <cell r="EU121">
            <v>1.0902223746931332</v>
          </cell>
          <cell r="EV121">
            <v>1.9771678882567405</v>
          </cell>
          <cell r="EW121">
            <v>2.933369744733771</v>
          </cell>
          <cell r="EY121">
            <v>9.8568462884219361</v>
          </cell>
          <cell r="EZ121">
            <v>11.318907425299521</v>
          </cell>
          <cell r="FA121">
            <v>5.3305081066129745</v>
          </cell>
          <cell r="FC121">
            <v>1.119016429612004</v>
          </cell>
        </row>
        <row r="122">
          <cell r="A122" t="str">
            <v>Pretax Income</v>
          </cell>
          <cell r="B122" t="str">
            <v>ptincpct</v>
          </cell>
          <cell r="AH122">
            <v>14.860439829800068</v>
          </cell>
          <cell r="AI122">
            <v>15.444448317126151</v>
          </cell>
          <cell r="AJ122">
            <v>15.482476831068443</v>
          </cell>
          <cell r="AK122">
            <v>15.722311768431785</v>
          </cell>
          <cell r="AM122">
            <v>14.060000193924353</v>
          </cell>
          <cell r="AN122">
            <v>14.567112978977523</v>
          </cell>
          <cell r="AO122">
            <v>14.642508329883478</v>
          </cell>
          <cell r="AP122">
            <v>14.241173959878866</v>
          </cell>
          <cell r="AR122">
            <v>13.410008564786494</v>
          </cell>
          <cell r="AS122">
            <v>14.347865795438505</v>
          </cell>
          <cell r="AT122">
            <v>14.277493582246285</v>
          </cell>
          <cell r="AU122">
            <v>13.304930191473721</v>
          </cell>
          <cell r="AW122">
            <v>15.621359329009593</v>
          </cell>
          <cell r="AX122">
            <v>16.117236963790276</v>
          </cell>
          <cell r="AY122">
            <v>15.955618166309089</v>
          </cell>
          <cell r="AZ122">
            <v>15.419063329269159</v>
          </cell>
          <cell r="BB122">
            <v>12.300597148047038</v>
          </cell>
          <cell r="BC122">
            <v>12.355216526925409</v>
          </cell>
          <cell r="BD122">
            <v>13.097264957264956</v>
          </cell>
          <cell r="BE122">
            <v>13.34</v>
          </cell>
          <cell r="BG122">
            <v>9.0765356339877528</v>
          </cell>
          <cell r="BH122">
            <v>9.883145362238162</v>
          </cell>
          <cell r="BI122">
            <v>10.749107865400864</v>
          </cell>
          <cell r="BJ122">
            <v>11.188377958898689</v>
          </cell>
          <cell r="BL122">
            <v>9.1436689112438412</v>
          </cell>
          <cell r="BM122">
            <v>10.450951136267816</v>
          </cell>
          <cell r="BN122">
            <v>10.943478260869565</v>
          </cell>
          <cell r="BO122">
            <v>11.141025641025641</v>
          </cell>
          <cell r="BQ122">
            <v>11.471802367605248</v>
          </cell>
          <cell r="BR122">
            <v>9.6850996873770754</v>
          </cell>
          <cell r="BS122">
            <v>5.6496077968151264</v>
          </cell>
          <cell r="BT122">
            <v>6.9929027312920136</v>
          </cell>
          <cell r="BV122">
            <v>8.4076553838079509</v>
          </cell>
          <cell r="BW122">
            <v>9.191561128722455</v>
          </cell>
          <cell r="BX122">
            <v>10.265422032278012</v>
          </cell>
          <cell r="BY122">
            <v>10.611329389272759</v>
          </cell>
          <cell r="CA122">
            <v>8.7866848413187935</v>
          </cell>
          <cell r="CB122">
            <v>9.9590172831212165</v>
          </cell>
          <cell r="CC122">
            <v>10.936987823695416</v>
          </cell>
          <cell r="CD122">
            <v>12.315297658216066</v>
          </cell>
          <cell r="CF122">
            <v>12.841075907168237</v>
          </cell>
          <cell r="CH122">
            <v>6.8774352438517123</v>
          </cell>
          <cell r="CI122">
            <v>7.9990696533343471</v>
          </cell>
          <cell r="CJ122">
            <v>9.3536061620327899</v>
          </cell>
          <cell r="CK122">
            <v>9.9535973033904561</v>
          </cell>
          <cell r="CM122">
            <v>8.6895044515169797</v>
          </cell>
          <cell r="CN122">
            <v>9.7198526294922303</v>
          </cell>
          <cell r="CO122">
            <v>10.970721297167515</v>
          </cell>
          <cell r="CP122">
            <v>11.99408721576178</v>
          </cell>
          <cell r="CR122">
            <v>12.51175473942342</v>
          </cell>
          <cell r="CS122">
            <v>15.557139475023041</v>
          </cell>
          <cell r="CT122">
            <v>6.631710966492486</v>
          </cell>
          <cell r="CU122">
            <v>0.97796539916802272</v>
          </cell>
          <cell r="CW122">
            <v>6.8743507516654976</v>
          </cell>
          <cell r="CX122">
            <v>7.7274703143226109</v>
          </cell>
          <cell r="CY122">
            <v>3.8186488388458892</v>
          </cell>
          <cell r="CZ122">
            <v>1.1295977345491728</v>
          </cell>
          <cell r="DB122">
            <v>0.4741447918255417</v>
          </cell>
          <cell r="DC122" t="str">
            <v>NM</v>
          </cell>
          <cell r="DD122">
            <v>0.17645759936675484</v>
          </cell>
          <cell r="DE122">
            <v>0.18322676827340906</v>
          </cell>
          <cell r="DG122">
            <v>0.58585322841391152</v>
          </cell>
          <cell r="DH122">
            <v>0.57163634480869119</v>
          </cell>
          <cell r="DI122">
            <v>1.1856426368024042</v>
          </cell>
          <cell r="DJ122">
            <v>1.7478354192462409</v>
          </cell>
          <cell r="DL122">
            <v>2.1624444957582338</v>
          </cell>
          <cell r="DM122">
            <v>1.9098549518965935</v>
          </cell>
          <cell r="DN122">
            <v>2.1230304472337864</v>
          </cell>
          <cell r="DO122">
            <v>2.2636359518592801</v>
          </cell>
          <cell r="DQ122" t="str">
            <v>NM</v>
          </cell>
          <cell r="DR122" t="str">
            <v>NM</v>
          </cell>
          <cell r="DS122">
            <v>9.7565386441214415</v>
          </cell>
          <cell r="DT122">
            <v>14.922041259500546</v>
          </cell>
          <cell r="DU122">
            <v>16.679281716918272</v>
          </cell>
          <cell r="DV122">
            <v>17.027192201481842</v>
          </cell>
          <cell r="DW122">
            <v>16.902510290909454</v>
          </cell>
          <cell r="DX122">
            <v>13.726905827308409</v>
          </cell>
          <cell r="DY122">
            <v>13.475000307132321</v>
          </cell>
          <cell r="DZ122">
            <v>15.400903151342202</v>
          </cell>
          <cell r="EA122">
            <v>14.387391912430122</v>
          </cell>
          <cell r="EB122">
            <v>11.778637817160272</v>
          </cell>
          <cell r="EC122">
            <v>13.844030324020165</v>
          </cell>
          <cell r="EE122">
            <v>15.763239003444344</v>
          </cell>
          <cell r="EF122">
            <v>12.812098839953173</v>
          </cell>
          <cell r="EH122">
            <v>8.7641301673465311</v>
          </cell>
          <cell r="EI122">
            <v>10.275463186346878</v>
          </cell>
          <cell r="EK122">
            <v>11.035249942376304</v>
          </cell>
          <cell r="EL122">
            <v>8.3224737748100139</v>
          </cell>
          <cell r="EM122">
            <v>9.677052844569074</v>
          </cell>
          <cell r="EN122">
            <v>10.7465335432752</v>
          </cell>
          <cell r="EP122">
            <v>7.8380254090973418</v>
          </cell>
          <cell r="EQ122">
            <v>8.6263793712684755</v>
          </cell>
          <cell r="ER122">
            <v>10.570328338407524</v>
          </cell>
          <cell r="ES122">
            <v>10.571039119418415</v>
          </cell>
          <cell r="ET122" t="str">
            <v>--</v>
          </cell>
          <cell r="EU122">
            <v>0.12998308462969035</v>
          </cell>
          <cell r="EV122">
            <v>1.0245746025223845</v>
          </cell>
          <cell r="EW122">
            <v>2.1178061235866448</v>
          </cell>
          <cell r="EY122">
            <v>9.0145781092247645</v>
          </cell>
          <cell r="EZ122">
            <v>11.482698690774777</v>
          </cell>
          <cell r="FA122">
            <v>5.1077008802935797</v>
          </cell>
          <cell r="FC122">
            <v>0.168316149525127</v>
          </cell>
        </row>
        <row r="123">
          <cell r="A123" t="str">
            <v>Tax Rate</v>
          </cell>
          <cell r="B123" t="str">
            <v>taxpct</v>
          </cell>
          <cell r="D123">
            <v>39.860139860139768</v>
          </cell>
          <cell r="E123">
            <v>40.251196172248754</v>
          </cell>
          <cell r="F123">
            <v>40.27179317202522</v>
          </cell>
          <cell r="G123">
            <v>59.424920127795531</v>
          </cell>
          <cell r="I123">
            <v>39.442847667477324</v>
          </cell>
          <cell r="J123">
            <v>39.981596503335631</v>
          </cell>
          <cell r="K123">
            <v>40</v>
          </cell>
          <cell r="L123">
            <v>40.000000000000007</v>
          </cell>
          <cell r="N123">
            <v>40.039696860339205</v>
          </cell>
          <cell r="O123">
            <v>40.009286488159731</v>
          </cell>
          <cell r="P123">
            <v>39.002145922746791</v>
          </cell>
          <cell r="Q123">
            <v>38.993784449396024</v>
          </cell>
          <cell r="S123">
            <v>38.002834405319938</v>
          </cell>
          <cell r="T123">
            <v>38.004505350103251</v>
          </cell>
          <cell r="U123">
            <v>37.977528089887628</v>
          </cell>
          <cell r="V123">
            <v>38.002969561989616</v>
          </cell>
          <cell r="X123">
            <v>38.998603630560574</v>
          </cell>
          <cell r="Y123">
            <v>38.993168810388333</v>
          </cell>
          <cell r="Z123">
            <v>38.997575689237173</v>
          </cell>
          <cell r="AA123">
            <v>39</v>
          </cell>
          <cell r="AC123">
            <v>33.791054814482649</v>
          </cell>
          <cell r="AD123">
            <v>37.501462843768287</v>
          </cell>
          <cell r="AE123">
            <v>34.439124487004094</v>
          </cell>
          <cell r="AF123">
            <v>32.041087432409647</v>
          </cell>
          <cell r="AH123">
            <v>36.5</v>
          </cell>
          <cell r="AI123">
            <v>36.536653251589151</v>
          </cell>
          <cell r="AJ123">
            <v>36.50153987287856</v>
          </cell>
          <cell r="AK123">
            <v>36.494055222560675</v>
          </cell>
          <cell r="AM123">
            <v>37.310347919037277</v>
          </cell>
          <cell r="AN123">
            <v>36.981783435563912</v>
          </cell>
          <cell r="AO123">
            <v>36.913617523537653</v>
          </cell>
          <cell r="AP123">
            <v>36.815664782782434</v>
          </cell>
          <cell r="AR123">
            <v>37.39862124898621</v>
          </cell>
          <cell r="AS123">
            <v>34.71442624848099</v>
          </cell>
          <cell r="AT123">
            <v>35.195896254809043</v>
          </cell>
          <cell r="AU123">
            <v>36.909429102875961</v>
          </cell>
          <cell r="AW123">
            <v>35.795269736536405</v>
          </cell>
          <cell r="AX123">
            <v>36.502471751412443</v>
          </cell>
          <cell r="AY123">
            <v>36.5</v>
          </cell>
          <cell r="AZ123">
            <v>36.500641896291903</v>
          </cell>
          <cell r="BB123">
            <v>36.000282965478199</v>
          </cell>
          <cell r="BC123">
            <v>36.000583005392784</v>
          </cell>
          <cell r="BD123">
            <v>36</v>
          </cell>
          <cell r="BE123">
            <v>36</v>
          </cell>
          <cell r="BG123">
            <v>36.080629513851441</v>
          </cell>
          <cell r="BH123">
            <v>37.022547296403417</v>
          </cell>
          <cell r="BI123">
            <v>37.078800742902615</v>
          </cell>
          <cell r="BJ123">
            <v>37.200070313186693</v>
          </cell>
          <cell r="BL123">
            <v>36.471948212083831</v>
          </cell>
          <cell r="BM123">
            <v>36.393293110705784</v>
          </cell>
          <cell r="BN123">
            <v>36.399999999999991</v>
          </cell>
          <cell r="BO123">
            <v>36.4</v>
          </cell>
          <cell r="BQ123">
            <v>37.704524542945158</v>
          </cell>
          <cell r="BR123">
            <v>36.586147926464292</v>
          </cell>
          <cell r="BS123">
            <v>33.548318508806126</v>
          </cell>
          <cell r="BT123">
            <v>36.595232888694525</v>
          </cell>
          <cell r="BV123">
            <v>36.643835616438295</v>
          </cell>
          <cell r="BW123">
            <v>37.095556310642969</v>
          </cell>
          <cell r="BX123">
            <v>36.415486490405556</v>
          </cell>
          <cell r="BY123">
            <v>36.94708469286423</v>
          </cell>
          <cell r="CA123">
            <v>36.230329041487821</v>
          </cell>
          <cell r="CB123">
            <v>36.25725626964644</v>
          </cell>
          <cell r="CC123">
            <v>41.600343570390848</v>
          </cell>
          <cell r="CD123">
            <v>38.002400285991492</v>
          </cell>
          <cell r="CF123">
            <v>37.999831965720993</v>
          </cell>
          <cell r="CH123">
            <v>36.990625828373112</v>
          </cell>
          <cell r="CI123">
            <v>37.481080219867799</v>
          </cell>
          <cell r="CJ123">
            <v>36.511235225353943</v>
          </cell>
          <cell r="CK123">
            <v>35.078339747113816</v>
          </cell>
          <cell r="CM123">
            <v>35.68895852230559</v>
          </cell>
          <cell r="CN123">
            <v>36.003862051009484</v>
          </cell>
          <cell r="CO123">
            <v>42.110740001007009</v>
          </cell>
          <cell r="CP123">
            <v>37.568909161869406</v>
          </cell>
          <cell r="CR123">
            <v>37.617487397173335</v>
          </cell>
          <cell r="CS123">
            <v>38.000183479307324</v>
          </cell>
          <cell r="CT123">
            <v>37.998524329152275</v>
          </cell>
          <cell r="CU123">
            <v>37.906382978723371</v>
          </cell>
          <cell r="CW123">
            <v>36.594436100979728</v>
          </cell>
          <cell r="CX123">
            <v>36.594239555805594</v>
          </cell>
          <cell r="CY123">
            <v>36.751561837716245</v>
          </cell>
          <cell r="CZ123">
            <v>21.862605702312525</v>
          </cell>
          <cell r="DB123">
            <v>35.997896397580931</v>
          </cell>
          <cell r="DC123">
            <v>35.993840626202001</v>
          </cell>
          <cell r="DD123">
            <v>36.003463953236555</v>
          </cell>
          <cell r="DE123">
            <v>36</v>
          </cell>
          <cell r="DG123">
            <v>33</v>
          </cell>
          <cell r="DH123">
            <v>33</v>
          </cell>
          <cell r="DI123">
            <v>33</v>
          </cell>
          <cell r="DJ123">
            <v>33</v>
          </cell>
          <cell r="DL123">
            <v>33</v>
          </cell>
          <cell r="DM123">
            <v>33.000000000000007</v>
          </cell>
          <cell r="DN123">
            <v>33</v>
          </cell>
          <cell r="DO123">
            <v>33</v>
          </cell>
          <cell r="DQ123" t="str">
            <v>NM</v>
          </cell>
          <cell r="DR123" t="str">
            <v>NM</v>
          </cell>
          <cell r="DS123">
            <v>45.713623725671894</v>
          </cell>
          <cell r="DT123">
            <v>42.877932359275853</v>
          </cell>
          <cell r="DU123">
            <v>39.437575930822547</v>
          </cell>
          <cell r="DV123">
            <v>38.145563310069782</v>
          </cell>
          <cell r="DW123">
            <v>38.937086624520013</v>
          </cell>
          <cell r="DX123">
            <v>32.373111305220483</v>
          </cell>
          <cell r="DY123">
            <v>34.302437652060178</v>
          </cell>
          <cell r="DZ123">
            <v>36.507548254915356</v>
          </cell>
          <cell r="EA123">
            <v>36.991004371412018</v>
          </cell>
          <cell r="EB123">
            <v>34.300000000000011</v>
          </cell>
          <cell r="EC123">
            <v>35.985521601072037</v>
          </cell>
          <cell r="EE123">
            <v>36.342354151543475</v>
          </cell>
          <cell r="EF123">
            <v>36.000197777126367</v>
          </cell>
          <cell r="EH123">
            <v>36.502034869115228</v>
          </cell>
          <cell r="EI123">
            <v>36.898879165825541</v>
          </cell>
          <cell r="EK123">
            <v>60.57270033205193</v>
          </cell>
          <cell r="EL123">
            <v>36.403696070604106</v>
          </cell>
          <cell r="EM123">
            <v>36.778220462992131</v>
          </cell>
          <cell r="EN123">
            <v>38.294354560528312</v>
          </cell>
          <cell r="EP123">
            <v>36.106981909199312</v>
          </cell>
          <cell r="EQ123">
            <v>36.353462118631704</v>
          </cell>
          <cell r="ER123">
            <v>38.14951114404122</v>
          </cell>
          <cell r="ES123">
            <v>37.832716920815308</v>
          </cell>
          <cell r="ET123" t="str">
            <v>--</v>
          </cell>
          <cell r="EU123">
            <v>36.003040934134638</v>
          </cell>
          <cell r="EV123">
            <v>33.000000000000007</v>
          </cell>
          <cell r="EW123">
            <v>32.999999999999993</v>
          </cell>
          <cell r="EY123">
            <v>36.062815261574826</v>
          </cell>
          <cell r="EZ123">
            <v>38.29232567587794</v>
          </cell>
          <cell r="FA123">
            <v>37.907773925295082</v>
          </cell>
          <cell r="FC123">
            <v>33.302546027064231</v>
          </cell>
        </row>
        <row r="124">
          <cell r="A124" t="str">
            <v>Net Income</v>
          </cell>
          <cell r="B124" t="str">
            <v>nipct</v>
          </cell>
          <cell r="D124">
            <v>4.220030423475162</v>
          </cell>
          <cell r="E124">
            <v>4.6855213170114069</v>
          </cell>
          <cell r="F124">
            <v>8.1686310063463186</v>
          </cell>
          <cell r="G124">
            <v>4.111030185320061</v>
          </cell>
          <cell r="I124">
            <v>9.7674916197132955</v>
          </cell>
          <cell r="J124">
            <v>9.3562847409001275</v>
          </cell>
          <cell r="K124">
            <v>9.5819779915565082</v>
          </cell>
          <cell r="L124">
            <v>9.8910891089108866</v>
          </cell>
          <cell r="N124">
            <v>9.5628651184206834</v>
          </cell>
          <cell r="O124">
            <v>9.8513152878383501</v>
          </cell>
          <cell r="P124">
            <v>10.19982506896319</v>
          </cell>
          <cell r="Q124">
            <v>10.593410173909506</v>
          </cell>
          <cell r="S124">
            <v>10.900900900900909</v>
          </cell>
          <cell r="T124">
            <v>10.447312644332667</v>
          </cell>
          <cell r="U124">
            <v>10.468938776657023</v>
          </cell>
          <cell r="V124">
            <v>10.637945530050187</v>
          </cell>
          <cell r="X124">
            <v>10.323175946347378</v>
          </cell>
          <cell r="Y124">
            <v>10.251292657704237</v>
          </cell>
          <cell r="Z124">
            <v>10.265070299603444</v>
          </cell>
          <cell r="AA124">
            <v>10.337715996428511</v>
          </cell>
          <cell r="AC124">
            <v>9.4372633294454253</v>
          </cell>
          <cell r="AD124">
            <v>7.9814381683268198</v>
          </cell>
          <cell r="AE124">
            <v>8.9342068469620148</v>
          </cell>
          <cell r="AF124">
            <v>9.0470260037860033</v>
          </cell>
          <cell r="AH124">
            <v>9.4363792919230427</v>
          </cell>
          <cell r="AI124">
            <v>9.8015637888768694</v>
          </cell>
          <cell r="AJ124">
            <v>9.8311343772668085</v>
          </cell>
          <cell r="AK124">
            <v>9.9846026293971342</v>
          </cell>
          <cell r="AM124">
            <v>8.814165204153861</v>
          </cell>
          <cell r="AN124">
            <v>9.1799348042781315</v>
          </cell>
          <cell r="AO124">
            <v>9.2374288091381498</v>
          </cell>
          <cell r="AP124">
            <v>8.9981910936769598</v>
          </cell>
          <cell r="AR124">
            <v>8.3948502521853818</v>
          </cell>
          <cell r="AS124">
            <v>9.3670865056499757</v>
          </cell>
          <cell r="AT124">
            <v>9.2524017532518634</v>
          </cell>
          <cell r="AU124">
            <v>8.3941564152645896</v>
          </cell>
          <cell r="AW124">
            <v>10.029651620677015</v>
          </cell>
          <cell r="AX124">
            <v>10.234047093974526</v>
          </cell>
          <cell r="AY124">
            <v>10.13181753560627</v>
          </cell>
          <cell r="AZ124">
            <v>9.7910062396901605</v>
          </cell>
          <cell r="BB124">
            <v>7.8723473683065635</v>
          </cell>
          <cell r="BC124">
            <v>7.9072665456536182</v>
          </cell>
          <cell r="BD124">
            <v>8.3822495726495738</v>
          </cell>
          <cell r="BE124">
            <v>8.5375999999999994</v>
          </cell>
          <cell r="BG124">
            <v>5.8016644391959238</v>
          </cell>
          <cell r="BH124">
            <v>6.2241531961312369</v>
          </cell>
          <cell r="BI124">
            <v>6.7634675783492053</v>
          </cell>
          <cell r="BJ124">
            <v>7.0262934912832957</v>
          </cell>
          <cell r="BL124">
            <v>5.8087947212505782</v>
          </cell>
          <cell r="BM124">
            <v>6.6475058563892322</v>
          </cell>
          <cell r="BN124">
            <v>6.9600521739130423</v>
          </cell>
          <cell r="BO124">
            <v>7.0856923076923071</v>
          </cell>
          <cell r="BQ124">
            <v>7.1464138283933636</v>
          </cell>
          <cell r="BR124">
            <v>6.1416947889277678</v>
          </cell>
          <cell r="BS124">
            <v>3.7542593786412435</v>
          </cell>
          <cell r="BT124">
            <v>4.4338336910958214</v>
          </cell>
          <cell r="BV124">
            <v>5.3267679657687408</v>
          </cell>
          <cell r="BW124">
            <v>5.7819003943900453</v>
          </cell>
          <cell r="BX124">
            <v>6.5272186589306971</v>
          </cell>
          <cell r="BY124">
            <v>6.6907525327793609</v>
          </cell>
          <cell r="CA124">
            <v>5.6032400114704632</v>
          </cell>
          <cell r="CB124">
            <v>6.3481508648415774</v>
          </cell>
          <cell r="CC124">
            <v>6.3871633127863108</v>
          </cell>
          <cell r="CD124">
            <v>7.6351889457294613</v>
          </cell>
          <cell r="CF124">
            <v>7.9614886398536244</v>
          </cell>
          <cell r="CH124">
            <v>4.3334289062098641</v>
          </cell>
          <cell r="CI124">
            <v>5.0009319397249996</v>
          </cell>
          <cell r="CJ124">
            <v>5.9384890141597975</v>
          </cell>
          <cell r="CK124">
            <v>6.4620406242475932</v>
          </cell>
          <cell r="CM124">
            <v>5.5883108120211871</v>
          </cell>
          <cell r="CN124">
            <v>6.22033029720843</v>
          </cell>
          <cell r="CO124">
            <v>6.3508693754821985</v>
          </cell>
          <cell r="CP124">
            <v>7.4880394848768459</v>
          </cell>
          <cell r="CR124">
            <v>7.8051469771555793</v>
          </cell>
          <cell r="CS124">
            <v>9.6453979303825363</v>
          </cell>
          <cell r="CT124">
            <v>4.1117586614507795</v>
          </cell>
          <cell r="CU124">
            <v>0.60725408955999127</v>
          </cell>
          <cell r="CW124">
            <v>4.3587208584900479</v>
          </cell>
          <cell r="CX124">
            <v>4.8996613158956315</v>
          </cell>
          <cell r="CY124">
            <v>2.4152357494722092</v>
          </cell>
          <cell r="CZ124">
            <v>0.88263823582243228</v>
          </cell>
          <cell r="DB124">
            <v>0.30346264088965746</v>
          </cell>
          <cell r="DC124" t="str">
            <v>NM</v>
          </cell>
          <cell r="DD124">
            <v>0.11292675118599869</v>
          </cell>
          <cell r="DE124">
            <v>0.1172651316949818</v>
          </cell>
          <cell r="DG124">
            <v>0.39252166303732072</v>
          </cell>
          <cell r="DH124">
            <v>0.38299635102182306</v>
          </cell>
          <cell r="DI124">
            <v>0.7943805666576107</v>
          </cell>
          <cell r="DJ124">
            <v>1.1710497308949814</v>
          </cell>
          <cell r="DL124">
            <v>1.4488378121580168</v>
          </cell>
          <cell r="DM124">
            <v>1.2796028177707177</v>
          </cell>
          <cell r="DN124">
            <v>1.4224303996466372</v>
          </cell>
          <cell r="DO124">
            <v>1.5166360877457177</v>
          </cell>
          <cell r="DQ124" t="str">
            <v>NM</v>
          </cell>
          <cell r="DR124" t="str">
            <v>NM</v>
          </cell>
          <cell r="DS124">
            <v>5.2964712796979958</v>
          </cell>
          <cell r="DT124">
            <v>8.5237785016286658</v>
          </cell>
          <cell r="DU124">
            <v>10.101377325092827</v>
          </cell>
          <cell r="DV124">
            <v>10.532073820338322</v>
          </cell>
          <cell r="DW124">
            <v>10.32116521721963</v>
          </cell>
          <cell r="DX124">
            <v>9.2830793250710606</v>
          </cell>
          <cell r="DY124">
            <v>8.8527467281633392</v>
          </cell>
          <cell r="DZ124">
            <v>9.7784110016731685</v>
          </cell>
          <cell r="EA124">
            <v>9.0653511411709164</v>
          </cell>
          <cell r="EB124">
            <v>7.7385650458742976</v>
          </cell>
          <cell r="EC124">
            <v>8.8621838013109251</v>
          </cell>
          <cell r="EE124">
            <v>10.034506859058364</v>
          </cell>
          <cell r="EF124">
            <v>8.1997179181691191</v>
          </cell>
          <cell r="EH124">
            <v>5.565044317687053</v>
          </cell>
          <cell r="EI124">
            <v>6.4839324414878581</v>
          </cell>
          <cell r="EK124">
            <v>4.350901063887771</v>
          </cell>
          <cell r="EL124">
            <v>5.2927857162724434</v>
          </cell>
          <cell r="EM124">
            <v>6.1180050150732086</v>
          </cell>
          <cell r="EN124">
            <v>6.6312178852472883</v>
          </cell>
          <cell r="EP124">
            <v>5.0079509925961192</v>
          </cell>
          <cell r="EQ124">
            <v>5.49039181432493</v>
          </cell>
          <cell r="ER124">
            <v>6.5377997509850001</v>
          </cell>
          <cell r="ES124">
            <v>6.571727813780198</v>
          </cell>
          <cell r="ET124" t="str">
            <v>--</v>
          </cell>
          <cell r="EU124">
            <v>8.3185221463012063E-2</v>
          </cell>
          <cell r="EV124">
            <v>0.68646498368999764</v>
          </cell>
          <cell r="EW124">
            <v>1.4189301028030521</v>
          </cell>
          <cell r="EY124">
            <v>5.7636674590846741</v>
          </cell>
          <cell r="EZ124">
            <v>7.0857063117235262</v>
          </cell>
          <cell r="FA124">
            <v>3.1714851778115825</v>
          </cell>
          <cell r="FC124">
            <v>0.11226258635853935</v>
          </cell>
        </row>
        <row r="126">
          <cell r="A126" t="str">
            <v>(a) Extraordinary items include:</v>
          </cell>
        </row>
        <row r="127">
          <cell r="A127" t="str">
            <v>F1991 - Inventory write-off.</v>
          </cell>
        </row>
        <row r="128">
          <cell r="A128" t="str">
            <v>F1992 - net income includes a pretax charge of $952,000 for facilities closures.</v>
          </cell>
        </row>
        <row r="129">
          <cell r="A129" t="str">
            <v>F1993 - Charge for early retirement of debt.</v>
          </cell>
        </row>
        <row r="130">
          <cell r="A130" t="str">
            <v>F1994 --  write-off of goodwill associated with predecessor company and provision for plant closing</v>
          </cell>
        </row>
        <row r="131">
          <cell r="A131" t="str">
            <v>Pretax charge of $1.3 million in F4Q97 associated with closing a Sanmina fabrication facility.</v>
          </cell>
        </row>
        <row r="132">
          <cell r="A132" t="str">
            <v>F4Q97 proforma after tax charges of $19.9 million are associated with closing plants (Sanmina and Elexsys) and writing off some of Elexsys'  inventory.</v>
          </cell>
        </row>
        <row r="133">
          <cell r="A133" t="str">
            <v>F1Q98 extraordinary item for expenses related to Elexsys acquisition.</v>
          </cell>
        </row>
        <row r="134">
          <cell r="A134" t="str">
            <v>F1Q99:  extraordinary items associated with the acquisition of Altron.</v>
          </cell>
        </row>
        <row r="135">
          <cell r="A135" t="str">
            <v xml:space="preserve">F3Q00:  includes one-time charges associated with the acquisition of Hadco. </v>
          </cell>
        </row>
        <row r="136">
          <cell r="A136" t="str">
            <v>F4Q00:  charge for early extinguishment of $188 million of Hadco debt.</v>
          </cell>
        </row>
        <row r="137">
          <cell r="A137" t="str">
            <v>F2Q01:  charge associated with Segerstrom acquisition.</v>
          </cell>
        </row>
        <row r="138">
          <cell r="A138" t="str">
            <v>F3Q01:  charge for headcount reductions.</v>
          </cell>
        </row>
        <row r="139">
          <cell r="A139" t="str">
            <v>F4Q01:  Pretax charges of $218 million for restructuring ($144 million) and customer issues ($74m).</v>
          </cell>
        </row>
        <row r="140">
          <cell r="A140" t="str">
            <v>F1Q02:  $251m pretax ($198m after tax) charge for restructuring.</v>
          </cell>
        </row>
        <row r="141">
          <cell r="A141" t="str">
            <v>F2Q02:  $51.9m pretax ($39.4m after tax) charge for restructuring and $8m pretax ($5.1m after tax) recovery for previously expensed charge for Novatel.</v>
          </cell>
        </row>
        <row r="142">
          <cell r="A142" t="str">
            <v>F3Q02: $11.6m pretax ($8m after tax) charge for restructuring</v>
          </cell>
        </row>
        <row r="143">
          <cell r="A143" t="str">
            <v>Fiscal year ends September</v>
          </cell>
        </row>
        <row r="144">
          <cell r="A144" t="str">
            <v>E = Morgan Stanley Research Estimates</v>
          </cell>
        </row>
        <row r="147">
          <cell r="A147" t="str">
            <v>Sanmina-SCI Corp.</v>
          </cell>
        </row>
        <row r="148">
          <cell r="A148" t="str">
            <v>EBITDA Statistics</v>
          </cell>
        </row>
        <row r="149">
          <cell r="A149" t="str">
            <v>($ Millions)</v>
          </cell>
        </row>
        <row r="150">
          <cell r="AD150" t="str">
            <v>F1997</v>
          </cell>
          <cell r="AN150" t="str">
            <v>F1998</v>
          </cell>
          <cell r="AS150" t="str">
            <v>F1998</v>
          </cell>
          <cell r="BG150" t="str">
            <v>F1999</v>
          </cell>
          <cell r="BL150" t="str">
            <v>F2000E</v>
          </cell>
          <cell r="BQ150" t="str">
            <v>F1998</v>
          </cell>
          <cell r="BV150" t="str">
            <v>F1999</v>
          </cell>
          <cell r="CA150" t="str">
            <v>F2000</v>
          </cell>
          <cell r="CF150" t="str">
            <v>Sanmina Only</v>
          </cell>
          <cell r="CH150" t="str">
            <v>F1999</v>
          </cell>
          <cell r="CM150" t="str">
            <v>F2000</v>
          </cell>
          <cell r="CW150" t="str">
            <v>F2001</v>
          </cell>
          <cell r="DX150" t="str">
            <v xml:space="preserve"> </v>
          </cell>
          <cell r="EA150" t="str">
            <v>Proforma</v>
          </cell>
          <cell r="EB150" t="str">
            <v>Proforma for Altron</v>
          </cell>
          <cell r="EE150" t="str">
            <v xml:space="preserve"> </v>
          </cell>
          <cell r="EN150" t="str">
            <v>SANM</v>
          </cell>
          <cell r="ER150" t="str">
            <v xml:space="preserve"> </v>
          </cell>
          <cell r="ET150" t="str">
            <v>Proforma</v>
          </cell>
        </row>
        <row r="151">
          <cell r="D151" t="str">
            <v>F1993</v>
          </cell>
          <cell r="I151" t="str">
            <v>F1994</v>
          </cell>
          <cell r="N151" t="str">
            <v>F1995</v>
          </cell>
          <cell r="S151" t="str">
            <v>F1996</v>
          </cell>
          <cell r="X151" t="str">
            <v>F1997</v>
          </cell>
          <cell r="AD151" t="str">
            <v xml:space="preserve"> Proforma for Elexsys Acquisition</v>
          </cell>
          <cell r="AH151" t="str">
            <v>F1998</v>
          </cell>
          <cell r="AM151" t="str">
            <v xml:space="preserve"> Pro forma for Altron</v>
          </cell>
          <cell r="AR151" t="str">
            <v xml:space="preserve"> Pro forma for Manu-Tronics / Altron</v>
          </cell>
          <cell r="AW151" t="str">
            <v>F1999</v>
          </cell>
          <cell r="BB151" t="str">
            <v>F2000E</v>
          </cell>
          <cell r="BG151" t="str">
            <v xml:space="preserve"> Pro forma for Hadco</v>
          </cell>
          <cell r="BL151" t="str">
            <v xml:space="preserve"> Pro forma for Hadco</v>
          </cell>
          <cell r="BQ151" t="str">
            <v xml:space="preserve"> Pro forma for Hadco / Essex</v>
          </cell>
          <cell r="BV151" t="str">
            <v xml:space="preserve"> Pro forma for Hadco / Essex</v>
          </cell>
          <cell r="CA151" t="str">
            <v xml:space="preserve"> Pro forma for Hadco / Essex</v>
          </cell>
          <cell r="CF151" t="str">
            <v>F2001</v>
          </cell>
          <cell r="CH151" t="str">
            <v xml:space="preserve"> Pro forma for Segerstrom</v>
          </cell>
          <cell r="CM151" t="str">
            <v xml:space="preserve"> Pro forma for Segerstrom</v>
          </cell>
          <cell r="CR151" t="str">
            <v>F2001</v>
          </cell>
          <cell r="CW151" t="str">
            <v xml:space="preserve"> Pro forma for SCI Systems</v>
          </cell>
          <cell r="DC151" t="str">
            <v>F2002E</v>
          </cell>
          <cell r="DH151" t="str">
            <v>F2003E</v>
          </cell>
          <cell r="DM151" t="str">
            <v>F2004E</v>
          </cell>
          <cell r="DT151" t="str">
            <v xml:space="preserve"> </v>
          </cell>
          <cell r="DU151" t="str">
            <v xml:space="preserve"> </v>
          </cell>
          <cell r="DX151" t="str">
            <v>Proforma for Elexsys</v>
          </cell>
          <cell r="DZ151" t="str">
            <v xml:space="preserve"> </v>
          </cell>
          <cell r="EA151" t="str">
            <v>Altron</v>
          </cell>
          <cell r="EB151" t="str">
            <v xml:space="preserve">   and Manu-Tronics</v>
          </cell>
          <cell r="EE151" t="str">
            <v xml:space="preserve">                SANM ONLY</v>
          </cell>
          <cell r="EH151" t="str">
            <v xml:space="preserve"> Proforma for Hadco</v>
          </cell>
          <cell r="EJ151" t="str">
            <v xml:space="preserve"> </v>
          </cell>
          <cell r="EK151" t="str">
            <v>Proforma for Hadco / Essex</v>
          </cell>
          <cell r="EN151" t="str">
            <v>Only</v>
          </cell>
          <cell r="EP151" t="str">
            <v>Proforma for Segerstrom</v>
          </cell>
          <cell r="ET151" t="str">
            <v>for SCI</v>
          </cell>
          <cell r="FA151" t="str">
            <v>Unrestated</v>
          </cell>
        </row>
        <row r="152">
          <cell r="D152">
            <v>33939</v>
          </cell>
          <cell r="E152">
            <v>34029</v>
          </cell>
          <cell r="F152" t="str">
            <v xml:space="preserve"> 6/93</v>
          </cell>
          <cell r="G152">
            <v>34213</v>
          </cell>
          <cell r="I152">
            <v>34304</v>
          </cell>
          <cell r="J152">
            <v>34394</v>
          </cell>
          <cell r="K152">
            <v>34486</v>
          </cell>
          <cell r="L152">
            <v>34578</v>
          </cell>
          <cell r="N152">
            <v>34669</v>
          </cell>
          <cell r="O152">
            <v>34759</v>
          </cell>
          <cell r="P152">
            <v>34851</v>
          </cell>
          <cell r="Q152">
            <v>34943</v>
          </cell>
          <cell r="S152">
            <v>35034</v>
          </cell>
          <cell r="T152">
            <v>35125</v>
          </cell>
          <cell r="U152">
            <v>35217</v>
          </cell>
          <cell r="V152">
            <v>35309</v>
          </cell>
          <cell r="X152">
            <v>35400</v>
          </cell>
          <cell r="Y152">
            <v>35490</v>
          </cell>
          <cell r="Z152">
            <v>35582</v>
          </cell>
          <cell r="AA152">
            <v>35674</v>
          </cell>
          <cell r="AC152">
            <v>35400</v>
          </cell>
          <cell r="AD152" t="str">
            <v xml:space="preserve">  3/97</v>
          </cell>
          <cell r="AE152" t="str">
            <v xml:space="preserve"> 6/97</v>
          </cell>
          <cell r="AF152" t="str">
            <v xml:space="preserve"> 9/97</v>
          </cell>
          <cell r="AH152" t="str">
            <v xml:space="preserve"> 12/97</v>
          </cell>
          <cell r="AI152" t="str">
            <v xml:space="preserve"> 3/98</v>
          </cell>
          <cell r="AJ152" t="str">
            <v xml:space="preserve"> 6/98</v>
          </cell>
          <cell r="AK152" t="str">
            <v xml:space="preserve"> 9/98</v>
          </cell>
          <cell r="AM152" t="str">
            <v xml:space="preserve"> 12/97</v>
          </cell>
          <cell r="AN152" t="str">
            <v xml:space="preserve"> 3/98</v>
          </cell>
          <cell r="AO152" t="str">
            <v xml:space="preserve"> 6/98</v>
          </cell>
          <cell r="AP152" t="str">
            <v xml:space="preserve"> 9/98</v>
          </cell>
          <cell r="AR152" t="str">
            <v xml:space="preserve"> 12/97</v>
          </cell>
          <cell r="AS152" t="str">
            <v xml:space="preserve"> 3/98</v>
          </cell>
          <cell r="AT152" t="str">
            <v xml:space="preserve"> 6/98</v>
          </cell>
          <cell r="AU152" t="str">
            <v xml:space="preserve"> 9/98</v>
          </cell>
          <cell r="AW152" t="str">
            <v xml:space="preserve"> 12/98</v>
          </cell>
          <cell r="AX152" t="str">
            <v xml:space="preserve"> 3/99</v>
          </cell>
          <cell r="AY152" t="str">
            <v xml:space="preserve"> 6/99</v>
          </cell>
          <cell r="AZ152" t="str">
            <v xml:space="preserve"> 9/99</v>
          </cell>
          <cell r="BB152" t="str">
            <v xml:space="preserve"> 12/99</v>
          </cell>
          <cell r="BC152" t="str">
            <v xml:space="preserve"> 3/00</v>
          </cell>
          <cell r="BD152" t="str">
            <v xml:space="preserve"> 6/00E</v>
          </cell>
          <cell r="BE152" t="str">
            <v xml:space="preserve"> 9/00E</v>
          </cell>
          <cell r="BG152" t="str">
            <v xml:space="preserve"> 12/98</v>
          </cell>
          <cell r="BH152" t="str">
            <v xml:space="preserve"> 3/99</v>
          </cell>
          <cell r="BI152" t="str">
            <v xml:space="preserve"> 6/99</v>
          </cell>
          <cell r="BJ152" t="str">
            <v xml:space="preserve"> 9/99</v>
          </cell>
          <cell r="BL152" t="str">
            <v xml:space="preserve"> 12/99</v>
          </cell>
          <cell r="BM152" t="str">
            <v xml:space="preserve"> 3/00</v>
          </cell>
          <cell r="BN152" t="str">
            <v xml:space="preserve"> 6/00E</v>
          </cell>
          <cell r="BO152" t="str">
            <v xml:space="preserve"> 9/00E</v>
          </cell>
          <cell r="BQ152" t="str">
            <v xml:space="preserve"> 12/97</v>
          </cell>
          <cell r="BR152" t="str">
            <v xml:space="preserve"> 3/98</v>
          </cell>
          <cell r="BS152" t="str">
            <v xml:space="preserve"> 6/98</v>
          </cell>
          <cell r="BT152" t="str">
            <v xml:space="preserve"> 9/98</v>
          </cell>
          <cell r="BV152" t="str">
            <v xml:space="preserve"> 12/98</v>
          </cell>
          <cell r="BW152" t="str">
            <v xml:space="preserve"> 3/99</v>
          </cell>
          <cell r="BX152" t="str">
            <v xml:space="preserve"> 6/99</v>
          </cell>
          <cell r="BY152" t="str">
            <v xml:space="preserve"> 9/99</v>
          </cell>
          <cell r="CA152" t="str">
            <v xml:space="preserve"> 12/99</v>
          </cell>
          <cell r="CB152" t="str">
            <v xml:space="preserve"> 3/00</v>
          </cell>
          <cell r="CC152" t="str">
            <v xml:space="preserve"> 6/00</v>
          </cell>
          <cell r="CD152" t="str">
            <v xml:space="preserve"> 9/00</v>
          </cell>
          <cell r="CF152" t="str">
            <v xml:space="preserve"> 12/00</v>
          </cell>
          <cell r="CH152" t="str">
            <v xml:space="preserve"> 12/98</v>
          </cell>
          <cell r="CI152" t="str">
            <v xml:space="preserve"> 3/99</v>
          </cell>
          <cell r="CJ152" t="str">
            <v xml:space="preserve"> 6/99</v>
          </cell>
          <cell r="CK152" t="str">
            <v xml:space="preserve"> 9/99</v>
          </cell>
          <cell r="CM152" t="str">
            <v xml:space="preserve"> 12/99</v>
          </cell>
          <cell r="CN152" t="str">
            <v xml:space="preserve"> 3/00</v>
          </cell>
          <cell r="CO152" t="str">
            <v xml:space="preserve"> 6/00</v>
          </cell>
          <cell r="CP152" t="str">
            <v xml:space="preserve"> 9/00</v>
          </cell>
          <cell r="CR152">
            <v>36861</v>
          </cell>
          <cell r="CS152" t="str">
            <v xml:space="preserve"> 3/01</v>
          </cell>
          <cell r="CT152" t="str">
            <v xml:space="preserve"> 6/01</v>
          </cell>
          <cell r="CU152" t="str">
            <v xml:space="preserve"> 9/01</v>
          </cell>
          <cell r="CW152">
            <v>36861</v>
          </cell>
          <cell r="CX152" t="str">
            <v xml:space="preserve"> 3/01</v>
          </cell>
          <cell r="CY152" t="str">
            <v xml:space="preserve"> 6/01</v>
          </cell>
          <cell r="CZ152" t="str">
            <v xml:space="preserve"> 9/01</v>
          </cell>
          <cell r="DB152" t="str">
            <v xml:space="preserve"> 12/01</v>
          </cell>
          <cell r="DC152" t="str">
            <v xml:space="preserve"> 3/02</v>
          </cell>
          <cell r="DD152" t="str">
            <v xml:space="preserve"> 6/02</v>
          </cell>
          <cell r="DE152" t="str">
            <v xml:space="preserve"> 9/02E</v>
          </cell>
          <cell r="DG152" t="str">
            <v xml:space="preserve"> 12/02E</v>
          </cell>
          <cell r="DH152" t="str">
            <v xml:space="preserve"> 3/03E</v>
          </cell>
          <cell r="DI152" t="str">
            <v xml:space="preserve"> 6/03E</v>
          </cell>
          <cell r="DJ152" t="str">
            <v xml:space="preserve"> 9/03E</v>
          </cell>
          <cell r="DL152" t="str">
            <v xml:space="preserve"> 12/03E</v>
          </cell>
          <cell r="DM152" t="str">
            <v xml:space="preserve"> 3/04E</v>
          </cell>
          <cell r="DN152" t="str">
            <v xml:space="preserve"> 6/04E</v>
          </cell>
          <cell r="DO152" t="str">
            <v xml:space="preserve"> 9/04E</v>
          </cell>
          <cell r="DQ152" t="str">
            <v>F1991</v>
          </cell>
          <cell r="DR152" t="str">
            <v>F1992</v>
          </cell>
          <cell r="DS152" t="str">
            <v>F1993</v>
          </cell>
          <cell r="DT152" t="str">
            <v>F1994</v>
          </cell>
          <cell r="DU152" t="str">
            <v>F1995</v>
          </cell>
          <cell r="DV152" t="str">
            <v>F1996</v>
          </cell>
          <cell r="DW152" t="str">
            <v>F1997</v>
          </cell>
          <cell r="DX152" t="str">
            <v>F1996</v>
          </cell>
          <cell r="DY152" t="str">
            <v>F1997</v>
          </cell>
          <cell r="DZ152" t="str">
            <v>F1998</v>
          </cell>
          <cell r="EA152" t="str">
            <v>F1998</v>
          </cell>
          <cell r="EB152" t="str">
            <v>F1997</v>
          </cell>
          <cell r="EC152" t="str">
            <v>F1998</v>
          </cell>
          <cell r="EE152" t="str">
            <v>F1999</v>
          </cell>
          <cell r="EF152" t="str">
            <v>F2000E</v>
          </cell>
          <cell r="EH152" t="str">
            <v>F1998</v>
          </cell>
          <cell r="EI152" t="str">
            <v>F1999</v>
          </cell>
          <cell r="EK152" t="str">
            <v>F1997</v>
          </cell>
          <cell r="EL152" t="str">
            <v>F1998</v>
          </cell>
          <cell r="EM152" t="str">
            <v>F1999</v>
          </cell>
          <cell r="EN152" t="str">
            <v>F2000</v>
          </cell>
          <cell r="EP152" t="str">
            <v>F1998</v>
          </cell>
          <cell r="EQ152" t="str">
            <v>F1999</v>
          </cell>
          <cell r="ER152" t="str">
            <v>F2000</v>
          </cell>
          <cell r="ES152" t="str">
            <v>F2001</v>
          </cell>
          <cell r="ET152" t="str">
            <v>F2001</v>
          </cell>
          <cell r="EU152" t="str">
            <v>F2002E</v>
          </cell>
          <cell r="EV152" t="str">
            <v>F2003E</v>
          </cell>
          <cell r="EW152" t="str">
            <v>F2004E</v>
          </cell>
          <cell r="EY152" t="str">
            <v>C1999</v>
          </cell>
          <cell r="EZ152" t="str">
            <v>C2000</v>
          </cell>
          <cell r="FA152" t="str">
            <v>C2001</v>
          </cell>
          <cell r="FC152" t="str">
            <v>C2002</v>
          </cell>
        </row>
        <row r="154">
          <cell r="A154" t="str">
            <v>Operating Income</v>
          </cell>
          <cell r="N154">
            <v>5.3690000000000033</v>
          </cell>
          <cell r="O154">
            <v>6.2189999999999985</v>
          </cell>
          <cell r="P154">
            <v>7.1519999999999966</v>
          </cell>
          <cell r="Q154">
            <v>8.3220000000000027</v>
          </cell>
          <cell r="S154">
            <v>9.0220000000000056</v>
          </cell>
          <cell r="T154">
            <v>10.688000000000001</v>
          </cell>
          <cell r="U154">
            <v>12.061000000000002</v>
          </cell>
          <cell r="V154">
            <v>13.457999999999997</v>
          </cell>
          <cell r="X154">
            <v>15.160999999999987</v>
          </cell>
          <cell r="Y154">
            <v>16.407999999999998</v>
          </cell>
          <cell r="Z154">
            <v>17.822000000000006</v>
          </cell>
          <cell r="AA154">
            <v>19.222000000000001</v>
          </cell>
          <cell r="AH154">
            <v>24.114999999999995</v>
          </cell>
          <cell r="AI154">
            <v>26.432999999999979</v>
          </cell>
          <cell r="AJ154">
            <v>30.820000000000014</v>
          </cell>
          <cell r="AK154">
            <v>30.603999999999999</v>
          </cell>
          <cell r="AW154">
            <v>41.304000000000002</v>
          </cell>
          <cell r="AX154">
            <v>43.502999999999986</v>
          </cell>
          <cell r="AY154">
            <v>47.59499999999997</v>
          </cell>
          <cell r="AZ154">
            <v>51.531999999999975</v>
          </cell>
          <cell r="BB154">
            <v>55.154000000000025</v>
          </cell>
          <cell r="BC154">
            <v>63.90800000000003</v>
          </cell>
          <cell r="BD154">
            <v>69.418999999999997</v>
          </cell>
          <cell r="BE154">
            <v>74.274000000000001</v>
          </cell>
          <cell r="BL154">
            <v>69.521000000000029</v>
          </cell>
          <cell r="BM154">
            <v>86.788999999999959</v>
          </cell>
          <cell r="BN154">
            <v>101.88</v>
          </cell>
          <cell r="BO154">
            <v>108.625</v>
          </cell>
          <cell r="BQ154">
            <v>51.993999999999993</v>
          </cell>
          <cell r="BR154">
            <v>50.143000000000008</v>
          </cell>
          <cell r="BS154">
            <v>36.295000000000002</v>
          </cell>
          <cell r="BT154">
            <v>44.636999999999986</v>
          </cell>
          <cell r="BV154">
            <v>52.788000000000075</v>
          </cell>
          <cell r="BW154">
            <v>59.02399999999998</v>
          </cell>
          <cell r="BX154">
            <v>67.549999999999955</v>
          </cell>
          <cell r="BY154">
            <v>75.355000000000004</v>
          </cell>
          <cell r="CA154">
            <v>72.009000000000043</v>
          </cell>
          <cell r="CB154">
            <v>88.717999999999961</v>
          </cell>
          <cell r="CC154">
            <v>107.2919999999999</v>
          </cell>
          <cell r="CD154">
            <v>153.42700000000013</v>
          </cell>
          <cell r="CF154">
            <v>170.71100000000007</v>
          </cell>
          <cell r="CM154">
            <v>78.104000000000013</v>
          </cell>
          <cell r="CN154">
            <v>93.397999999999911</v>
          </cell>
          <cell r="CO154">
            <v>117.63500000000006</v>
          </cell>
          <cell r="CP154">
            <v>162.43700000000018</v>
          </cell>
          <cell r="CR154">
            <v>179.72099999999989</v>
          </cell>
          <cell r="CS154">
            <v>178.46899999999994</v>
          </cell>
          <cell r="CT154">
            <v>47.620999999999981</v>
          </cell>
          <cell r="CU154">
            <v>3.4250000000000043</v>
          </cell>
          <cell r="DB154">
            <v>35.661999999999978</v>
          </cell>
          <cell r="DC154">
            <v>14.323999999999785</v>
          </cell>
          <cell r="DD154">
            <v>29.422000000000011</v>
          </cell>
          <cell r="DE154">
            <v>30.918852808799983</v>
          </cell>
          <cell r="DG154">
            <v>41.768378079808002</v>
          </cell>
          <cell r="DH154">
            <v>39.617153423506551</v>
          </cell>
          <cell r="DI154">
            <v>55.736365612877862</v>
          </cell>
          <cell r="DJ154">
            <v>70.434456457362145</v>
          </cell>
          <cell r="DL154">
            <v>89.310532481332061</v>
          </cell>
          <cell r="DM154">
            <v>78.273953403562615</v>
          </cell>
          <cell r="DN154">
            <v>85.238361153847933</v>
          </cell>
          <cell r="DO154">
            <v>92.464127750979202</v>
          </cell>
          <cell r="DQ154">
            <v>3.1509999999999994</v>
          </cell>
          <cell r="DR154">
            <v>1.4060000000000046</v>
          </cell>
          <cell r="DS154">
            <v>11.170000000000005</v>
          </cell>
          <cell r="DT154">
            <v>16.810000000000002</v>
          </cell>
          <cell r="DU154">
            <v>27.062000000000001</v>
          </cell>
          <cell r="DV154">
            <v>45.052000000000014</v>
          </cell>
          <cell r="DW154">
            <v>68.719000000000008</v>
          </cell>
          <cell r="DX154">
            <v>55.152000000000051</v>
          </cell>
          <cell r="DY154">
            <v>79.770180000000011</v>
          </cell>
          <cell r="DZ154">
            <v>112.923</v>
          </cell>
          <cell r="EA154">
            <v>132.535</v>
          </cell>
          <cell r="EB154">
            <v>96.280999999999963</v>
          </cell>
          <cell r="EC154">
            <v>137.58000000000001</v>
          </cell>
          <cell r="EE154">
            <v>183.93399999999994</v>
          </cell>
          <cell r="EF154">
            <v>262.75500000000005</v>
          </cell>
          <cell r="EH154" t="str">
            <v xml:space="preserve"> -- </v>
          </cell>
          <cell r="EI154" t="str">
            <v xml:space="preserve"> -- </v>
          </cell>
          <cell r="EK154">
            <v>178.00299999999999</v>
          </cell>
          <cell r="EL154">
            <v>183.06900000000002</v>
          </cell>
          <cell r="EM154">
            <v>254.71700000000004</v>
          </cell>
          <cell r="EN154">
            <v>421.44600000000003</v>
          </cell>
          <cell r="EP154" t="str">
            <v>--</v>
          </cell>
          <cell r="EQ154" t="str">
            <v>--</v>
          </cell>
          <cell r="ER154">
            <v>451.57400000000018</v>
          </cell>
          <cell r="ES154">
            <v>409.23599999999982</v>
          </cell>
          <cell r="EU154">
            <v>110.32685280879976</v>
          </cell>
          <cell r="EV154">
            <v>207.55635357355459</v>
          </cell>
          <cell r="EW154">
            <v>345.2869747897218</v>
          </cell>
          <cell r="EY154" t="str">
            <v>--</v>
          </cell>
          <cell r="EZ154">
            <v>553.19100000000003</v>
          </cell>
          <cell r="FA154">
            <v>265.17699999999991</v>
          </cell>
          <cell r="FC154">
            <v>116.43323088860778</v>
          </cell>
        </row>
        <row r="155">
          <cell r="A155" t="str">
            <v>Depreciation, Amort.</v>
          </cell>
          <cell r="N155">
            <v>1</v>
          </cell>
          <cell r="O155">
            <v>1</v>
          </cell>
          <cell r="P155">
            <v>1.1000000000000001</v>
          </cell>
          <cell r="Q155">
            <v>1.6</v>
          </cell>
          <cell r="S155">
            <v>1.6</v>
          </cell>
          <cell r="T155">
            <v>2</v>
          </cell>
          <cell r="U155">
            <v>2.1</v>
          </cell>
          <cell r="V155">
            <v>2.4270000000000009</v>
          </cell>
          <cell r="X155">
            <v>2.8</v>
          </cell>
          <cell r="Y155">
            <v>3.0999999999999996</v>
          </cell>
          <cell r="Z155">
            <v>3.4</v>
          </cell>
          <cell r="AA155">
            <v>3.5780000000000003</v>
          </cell>
          <cell r="AH155">
            <v>5.6870000000000003</v>
          </cell>
          <cell r="AI155">
            <v>6.1</v>
          </cell>
          <cell r="AJ155">
            <v>6.7</v>
          </cell>
          <cell r="AK155">
            <v>7.2</v>
          </cell>
          <cell r="AW155">
            <v>11.034000000000001</v>
          </cell>
          <cell r="AX155">
            <v>10.3</v>
          </cell>
          <cell r="AY155">
            <v>10.3</v>
          </cell>
          <cell r="AZ155">
            <v>11.1</v>
          </cell>
          <cell r="BA155">
            <v>0</v>
          </cell>
          <cell r="BB155">
            <v>13.699</v>
          </cell>
          <cell r="BC155">
            <v>12.400000000000002</v>
          </cell>
          <cell r="BD155">
            <v>16.001999999999999</v>
          </cell>
          <cell r="BE155">
            <v>16.402000000000001</v>
          </cell>
          <cell r="BL155">
            <v>20</v>
          </cell>
          <cell r="BM155">
            <v>20</v>
          </cell>
          <cell r="BN155">
            <v>22</v>
          </cell>
          <cell r="BO155">
            <v>22</v>
          </cell>
          <cell r="BQ155">
            <v>20.585000000000001</v>
          </cell>
          <cell r="BR155">
            <v>27.637</v>
          </cell>
          <cell r="BS155">
            <v>30.015999999999998</v>
          </cell>
          <cell r="BT155">
            <v>29.364000000000001</v>
          </cell>
          <cell r="BV155">
            <v>32.432000000000002</v>
          </cell>
          <cell r="BW155">
            <v>31.524000000000001</v>
          </cell>
          <cell r="BX155">
            <v>31.786000000000001</v>
          </cell>
          <cell r="BY155">
            <v>33.190999999999995</v>
          </cell>
          <cell r="CA155">
            <v>35.686</v>
          </cell>
          <cell r="CB155">
            <v>36.467999999999996</v>
          </cell>
          <cell r="CC155">
            <v>39.800000000000004</v>
          </cell>
          <cell r="CD155">
            <v>41.8</v>
          </cell>
          <cell r="CF155">
            <v>55.017000000000003</v>
          </cell>
          <cell r="CM155">
            <v>30.8</v>
          </cell>
          <cell r="CN155">
            <v>37.799999999999997</v>
          </cell>
          <cell r="CO155">
            <v>51</v>
          </cell>
          <cell r="CP155">
            <v>45.599999999999994</v>
          </cell>
          <cell r="CR155">
            <v>39.799999999999997</v>
          </cell>
          <cell r="CS155">
            <v>50.1</v>
          </cell>
          <cell r="CT155">
            <v>43.89700000000002</v>
          </cell>
          <cell r="CU155">
            <v>25.670999999999992</v>
          </cell>
          <cell r="DB155">
            <v>76.099999999999994</v>
          </cell>
          <cell r="DC155">
            <v>75.65100000000001</v>
          </cell>
          <cell r="DD155">
            <v>59.274999999999999</v>
          </cell>
          <cell r="DE155">
            <v>61.414265138435717</v>
          </cell>
          <cell r="DG155">
            <v>62.760026953429715</v>
          </cell>
          <cell r="DH155">
            <v>64.403859010624174</v>
          </cell>
          <cell r="DI155">
            <v>66.348144201972289</v>
          </cell>
          <cell r="DJ155">
            <v>68.765450230276926</v>
          </cell>
          <cell r="DL155">
            <v>71.46207322079276</v>
          </cell>
          <cell r="DM155">
            <v>74.042840583381334</v>
          </cell>
          <cell r="DN155">
            <v>76.929284070547041</v>
          </cell>
          <cell r="DO155">
            <v>79.969198676609182</v>
          </cell>
          <cell r="DQ155">
            <v>4.2969999999999997</v>
          </cell>
          <cell r="DR155">
            <v>4.274</v>
          </cell>
          <cell r="DS155">
            <v>4.13</v>
          </cell>
          <cell r="DT155">
            <v>4.4029999999999996</v>
          </cell>
          <cell r="DU155">
            <v>4.6870000000000003</v>
          </cell>
          <cell r="DV155">
            <v>8.1270000000000007</v>
          </cell>
          <cell r="DW155">
            <v>12.878</v>
          </cell>
          <cell r="DX155" t="str">
            <v xml:space="preserve"> -- </v>
          </cell>
          <cell r="DY155" t="str">
            <v xml:space="preserve"> -- </v>
          </cell>
          <cell r="DZ155">
            <v>25.686999999999998</v>
          </cell>
          <cell r="EA155" t="str">
            <v xml:space="preserve"> -- </v>
          </cell>
          <cell r="EB155">
            <v>29.114000000000001</v>
          </cell>
          <cell r="EC155">
            <v>37.052</v>
          </cell>
          <cell r="EE155">
            <v>42.734000000000002</v>
          </cell>
          <cell r="EF155">
            <v>58.503</v>
          </cell>
          <cell r="EH155" t="str">
            <v xml:space="preserve"> -- </v>
          </cell>
          <cell r="EI155" t="str">
            <v xml:space="preserve"> -- </v>
          </cell>
          <cell r="EK155">
            <v>72.644999999999996</v>
          </cell>
          <cell r="EL155">
            <v>107.602</v>
          </cell>
          <cell r="EM155">
            <v>128.93299999999999</v>
          </cell>
          <cell r="EN155">
            <v>153.75400000000002</v>
          </cell>
          <cell r="EP155" t="str">
            <v>--</v>
          </cell>
          <cell r="EQ155" t="str">
            <v>--</v>
          </cell>
          <cell r="ER155">
            <v>165.2</v>
          </cell>
          <cell r="ES155">
            <v>379.685</v>
          </cell>
          <cell r="EU155">
            <v>272.44026513843573</v>
          </cell>
          <cell r="EV155">
            <v>262.27748039630313</v>
          </cell>
          <cell r="EW155">
            <v>302.40339655133027</v>
          </cell>
          <cell r="EY155" t="str">
            <v>--</v>
          </cell>
          <cell r="EZ155">
            <v>174.2</v>
          </cell>
          <cell r="FA155">
            <v>195.768</v>
          </cell>
          <cell r="FC155">
            <v>259.10029209186547</v>
          </cell>
        </row>
        <row r="156">
          <cell r="A156" t="str">
            <v>EBITDA</v>
          </cell>
          <cell r="B156" t="str">
            <v>ebitda</v>
          </cell>
          <cell r="N156">
            <v>6.3690000000000033</v>
          </cell>
          <cell r="O156">
            <v>7.2189999999999985</v>
          </cell>
          <cell r="P156">
            <v>8.2519999999999971</v>
          </cell>
          <cell r="Q156">
            <v>9.9220000000000024</v>
          </cell>
          <cell r="S156">
            <v>10.622000000000005</v>
          </cell>
          <cell r="T156">
            <v>12.688000000000001</v>
          </cell>
          <cell r="U156">
            <v>14.161000000000001</v>
          </cell>
          <cell r="V156">
            <v>15.884999999999998</v>
          </cell>
          <cell r="X156">
            <v>17.960999999999988</v>
          </cell>
          <cell r="Y156">
            <v>19.507999999999996</v>
          </cell>
          <cell r="Z156">
            <v>21.222000000000005</v>
          </cell>
          <cell r="AA156">
            <v>22.8</v>
          </cell>
          <cell r="AH156">
            <v>29.801999999999996</v>
          </cell>
          <cell r="AI156">
            <v>32.53299999999998</v>
          </cell>
          <cell r="AJ156">
            <v>37.520000000000017</v>
          </cell>
          <cell r="AK156">
            <v>37.804000000000002</v>
          </cell>
          <cell r="AW156">
            <v>52.338000000000001</v>
          </cell>
          <cell r="AX156">
            <v>53.802999999999983</v>
          </cell>
          <cell r="AY156">
            <v>57.894999999999968</v>
          </cell>
          <cell r="AZ156">
            <v>62.631999999999977</v>
          </cell>
          <cell r="BB156">
            <v>68.853000000000023</v>
          </cell>
          <cell r="BC156">
            <v>76.308000000000035</v>
          </cell>
          <cell r="BD156">
            <v>85.420999999999992</v>
          </cell>
          <cell r="BE156">
            <v>90.676000000000002</v>
          </cell>
          <cell r="BL156">
            <v>89.521000000000029</v>
          </cell>
          <cell r="BM156">
            <v>106.78899999999996</v>
          </cell>
          <cell r="BN156">
            <v>123.88</v>
          </cell>
          <cell r="BO156">
            <v>130.625</v>
          </cell>
          <cell r="BQ156">
            <v>72.578999999999994</v>
          </cell>
          <cell r="BR156">
            <v>77.78</v>
          </cell>
          <cell r="BS156">
            <v>66.311000000000007</v>
          </cell>
          <cell r="BT156">
            <v>74.000999999999991</v>
          </cell>
          <cell r="BV156">
            <v>85.220000000000084</v>
          </cell>
          <cell r="BW156">
            <v>90.547999999999973</v>
          </cell>
          <cell r="BX156">
            <v>99.335999999999956</v>
          </cell>
          <cell r="BY156">
            <v>108.54599999999999</v>
          </cell>
          <cell r="CA156">
            <v>107.69500000000005</v>
          </cell>
          <cell r="CB156">
            <v>125.18599999999995</v>
          </cell>
          <cell r="CC156">
            <v>147.0919999999999</v>
          </cell>
          <cell r="CD156">
            <v>195.22700000000015</v>
          </cell>
          <cell r="CF156">
            <v>225.72800000000007</v>
          </cell>
          <cell r="CM156">
            <v>108.90400000000001</v>
          </cell>
          <cell r="CN156">
            <v>131.19799999999992</v>
          </cell>
          <cell r="CO156">
            <v>168.63500000000005</v>
          </cell>
          <cell r="CP156">
            <v>208.03700000000018</v>
          </cell>
          <cell r="CR156">
            <v>219.5209999999999</v>
          </cell>
          <cell r="CS156">
            <v>228.56899999999993</v>
          </cell>
          <cell r="CT156">
            <v>91.518000000000001</v>
          </cell>
          <cell r="CU156">
            <v>29.095999999999997</v>
          </cell>
          <cell r="DB156">
            <v>111.76199999999997</v>
          </cell>
          <cell r="DC156">
            <v>89.974999999999795</v>
          </cell>
          <cell r="DD156">
            <v>88.697000000000003</v>
          </cell>
          <cell r="DE156">
            <v>92.333117947235706</v>
          </cell>
          <cell r="DG156">
            <v>104.52840503323772</v>
          </cell>
          <cell r="DH156">
            <v>104.02101243413072</v>
          </cell>
          <cell r="DI156">
            <v>122.08450981485015</v>
          </cell>
          <cell r="DJ156">
            <v>139.19990668763907</v>
          </cell>
          <cell r="DL156">
            <v>160.77260570212482</v>
          </cell>
          <cell r="DM156">
            <v>152.31679398694394</v>
          </cell>
          <cell r="DN156">
            <v>162.16764522439496</v>
          </cell>
          <cell r="DO156">
            <v>172.43332642758838</v>
          </cell>
          <cell r="DQ156">
            <v>7.4479999999999986</v>
          </cell>
          <cell r="DR156">
            <v>5.680000000000005</v>
          </cell>
          <cell r="DS156">
            <v>15.300000000000004</v>
          </cell>
          <cell r="DT156">
            <v>21.213000000000001</v>
          </cell>
          <cell r="DU156">
            <v>31.749000000000002</v>
          </cell>
          <cell r="DV156">
            <v>53.179000000000016</v>
          </cell>
          <cell r="DW156">
            <v>81.597000000000008</v>
          </cell>
          <cell r="DX156" t="str">
            <v xml:space="preserve"> -- </v>
          </cell>
          <cell r="DY156" t="str">
            <v xml:space="preserve"> -- </v>
          </cell>
          <cell r="DZ156">
            <v>138.61000000000001</v>
          </cell>
          <cell r="EA156" t="str">
            <v xml:space="preserve"> -- </v>
          </cell>
          <cell r="EB156">
            <v>125.39499999999997</v>
          </cell>
          <cell r="EC156">
            <v>174.63200000000001</v>
          </cell>
          <cell r="EE156">
            <v>226.66799999999992</v>
          </cell>
          <cell r="EF156">
            <v>321.25800000000004</v>
          </cell>
          <cell r="EH156" t="str">
            <v xml:space="preserve"> -- </v>
          </cell>
          <cell r="EI156" t="str">
            <v xml:space="preserve"> -- </v>
          </cell>
          <cell r="EK156">
            <v>250.64799999999997</v>
          </cell>
          <cell r="EL156">
            <v>290.67099999999999</v>
          </cell>
          <cell r="EM156">
            <v>383.65000000000003</v>
          </cell>
          <cell r="EN156">
            <v>575.20000000000005</v>
          </cell>
          <cell r="EP156" t="str">
            <v>--</v>
          </cell>
          <cell r="EQ156" t="str">
            <v>--</v>
          </cell>
          <cell r="ER156">
            <v>616.77400000000011</v>
          </cell>
          <cell r="ES156">
            <v>568.70399999999984</v>
          </cell>
          <cell r="EU156">
            <v>382.76711794723548</v>
          </cell>
          <cell r="EV156">
            <v>469.83383396985766</v>
          </cell>
          <cell r="EW156">
            <v>647.69037134105201</v>
          </cell>
          <cell r="EY156" t="str">
            <v>--</v>
          </cell>
          <cell r="EZ156">
            <v>727.39100000000008</v>
          </cell>
          <cell r="FA156">
            <v>460.94499999999994</v>
          </cell>
          <cell r="FC156">
            <v>375.53352298047326</v>
          </cell>
        </row>
        <row r="157">
          <cell r="A157" t="str">
            <v>%  Change (yr-yr)</v>
          </cell>
          <cell r="N157" t="str">
            <v xml:space="preserve">-- </v>
          </cell>
          <cell r="O157" t="str">
            <v xml:space="preserve">-- </v>
          </cell>
          <cell r="P157" t="str">
            <v xml:space="preserve">-- </v>
          </cell>
          <cell r="Q157" t="str">
            <v xml:space="preserve">-- </v>
          </cell>
          <cell r="S157">
            <v>0.66776574030460045</v>
          </cell>
          <cell r="T157">
            <v>0.75758415292976911</v>
          </cell>
          <cell r="U157">
            <v>0.71606883179835279</v>
          </cell>
          <cell r="V157">
            <v>0.60098770409191626</v>
          </cell>
          <cell r="X157">
            <v>0.69092449632837316</v>
          </cell>
          <cell r="Y157">
            <v>0.53751576292559866</v>
          </cell>
          <cell r="Z157">
            <v>0.49862297860320615</v>
          </cell>
          <cell r="AA157">
            <v>0.4353163361661947</v>
          </cell>
          <cell r="AH157" t="str">
            <v xml:space="preserve"> -- </v>
          </cell>
          <cell r="AI157" t="str">
            <v xml:space="preserve"> -- </v>
          </cell>
          <cell r="AJ157" t="str">
            <v xml:space="preserve"> -- </v>
          </cell>
          <cell r="AK157" t="str">
            <v xml:space="preserve"> -- </v>
          </cell>
          <cell r="AW157" t="str">
            <v xml:space="preserve"> -- </v>
          </cell>
          <cell r="AX157" t="str">
            <v xml:space="preserve"> -- </v>
          </cell>
          <cell r="AY157" t="str">
            <v xml:space="preserve"> -- </v>
          </cell>
          <cell r="AZ157" t="str">
            <v xml:space="preserve"> -- </v>
          </cell>
          <cell r="BB157">
            <v>0.31554511062707835</v>
          </cell>
          <cell r="BC157">
            <v>0.41828522573090821</v>
          </cell>
          <cell r="BD157">
            <v>0.47544692978668346</v>
          </cell>
          <cell r="BE157">
            <v>0.44775833439775248</v>
          </cell>
          <cell r="BF157" t="str">
            <v xml:space="preserve"> </v>
          </cell>
          <cell r="BQ157" t="str">
            <v xml:space="preserve">-- </v>
          </cell>
          <cell r="BR157" t="str">
            <v xml:space="preserve">-- </v>
          </cell>
          <cell r="BS157" t="str">
            <v xml:space="preserve">-- </v>
          </cell>
          <cell r="BT157" t="str">
            <v xml:space="preserve">-- </v>
          </cell>
          <cell r="BV157">
            <v>0.17416883671585581</v>
          </cell>
          <cell r="BW157">
            <v>0.16415530984828974</v>
          </cell>
          <cell r="BX157">
            <v>0.498032000723861</v>
          </cell>
          <cell r="BY157">
            <v>0.46681801597275729</v>
          </cell>
          <cell r="CA157">
            <v>0.2637291715559722</v>
          </cell>
          <cell r="CB157">
            <v>0.38253743870654233</v>
          </cell>
          <cell r="CC157">
            <v>0.4807521945719575</v>
          </cell>
          <cell r="CD157">
            <v>0.79856466382916147</v>
          </cell>
          <cell r="CF157">
            <v>2.2784047172962687</v>
          </cell>
          <cell r="CM157" t="str">
            <v>--</v>
          </cell>
          <cell r="CN157" t="str">
            <v>--</v>
          </cell>
          <cell r="CO157" t="str">
            <v>--</v>
          </cell>
          <cell r="CP157" t="str">
            <v>--</v>
          </cell>
          <cell r="CR157">
            <v>1.0157294497906402</v>
          </cell>
          <cell r="CS157">
            <v>0.74216832573667335</v>
          </cell>
          <cell r="CT157">
            <v>-0.45730127197794068</v>
          </cell>
          <cell r="CU157">
            <v>-0.86014026351081796</v>
          </cell>
          <cell r="DB157">
            <v>-0.49088242127176884</v>
          </cell>
          <cell r="DC157">
            <v>-0.60635519252392134</v>
          </cell>
          <cell r="DD157">
            <v>-3.0824537249502848E-2</v>
          </cell>
          <cell r="DE157" t="str">
            <v>NM</v>
          </cell>
          <cell r="DG157">
            <v>-6.4723206159179814E-2</v>
          </cell>
          <cell r="DH157">
            <v>0.15611016875944395</v>
          </cell>
          <cell r="DI157">
            <v>0.37642208659650445</v>
          </cell>
          <cell r="DJ157">
            <v>0.50758373357634978</v>
          </cell>
          <cell r="DL157">
            <v>0.53807575702511379</v>
          </cell>
          <cell r="DM157">
            <v>0.4642887088163612</v>
          </cell>
          <cell r="DN157">
            <v>0.32832285988069843</v>
          </cell>
          <cell r="DO157">
            <v>0.23874599150791265</v>
          </cell>
          <cell r="DQ157" t="str">
            <v xml:space="preserve"> -- </v>
          </cell>
          <cell r="DR157">
            <v>-0.23737916219119148</v>
          </cell>
          <cell r="DS157">
            <v>1.6936619718309842</v>
          </cell>
          <cell r="DT157">
            <v>0.3864705882352939</v>
          </cell>
          <cell r="DU157">
            <v>0.49667656625654089</v>
          </cell>
          <cell r="DV157">
            <v>0.67498188919336077</v>
          </cell>
          <cell r="DW157">
            <v>0.53438387333345849</v>
          </cell>
          <cell r="DX157" t="str">
            <v xml:space="preserve"> -- </v>
          </cell>
          <cell r="DY157" t="str">
            <v xml:space="preserve"> -- </v>
          </cell>
          <cell r="DZ157" t="str">
            <v xml:space="preserve"> -- </v>
          </cell>
          <cell r="EA157" t="str">
            <v xml:space="preserve"> -- </v>
          </cell>
          <cell r="EB157" t="str">
            <v xml:space="preserve"> -- </v>
          </cell>
          <cell r="EC157">
            <v>0.39265520953786082</v>
          </cell>
          <cell r="EE157" t="str">
            <v xml:space="preserve"> -- </v>
          </cell>
          <cell r="EF157">
            <v>0.41730636878606653</v>
          </cell>
          <cell r="EH157" t="str">
            <v xml:space="preserve"> -- </v>
          </cell>
          <cell r="EI157" t="str">
            <v xml:space="preserve"> -- </v>
          </cell>
          <cell r="EK157" t="str">
            <v xml:space="preserve">-- </v>
          </cell>
          <cell r="EL157">
            <v>0.15967811432766288</v>
          </cell>
          <cell r="EM157">
            <v>0.3198771119237902</v>
          </cell>
          <cell r="EN157">
            <v>0.4992832008340935</v>
          </cell>
          <cell r="EP157" t="str">
            <v>--</v>
          </cell>
          <cell r="EQ157" t="str">
            <v>--</v>
          </cell>
          <cell r="ER157" t="str">
            <v>--</v>
          </cell>
          <cell r="ES157">
            <v>-7.7937785963740791E-2</v>
          </cell>
          <cell r="EU157">
            <v>-0.32694843372433535</v>
          </cell>
          <cell r="EV157">
            <v>0.22746655065241095</v>
          </cell>
          <cell r="EW157">
            <v>0.37855199968975572</v>
          </cell>
          <cell r="EY157" t="str">
            <v>--</v>
          </cell>
          <cell r="EZ157" t="str">
            <v>--</v>
          </cell>
          <cell r="FA157">
            <v>-0.36630367986406231</v>
          </cell>
          <cell r="FC157">
            <v>-0.18529646057452986</v>
          </cell>
        </row>
        <row r="158">
          <cell r="A158" t="str">
            <v>EBITDA Margin</v>
          </cell>
          <cell r="B158" t="str">
            <v>ebitdapct</v>
          </cell>
          <cell r="N158">
            <v>0.18328584995251671</v>
          </cell>
          <cell r="O158">
            <v>0.18347947642648363</v>
          </cell>
          <cell r="P158">
            <v>0.18506806611496102</v>
          </cell>
          <cell r="Q158">
            <v>0.2020527023174358</v>
          </cell>
          <cell r="S158">
            <v>0.20360360360360369</v>
          </cell>
          <cell r="T158">
            <v>0.20068963335547754</v>
          </cell>
          <cell r="U158">
            <v>0.19894074344637691</v>
          </cell>
          <cell r="V158">
            <v>0.20235153244503323</v>
          </cell>
          <cell r="W158" t="str">
            <v xml:space="preserve"> </v>
          </cell>
          <cell r="X158">
            <v>0.20210874555520536</v>
          </cell>
          <cell r="Y158">
            <v>0.20173733195449839</v>
          </cell>
          <cell r="Z158">
            <v>0.20133578733658428</v>
          </cell>
          <cell r="AA158">
            <v>0.19958332603862114</v>
          </cell>
          <cell r="AH158">
            <v>0.18730791228544311</v>
          </cell>
          <cell r="AI158">
            <v>0.18898493139544331</v>
          </cell>
          <cell r="AJ158">
            <v>0.19032256428205488</v>
          </cell>
          <cell r="AK158">
            <v>0.19467632049189193</v>
          </cell>
          <cell r="AW158">
            <v>0.1899518387997082</v>
          </cell>
          <cell r="AX158">
            <v>0.19137440421142488</v>
          </cell>
          <cell r="AY158">
            <v>0.18706219143381489</v>
          </cell>
          <cell r="AZ158">
            <v>0.1796801262282148</v>
          </cell>
          <cell r="BB158">
            <v>0.14978300357853752</v>
          </cell>
          <cell r="BC158">
            <v>0.13741464257930683</v>
          </cell>
          <cell r="BD158">
            <v>0.14601880341880341</v>
          </cell>
          <cell r="BE158">
            <v>0.14864918032786886</v>
          </cell>
          <cell r="BL158">
            <v>0.12616374608561343</v>
          </cell>
          <cell r="BM158">
            <v>0.13049513831098919</v>
          </cell>
          <cell r="BN158">
            <v>0.13465217391304346</v>
          </cell>
          <cell r="BO158">
            <v>0.13397435897435897</v>
          </cell>
          <cell r="BQ158">
            <v>0.16654237389255139</v>
          </cell>
          <cell r="BR158">
            <v>0.16103186269435416</v>
          </cell>
          <cell r="BS158">
            <v>0.13275847571303301</v>
          </cell>
          <cell r="BT158">
            <v>0.14145030478305828</v>
          </cell>
          <cell r="BV158">
            <v>0.15530180158837201</v>
          </cell>
          <cell r="BW158">
            <v>0.15711055934676652</v>
          </cell>
          <cell r="BX158">
            <v>0.16429438558305845</v>
          </cell>
          <cell r="BY158">
            <v>0.16340152644176489</v>
          </cell>
          <cell r="CA158">
            <v>0.1410172305653653</v>
          </cell>
          <cell r="CB158">
            <v>0.14302933914654944</v>
          </cell>
          <cell r="CC158">
            <v>0.14699909657096705</v>
          </cell>
          <cell r="CD158">
            <v>0.15348287982741865</v>
          </cell>
          <cell r="CF158">
            <v>0.16235418166596305</v>
          </cell>
          <cell r="CM158">
            <v>0.13005714422198472</v>
          </cell>
          <cell r="CN158">
            <v>0.13834227158942081</v>
          </cell>
          <cell r="CO158">
            <v>0.15525482838051086</v>
          </cell>
          <cell r="CP158">
            <v>0.15216203544891166</v>
          </cell>
          <cell r="CR158">
            <v>0.14776877039199063</v>
          </cell>
          <cell r="CS158">
            <v>0.19189128379751125</v>
          </cell>
          <cell r="CT158">
            <v>0.11784414668002401</v>
          </cell>
          <cell r="CU158">
            <v>4.8433840432668539E-2</v>
          </cell>
          <cell r="DB158">
            <v>4.6446989415379336E-2</v>
          </cell>
          <cell r="DC158">
            <v>3.7314810091566869E-2</v>
          </cell>
          <cell r="DD158">
            <v>3.3884519790069317E-2</v>
          </cell>
          <cell r="DE158">
            <v>3.4393992794036959E-2</v>
          </cell>
          <cell r="DG158">
            <v>3.8836146139911001E-2</v>
          </cell>
          <cell r="DH158">
            <v>4.0679734014094616E-2</v>
          </cell>
          <cell r="DI158">
            <v>4.7093596540562187E-2</v>
          </cell>
          <cell r="DJ158">
            <v>5.2396118276485708E-2</v>
          </cell>
          <cell r="DL158">
            <v>5.3232123986838124E-2</v>
          </cell>
          <cell r="DM158">
            <v>5.3599003759671374E-2</v>
          </cell>
          <cell r="DN158">
            <v>5.6220780876655427E-2</v>
          </cell>
          <cell r="DO158">
            <v>5.7011794325327311E-2</v>
          </cell>
          <cell r="DQ158">
            <v>0.12651390328005296</v>
          </cell>
          <cell r="DR158">
            <v>8.725574536069812E-2</v>
          </cell>
          <cell r="DS158">
            <v>0.17293216086081792</v>
          </cell>
          <cell r="DT158">
            <v>0.18426058631921824</v>
          </cell>
          <cell r="DU158">
            <v>0.18921979390782473</v>
          </cell>
          <cell r="DV158">
            <v>0.20061793598816949</v>
          </cell>
          <cell r="DW158">
            <v>0.20136866627839256</v>
          </cell>
          <cell r="DX158" t="str">
            <v xml:space="preserve"> -- </v>
          </cell>
          <cell r="DY158" t="str">
            <v xml:space="preserve"> -- </v>
          </cell>
          <cell r="DZ158">
            <v>0.19182624508532609</v>
          </cell>
          <cell r="EA158" t="str">
            <v xml:space="preserve"> -- </v>
          </cell>
          <cell r="EB158">
            <v>0.1561457119233336</v>
          </cell>
          <cell r="EC158">
            <v>0.17607209365399606</v>
          </cell>
          <cell r="EE158">
            <v>0.18659734067424902</v>
          </cell>
          <cell r="EF158">
            <v>0.1453658081888799</v>
          </cell>
          <cell r="EH158" t="str">
            <v xml:space="preserve"> -- </v>
          </cell>
          <cell r="EI158" t="str">
            <v xml:space="preserve"> -- </v>
          </cell>
          <cell r="EK158">
            <v>0.16459560641471593</v>
          </cell>
          <cell r="EL158">
            <v>0.14971820089479326</v>
          </cell>
          <cell r="EM158">
            <v>0.1602559416670879</v>
          </cell>
          <cell r="EN158">
            <v>0.14705134193297353</v>
          </cell>
          <cell r="EP158" t="str">
            <v>--</v>
          </cell>
          <cell r="EQ158" t="str">
            <v>--</v>
          </cell>
          <cell r="ER158">
            <v>0.14549638107316129</v>
          </cell>
          <cell r="ES158">
            <v>0.14028052948559067</v>
          </cell>
          <cell r="EU158">
            <v>3.7824089571926719E-2</v>
          </cell>
          <cell r="EV158">
            <v>4.4756055565051647E-2</v>
          </cell>
          <cell r="EW158">
            <v>5.5024240065941178E-2</v>
          </cell>
          <cell r="EY158" t="str">
            <v>--</v>
          </cell>
          <cell r="EZ158" t="str">
            <v>--</v>
          </cell>
          <cell r="FA158">
            <v>9.2657774211289748E-2</v>
          </cell>
          <cell r="FC158">
            <v>3.6091773703957504E-2</v>
          </cell>
        </row>
        <row r="159">
          <cell r="A159" t="str">
            <v>EBITDA/Interest Expense</v>
          </cell>
          <cell r="N159" t="str">
            <v>NA</v>
          </cell>
          <cell r="O159" t="str">
            <v>NA</v>
          </cell>
          <cell r="P159" t="str">
            <v>NA</v>
          </cell>
          <cell r="Q159" t="str">
            <v>NA</v>
          </cell>
          <cell r="S159" t="str">
            <v>NA</v>
          </cell>
          <cell r="T159">
            <v>373.1764705882353</v>
          </cell>
          <cell r="U159">
            <v>307.84782608695656</v>
          </cell>
          <cell r="V159" t="str">
            <v>NA</v>
          </cell>
          <cell r="X159">
            <v>147.22131147540975</v>
          </cell>
          <cell r="Y159">
            <v>122.69182389937104</v>
          </cell>
          <cell r="Z159">
            <v>249.67058823529416</v>
          </cell>
          <cell r="AA159" t="str">
            <v>NA</v>
          </cell>
          <cell r="AH159">
            <v>63.273885350318466</v>
          </cell>
          <cell r="AI159" t="str">
            <v>NA</v>
          </cell>
          <cell r="AJ159">
            <v>125.90604026845644</v>
          </cell>
          <cell r="AK159">
            <v>517.8630136986302</v>
          </cell>
          <cell r="AW159" t="str">
            <v>NA</v>
          </cell>
          <cell r="AX159" t="str">
            <v>NA</v>
          </cell>
          <cell r="AY159" t="str">
            <v>NA</v>
          </cell>
          <cell r="AZ159" t="str">
            <v>NA</v>
          </cell>
          <cell r="BB159" t="str">
            <v>NA</v>
          </cell>
          <cell r="BC159" t="str">
            <v>NA</v>
          </cell>
          <cell r="BD159" t="str">
            <v>NA</v>
          </cell>
          <cell r="BE159" t="str">
            <v>NA</v>
          </cell>
          <cell r="BL159">
            <v>19.289161818573589</v>
          </cell>
          <cell r="BM159">
            <v>84.418181818181793</v>
          </cell>
          <cell r="BN159">
            <v>103.23333333333333</v>
          </cell>
          <cell r="BO159" t="str">
            <v>NA</v>
          </cell>
          <cell r="BQ159">
            <v>36.289499999999997</v>
          </cell>
          <cell r="BR159">
            <v>23.128159381504609</v>
          </cell>
          <cell r="BS159">
            <v>8.2108717186726103</v>
          </cell>
          <cell r="BT159">
            <v>9.1892462436359104</v>
          </cell>
          <cell r="BV159">
            <v>12.811184606133507</v>
          </cell>
          <cell r="BW159">
            <v>14.966611570247929</v>
          </cell>
          <cell r="BX159">
            <v>18.117089184752867</v>
          </cell>
          <cell r="BY159">
            <v>22.311613566289822</v>
          </cell>
          <cell r="CA159">
            <v>21.956167176350672</v>
          </cell>
          <cell r="CB159">
            <v>80.661082474226774</v>
          </cell>
          <cell r="CC159" t="str">
            <v>NA</v>
          </cell>
          <cell r="CD159" t="str">
            <v>NA</v>
          </cell>
          <cell r="CF159" t="str">
            <v>NA</v>
          </cell>
          <cell r="CM159">
            <v>20.386372145263948</v>
          </cell>
          <cell r="CN159">
            <v>107.62756357670214</v>
          </cell>
          <cell r="CO159">
            <v>-110.43549443352984</v>
          </cell>
          <cell r="CP159">
            <v>-134.47769877181653</v>
          </cell>
          <cell r="CR159">
            <v>-35.694471544715427</v>
          </cell>
          <cell r="CS159">
            <v>-33.426294238081297</v>
          </cell>
          <cell r="CT159">
            <v>-23.581035815511466</v>
          </cell>
          <cell r="CU159">
            <v>-11.875918367346937</v>
          </cell>
          <cell r="DB159">
            <v>4.6081721848843431</v>
          </cell>
          <cell r="DC159">
            <v>4.0681376316860236</v>
          </cell>
          <cell r="DD159">
            <v>3.5760593476595575</v>
          </cell>
          <cell r="DE159">
            <v>3.5512737672013732</v>
          </cell>
          <cell r="DG159">
            <v>4.0203232705091434</v>
          </cell>
          <cell r="DH159">
            <v>4.1608404973652293</v>
          </cell>
          <cell r="DI159">
            <v>4.883380392594006</v>
          </cell>
          <cell r="DJ159">
            <v>5.799996111984961</v>
          </cell>
          <cell r="DL159">
            <v>6.6988585709218675</v>
          </cell>
          <cell r="DM159">
            <v>6.3465330827893309</v>
          </cell>
          <cell r="DN159">
            <v>6.7569852176831233</v>
          </cell>
          <cell r="DO159">
            <v>7.184721934482849</v>
          </cell>
          <cell r="DQ159">
            <v>1.5840068056146317</v>
          </cell>
          <cell r="DR159">
            <v>1.450459652706845</v>
          </cell>
          <cell r="DS159">
            <v>6.0283687943262434</v>
          </cell>
          <cell r="DT159" t="str">
            <v>NA</v>
          </cell>
          <cell r="DU159" t="str">
            <v>NA</v>
          </cell>
          <cell r="DV159" t="str">
            <v>NA</v>
          </cell>
          <cell r="DW159">
            <v>357.88157894736838</v>
          </cell>
          <cell r="DX159" t="str">
            <v xml:space="preserve"> -- </v>
          </cell>
          <cell r="DY159" t="str">
            <v xml:space="preserve"> -- </v>
          </cell>
          <cell r="DZ159">
            <v>201.46802325581399</v>
          </cell>
          <cell r="EA159" t="str">
            <v xml:space="preserve"> -- </v>
          </cell>
          <cell r="EB159">
            <v>74.154346540508556</v>
          </cell>
          <cell r="EC159">
            <v>642.02941176470586</v>
          </cell>
          <cell r="EE159" t="str">
            <v>NA</v>
          </cell>
          <cell r="EF159" t="str">
            <v>NA</v>
          </cell>
          <cell r="EH159" t="str">
            <v xml:space="preserve"> -- </v>
          </cell>
          <cell r="EI159" t="str">
            <v xml:space="preserve"> -- </v>
          </cell>
          <cell r="EK159">
            <v>25.173044089585211</v>
          </cell>
          <cell r="EL159">
            <v>13.524613809789688</v>
          </cell>
          <cell r="EM159">
            <v>16.64425162689805</v>
          </cell>
          <cell r="EN159">
            <v>528.19100091827352</v>
          </cell>
          <cell r="EP159" t="str">
            <v>--</v>
          </cell>
          <cell r="EQ159" t="str">
            <v>--</v>
          </cell>
          <cell r="ER159">
            <v>176.8781187266992</v>
          </cell>
          <cell r="ES159">
            <v>-29.43754852735648</v>
          </cell>
          <cell r="EU159">
            <v>3.9390274865161667</v>
          </cell>
          <cell r="EV159">
            <v>4.6983383396985765</v>
          </cell>
          <cell r="EW159">
            <v>6.7467747014692918</v>
          </cell>
          <cell r="EY159" t="str">
            <v>--</v>
          </cell>
          <cell r="EZ159" t="str">
            <v>--</v>
          </cell>
          <cell r="FA159">
            <v>41.586521111512084</v>
          </cell>
          <cell r="FC159">
            <v>3.7963356548774088</v>
          </cell>
        </row>
        <row r="161">
          <cell r="A161" t="str">
            <v>CFO/Net Income</v>
          </cell>
          <cell r="D161" t="str">
            <v>NM</v>
          </cell>
          <cell r="E161" t="str">
            <v>NM</v>
          </cell>
          <cell r="F161">
            <v>1.3873473917869052</v>
          </cell>
          <cell r="G161">
            <v>0.98425196850393726</v>
          </cell>
          <cell r="I161">
            <v>1.0222709017889731</v>
          </cell>
          <cell r="J161">
            <v>0.68991950939057101</v>
          </cell>
          <cell r="K161">
            <v>1.1917659804983747</v>
          </cell>
          <cell r="L161">
            <v>1.3013013013013017</v>
          </cell>
          <cell r="N161">
            <v>1.1134517002708384</v>
          </cell>
          <cell r="O161">
            <v>1.0319917440660478</v>
          </cell>
          <cell r="P161" t="str">
            <v>NM</v>
          </cell>
          <cell r="Q161">
            <v>0.84582852748942683</v>
          </cell>
          <cell r="S161">
            <v>0.54510286618603787</v>
          </cell>
          <cell r="T161">
            <v>0.74186222558667692</v>
          </cell>
          <cell r="U161">
            <v>1.3687600644122377</v>
          </cell>
          <cell r="V161">
            <v>1.0178421745898698</v>
          </cell>
          <cell r="X161">
            <v>1.0464355788096811</v>
          </cell>
          <cell r="Y161">
            <v>1.1701805709674167</v>
          </cell>
          <cell r="Z161">
            <v>1.0351201478743062</v>
          </cell>
          <cell r="AA161">
            <v>1.3463622815336673</v>
          </cell>
          <cell r="AH161">
            <v>1.7650263688279031</v>
          </cell>
          <cell r="AI161">
            <v>0.51561666567889597</v>
          </cell>
          <cell r="AJ161">
            <v>1.1970486559001075</v>
          </cell>
          <cell r="AK161" t="str">
            <v>NM</v>
          </cell>
          <cell r="AW161">
            <v>0.61154333273023331</v>
          </cell>
          <cell r="AX161">
            <v>0.92103433894063724</v>
          </cell>
          <cell r="AY161">
            <v>0.88017024278348155</v>
          </cell>
          <cell r="AZ161">
            <v>1.2921562307714856</v>
          </cell>
          <cell r="BB161">
            <v>-0.94639106886260571</v>
          </cell>
          <cell r="BC161">
            <v>0.60578455932589359</v>
          </cell>
          <cell r="BD161" t="str">
            <v xml:space="preserve">-- </v>
          </cell>
          <cell r="BE161" t="str">
            <v xml:space="preserve">-- </v>
          </cell>
          <cell r="CA161" t="str">
            <v xml:space="preserve">-- </v>
          </cell>
          <cell r="CB161" t="str">
            <v xml:space="preserve">-- </v>
          </cell>
          <cell r="CC161">
            <v>0.11267054700212809</v>
          </cell>
          <cell r="CD161">
            <v>0.65899215387466703</v>
          </cell>
          <cell r="CF161" t="str">
            <v xml:space="preserve">-- </v>
          </cell>
          <cell r="CM161" t="str">
            <v>--</v>
          </cell>
          <cell r="CN161" t="str">
            <v>--</v>
          </cell>
          <cell r="CO161" t="str">
            <v>--</v>
          </cell>
          <cell r="CP161" t="str">
            <v>--</v>
          </cell>
          <cell r="CR161" t="str">
            <v>--</v>
          </cell>
          <cell r="CS161">
            <v>0.82513708764905613</v>
          </cell>
          <cell r="CT161" t="str">
            <v>NM</v>
          </cell>
          <cell r="CU161" t="str">
            <v>NM</v>
          </cell>
          <cell r="DB161" t="str">
            <v>NM</v>
          </cell>
          <cell r="DC161" t="str">
            <v>NM</v>
          </cell>
          <cell r="DD161" t="str">
            <v>NM</v>
          </cell>
          <cell r="DE161" t="str">
            <v>NM</v>
          </cell>
          <cell r="DG161" t="str">
            <v>NM</v>
          </cell>
          <cell r="DH161" t="str">
            <v>NM</v>
          </cell>
          <cell r="DI161" t="str">
            <v>NM</v>
          </cell>
          <cell r="DJ161" t="str">
            <v>NM</v>
          </cell>
          <cell r="DL161">
            <v>-0.7494231091386816</v>
          </cell>
          <cell r="DM161" t="str">
            <v>NM</v>
          </cell>
          <cell r="DN161" t="str">
            <v>NM</v>
          </cell>
          <cell r="DO161">
            <v>1.5821239552363964</v>
          </cell>
          <cell r="DQ161" t="str">
            <v>NM</v>
          </cell>
          <cell r="DR161" t="str">
            <v>NM</v>
          </cell>
          <cell r="DS161" t="e">
            <v>#REF!</v>
          </cell>
          <cell r="DT161" t="e">
            <v>#REF!</v>
          </cell>
          <cell r="DU161" t="e">
            <v>#REF!</v>
          </cell>
          <cell r="DV161" t="e">
            <v>#REF!</v>
          </cell>
          <cell r="DW161" t="e">
            <v>#REF!</v>
          </cell>
          <cell r="DX161" t="e">
            <v>#REF!</v>
          </cell>
          <cell r="DY161" t="e">
            <v>#REF!</v>
          </cell>
          <cell r="DZ161" t="e">
            <v>#REF!</v>
          </cell>
          <cell r="EB161" t="e">
            <v>#REF!</v>
          </cell>
          <cell r="EC161" t="e">
            <v>#REF!</v>
          </cell>
          <cell r="EE161" t="e">
            <v>#REF!</v>
          </cell>
          <cell r="EF161" t="str">
            <v xml:space="preserve"> -- </v>
          </cell>
          <cell r="EH161" t="str">
            <v xml:space="preserve"> -- </v>
          </cell>
          <cell r="EI161" t="str">
            <v xml:space="preserve"> -- </v>
          </cell>
          <cell r="EK161" t="e">
            <v>#REF!</v>
          </cell>
          <cell r="EL161" t="e">
            <v>#REF!</v>
          </cell>
          <cell r="EM161" t="e">
            <v>#REF!</v>
          </cell>
          <cell r="EN161" t="e">
            <v>#REF!</v>
          </cell>
          <cell r="EP161" t="str">
            <v>--</v>
          </cell>
          <cell r="EQ161" t="str">
            <v>--</v>
          </cell>
          <cell r="ER161">
            <v>0.32176413705510476</v>
          </cell>
          <cell r="ES161">
            <v>1.5071146793983965</v>
          </cell>
          <cell r="EU161" t="str">
            <v>NM</v>
          </cell>
          <cell r="EV161" t="str">
            <v>NM</v>
          </cell>
          <cell r="EW161">
            <v>1.9999732683348468</v>
          </cell>
        </row>
        <row r="163">
          <cell r="A163" t="str">
            <v>Employees</v>
          </cell>
          <cell r="DT163">
            <v>727</v>
          </cell>
          <cell r="DU163">
            <v>1039</v>
          </cell>
          <cell r="DV163">
            <v>1726</v>
          </cell>
          <cell r="DW163">
            <v>2522</v>
          </cell>
          <cell r="DX163" t="str">
            <v xml:space="preserve"> -- </v>
          </cell>
          <cell r="DY163" t="str">
            <v xml:space="preserve"> -- </v>
          </cell>
          <cell r="DZ163">
            <v>4005</v>
          </cell>
          <cell r="EA163" t="str">
            <v xml:space="preserve"> -- </v>
          </cell>
          <cell r="EB163" t="str">
            <v xml:space="preserve"> -- </v>
          </cell>
          <cell r="EC163" t="str">
            <v xml:space="preserve"> -- </v>
          </cell>
          <cell r="EE163">
            <v>7220</v>
          </cell>
        </row>
        <row r="164">
          <cell r="A164" t="str">
            <v>Sales/Employee</v>
          </cell>
          <cell r="DT164">
            <v>158.35625859697387</v>
          </cell>
          <cell r="DU164">
            <v>161.49085659287778</v>
          </cell>
          <cell r="DV164">
            <v>153.57821552723061</v>
          </cell>
          <cell r="DW164">
            <v>160.6708961141951</v>
          </cell>
          <cell r="DX164" t="str">
            <v xml:space="preserve"> -- </v>
          </cell>
          <cell r="DY164" t="str">
            <v xml:space="preserve"> -- </v>
          </cell>
          <cell r="DZ164">
            <v>180.41972534332086</v>
          </cell>
          <cell r="EA164" t="str">
            <v xml:space="preserve"> -- </v>
          </cell>
          <cell r="EB164" t="str">
            <v xml:space="preserve"> -- </v>
          </cell>
          <cell r="EC164" t="str">
            <v xml:space="preserve"> -- </v>
          </cell>
          <cell r="EE164">
            <v>168.24709141274238</v>
          </cell>
        </row>
        <row r="167">
          <cell r="A167" t="str">
            <v>Sanmina-SCI Corp.</v>
          </cell>
        </row>
        <row r="168">
          <cell r="A168" t="str">
            <v>Revenue by Industry Sector</v>
          </cell>
        </row>
        <row r="169">
          <cell r="AD169" t="str">
            <v>F1997</v>
          </cell>
          <cell r="AN169" t="str">
            <v>F1998</v>
          </cell>
          <cell r="AS169" t="str">
            <v>F1998</v>
          </cell>
          <cell r="BG169" t="str">
            <v>F1999</v>
          </cell>
          <cell r="BL169" t="str">
            <v>F2000E</v>
          </cell>
          <cell r="BQ169" t="str">
            <v>F1998</v>
          </cell>
          <cell r="BV169" t="str">
            <v>F1999</v>
          </cell>
          <cell r="CA169" t="str">
            <v>F2000</v>
          </cell>
          <cell r="CF169" t="str">
            <v>Sanmina Only</v>
          </cell>
          <cell r="CH169" t="str">
            <v>F1999</v>
          </cell>
          <cell r="CM169" t="str">
            <v>F2000</v>
          </cell>
          <cell r="CW169" t="str">
            <v>F2001</v>
          </cell>
          <cell r="DX169" t="str">
            <v xml:space="preserve"> </v>
          </cell>
          <cell r="EA169" t="str">
            <v>Proforma</v>
          </cell>
          <cell r="EB169" t="str">
            <v>Proforma for Altron</v>
          </cell>
          <cell r="EE169" t="str">
            <v xml:space="preserve"> </v>
          </cell>
          <cell r="EN169" t="str">
            <v>SANM</v>
          </cell>
          <cell r="ER169" t="str">
            <v xml:space="preserve"> </v>
          </cell>
          <cell r="ET169" t="str">
            <v>Proforma</v>
          </cell>
        </row>
        <row r="170">
          <cell r="D170" t="str">
            <v>F1993</v>
          </cell>
          <cell r="I170" t="str">
            <v>F1994</v>
          </cell>
          <cell r="N170" t="str">
            <v>F1995</v>
          </cell>
          <cell r="S170" t="str">
            <v>F1996</v>
          </cell>
          <cell r="X170" t="str">
            <v>F1997</v>
          </cell>
          <cell r="AD170" t="str">
            <v xml:space="preserve"> Proforma for Elexsys Acquisition</v>
          </cell>
          <cell r="AH170" t="str">
            <v>F1998</v>
          </cell>
          <cell r="AM170" t="str">
            <v xml:space="preserve"> Pro forma for Altron</v>
          </cell>
          <cell r="AR170" t="str">
            <v xml:space="preserve"> Pro forma for Manu-Tronics / Altron</v>
          </cell>
          <cell r="AW170" t="str">
            <v>F1999</v>
          </cell>
          <cell r="BB170" t="str">
            <v>F2000E</v>
          </cell>
          <cell r="BG170" t="str">
            <v xml:space="preserve"> Pro forma for Hadco</v>
          </cell>
          <cell r="BL170" t="str">
            <v xml:space="preserve"> Pro forma for Hadco</v>
          </cell>
          <cell r="BQ170" t="str">
            <v xml:space="preserve"> Pro forma for Hadco / Essex</v>
          </cell>
          <cell r="BV170" t="str">
            <v xml:space="preserve"> Pro forma for Hadco / Essex</v>
          </cell>
          <cell r="CA170" t="str">
            <v xml:space="preserve"> Pro forma for Hadco / Essex</v>
          </cell>
          <cell r="CF170" t="str">
            <v>F2001</v>
          </cell>
          <cell r="CH170" t="str">
            <v xml:space="preserve"> Pro forma for Segerstrom</v>
          </cell>
          <cell r="CM170" t="str">
            <v xml:space="preserve"> Pro forma for Segerstrom</v>
          </cell>
          <cell r="CR170" t="str">
            <v>F2001</v>
          </cell>
          <cell r="CW170" t="str">
            <v xml:space="preserve"> Pro forma for SCI Systems</v>
          </cell>
          <cell r="DC170" t="str">
            <v>F2002E</v>
          </cell>
          <cell r="DH170" t="str">
            <v>F2003E</v>
          </cell>
          <cell r="DM170" t="str">
            <v>F2004E</v>
          </cell>
          <cell r="DT170" t="str">
            <v xml:space="preserve"> </v>
          </cell>
          <cell r="DU170" t="str">
            <v xml:space="preserve"> </v>
          </cell>
          <cell r="DX170" t="str">
            <v>Proforma for Elexsys</v>
          </cell>
          <cell r="DZ170" t="str">
            <v xml:space="preserve"> </v>
          </cell>
          <cell r="EA170" t="str">
            <v>Altron</v>
          </cell>
          <cell r="EB170" t="str">
            <v xml:space="preserve">   and Manu-Tronics</v>
          </cell>
          <cell r="EE170" t="str">
            <v xml:space="preserve">                SANM ONLY</v>
          </cell>
          <cell r="EH170" t="str">
            <v xml:space="preserve"> Proforma for Hadco</v>
          </cell>
          <cell r="EJ170" t="str">
            <v xml:space="preserve"> </v>
          </cell>
          <cell r="EK170" t="str">
            <v>Proforma for Hadco / Essex</v>
          </cell>
          <cell r="EN170" t="str">
            <v>Only</v>
          </cell>
          <cell r="EP170" t="str">
            <v>Proforma for Segerstrom</v>
          </cell>
          <cell r="ET170" t="str">
            <v>for SCI</v>
          </cell>
          <cell r="FA170" t="str">
            <v>Unrestated</v>
          </cell>
        </row>
        <row r="171">
          <cell r="D171">
            <v>33939</v>
          </cell>
          <cell r="E171">
            <v>34029</v>
          </cell>
          <cell r="F171" t="str">
            <v xml:space="preserve"> 6/93</v>
          </cell>
          <cell r="G171">
            <v>34213</v>
          </cell>
          <cell r="I171">
            <v>34304</v>
          </cell>
          <cell r="J171">
            <v>34394</v>
          </cell>
          <cell r="K171">
            <v>34486</v>
          </cell>
          <cell r="L171">
            <v>34578</v>
          </cell>
          <cell r="N171">
            <v>34669</v>
          </cell>
          <cell r="O171">
            <v>34759</v>
          </cell>
          <cell r="P171">
            <v>34851</v>
          </cell>
          <cell r="Q171">
            <v>34943</v>
          </cell>
          <cell r="S171">
            <v>35034</v>
          </cell>
          <cell r="T171">
            <v>35125</v>
          </cell>
          <cell r="U171">
            <v>35217</v>
          </cell>
          <cell r="V171">
            <v>35309</v>
          </cell>
          <cell r="X171">
            <v>35400</v>
          </cell>
          <cell r="Y171">
            <v>35490</v>
          </cell>
          <cell r="Z171">
            <v>35582</v>
          </cell>
          <cell r="AA171">
            <v>35674</v>
          </cell>
          <cell r="AC171">
            <v>35400</v>
          </cell>
          <cell r="AD171" t="str">
            <v xml:space="preserve">  3/97</v>
          </cell>
          <cell r="AE171" t="str">
            <v xml:space="preserve"> 6/97</v>
          </cell>
          <cell r="AF171" t="str">
            <v xml:space="preserve"> 9/97</v>
          </cell>
          <cell r="AH171" t="str">
            <v xml:space="preserve"> 12/97</v>
          </cell>
          <cell r="AI171" t="str">
            <v xml:space="preserve"> 3/98</v>
          </cell>
          <cell r="AJ171" t="str">
            <v xml:space="preserve"> 6/98</v>
          </cell>
          <cell r="AK171" t="str">
            <v xml:space="preserve"> 9/98</v>
          </cell>
          <cell r="AM171" t="str">
            <v xml:space="preserve"> 12/97</v>
          </cell>
          <cell r="AN171" t="str">
            <v xml:space="preserve"> 3/98</v>
          </cell>
          <cell r="AO171" t="str">
            <v xml:space="preserve"> 6/98</v>
          </cell>
          <cell r="AP171" t="str">
            <v xml:space="preserve"> 9/98</v>
          </cell>
          <cell r="AR171" t="str">
            <v xml:space="preserve"> 12/97</v>
          </cell>
          <cell r="AS171" t="str">
            <v xml:space="preserve"> 3/98</v>
          </cell>
          <cell r="AT171" t="str">
            <v xml:space="preserve"> 6/98</v>
          </cell>
          <cell r="AU171" t="str">
            <v xml:space="preserve"> 9/98</v>
          </cell>
          <cell r="AW171" t="str">
            <v xml:space="preserve"> 12/98</v>
          </cell>
          <cell r="AX171" t="str">
            <v xml:space="preserve"> 3/99</v>
          </cell>
          <cell r="AY171" t="str">
            <v xml:space="preserve"> 6/99</v>
          </cell>
          <cell r="AZ171" t="str">
            <v xml:space="preserve"> 9/99</v>
          </cell>
          <cell r="BB171" t="str">
            <v xml:space="preserve"> 12/99</v>
          </cell>
          <cell r="BC171" t="str">
            <v xml:space="preserve"> 3/00</v>
          </cell>
          <cell r="BD171" t="str">
            <v xml:space="preserve"> 6/00E</v>
          </cell>
          <cell r="BE171" t="str">
            <v xml:space="preserve"> 9/00E</v>
          </cell>
          <cell r="BG171" t="str">
            <v xml:space="preserve"> 12/98</v>
          </cell>
          <cell r="BH171" t="str">
            <v xml:space="preserve"> 3/99</v>
          </cell>
          <cell r="BI171" t="str">
            <v xml:space="preserve"> 6/99</v>
          </cell>
          <cell r="BJ171" t="str">
            <v xml:space="preserve"> 9/99</v>
          </cell>
          <cell r="BL171" t="str">
            <v xml:space="preserve"> 12/99</v>
          </cell>
          <cell r="BM171" t="str">
            <v xml:space="preserve"> 3/00</v>
          </cell>
          <cell r="BN171" t="str">
            <v xml:space="preserve"> 6/00E</v>
          </cell>
          <cell r="BO171" t="str">
            <v xml:space="preserve"> 9/00E</v>
          </cell>
          <cell r="BQ171" t="str">
            <v xml:space="preserve"> 12/97</v>
          </cell>
          <cell r="BR171" t="str">
            <v xml:space="preserve"> 3/98</v>
          </cell>
          <cell r="BS171" t="str">
            <v xml:space="preserve"> 6/98</v>
          </cell>
          <cell r="BT171" t="str">
            <v xml:space="preserve"> 9/98</v>
          </cell>
          <cell r="BV171" t="str">
            <v xml:space="preserve"> 12/98</v>
          </cell>
          <cell r="BW171" t="str">
            <v xml:space="preserve"> 3/99</v>
          </cell>
          <cell r="BX171" t="str">
            <v xml:space="preserve"> 6/99</v>
          </cell>
          <cell r="BY171" t="str">
            <v xml:space="preserve"> 9/99</v>
          </cell>
          <cell r="CA171" t="str">
            <v xml:space="preserve"> 12/99</v>
          </cell>
          <cell r="CB171" t="str">
            <v xml:space="preserve"> 3/00</v>
          </cell>
          <cell r="CC171" t="str">
            <v xml:space="preserve"> 6/00</v>
          </cell>
          <cell r="CD171" t="str">
            <v xml:space="preserve"> 9/00</v>
          </cell>
          <cell r="CF171" t="str">
            <v xml:space="preserve"> 12/00</v>
          </cell>
          <cell r="CH171" t="str">
            <v xml:space="preserve"> 12/98</v>
          </cell>
          <cell r="CI171" t="str">
            <v xml:space="preserve"> 3/99</v>
          </cell>
          <cell r="CJ171" t="str">
            <v xml:space="preserve"> 6/99</v>
          </cell>
          <cell r="CK171" t="str">
            <v xml:space="preserve"> 9/99</v>
          </cell>
          <cell r="CM171" t="str">
            <v xml:space="preserve"> 12/99</v>
          </cell>
          <cell r="CN171" t="str">
            <v xml:space="preserve"> 3/00</v>
          </cell>
          <cell r="CO171" t="str">
            <v xml:space="preserve"> 6/00</v>
          </cell>
          <cell r="CP171" t="str">
            <v xml:space="preserve"> 9/00</v>
          </cell>
          <cell r="CR171">
            <v>36861</v>
          </cell>
          <cell r="CS171" t="str">
            <v xml:space="preserve"> 3/01</v>
          </cell>
          <cell r="CT171" t="str">
            <v xml:space="preserve"> 6/01</v>
          </cell>
          <cell r="CU171" t="str">
            <v xml:space="preserve"> 9/01</v>
          </cell>
          <cell r="CW171">
            <v>36861</v>
          </cell>
          <cell r="CX171" t="str">
            <v xml:space="preserve"> 3/01</v>
          </cell>
          <cell r="CY171" t="str">
            <v xml:space="preserve"> 6/01</v>
          </cell>
          <cell r="CZ171" t="str">
            <v xml:space="preserve"> 9/01</v>
          </cell>
          <cell r="DB171" t="str">
            <v xml:space="preserve"> 12/01</v>
          </cell>
          <cell r="DC171" t="str">
            <v xml:space="preserve"> 3/02</v>
          </cell>
          <cell r="DD171" t="str">
            <v xml:space="preserve"> 6/02</v>
          </cell>
          <cell r="DE171" t="str">
            <v xml:space="preserve"> 9/02E</v>
          </cell>
          <cell r="DG171" t="str">
            <v xml:space="preserve"> 12/02E</v>
          </cell>
          <cell r="DH171" t="str">
            <v xml:space="preserve"> 3/03E</v>
          </cell>
          <cell r="DI171" t="str">
            <v xml:space="preserve"> 6/03E</v>
          </cell>
          <cell r="DJ171" t="str">
            <v xml:space="preserve"> 9/03E</v>
          </cell>
          <cell r="DL171" t="str">
            <v xml:space="preserve"> 12/03E</v>
          </cell>
          <cell r="DM171" t="str">
            <v xml:space="preserve"> 3/04E</v>
          </cell>
          <cell r="DN171" t="str">
            <v xml:space="preserve"> 6/04E</v>
          </cell>
          <cell r="DO171" t="str">
            <v xml:space="preserve"> 9/04E</v>
          </cell>
          <cell r="DQ171" t="str">
            <v>F1991</v>
          </cell>
          <cell r="DR171" t="str">
            <v>F1992</v>
          </cell>
          <cell r="DS171" t="str">
            <v>F1993</v>
          </cell>
          <cell r="DT171" t="str">
            <v>F1994</v>
          </cell>
          <cell r="DU171" t="str">
            <v>F1995</v>
          </cell>
          <cell r="DV171" t="str">
            <v>F1996</v>
          </cell>
          <cell r="DW171" t="str">
            <v>F1997</v>
          </cell>
          <cell r="DX171" t="str">
            <v>F1996</v>
          </cell>
          <cell r="DY171" t="str">
            <v>F1997</v>
          </cell>
          <cell r="DZ171" t="str">
            <v>F1998</v>
          </cell>
          <cell r="EA171" t="str">
            <v>F1998</v>
          </cell>
          <cell r="EB171" t="str">
            <v>F1997</v>
          </cell>
          <cell r="EC171" t="str">
            <v>F1998</v>
          </cell>
          <cell r="EE171" t="str">
            <v>F1999</v>
          </cell>
          <cell r="EF171" t="str">
            <v>F2000E</v>
          </cell>
          <cell r="EH171" t="str">
            <v>F1998</v>
          </cell>
          <cell r="EI171" t="str">
            <v>F1999</v>
          </cell>
          <cell r="EK171" t="str">
            <v>F1997</v>
          </cell>
          <cell r="EL171" t="str">
            <v>F1998</v>
          </cell>
          <cell r="EM171" t="str">
            <v>F1999</v>
          </cell>
          <cell r="EN171" t="str">
            <v>F2000</v>
          </cell>
          <cell r="EP171" t="str">
            <v>F1998</v>
          </cell>
          <cell r="EQ171" t="str">
            <v>F1999</v>
          </cell>
          <cell r="ER171" t="str">
            <v>F2000</v>
          </cell>
          <cell r="ES171" t="str">
            <v>F2001</v>
          </cell>
          <cell r="ET171" t="str">
            <v>F2001</v>
          </cell>
          <cell r="EU171" t="str">
            <v>F2002E</v>
          </cell>
          <cell r="EV171" t="str">
            <v>F2003E</v>
          </cell>
          <cell r="EW171" t="str">
            <v>F2004E</v>
          </cell>
          <cell r="EY171" t="str">
            <v>C1999</v>
          </cell>
          <cell r="EZ171" t="str">
            <v>C2000</v>
          </cell>
          <cell r="FA171" t="str">
            <v>C2001</v>
          </cell>
          <cell r="FC171" t="str">
            <v>C2002</v>
          </cell>
        </row>
        <row r="173">
          <cell r="A173" t="str">
            <v>Revenues</v>
          </cell>
          <cell r="D173">
            <v>20.379000000000001</v>
          </cell>
          <cell r="E173">
            <v>21.321000000000002</v>
          </cell>
          <cell r="F173">
            <v>22.06</v>
          </cell>
          <cell r="G173">
            <v>24.713999999999999</v>
          </cell>
          <cell r="I173">
            <v>28.042000000000002</v>
          </cell>
          <cell r="J173">
            <v>27.885000000000002</v>
          </cell>
          <cell r="K173">
            <v>28.898</v>
          </cell>
          <cell r="L173">
            <v>30.3</v>
          </cell>
          <cell r="N173">
            <v>34.749000000000002</v>
          </cell>
          <cell r="O173">
            <v>39.344999999999999</v>
          </cell>
          <cell r="P173">
            <v>44.588999999999999</v>
          </cell>
          <cell r="Q173">
            <v>49.106000000000002</v>
          </cell>
          <cell r="S173">
            <v>52.17</v>
          </cell>
          <cell r="T173">
            <v>63.222000000000001</v>
          </cell>
          <cell r="U173">
            <v>71.182000000000002</v>
          </cell>
          <cell r="V173">
            <v>78.501999999999995</v>
          </cell>
          <cell r="X173">
            <v>88.867999999999995</v>
          </cell>
          <cell r="Y173">
            <v>96.7</v>
          </cell>
          <cell r="Z173">
            <v>105.40600000000001</v>
          </cell>
          <cell r="AA173">
            <v>114.238</v>
          </cell>
          <cell r="AC173">
            <v>125.17400000000001</v>
          </cell>
          <cell r="AD173">
            <v>133.82300000000001</v>
          </cell>
          <cell r="AE173">
            <v>150.19800000000001</v>
          </cell>
          <cell r="AF173">
            <v>160.59200000000001</v>
          </cell>
          <cell r="AH173">
            <v>159.107</v>
          </cell>
          <cell r="AI173">
            <v>172.14599999999999</v>
          </cell>
          <cell r="AJ173">
            <v>197.13900000000001</v>
          </cell>
          <cell r="AK173">
            <v>194.18899999999999</v>
          </cell>
          <cell r="AM173">
            <v>206.26599999999999</v>
          </cell>
          <cell r="AN173">
            <v>222.714</v>
          </cell>
          <cell r="AO173">
            <v>248.803</v>
          </cell>
          <cell r="AP173">
            <v>246.005</v>
          </cell>
          <cell r="AR173">
            <v>220.67099999999999</v>
          </cell>
          <cell r="AS173">
            <v>240.886</v>
          </cell>
          <cell r="AT173">
            <v>267.61700000000002</v>
          </cell>
          <cell r="AU173">
            <v>262.64699999999999</v>
          </cell>
          <cell r="AW173">
            <v>275.53300000000002</v>
          </cell>
          <cell r="AX173">
            <v>281.14</v>
          </cell>
          <cell r="AY173">
            <v>309.49599999999998</v>
          </cell>
          <cell r="AZ173">
            <v>348.57499999999999</v>
          </cell>
          <cell r="BB173">
            <v>459.685</v>
          </cell>
          <cell r="BC173">
            <v>555.31200000000001</v>
          </cell>
          <cell r="BV173">
            <v>548.73800000000006</v>
          </cell>
          <cell r="BW173">
            <v>576.33299999999997</v>
          </cell>
          <cell r="BX173">
            <v>604.62199999999996</v>
          </cell>
          <cell r="BY173">
            <v>664.29</v>
          </cell>
          <cell r="CA173">
            <v>763.70100000000002</v>
          </cell>
          <cell r="CB173">
            <v>875.24699999999996</v>
          </cell>
          <cell r="CC173">
            <v>1000.6319999999999</v>
          </cell>
          <cell r="CD173">
            <v>1271.979</v>
          </cell>
          <cell r="CF173">
            <v>1390.3430000000001</v>
          </cell>
          <cell r="CH173">
            <v>603.37900000000002</v>
          </cell>
          <cell r="CI173">
            <v>627.72299999999996</v>
          </cell>
          <cell r="CJ173">
            <v>658.48400000000004</v>
          </cell>
          <cell r="CK173">
            <v>730.99199999999996</v>
          </cell>
          <cell r="CM173">
            <v>837.35500000000002</v>
          </cell>
          <cell r="CN173">
            <v>948.35799999999995</v>
          </cell>
          <cell r="CO173">
            <v>1086.182</v>
          </cell>
          <cell r="CP173">
            <v>1367.2070000000001</v>
          </cell>
          <cell r="CR173">
            <v>1485.5709999999999</v>
          </cell>
          <cell r="CS173">
            <v>1191.1379999999999</v>
          </cell>
          <cell r="CT173">
            <v>776.60199999999998</v>
          </cell>
          <cell r="CU173">
            <v>600.73699999999997</v>
          </cell>
          <cell r="CW173">
            <v>4068.1660000000002</v>
          </cell>
          <cell r="CX173">
            <v>3197.67</v>
          </cell>
          <cell r="CY173">
            <v>2842</v>
          </cell>
          <cell r="CZ173">
            <v>2365.9749999999999</v>
          </cell>
          <cell r="DB173">
            <v>2406.2269999999999</v>
          </cell>
          <cell r="DC173">
            <v>2411.241</v>
          </cell>
          <cell r="DD173">
            <v>2617.6260000000002</v>
          </cell>
          <cell r="DE173">
            <v>2684.5710674000002</v>
          </cell>
          <cell r="DG173">
            <v>2691.5236299880003</v>
          </cell>
          <cell r="DH173">
            <v>2557.0720889691602</v>
          </cell>
          <cell r="DI173">
            <v>2592.3802551308127</v>
          </cell>
          <cell r="DJ173">
            <v>2656.6835724948942</v>
          </cell>
          <cell r="DL173">
            <v>3020.2177493777358</v>
          </cell>
          <cell r="DM173">
            <v>2841.7840501272372</v>
          </cell>
          <cell r="DN173">
            <v>2884.4787051282647</v>
          </cell>
          <cell r="DO173">
            <v>3024.5202500315872</v>
          </cell>
          <cell r="DQ173">
            <v>58.871000000000002</v>
          </cell>
          <cell r="DR173">
            <v>65.096000000000004</v>
          </cell>
          <cell r="DS173">
            <v>88.474000000000004</v>
          </cell>
          <cell r="DT173">
            <v>115.125</v>
          </cell>
          <cell r="DU173">
            <v>167.78899999999999</v>
          </cell>
          <cell r="DV173">
            <v>265.07600000000002</v>
          </cell>
          <cell r="DW173">
            <v>405.21199999999999</v>
          </cell>
          <cell r="DX173">
            <v>391.98200000000003</v>
          </cell>
          <cell r="DY173">
            <v>569.78700000000003</v>
          </cell>
          <cell r="DZ173">
            <v>722.58100000000002</v>
          </cell>
          <cell r="EA173">
            <v>923.78800000000001</v>
          </cell>
          <cell r="EB173">
            <v>803.06399999999996</v>
          </cell>
          <cell r="EC173">
            <v>991.82099999999991</v>
          </cell>
          <cell r="EE173">
            <v>1214.7439999999999</v>
          </cell>
          <cell r="EF173">
            <v>2209.9970000000003</v>
          </cell>
          <cell r="EH173">
            <v>1816.769</v>
          </cell>
          <cell r="EI173">
            <v>2217.5740000000001</v>
          </cell>
          <cell r="EK173">
            <v>1522.8109999999999</v>
          </cell>
          <cell r="EL173">
            <v>1941.4540000000002</v>
          </cell>
          <cell r="EM173">
            <v>2393.9829999999997</v>
          </cell>
          <cell r="EN173">
            <v>3911.5590000000002</v>
          </cell>
          <cell r="EP173">
            <v>2171.4270000000001</v>
          </cell>
          <cell r="EQ173">
            <v>2620.5779999999995</v>
          </cell>
          <cell r="ER173">
            <v>4239.1019999999999</v>
          </cell>
          <cell r="ES173">
            <v>4054.0479999999998</v>
          </cell>
          <cell r="ET173">
            <v>12473.811</v>
          </cell>
          <cell r="EU173">
            <v>10119.665067400001</v>
          </cell>
          <cell r="EV173">
            <v>10497.659546582867</v>
          </cell>
          <cell r="EW173">
            <v>11771.000754664823</v>
          </cell>
          <cell r="EY173">
            <v>2854.5540000000001</v>
          </cell>
          <cell r="EZ173">
            <v>4887.3180000000002</v>
          </cell>
          <cell r="FA173">
            <v>4974.7039999999997</v>
          </cell>
          <cell r="FB173">
            <v>10811.871999999999</v>
          </cell>
          <cell r="FC173">
            <v>10404.961697388</v>
          </cell>
        </row>
        <row r="174">
          <cell r="A174" t="str">
            <v>Communications</v>
          </cell>
          <cell r="N174">
            <v>26.06175</v>
          </cell>
          <cell r="O174">
            <v>31.475999999999999</v>
          </cell>
          <cell r="P174">
            <v>34.779420000000002</v>
          </cell>
          <cell r="Q174">
            <v>39.284800000000004</v>
          </cell>
          <cell r="S174">
            <v>41.736000000000004</v>
          </cell>
          <cell r="T174">
            <v>46.784279999999995</v>
          </cell>
          <cell r="U174">
            <v>52.674680000000002</v>
          </cell>
          <cell r="V174">
            <v>58.091479999999997</v>
          </cell>
          <cell r="X174">
            <v>65.762320000000003</v>
          </cell>
          <cell r="Y174">
            <v>75.426000000000002</v>
          </cell>
          <cell r="Z174">
            <v>83.270740000000004</v>
          </cell>
          <cell r="AA174">
            <v>94.817540000000008</v>
          </cell>
          <cell r="AH174">
            <v>128.87666999999999</v>
          </cell>
          <cell r="AI174">
            <v>139.43825999999999</v>
          </cell>
          <cell r="AJ174">
            <v>161.65398000000002</v>
          </cell>
          <cell r="AK174">
            <v>163.11876000000001</v>
          </cell>
          <cell r="AW174">
            <v>184.60711000000003</v>
          </cell>
          <cell r="AX174">
            <v>188.3638</v>
          </cell>
          <cell r="AY174">
            <v>219.74215999999998</v>
          </cell>
          <cell r="AZ174">
            <v>257.94549999999998</v>
          </cell>
          <cell r="BB174">
            <v>353.95744999999999</v>
          </cell>
          <cell r="BC174">
            <v>438.69648000000001</v>
          </cell>
          <cell r="BV174">
            <v>378.62922000000003</v>
          </cell>
          <cell r="BW174">
            <v>392.48277300000001</v>
          </cell>
          <cell r="BX174">
            <v>428.07237599999996</v>
          </cell>
          <cell r="BY174">
            <v>494.23175999999995</v>
          </cell>
          <cell r="CA174">
            <v>510.15226800000005</v>
          </cell>
          <cell r="CB174">
            <v>596.04320700000005</v>
          </cell>
          <cell r="CC174">
            <v>740.46767999999997</v>
          </cell>
          <cell r="CD174">
            <v>954.01308900000026</v>
          </cell>
          <cell r="CF174">
            <v>1066.3930810000002</v>
          </cell>
          <cell r="CM174" t="str">
            <v>--</v>
          </cell>
          <cell r="CN174" t="str">
            <v>--</v>
          </cell>
          <cell r="CO174" t="str">
            <v>--</v>
          </cell>
          <cell r="CP174" t="str">
            <v>--</v>
          </cell>
          <cell r="CR174">
            <v>1145.375241</v>
          </cell>
          <cell r="CS174">
            <v>861.19277399999987</v>
          </cell>
          <cell r="CT174">
            <v>568.47266400000001</v>
          </cell>
          <cell r="CU174">
            <v>432.53063999999995</v>
          </cell>
          <cell r="CW174">
            <v>1993.4013400000001</v>
          </cell>
          <cell r="CX174">
            <v>1502.9049</v>
          </cell>
          <cell r="CY174">
            <v>1222.06</v>
          </cell>
          <cell r="CZ174">
            <v>970.0497499999999</v>
          </cell>
          <cell r="DB174">
            <v>818.11717999999996</v>
          </cell>
          <cell r="DC174">
            <v>771.59712000000002</v>
          </cell>
          <cell r="DD174">
            <v>811.46406000000002</v>
          </cell>
          <cell r="DE174">
            <v>755.31765400000006</v>
          </cell>
          <cell r="DG174">
            <v>679.78588860000002</v>
          </cell>
          <cell r="DH174">
            <v>645.79659416999993</v>
          </cell>
          <cell r="DI174">
            <v>645.79659416999993</v>
          </cell>
          <cell r="DJ174">
            <v>645.79659416999993</v>
          </cell>
          <cell r="DL174">
            <v>766.00235576189993</v>
          </cell>
          <cell r="DM174">
            <v>727.70223797380493</v>
          </cell>
          <cell r="DN174">
            <v>734.97926035354294</v>
          </cell>
          <cell r="DO174">
            <v>749.67884556061381</v>
          </cell>
          <cell r="DU174">
            <v>131.60196999999999</v>
          </cell>
          <cell r="DV174">
            <v>199.28644</v>
          </cell>
          <cell r="DW174">
            <v>319.27660000000003</v>
          </cell>
          <cell r="DZ174">
            <v>593.08767000000012</v>
          </cell>
          <cell r="EC174">
            <v>724.02933000000007</v>
          </cell>
          <cell r="EE174">
            <v>850.65857000000005</v>
          </cell>
          <cell r="EL174">
            <v>1283.3010940000001</v>
          </cell>
          <cell r="EM174">
            <v>1693.416129</v>
          </cell>
          <cell r="EP174" t="str">
            <v>--</v>
          </cell>
          <cell r="EQ174" t="str">
            <v>--</v>
          </cell>
          <cell r="ER174">
            <v>3128.2192439999999</v>
          </cell>
          <cell r="ES174">
            <v>3007.5713189999997</v>
          </cell>
          <cell r="ET174">
            <v>5688.4159899999995</v>
          </cell>
          <cell r="EU174">
            <v>3156.4960139999998</v>
          </cell>
          <cell r="EV174">
            <v>2617.1756711099997</v>
          </cell>
          <cell r="EW174">
            <v>2978.3626996498615</v>
          </cell>
          <cell r="EY174" t="str">
            <v>--</v>
          </cell>
          <cell r="EZ174">
            <v>1145.375241</v>
          </cell>
          <cell r="FA174">
            <v>2680.3132580000001</v>
          </cell>
          <cell r="FB174">
            <v>4513.1318300000003</v>
          </cell>
          <cell r="FC174">
            <v>3018.1647226</v>
          </cell>
        </row>
        <row r="175">
          <cell r="A175" t="str">
            <v>PCs</v>
          </cell>
          <cell r="N175" t="str">
            <v>--</v>
          </cell>
          <cell r="O175" t="str">
            <v>--</v>
          </cell>
          <cell r="P175" t="str">
            <v>--</v>
          </cell>
          <cell r="Q175" t="str">
            <v>--</v>
          </cell>
          <cell r="S175" t="str">
            <v>--</v>
          </cell>
          <cell r="T175" t="str">
            <v>--</v>
          </cell>
          <cell r="U175" t="str">
            <v>--</v>
          </cell>
          <cell r="V175" t="str">
            <v>--</v>
          </cell>
          <cell r="X175" t="str">
            <v>--</v>
          </cell>
          <cell r="Y175" t="str">
            <v>--</v>
          </cell>
          <cell r="Z175" t="str">
            <v>--</v>
          </cell>
          <cell r="AA175" t="str">
            <v>--</v>
          </cell>
          <cell r="AH175" t="str">
            <v>--</v>
          </cell>
          <cell r="AI175" t="str">
            <v>--</v>
          </cell>
          <cell r="AJ175" t="str">
            <v>--</v>
          </cell>
          <cell r="AK175" t="str">
            <v>--</v>
          </cell>
          <cell r="AW175" t="str">
            <v>--</v>
          </cell>
          <cell r="AX175" t="str">
            <v>--</v>
          </cell>
          <cell r="AY175" t="str">
            <v>--</v>
          </cell>
          <cell r="AZ175" t="str">
            <v>--</v>
          </cell>
          <cell r="BB175" t="str">
            <v>--</v>
          </cell>
          <cell r="BC175" t="str">
            <v>--</v>
          </cell>
          <cell r="BV175" t="str">
            <v>--</v>
          </cell>
          <cell r="BW175" t="str">
            <v>--</v>
          </cell>
          <cell r="BX175" t="str">
            <v>--</v>
          </cell>
          <cell r="BY175" t="str">
            <v>--</v>
          </cell>
          <cell r="CA175" t="str">
            <v>--</v>
          </cell>
          <cell r="CB175" t="str">
            <v>--</v>
          </cell>
          <cell r="CC175" t="str">
            <v>--</v>
          </cell>
          <cell r="CD175" t="str">
            <v>--</v>
          </cell>
          <cell r="CF175" t="str">
            <v>--</v>
          </cell>
          <cell r="CM175" t="str">
            <v>--</v>
          </cell>
          <cell r="CN175" t="str">
            <v>--</v>
          </cell>
          <cell r="CO175" t="str">
            <v>--</v>
          </cell>
          <cell r="CP175" t="str">
            <v>--</v>
          </cell>
          <cell r="CR175" t="str">
            <v>--</v>
          </cell>
          <cell r="CS175" t="str">
            <v>--</v>
          </cell>
          <cell r="CT175" t="str">
            <v>--</v>
          </cell>
          <cell r="CU175" t="str">
            <v>--</v>
          </cell>
          <cell r="CW175">
            <v>894.99652000000003</v>
          </cell>
          <cell r="CX175">
            <v>607.55730000000005</v>
          </cell>
          <cell r="CY175">
            <v>568.4</v>
          </cell>
          <cell r="CZ175">
            <v>496.85474999999997</v>
          </cell>
          <cell r="DB175">
            <v>697.8058299999999</v>
          </cell>
          <cell r="DC175">
            <v>819.82194000000004</v>
          </cell>
          <cell r="DD175">
            <v>1020.8741400000001</v>
          </cell>
          <cell r="DE175">
            <v>1129.8304330000001</v>
          </cell>
          <cell r="DG175">
            <v>1177.4270416600002</v>
          </cell>
          <cell r="DH175">
            <v>1095.0071487438001</v>
          </cell>
          <cell r="DI175">
            <v>1105.9572202312381</v>
          </cell>
          <cell r="DJ175">
            <v>1139.1359368381752</v>
          </cell>
          <cell r="DL175">
            <v>1264.4408898903746</v>
          </cell>
          <cell r="DM175">
            <v>1175.9300275980484</v>
          </cell>
          <cell r="DN175">
            <v>1175.9300275980484</v>
          </cell>
          <cell r="DO175">
            <v>1246.4858292539313</v>
          </cell>
          <cell r="DU175">
            <v>0</v>
          </cell>
          <cell r="DV175">
            <v>0</v>
          </cell>
          <cell r="DW175">
            <v>0</v>
          </cell>
          <cell r="DZ175">
            <v>0</v>
          </cell>
          <cell r="EE175">
            <v>0</v>
          </cell>
          <cell r="EM175">
            <v>0</v>
          </cell>
          <cell r="EP175" t="str">
            <v>--</v>
          </cell>
          <cell r="EQ175" t="str">
            <v>--</v>
          </cell>
          <cell r="ER175">
            <v>0</v>
          </cell>
          <cell r="ES175">
            <v>0</v>
          </cell>
          <cell r="ET175">
            <v>2567.8085700000001</v>
          </cell>
          <cell r="EU175">
            <v>3668.332343</v>
          </cell>
          <cell r="EV175">
            <v>4517.5273474732139</v>
          </cell>
          <cell r="EW175">
            <v>4862.7867743404022</v>
          </cell>
          <cell r="EY175" t="str">
            <v>--</v>
          </cell>
          <cell r="EZ175">
            <v>0</v>
          </cell>
          <cell r="FA175">
            <v>697.8058299999999</v>
          </cell>
          <cell r="FB175">
            <v>2370.6178799999998</v>
          </cell>
          <cell r="FC175">
            <v>4147.95355466</v>
          </cell>
        </row>
        <row r="176">
          <cell r="A176" t="str">
            <v>High-End Computing</v>
          </cell>
          <cell r="N176">
            <v>3.127410000000002</v>
          </cell>
          <cell r="O176">
            <v>2.3606999999999987</v>
          </cell>
          <cell r="P176">
            <v>2.2294499999999999</v>
          </cell>
          <cell r="Q176">
            <v>2.4553000000000011</v>
          </cell>
          <cell r="R176" t="str">
            <v xml:space="preserve"> </v>
          </cell>
          <cell r="S176">
            <v>3.1302000000000003</v>
          </cell>
          <cell r="T176">
            <v>3.1611000000000065</v>
          </cell>
          <cell r="U176">
            <v>2.1354599999999984</v>
          </cell>
          <cell r="V176">
            <v>7.065179999999998</v>
          </cell>
          <cell r="X176">
            <v>6.2207599999999985</v>
          </cell>
          <cell r="Y176">
            <v>7.7360000000000042</v>
          </cell>
          <cell r="Z176">
            <v>6.3243599999999986</v>
          </cell>
          <cell r="AA176">
            <v>5.7118999999999911</v>
          </cell>
          <cell r="AH176">
            <v>11.137490000000003</v>
          </cell>
          <cell r="AI176">
            <v>12.050220000000003</v>
          </cell>
          <cell r="AJ176">
            <v>9.8569499999999834</v>
          </cell>
          <cell r="AK176">
            <v>13.593229999999998</v>
          </cell>
          <cell r="AW176">
            <v>46.840609999999977</v>
          </cell>
          <cell r="AX176">
            <v>42.170999999999992</v>
          </cell>
          <cell r="AY176">
            <v>43.329439999999998</v>
          </cell>
          <cell r="AZ176">
            <v>34.857500000000002</v>
          </cell>
          <cell r="BB176">
            <v>50.565350000000009</v>
          </cell>
          <cell r="BC176">
            <v>38.871839999999992</v>
          </cell>
          <cell r="BV176">
            <v>103.71148200000002</v>
          </cell>
          <cell r="BW176">
            <v>111.232269</v>
          </cell>
          <cell r="BX176">
            <v>110.04120399999999</v>
          </cell>
          <cell r="BY176">
            <v>92.336309999999997</v>
          </cell>
          <cell r="CA176">
            <v>160.37720999999999</v>
          </cell>
          <cell r="CB176">
            <v>158.41970699999999</v>
          </cell>
          <cell r="CC176">
            <v>143.09037599999999</v>
          </cell>
          <cell r="CD176">
            <v>167.87370600000008</v>
          </cell>
          <cell r="CF176">
            <v>190.47699099999991</v>
          </cell>
          <cell r="CM176" t="str">
            <v>--</v>
          </cell>
          <cell r="CN176" t="str">
            <v>--</v>
          </cell>
          <cell r="CO176" t="str">
            <v>--</v>
          </cell>
          <cell r="CP176" t="str">
            <v>--</v>
          </cell>
          <cell r="CR176">
            <v>191.63865899999999</v>
          </cell>
          <cell r="CS176">
            <v>189.39094200000005</v>
          </cell>
          <cell r="CT176">
            <v>110.27748399999997</v>
          </cell>
          <cell r="CU176">
            <v>84.103180000000009</v>
          </cell>
          <cell r="CW176">
            <v>650.90656000000001</v>
          </cell>
          <cell r="CX176">
            <v>581.97594000000004</v>
          </cell>
          <cell r="CY176">
            <v>511.56</v>
          </cell>
          <cell r="CZ176">
            <v>402.21575000000001</v>
          </cell>
          <cell r="DB176">
            <v>409.05858999999998</v>
          </cell>
          <cell r="DC176">
            <v>409.91097000000002</v>
          </cell>
          <cell r="DD176">
            <v>418.82016000000004</v>
          </cell>
          <cell r="DE176">
            <v>418.82016000000004</v>
          </cell>
          <cell r="DG176">
            <v>418.82016000000004</v>
          </cell>
          <cell r="DH176">
            <v>414.63195840000003</v>
          </cell>
          <cell r="DI176">
            <v>422.92459756800002</v>
          </cell>
          <cell r="DJ176">
            <v>435.61233549504004</v>
          </cell>
          <cell r="DL176">
            <v>487.88581575444488</v>
          </cell>
          <cell r="DM176">
            <v>463.49152496672264</v>
          </cell>
          <cell r="DN176">
            <v>486.6661012150588</v>
          </cell>
          <cell r="DO176">
            <v>515.86606728796232</v>
          </cell>
          <cell r="DU176">
            <v>10.172860000000002</v>
          </cell>
          <cell r="DV176">
            <v>15.491940000000003</v>
          </cell>
          <cell r="DW176">
            <v>25.993019999999994</v>
          </cell>
          <cell r="DZ176">
            <v>46.637889999999992</v>
          </cell>
          <cell r="EC176">
            <v>119.01851999999991</v>
          </cell>
          <cell r="EE176">
            <v>167.19854999999995</v>
          </cell>
          <cell r="EL176">
            <v>401.88097800000003</v>
          </cell>
          <cell r="EM176">
            <v>417.32126500000004</v>
          </cell>
          <cell r="EP176" t="str">
            <v>--</v>
          </cell>
          <cell r="EQ176" t="str">
            <v>--</v>
          </cell>
          <cell r="ER176">
            <v>629.76099900000008</v>
          </cell>
          <cell r="ES176">
            <v>575.41026499999998</v>
          </cell>
          <cell r="ET176">
            <v>2146.65825</v>
          </cell>
          <cell r="EU176">
            <v>1656.60988</v>
          </cell>
          <cell r="EV176">
            <v>1691.9890514630401</v>
          </cell>
          <cell r="EW176">
            <v>1953.9095092241887</v>
          </cell>
          <cell r="EY176" t="str">
            <v>--</v>
          </cell>
          <cell r="EZ176">
            <v>191.63865899999999</v>
          </cell>
          <cell r="FA176">
            <v>792.830196</v>
          </cell>
          <cell r="FB176">
            <v>1904.8102800000001</v>
          </cell>
          <cell r="FC176">
            <v>1666.3714500000001</v>
          </cell>
        </row>
        <row r="177">
          <cell r="A177" t="str">
            <v>Medical/Industrial/Aerospace</v>
          </cell>
          <cell r="N177">
            <v>5.5598400000000003</v>
          </cell>
          <cell r="O177">
            <v>5.5083000000000002</v>
          </cell>
          <cell r="P177">
            <v>7.5801300000000005</v>
          </cell>
          <cell r="Q177">
            <v>7.3658999999999999</v>
          </cell>
          <cell r="R177" t="str">
            <v xml:space="preserve"> </v>
          </cell>
          <cell r="S177">
            <v>7.3038000000000007</v>
          </cell>
          <cell r="T177">
            <v>13.276619999999999</v>
          </cell>
          <cell r="U177">
            <v>16.371860000000002</v>
          </cell>
          <cell r="V177">
            <v>13.34534</v>
          </cell>
          <cell r="X177">
            <v>16.884919999999997</v>
          </cell>
          <cell r="Y177">
            <v>13.538000000000002</v>
          </cell>
          <cell r="Z177">
            <v>15.8109</v>
          </cell>
          <cell r="AA177">
            <v>13.70856</v>
          </cell>
          <cell r="AH177">
            <v>19.092839999999999</v>
          </cell>
          <cell r="AI177">
            <v>20.657519999999998</v>
          </cell>
          <cell r="AJ177">
            <v>25.628070000000001</v>
          </cell>
          <cell r="AK177">
            <v>17.47701</v>
          </cell>
          <cell r="AW177">
            <v>44.085280000000004</v>
          </cell>
          <cell r="AX177">
            <v>50.605199999999996</v>
          </cell>
          <cell r="AY177">
            <v>46.424399999999999</v>
          </cell>
          <cell r="AZ177">
            <v>55.771999999999998</v>
          </cell>
          <cell r="BB177">
            <v>55.162199999999999</v>
          </cell>
          <cell r="BC177">
            <v>77.743680000000012</v>
          </cell>
          <cell r="BV177">
            <v>66.397298000000006</v>
          </cell>
          <cell r="BW177">
            <v>72.617958000000002</v>
          </cell>
          <cell r="BX177">
            <v>66.508420000000001</v>
          </cell>
          <cell r="BY177">
            <v>77.72193</v>
          </cell>
          <cell r="CA177">
            <v>93.171521999999996</v>
          </cell>
          <cell r="CB177">
            <v>120.784086</v>
          </cell>
          <cell r="CC177">
            <v>117.073944</v>
          </cell>
          <cell r="CD177">
            <v>150.09220500000004</v>
          </cell>
          <cell r="CF177">
            <v>133.472928</v>
          </cell>
          <cell r="CM177" t="str">
            <v>--</v>
          </cell>
          <cell r="CN177" t="str">
            <v>--</v>
          </cell>
          <cell r="CO177" t="str">
            <v>--</v>
          </cell>
          <cell r="CP177" t="str">
            <v>--</v>
          </cell>
          <cell r="CR177">
            <v>148.55709999999999</v>
          </cell>
          <cell r="CS177">
            <v>140.554284</v>
          </cell>
          <cell r="CT177">
            <v>97.851851999999994</v>
          </cell>
          <cell r="CU177">
            <v>84.103180000000009</v>
          </cell>
          <cell r="CW177">
            <v>325.45328000000001</v>
          </cell>
          <cell r="CX177">
            <v>332.55768</v>
          </cell>
          <cell r="CY177">
            <v>312.62</v>
          </cell>
          <cell r="CZ177">
            <v>236.5975</v>
          </cell>
          <cell r="DB177">
            <v>240.62270000000001</v>
          </cell>
          <cell r="DC177">
            <v>241.1241</v>
          </cell>
          <cell r="DD177">
            <v>209.41008000000002</v>
          </cell>
          <cell r="DE177">
            <v>215.69238240000004</v>
          </cell>
          <cell r="DG177">
            <v>230.79084916800005</v>
          </cell>
          <cell r="DH177">
            <v>235.40666615136004</v>
          </cell>
          <cell r="DI177">
            <v>244.82293279741444</v>
          </cell>
          <cell r="DJ177">
            <v>254.61585010931103</v>
          </cell>
          <cell r="DL177">
            <v>274.98511811805594</v>
          </cell>
          <cell r="DM177">
            <v>274.98511811805594</v>
          </cell>
          <cell r="DN177">
            <v>283.23467166159764</v>
          </cell>
          <cell r="DO177">
            <v>294.56405852806154</v>
          </cell>
          <cell r="DU177">
            <v>26.01417</v>
          </cell>
          <cell r="DV177">
            <v>50.297620000000002</v>
          </cell>
          <cell r="DW177">
            <v>59.942379999999993</v>
          </cell>
          <cell r="DZ177">
            <v>82.855440000000016</v>
          </cell>
          <cell r="EC177">
            <v>148.77314999999999</v>
          </cell>
          <cell r="EE177">
            <v>196.88687999999999</v>
          </cell>
          <cell r="EL177">
            <v>256.27192800000006</v>
          </cell>
          <cell r="EM177">
            <v>283.24560600000001</v>
          </cell>
          <cell r="EP177" t="str">
            <v>--</v>
          </cell>
          <cell r="EQ177" t="str">
            <v>--</v>
          </cell>
          <cell r="ER177">
            <v>481.121757</v>
          </cell>
          <cell r="ES177">
            <v>471.066416</v>
          </cell>
          <cell r="ET177">
            <v>1207.22846</v>
          </cell>
          <cell r="EU177">
            <v>906.84926240000004</v>
          </cell>
          <cell r="EV177">
            <v>965.63629822608561</v>
          </cell>
          <cell r="EW177">
            <v>1127.7689664257709</v>
          </cell>
          <cell r="EY177" t="str">
            <v>--</v>
          </cell>
          <cell r="EZ177">
            <v>148.55709999999999</v>
          </cell>
          <cell r="FA177">
            <v>563.13201600000002</v>
          </cell>
          <cell r="FB177">
            <v>1122.39788</v>
          </cell>
          <cell r="FC177">
            <v>897.01741156800006</v>
          </cell>
        </row>
        <row r="178">
          <cell r="A178" t="str">
            <v>Multimedia</v>
          </cell>
          <cell r="N178" t="str">
            <v>--</v>
          </cell>
          <cell r="O178" t="str">
            <v>--</v>
          </cell>
          <cell r="P178" t="str">
            <v>--</v>
          </cell>
          <cell r="Q178" t="str">
            <v>--</v>
          </cell>
          <cell r="S178" t="str">
            <v>--</v>
          </cell>
          <cell r="T178" t="str">
            <v>--</v>
          </cell>
          <cell r="U178" t="str">
            <v>--</v>
          </cell>
          <cell r="V178" t="str">
            <v>--</v>
          </cell>
          <cell r="X178" t="str">
            <v>--</v>
          </cell>
          <cell r="Y178" t="str">
            <v>--</v>
          </cell>
          <cell r="Z178" t="str">
            <v>--</v>
          </cell>
          <cell r="AA178" t="str">
            <v>--</v>
          </cell>
          <cell r="AH178" t="str">
            <v>--</v>
          </cell>
          <cell r="AI178" t="str">
            <v>--</v>
          </cell>
          <cell r="AJ178" t="str">
            <v>--</v>
          </cell>
          <cell r="AK178" t="str">
            <v>--</v>
          </cell>
          <cell r="AW178" t="str">
            <v>--</v>
          </cell>
          <cell r="AX178" t="str">
            <v>--</v>
          </cell>
          <cell r="AY178" t="str">
            <v>--</v>
          </cell>
          <cell r="AZ178" t="str">
            <v>--</v>
          </cell>
          <cell r="BB178" t="str">
            <v>--</v>
          </cell>
          <cell r="BC178" t="str">
            <v>--</v>
          </cell>
          <cell r="BV178" t="str">
            <v>--</v>
          </cell>
          <cell r="BW178" t="str">
            <v>--</v>
          </cell>
          <cell r="BX178" t="str">
            <v>--</v>
          </cell>
          <cell r="BY178" t="str">
            <v>--</v>
          </cell>
          <cell r="CA178" t="str">
            <v>--</v>
          </cell>
          <cell r="CB178" t="str">
            <v>--</v>
          </cell>
          <cell r="CC178" t="str">
            <v>--</v>
          </cell>
          <cell r="CD178" t="str">
            <v>--</v>
          </cell>
          <cell r="CF178" t="str">
            <v>--</v>
          </cell>
          <cell r="CM178" t="str">
            <v>--</v>
          </cell>
          <cell r="CN178" t="str">
            <v>--</v>
          </cell>
          <cell r="CO178" t="str">
            <v>--</v>
          </cell>
          <cell r="CP178" t="str">
            <v>--</v>
          </cell>
          <cell r="CR178" t="str">
            <v>--</v>
          </cell>
          <cell r="CS178" t="str">
            <v>--</v>
          </cell>
          <cell r="CT178" t="str">
            <v>--</v>
          </cell>
          <cell r="CU178" t="str">
            <v>--</v>
          </cell>
          <cell r="CW178">
            <v>244.08995999999999</v>
          </cell>
          <cell r="CX178">
            <v>172.67418000000001</v>
          </cell>
          <cell r="CY178">
            <v>227.36</v>
          </cell>
          <cell r="CZ178">
            <v>236.5975</v>
          </cell>
          <cell r="DB178">
            <v>240.62270000000001</v>
          </cell>
          <cell r="DC178">
            <v>168.78687000000002</v>
          </cell>
          <cell r="DD178">
            <v>157.05756</v>
          </cell>
          <cell r="DE178">
            <v>164.910438</v>
          </cell>
          <cell r="DG178">
            <v>184.69969056000002</v>
          </cell>
          <cell r="DH178">
            <v>166.22972150400003</v>
          </cell>
          <cell r="DI178">
            <v>172.87891036416002</v>
          </cell>
          <cell r="DJ178">
            <v>181.52285588236802</v>
          </cell>
          <cell r="DL178">
            <v>226.90356985296003</v>
          </cell>
          <cell r="DM178">
            <v>199.67514147060484</v>
          </cell>
          <cell r="DN178">
            <v>203.66864430001695</v>
          </cell>
          <cell r="DO178">
            <v>217.92544940101814</v>
          </cell>
          <cell r="DU178">
            <v>0</v>
          </cell>
          <cell r="DV178">
            <v>0</v>
          </cell>
          <cell r="DW178">
            <v>0</v>
          </cell>
          <cell r="DZ178">
            <v>0</v>
          </cell>
          <cell r="EE178">
            <v>0</v>
          </cell>
          <cell r="EM178">
            <v>0</v>
          </cell>
          <cell r="EP178" t="str">
            <v>--</v>
          </cell>
          <cell r="EQ178" t="str">
            <v>--</v>
          </cell>
          <cell r="ER178">
            <v>0</v>
          </cell>
          <cell r="ES178">
            <v>0</v>
          </cell>
          <cell r="ET178">
            <v>880.72163999999998</v>
          </cell>
          <cell r="EU178">
            <v>731.377568</v>
          </cell>
          <cell r="EV178">
            <v>705.33117831052812</v>
          </cell>
          <cell r="EW178">
            <v>848.17280502459994</v>
          </cell>
          <cell r="EY178" t="str">
            <v>--</v>
          </cell>
          <cell r="EZ178">
            <v>0</v>
          </cell>
          <cell r="FA178">
            <v>240.62270000000001</v>
          </cell>
          <cell r="FB178">
            <v>877.25437999999997</v>
          </cell>
          <cell r="FC178">
            <v>675.45455856000001</v>
          </cell>
        </row>
        <row r="180">
          <cell r="A180" t="str">
            <v>% of Revenues</v>
          </cell>
        </row>
        <row r="181">
          <cell r="A181" t="str">
            <v>Communications</v>
          </cell>
          <cell r="N181">
            <v>0.75</v>
          </cell>
          <cell r="O181">
            <v>0.8</v>
          </cell>
          <cell r="P181">
            <v>0.78</v>
          </cell>
          <cell r="Q181">
            <v>0.8</v>
          </cell>
          <cell r="S181">
            <v>0.8</v>
          </cell>
          <cell r="T181">
            <v>0.73999999999999988</v>
          </cell>
          <cell r="U181">
            <v>0.74</v>
          </cell>
          <cell r="V181">
            <v>0.74</v>
          </cell>
          <cell r="X181">
            <v>0.7400000000000001</v>
          </cell>
          <cell r="Y181">
            <v>0.78</v>
          </cell>
          <cell r="Z181">
            <v>0.79</v>
          </cell>
          <cell r="AA181">
            <v>0.83000000000000007</v>
          </cell>
          <cell r="AH181">
            <v>0.80999999999999994</v>
          </cell>
          <cell r="AI181">
            <v>0.80999999999999994</v>
          </cell>
          <cell r="AJ181">
            <v>0.82000000000000006</v>
          </cell>
          <cell r="AK181">
            <v>0.84000000000000008</v>
          </cell>
          <cell r="AW181">
            <v>0.67</v>
          </cell>
          <cell r="AX181">
            <v>0.67</v>
          </cell>
          <cell r="AY181">
            <v>0.71</v>
          </cell>
          <cell r="AZ181">
            <v>0.74</v>
          </cell>
          <cell r="BB181">
            <v>0.77</v>
          </cell>
          <cell r="BC181">
            <v>0.79</v>
          </cell>
          <cell r="BV181">
            <v>0.69</v>
          </cell>
          <cell r="BW181">
            <v>0.68100000000000005</v>
          </cell>
          <cell r="BX181">
            <v>0.70799999999999996</v>
          </cell>
          <cell r="BY181">
            <v>0.74399999999999999</v>
          </cell>
          <cell r="CA181">
            <v>0.66800000000000004</v>
          </cell>
          <cell r="CB181">
            <v>0.68100000000000005</v>
          </cell>
          <cell r="CC181">
            <v>0.74</v>
          </cell>
          <cell r="CD181">
            <v>0.75002267254412236</v>
          </cell>
          <cell r="CF181">
            <v>0.76700000000000013</v>
          </cell>
          <cell r="CM181" t="str">
            <v>--</v>
          </cell>
          <cell r="CN181" t="str">
            <v>--</v>
          </cell>
          <cell r="CO181" t="str">
            <v>--</v>
          </cell>
          <cell r="CP181" t="str">
            <v>--</v>
          </cell>
          <cell r="CR181">
            <v>0.77100000000000002</v>
          </cell>
          <cell r="CS181">
            <v>0.72299999999999998</v>
          </cell>
          <cell r="CT181">
            <v>0.73199999999999998</v>
          </cell>
          <cell r="CU181">
            <v>0.72</v>
          </cell>
          <cell r="CW181">
            <v>0.49</v>
          </cell>
          <cell r="CX181">
            <v>0.47</v>
          </cell>
          <cell r="CY181">
            <v>0.43</v>
          </cell>
          <cell r="CZ181">
            <v>0.41</v>
          </cell>
          <cell r="DB181">
            <v>0.34</v>
          </cell>
          <cell r="DC181">
            <v>0.32</v>
          </cell>
          <cell r="DD181">
            <v>0.31</v>
          </cell>
          <cell r="DE181">
            <v>0.28135506009588457</v>
          </cell>
          <cell r="DG181">
            <v>0.25256545438652928</v>
          </cell>
          <cell r="DH181">
            <v>0.2525531434783842</v>
          </cell>
          <cell r="DI181">
            <v>0.24911337481908599</v>
          </cell>
          <cell r="DJ181">
            <v>0.24308374578592803</v>
          </cell>
          <cell r="DL181">
            <v>0.25362487718632926</v>
          </cell>
          <cell r="DM181">
            <v>0.25607232116783224</v>
          </cell>
          <cell r="DN181">
            <v>0.25480488347750185</v>
          </cell>
          <cell r="DO181">
            <v>0.24786702801966176</v>
          </cell>
          <cell r="DU181">
            <v>0.78433014083163977</v>
          </cell>
          <cell r="DV181">
            <v>0.75180868882886409</v>
          </cell>
          <cell r="DW181">
            <v>0.78792483934335622</v>
          </cell>
          <cell r="DZ181">
            <v>0.820790568808203</v>
          </cell>
          <cell r="EC181">
            <v>0.73000000000000009</v>
          </cell>
          <cell r="EE181">
            <v>0.7002780585868299</v>
          </cell>
          <cell r="EL181">
            <v>0.66100000000000003</v>
          </cell>
          <cell r="EM181">
            <v>0.7073634729235756</v>
          </cell>
          <cell r="EP181" t="str">
            <v>--</v>
          </cell>
          <cell r="EQ181" t="str">
            <v>--</v>
          </cell>
          <cell r="ER181">
            <v>0.73794384848489136</v>
          </cell>
          <cell r="ES181">
            <v>0.74186869987725845</v>
          </cell>
          <cell r="ET181">
            <v>0.45602871407944207</v>
          </cell>
          <cell r="EU181">
            <v>0.31191704399076359</v>
          </cell>
          <cell r="EV181">
            <v>0.24931039718866921</v>
          </cell>
          <cell r="EW181">
            <v>0.25302544462666376</v>
          </cell>
          <cell r="EY181">
            <v>0</v>
          </cell>
          <cell r="EZ181">
            <v>0.23435660233281319</v>
          </cell>
          <cell r="FA181">
            <v>0.53878849033027898</v>
          </cell>
          <cell r="FB181">
            <v>0.41742371996264849</v>
          </cell>
          <cell r="FC181">
            <v>0.29006975809989405</v>
          </cell>
        </row>
        <row r="182">
          <cell r="A182" t="str">
            <v>PCs</v>
          </cell>
          <cell r="N182" t="str">
            <v>--</v>
          </cell>
          <cell r="O182" t="str">
            <v>--</v>
          </cell>
          <cell r="P182" t="str">
            <v>--</v>
          </cell>
          <cell r="Q182" t="str">
            <v>--</v>
          </cell>
          <cell r="S182" t="str">
            <v>--</v>
          </cell>
          <cell r="T182" t="str">
            <v>--</v>
          </cell>
          <cell r="U182" t="str">
            <v>--</v>
          </cell>
          <cell r="V182" t="str">
            <v>--</v>
          </cell>
          <cell r="X182" t="str">
            <v>--</v>
          </cell>
          <cell r="Y182" t="str">
            <v>--</v>
          </cell>
          <cell r="Z182" t="str">
            <v>--</v>
          </cell>
          <cell r="AA182" t="str">
            <v>--</v>
          </cell>
          <cell r="AH182" t="str">
            <v>--</v>
          </cell>
          <cell r="AI182" t="str">
            <v>--</v>
          </cell>
          <cell r="AJ182" t="str">
            <v>--</v>
          </cell>
          <cell r="AK182" t="str">
            <v>--</v>
          </cell>
          <cell r="AW182" t="str">
            <v>--</v>
          </cell>
          <cell r="AX182" t="str">
            <v>--</v>
          </cell>
          <cell r="AY182" t="str">
            <v>--</v>
          </cell>
          <cell r="AZ182" t="str">
            <v>--</v>
          </cell>
          <cell r="BB182" t="str">
            <v>--</v>
          </cell>
          <cell r="BC182" t="str">
            <v>--</v>
          </cell>
          <cell r="BV182" t="str">
            <v>--</v>
          </cell>
          <cell r="BW182" t="str">
            <v>--</v>
          </cell>
          <cell r="BX182" t="str">
            <v>--</v>
          </cell>
          <cell r="BY182" t="str">
            <v>--</v>
          </cell>
          <cell r="CA182" t="str">
            <v>--</v>
          </cell>
          <cell r="CB182" t="str">
            <v>--</v>
          </cell>
          <cell r="CC182" t="str">
            <v>--</v>
          </cell>
          <cell r="CD182" t="str">
            <v>--</v>
          </cell>
          <cell r="CF182" t="str">
            <v>--</v>
          </cell>
          <cell r="CM182" t="str">
            <v>--</v>
          </cell>
          <cell r="CN182" t="str">
            <v>--</v>
          </cell>
          <cell r="CO182" t="str">
            <v>--</v>
          </cell>
          <cell r="CP182" t="str">
            <v>--</v>
          </cell>
          <cell r="CR182" t="str">
            <v>--</v>
          </cell>
          <cell r="CS182" t="str">
            <v>--</v>
          </cell>
          <cell r="CT182" t="str">
            <v>--</v>
          </cell>
          <cell r="CU182" t="str">
            <v>--</v>
          </cell>
          <cell r="CW182">
            <v>0.22</v>
          </cell>
          <cell r="CX182">
            <v>0.19</v>
          </cell>
          <cell r="CY182">
            <v>0.19999999999999998</v>
          </cell>
          <cell r="CZ182">
            <v>0.21</v>
          </cell>
          <cell r="DB182">
            <v>0.28999999999999998</v>
          </cell>
          <cell r="DC182">
            <v>0.34</v>
          </cell>
          <cell r="DD182">
            <v>0.39</v>
          </cell>
          <cell r="DE182">
            <v>0.42086069045444857</v>
          </cell>
          <cell r="DG182">
            <v>0.4374574417781536</v>
          </cell>
          <cell r="DH182">
            <v>0.4282269371549996</v>
          </cell>
          <cell r="DI182">
            <v>0.4266184399616294</v>
          </cell>
          <cell r="DJ182">
            <v>0.42878118742926224</v>
          </cell>
          <cell r="DL182">
            <v>0.41865885006168546</v>
          </cell>
          <cell r="DM182">
            <v>0.41379992527771337</v>
          </cell>
          <cell r="DN182">
            <v>0.4076750594509097</v>
          </cell>
          <cell r="DO182">
            <v>0.4121267924196948</v>
          </cell>
          <cell r="DU182">
            <v>0</v>
          </cell>
          <cell r="DV182">
            <v>0</v>
          </cell>
          <cell r="DW182">
            <v>0</v>
          </cell>
          <cell r="DZ182">
            <v>0</v>
          </cell>
          <cell r="EC182">
            <v>0</v>
          </cell>
          <cell r="EE182">
            <v>0</v>
          </cell>
          <cell r="EL182">
            <v>0</v>
          </cell>
          <cell r="EM182">
            <v>0</v>
          </cell>
          <cell r="EP182" t="str">
            <v>--</v>
          </cell>
          <cell r="EQ182" t="str">
            <v>--</v>
          </cell>
          <cell r="ER182">
            <v>0</v>
          </cell>
          <cell r="ES182">
            <v>0</v>
          </cell>
          <cell r="ET182">
            <v>0.20585597857783802</v>
          </cell>
          <cell r="EU182">
            <v>0.36249543029021292</v>
          </cell>
          <cell r="EV182">
            <v>0.43033662193243172</v>
          </cell>
          <cell r="EW182">
            <v>0.41311583234868876</v>
          </cell>
          <cell r="EY182">
            <v>0</v>
          </cell>
          <cell r="EZ182">
            <v>0</v>
          </cell>
          <cell r="FA182">
            <v>0.14027082415355765</v>
          </cell>
          <cell r="FB182">
            <v>0.21926063127643389</v>
          </cell>
          <cell r="FC182">
            <v>0.39865149678554584</v>
          </cell>
        </row>
        <row r="183">
          <cell r="A183" t="str">
            <v>High-End Computing</v>
          </cell>
          <cell r="N183">
            <v>9.0000000000000052E-2</v>
          </cell>
          <cell r="O183">
            <v>5.999999999999997E-2</v>
          </cell>
          <cell r="P183">
            <v>0.05</v>
          </cell>
          <cell r="Q183">
            <v>5.0000000000000024E-2</v>
          </cell>
          <cell r="S183">
            <v>6.0000000000000005E-2</v>
          </cell>
          <cell r="T183">
            <v>5.00000000000001E-2</v>
          </cell>
          <cell r="U183">
            <v>2.9999999999999975E-2</v>
          </cell>
          <cell r="V183">
            <v>8.9999999999999983E-2</v>
          </cell>
          <cell r="X183">
            <v>6.9999999999999993E-2</v>
          </cell>
          <cell r="Y183">
            <v>8.0000000000000043E-2</v>
          </cell>
          <cell r="Z183">
            <v>5.9999999999999984E-2</v>
          </cell>
          <cell r="AA183">
            <v>4.999999999999992E-2</v>
          </cell>
          <cell r="AH183">
            <v>7.0000000000000021E-2</v>
          </cell>
          <cell r="AI183">
            <v>7.0000000000000021E-2</v>
          </cell>
          <cell r="AJ183">
            <v>4.9999999999999913E-2</v>
          </cell>
          <cell r="AK183">
            <v>6.9999999999999993E-2</v>
          </cell>
          <cell r="AW183">
            <v>0.1699999999999999</v>
          </cell>
          <cell r="AX183">
            <v>0.14999999999999997</v>
          </cell>
          <cell r="AY183">
            <v>0.14000000000000001</v>
          </cell>
          <cell r="AZ183">
            <v>0.1</v>
          </cell>
          <cell r="BB183">
            <v>0.11000000000000001</v>
          </cell>
          <cell r="BC183">
            <v>6.9999999999999979E-2</v>
          </cell>
          <cell r="BV183">
            <v>0.189</v>
          </cell>
          <cell r="BW183">
            <v>0.193</v>
          </cell>
          <cell r="BX183">
            <v>0.182</v>
          </cell>
          <cell r="BY183">
            <v>0.13900000000000001</v>
          </cell>
          <cell r="CA183">
            <v>0.21</v>
          </cell>
          <cell r="CB183">
            <v>0.18099999999999999</v>
          </cell>
          <cell r="CC183">
            <v>0.14299999999999999</v>
          </cell>
          <cell r="CD183">
            <v>0.13197836285033013</v>
          </cell>
          <cell r="CF183">
            <v>0.13699999999999993</v>
          </cell>
          <cell r="CM183" t="str">
            <v>--</v>
          </cell>
          <cell r="CN183" t="str">
            <v>--</v>
          </cell>
          <cell r="CO183" t="str">
            <v>--</v>
          </cell>
          <cell r="CP183" t="str">
            <v>--</v>
          </cell>
          <cell r="CR183">
            <v>0.129</v>
          </cell>
          <cell r="CS183">
            <v>0.15900000000000006</v>
          </cell>
          <cell r="CT183">
            <v>0.14199999999999996</v>
          </cell>
          <cell r="CU183">
            <v>0.14000000000000001</v>
          </cell>
          <cell r="CW183">
            <v>0.16</v>
          </cell>
          <cell r="CX183">
            <v>0.182</v>
          </cell>
          <cell r="CY183">
            <v>0.18</v>
          </cell>
          <cell r="CZ183">
            <v>0.17</v>
          </cell>
          <cell r="DB183">
            <v>0.17</v>
          </cell>
          <cell r="DC183">
            <v>0.17</v>
          </cell>
          <cell r="DD183">
            <v>0.16</v>
          </cell>
          <cell r="DE183">
            <v>0.15601008484592893</v>
          </cell>
          <cell r="DG183">
            <v>0.15560709010080928</v>
          </cell>
          <cell r="DH183">
            <v>0.16215106339342658</v>
          </cell>
          <cell r="DI183">
            <v>0.16314142060407688</v>
          </cell>
          <cell r="DJ183">
            <v>0.16396846805732157</v>
          </cell>
          <cell r="DL183">
            <v>0.16153994719584885</v>
          </cell>
          <cell r="DM183">
            <v>0.16309878470391528</v>
          </cell>
          <cell r="DN183">
            <v>0.16871890936474018</v>
          </cell>
          <cell r="DO183">
            <v>0.17056128729261269</v>
          </cell>
          <cell r="DU183">
            <v>6.0628885087818642E-2</v>
          </cell>
          <cell r="DV183">
            <v>5.8443389820277962E-2</v>
          </cell>
          <cell r="DW183">
            <v>6.4146718261058402E-2</v>
          </cell>
          <cell r="DZ183">
            <v>6.4543476786685497E-2</v>
          </cell>
          <cell r="EC183">
            <v>0.11999999999999993</v>
          </cell>
          <cell r="EE183">
            <v>0.13764097620568611</v>
          </cell>
          <cell r="EL183">
            <v>0.20699999999999999</v>
          </cell>
          <cell r="EM183">
            <v>0.17432089743327336</v>
          </cell>
          <cell r="EP183" t="str">
            <v>--</v>
          </cell>
          <cell r="EQ183" t="str">
            <v>--</v>
          </cell>
          <cell r="ER183">
            <v>0.14856000138708625</v>
          </cell>
          <cell r="ES183">
            <v>0.14193474398921768</v>
          </cell>
          <cell r="ET183">
            <v>0.17209321593857724</v>
          </cell>
          <cell r="EU183">
            <v>0.16370204635889449</v>
          </cell>
          <cell r="EV183">
            <v>0.16117774099597332</v>
          </cell>
          <cell r="EW183">
            <v>0.16599349111840456</v>
          </cell>
          <cell r="EY183">
            <v>0</v>
          </cell>
          <cell r="EZ183">
            <v>3.9211415954517381E-2</v>
          </cell>
          <cell r="FA183">
            <v>0.15937233572087908</v>
          </cell>
          <cell r="FB183">
            <v>0.17617765730115933</v>
          </cell>
          <cell r="FC183">
            <v>0.16015161789767243</v>
          </cell>
        </row>
        <row r="184">
          <cell r="A184" t="str">
            <v>Medical/Industrial/Aerospace</v>
          </cell>
          <cell r="N184">
            <v>0.16</v>
          </cell>
          <cell r="O184">
            <v>0.14000000000000001</v>
          </cell>
          <cell r="P184">
            <v>0.17</v>
          </cell>
          <cell r="Q184">
            <v>0.15</v>
          </cell>
          <cell r="S184">
            <v>0.14000000000000001</v>
          </cell>
          <cell r="T184">
            <v>0.21</v>
          </cell>
          <cell r="U184">
            <v>0.23</v>
          </cell>
          <cell r="V184">
            <v>0.17</v>
          </cell>
          <cell r="X184">
            <v>0.18999999999999997</v>
          </cell>
          <cell r="Y184">
            <v>0.14000000000000001</v>
          </cell>
          <cell r="Z184">
            <v>0.15</v>
          </cell>
          <cell r="AA184">
            <v>0.12000000000000001</v>
          </cell>
          <cell r="AH184">
            <v>0.12</v>
          </cell>
          <cell r="AI184">
            <v>0.12</v>
          </cell>
          <cell r="AJ184">
            <v>0.13</v>
          </cell>
          <cell r="AK184">
            <v>0.09</v>
          </cell>
          <cell r="AW184">
            <v>0.16</v>
          </cell>
          <cell r="AX184">
            <v>0.18</v>
          </cell>
          <cell r="AY184">
            <v>0.15</v>
          </cell>
          <cell r="AZ184">
            <v>0.16</v>
          </cell>
          <cell r="BB184">
            <v>0.12</v>
          </cell>
          <cell r="BC184">
            <v>0.14000000000000001</v>
          </cell>
          <cell r="BV184">
            <v>0.121</v>
          </cell>
          <cell r="BW184">
            <v>0.126</v>
          </cell>
          <cell r="BX184">
            <v>0.11000000000000001</v>
          </cell>
          <cell r="BY184">
            <v>0.11700000000000001</v>
          </cell>
          <cell r="CA184">
            <v>0.122</v>
          </cell>
          <cell r="CB184">
            <v>0.13800000000000001</v>
          </cell>
          <cell r="CC184">
            <v>0.11700000000000001</v>
          </cell>
          <cell r="CD184">
            <v>0.11799896460554776</v>
          </cell>
          <cell r="CF184">
            <v>9.5999999999999988E-2</v>
          </cell>
          <cell r="CM184" t="str">
            <v>--</v>
          </cell>
          <cell r="CN184" t="str">
            <v>--</v>
          </cell>
          <cell r="CO184" t="str">
            <v>--</v>
          </cell>
          <cell r="CP184" t="str">
            <v>--</v>
          </cell>
          <cell r="CR184">
            <v>0.1</v>
          </cell>
          <cell r="CS184">
            <v>0.11800000000000001</v>
          </cell>
          <cell r="CT184">
            <v>0.126</v>
          </cell>
          <cell r="CU184">
            <v>0.14000000000000001</v>
          </cell>
          <cell r="CW184">
            <v>0.08</v>
          </cell>
          <cell r="CX184">
            <v>0.104</v>
          </cell>
          <cell r="CY184">
            <v>0.11</v>
          </cell>
          <cell r="CZ184">
            <v>0.1</v>
          </cell>
          <cell r="DB184">
            <v>0.1</v>
          </cell>
          <cell r="DC184">
            <v>0.1</v>
          </cell>
          <cell r="DD184">
            <v>0.08</v>
          </cell>
          <cell r="DE184">
            <v>8.0345193695653405E-2</v>
          </cell>
          <cell r="DG184">
            <v>8.5747287000050965E-2</v>
          </cell>
          <cell r="DH184">
            <v>9.2061020558188572E-2</v>
          </cell>
          <cell r="DI184">
            <v>9.4439437390739026E-2</v>
          </cell>
          <cell r="DJ184">
            <v>9.5839735204219678E-2</v>
          </cell>
          <cell r="DL184">
            <v>9.1048110082364728E-2</v>
          </cell>
          <cell r="DM184">
            <v>9.676495935915462E-2</v>
          </cell>
          <cell r="DN184">
            <v>9.8192672096361691E-2</v>
          </cell>
          <cell r="DO184">
            <v>9.7391994160060655E-2</v>
          </cell>
          <cell r="DU184">
            <v>0.15504097408054165</v>
          </cell>
          <cell r="DV184">
            <v>0.18974792135085786</v>
          </cell>
          <cell r="DW184">
            <v>0.1479284423955855</v>
          </cell>
          <cell r="DZ184">
            <v>0.11466595440511169</v>
          </cell>
          <cell r="EC184">
            <v>0.15</v>
          </cell>
          <cell r="EE184">
            <v>0.16208096520748405</v>
          </cell>
          <cell r="EL184">
            <v>0.13200000000000001</v>
          </cell>
          <cell r="EM184">
            <v>0.1183156296431512</v>
          </cell>
          <cell r="EP184" t="str">
            <v>--</v>
          </cell>
          <cell r="EQ184" t="str">
            <v>--</v>
          </cell>
          <cell r="ER184">
            <v>0.1134961501280224</v>
          </cell>
          <cell r="ES184">
            <v>0.11619655613352384</v>
          </cell>
          <cell r="ET184">
            <v>9.6781044702376848E-2</v>
          </cell>
          <cell r="EU184">
            <v>8.9612576736493976E-2</v>
          </cell>
          <cell r="EV184">
            <v>9.1985865415154716E-2</v>
          </cell>
          <cell r="EW184">
            <v>9.5809098132870182E-2</v>
          </cell>
          <cell r="EY184">
            <v>0</v>
          </cell>
          <cell r="EZ184">
            <v>3.0396446476370062E-2</v>
          </cell>
          <cell r="FA184">
            <v>0.11319910008716097</v>
          </cell>
          <cell r="FB184">
            <v>0.1038116137519941</v>
          </cell>
          <cell r="FC184">
            <v>8.6210544320714025E-2</v>
          </cell>
        </row>
        <row r="185">
          <cell r="A185" t="str">
            <v>Multimedia</v>
          </cell>
          <cell r="N185" t="str">
            <v>--</v>
          </cell>
          <cell r="O185" t="str">
            <v>--</v>
          </cell>
          <cell r="P185" t="str">
            <v>--</v>
          </cell>
          <cell r="Q185" t="str">
            <v>--</v>
          </cell>
          <cell r="S185" t="str">
            <v>--</v>
          </cell>
          <cell r="T185" t="str">
            <v>--</v>
          </cell>
          <cell r="U185" t="str">
            <v>--</v>
          </cell>
          <cell r="V185" t="str">
            <v>--</v>
          </cell>
          <cell r="X185" t="str">
            <v>--</v>
          </cell>
          <cell r="Y185" t="str">
            <v>--</v>
          </cell>
          <cell r="Z185" t="str">
            <v>--</v>
          </cell>
          <cell r="AA185" t="str">
            <v>--</v>
          </cell>
          <cell r="AH185" t="str">
            <v>--</v>
          </cell>
          <cell r="AI185" t="str">
            <v>--</v>
          </cell>
          <cell r="AJ185" t="str">
            <v>--</v>
          </cell>
          <cell r="AK185" t="str">
            <v>--</v>
          </cell>
          <cell r="AW185" t="str">
            <v>--</v>
          </cell>
          <cell r="AX185" t="str">
            <v>--</v>
          </cell>
          <cell r="AY185" t="str">
            <v>--</v>
          </cell>
          <cell r="AZ185" t="str">
            <v>--</v>
          </cell>
          <cell r="BB185" t="str">
            <v>--</v>
          </cell>
          <cell r="BC185" t="str">
            <v>--</v>
          </cell>
          <cell r="BV185" t="str">
            <v>--</v>
          </cell>
          <cell r="BW185" t="str">
            <v>--</v>
          </cell>
          <cell r="BX185" t="str">
            <v>--</v>
          </cell>
          <cell r="BY185" t="str">
            <v>--</v>
          </cell>
          <cell r="CA185" t="str">
            <v>--</v>
          </cell>
          <cell r="CB185" t="str">
            <v>--</v>
          </cell>
          <cell r="CC185" t="str">
            <v>--</v>
          </cell>
          <cell r="CD185" t="str">
            <v>--</v>
          </cell>
          <cell r="CF185" t="str">
            <v>--</v>
          </cell>
          <cell r="CM185" t="str">
            <v>--</v>
          </cell>
          <cell r="CN185" t="str">
            <v>--</v>
          </cell>
          <cell r="CO185" t="str">
            <v>--</v>
          </cell>
          <cell r="CP185" t="str">
            <v>--</v>
          </cell>
          <cell r="CR185" t="str">
            <v>--</v>
          </cell>
          <cell r="CS185" t="str">
            <v>--</v>
          </cell>
          <cell r="CT185" t="str">
            <v>--</v>
          </cell>
          <cell r="CU185" t="str">
            <v>--</v>
          </cell>
          <cell r="CW185">
            <v>0.06</v>
          </cell>
          <cell r="CX185">
            <v>5.3999999999999999E-2</v>
          </cell>
          <cell r="CY185">
            <v>0.08</v>
          </cell>
          <cell r="CZ185">
            <v>0.1</v>
          </cell>
          <cell r="DB185">
            <v>0.1</v>
          </cell>
          <cell r="DC185">
            <v>7.0000000000000007E-2</v>
          </cell>
          <cell r="DD185">
            <v>5.9999999999999991E-2</v>
          </cell>
          <cell r="DE185">
            <v>6.142897090808451E-2</v>
          </cell>
          <cell r="DG185">
            <v>6.8622726734456893E-2</v>
          </cell>
          <cell r="DH185">
            <v>6.500783541500102E-2</v>
          </cell>
          <cell r="DI185">
            <v>6.6687327224468643E-2</v>
          </cell>
          <cell r="DJ185">
            <v>6.83268635232685E-2</v>
          </cell>
          <cell r="DL185">
            <v>7.512821547377159E-2</v>
          </cell>
          <cell r="DM185">
            <v>7.0264009491384352E-2</v>
          </cell>
          <cell r="DN185">
            <v>7.0608475610486568E-2</v>
          </cell>
          <cell r="DO185">
            <v>7.2052898107970081E-2</v>
          </cell>
          <cell r="DU185">
            <v>0</v>
          </cell>
          <cell r="DV185">
            <v>0</v>
          </cell>
          <cell r="DW185">
            <v>0</v>
          </cell>
          <cell r="DZ185">
            <v>0</v>
          </cell>
          <cell r="EC185">
            <v>0</v>
          </cell>
          <cell r="EE185">
            <v>0</v>
          </cell>
          <cell r="EL185">
            <v>0</v>
          </cell>
          <cell r="EM185">
            <v>0</v>
          </cell>
          <cell r="EP185" t="str">
            <v>--</v>
          </cell>
          <cell r="EQ185" t="str">
            <v>--</v>
          </cell>
          <cell r="ER185">
            <v>0</v>
          </cell>
          <cell r="ES185">
            <v>0</v>
          </cell>
          <cell r="ET185">
            <v>7.060565852729371E-2</v>
          </cell>
          <cell r="EU185">
            <v>7.2272902623634908E-2</v>
          </cell>
          <cell r="EV185">
            <v>6.7189374467771068E-2</v>
          </cell>
          <cell r="EW185">
            <v>7.2056133773372735E-2</v>
          </cell>
          <cell r="EY185">
            <v>0</v>
          </cell>
          <cell r="EZ185">
            <v>0</v>
          </cell>
          <cell r="FA185">
            <v>4.8369249708123341E-2</v>
          </cell>
          <cell r="FB185">
            <v>8.1138065637477025E-2</v>
          </cell>
          <cell r="FC185">
            <v>6.4916582896173664E-2</v>
          </cell>
        </row>
        <row r="187">
          <cell r="A187" t="str">
            <v>Revenue Growth (Yr-Yr)</v>
          </cell>
          <cell r="N187" t="str">
            <v>--</v>
          </cell>
          <cell r="O187" t="str">
            <v>--</v>
          </cell>
          <cell r="P187" t="str">
            <v>--</v>
          </cell>
          <cell r="Q187" t="str">
            <v>--</v>
          </cell>
          <cell r="S187">
            <v>0.50133816800483455</v>
          </cell>
          <cell r="T187">
            <v>0.60686237133053766</v>
          </cell>
          <cell r="U187">
            <v>0.59640270021754249</v>
          </cell>
          <cell r="V187">
            <v>0.59862338614425914</v>
          </cell>
          <cell r="X187">
            <v>0.7034310906651331</v>
          </cell>
          <cell r="Y187">
            <v>0.52953085951092982</v>
          </cell>
          <cell r="Z187">
            <v>0.48079570677980388</v>
          </cell>
          <cell r="AA187">
            <v>0.45522407072431292</v>
          </cell>
          <cell r="AH187" t="str">
            <v>--</v>
          </cell>
          <cell r="AI187" t="str">
            <v>--</v>
          </cell>
          <cell r="AJ187" t="str">
            <v>--</v>
          </cell>
          <cell r="AK187" t="str">
            <v>--</v>
          </cell>
          <cell r="AW187" t="str">
            <v>--</v>
          </cell>
          <cell r="AX187" t="str">
            <v>--</v>
          </cell>
          <cell r="AY187" t="str">
            <v>--</v>
          </cell>
          <cell r="AZ187" t="str">
            <v>--</v>
          </cell>
          <cell r="BB187">
            <v>0.66834825592578739</v>
          </cell>
          <cell r="BC187">
            <v>0.97521519527637479</v>
          </cell>
          <cell r="BV187" t="str">
            <v>--</v>
          </cell>
          <cell r="BW187" t="str">
            <v>--</v>
          </cell>
          <cell r="BX187" t="str">
            <v>--</v>
          </cell>
          <cell r="BY187" t="str">
            <v>--</v>
          </cell>
          <cell r="CA187">
            <v>0.39174068498992232</v>
          </cell>
          <cell r="CB187">
            <v>0.5186480732493195</v>
          </cell>
          <cell r="CC187">
            <v>0.65497120514966389</v>
          </cell>
          <cell r="CD187">
            <v>0.91479474325972099</v>
          </cell>
          <cell r="CM187" t="str">
            <v>--</v>
          </cell>
          <cell r="CN187" t="str">
            <v>--</v>
          </cell>
          <cell r="CO187" t="str">
            <v>--</v>
          </cell>
          <cell r="CP187" t="str">
            <v>--</v>
          </cell>
          <cell r="CR187">
            <v>0.77412328104567352</v>
          </cell>
          <cell r="CS187">
            <v>0.25600037116785002</v>
          </cell>
          <cell r="CT187">
            <v>-0.2850166914936908</v>
          </cell>
          <cell r="CU187">
            <v>-0.56061006124164092</v>
          </cell>
          <cell r="CW187" t="str">
            <v>--</v>
          </cell>
          <cell r="CX187" t="str">
            <v>--</v>
          </cell>
          <cell r="CY187" t="str">
            <v>--</v>
          </cell>
          <cell r="CZ187" t="str">
            <v>--</v>
          </cell>
          <cell r="DB187">
            <v>-0.40852290688236426</v>
          </cell>
          <cell r="DC187">
            <v>-0.2459381362054246</v>
          </cell>
          <cell r="DD187">
            <v>-7.8949331456720562E-2</v>
          </cell>
          <cell r="DE187">
            <v>0.13465741075032511</v>
          </cell>
          <cell r="DG187">
            <v>0.11856596654762841</v>
          </cell>
          <cell r="DH187">
            <v>6.0479682026458592E-2</v>
          </cell>
          <cell r="DI187">
            <v>-9.6445194497561948E-3</v>
          </cell>
          <cell r="DJ187">
            <v>-1.0388063569542583E-2</v>
          </cell>
          <cell r="DL187">
            <v>0.12212195194110231</v>
          </cell>
          <cell r="DM187">
            <v>0.11134295446197373</v>
          </cell>
          <cell r="DN187">
            <v>0.11267577332427736</v>
          </cell>
          <cell r="DO187">
            <v>0.13845709039080534</v>
          </cell>
          <cell r="DU187" t="str">
            <v>--</v>
          </cell>
          <cell r="DV187">
            <v>0.57981750889510075</v>
          </cell>
          <cell r="DW187">
            <v>0.52866347764414723</v>
          </cell>
          <cell r="EL187" t="str">
            <v>--</v>
          </cell>
          <cell r="EM187">
            <v>0.23308767552566256</v>
          </cell>
          <cell r="EP187" t="str">
            <v>--</v>
          </cell>
          <cell r="EQ187" t="str">
            <v>--</v>
          </cell>
          <cell r="ER187" t="str">
            <v>--</v>
          </cell>
          <cell r="ES187">
            <v>-4.3654056920545914E-2</v>
          </cell>
          <cell r="ET187" t="str">
            <v>--</v>
          </cell>
          <cell r="EU187">
            <v>-0.18872708048887377</v>
          </cell>
          <cell r="EV187">
            <v>3.7352469342148087E-2</v>
          </cell>
          <cell r="EW187">
            <v>0.12129762852677439</v>
          </cell>
          <cell r="EY187" t="str">
            <v>--</v>
          </cell>
          <cell r="EZ187">
            <v>0.71211264526787721</v>
          </cell>
          <cell r="FA187">
            <v>1.7880154309582341E-2</v>
          </cell>
          <cell r="FB187" t="str">
            <v>--</v>
          </cell>
          <cell r="FC187">
            <v>-3.7635508690076924E-2</v>
          </cell>
        </row>
        <row r="188">
          <cell r="A188" t="str">
            <v>Communications</v>
          </cell>
          <cell r="N188" t="str">
            <v>--</v>
          </cell>
          <cell r="O188" t="str">
            <v>--</v>
          </cell>
          <cell r="P188" t="str">
            <v>--</v>
          </cell>
          <cell r="Q188" t="str">
            <v>--</v>
          </cell>
          <cell r="S188">
            <v>0.60142737920515721</v>
          </cell>
          <cell r="T188">
            <v>0.48634769348074713</v>
          </cell>
          <cell r="U188">
            <v>0.51453589507818132</v>
          </cell>
          <cell r="V188">
            <v>0.47872663218343958</v>
          </cell>
          <cell r="X188">
            <v>0.57567375886524808</v>
          </cell>
          <cell r="Y188">
            <v>0.61220820326827741</v>
          </cell>
          <cell r="Z188">
            <v>0.58084947075141224</v>
          </cell>
          <cell r="AA188">
            <v>0.63221078202862135</v>
          </cell>
          <cell r="AH188" t="str">
            <v>--</v>
          </cell>
          <cell r="AI188" t="str">
            <v>--</v>
          </cell>
          <cell r="AJ188" t="str">
            <v>--</v>
          </cell>
          <cell r="AK188" t="str">
            <v>--</v>
          </cell>
          <cell r="AW188" t="str">
            <v>--</v>
          </cell>
          <cell r="AX188" t="str">
            <v>--</v>
          </cell>
          <cell r="AY188" t="str">
            <v>--</v>
          </cell>
          <cell r="AZ188" t="str">
            <v>--</v>
          </cell>
          <cell r="BB188">
            <v>0.91735545830277032</v>
          </cell>
          <cell r="BC188">
            <v>1.3289850809975166</v>
          </cell>
          <cell r="BV188" t="str">
            <v>--</v>
          </cell>
          <cell r="BW188" t="str">
            <v>--</v>
          </cell>
          <cell r="BX188" t="str">
            <v>--</v>
          </cell>
          <cell r="BY188" t="str">
            <v>--</v>
          </cell>
          <cell r="CA188">
            <v>0.3473663443090842</v>
          </cell>
          <cell r="CB188">
            <v>0.5186480732493195</v>
          </cell>
          <cell r="CC188">
            <v>0.72977216357450736</v>
          </cell>
          <cell r="CD188">
            <v>0.93029498751759765</v>
          </cell>
          <cell r="CM188" t="str">
            <v>--</v>
          </cell>
          <cell r="CN188" t="str">
            <v>--</v>
          </cell>
          <cell r="CO188" t="str">
            <v>--</v>
          </cell>
          <cell r="CP188" t="str">
            <v>--</v>
          </cell>
          <cell r="CR188" t="str">
            <v>--</v>
          </cell>
          <cell r="CS188" t="str">
            <v>--</v>
          </cell>
          <cell r="CT188" t="str">
            <v>--</v>
          </cell>
          <cell r="CU188" t="str">
            <v>--</v>
          </cell>
          <cell r="CW188" t="str">
            <v>--</v>
          </cell>
          <cell r="CX188" t="str">
            <v>--</v>
          </cell>
          <cell r="CY188" t="str">
            <v>--</v>
          </cell>
          <cell r="CZ188" t="str">
            <v>--</v>
          </cell>
          <cell r="DB188">
            <v>-0.58958732314286499</v>
          </cell>
          <cell r="DC188">
            <v>-0.48659617784199116</v>
          </cell>
          <cell r="DD188">
            <v>-0.33598672732926371</v>
          </cell>
          <cell r="DE188">
            <v>-0.22136194148805244</v>
          </cell>
          <cell r="DG188">
            <v>-0.16908493646350264</v>
          </cell>
          <cell r="DH188">
            <v>-0.16303913346643917</v>
          </cell>
          <cell r="DI188">
            <v>-0.20415872248242284</v>
          </cell>
          <cell r="DJ188">
            <v>-0.14500000000000013</v>
          </cell>
          <cell r="DL188">
            <v>0.12682885686176903</v>
          </cell>
          <cell r="DM188">
            <v>0.12682885686176926</v>
          </cell>
          <cell r="DN188">
            <v>0.13809714543038676</v>
          </cell>
          <cell r="DO188">
            <v>0.16085908833899465</v>
          </cell>
          <cell r="DU188" t="str">
            <v>--</v>
          </cell>
          <cell r="DV188">
            <v>0.5143119818039199</v>
          </cell>
          <cell r="DW188">
            <v>0.60209896870052981</v>
          </cell>
          <cell r="EL188" t="str">
            <v>--</v>
          </cell>
          <cell r="EM188">
            <v>0.31957818544491934</v>
          </cell>
          <cell r="EP188" t="str">
            <v>--</v>
          </cell>
          <cell r="EQ188" t="str">
            <v>--</v>
          </cell>
          <cell r="ER188" t="str">
            <v>--</v>
          </cell>
          <cell r="ES188">
            <v>-3.8567605269805183E-2</v>
          </cell>
          <cell r="ET188" t="str">
            <v>--</v>
          </cell>
          <cell r="EU188">
            <v>-0.44510105808910783</v>
          </cell>
          <cell r="EV188">
            <v>-0.17086045428156849</v>
          </cell>
          <cell r="EW188">
            <v>0.13800641375619804</v>
          </cell>
          <cell r="EY188" t="str">
            <v>--</v>
          </cell>
          <cell r="EZ188" t="str">
            <v>--</v>
          </cell>
          <cell r="FA188">
            <v>1.34011803473234</v>
          </cell>
          <cell r="FB188" t="str">
            <v>--</v>
          </cell>
          <cell r="FC188">
            <v>-0.33124826920910044</v>
          </cell>
        </row>
        <row r="189">
          <cell r="A189" t="str">
            <v>PCs</v>
          </cell>
          <cell r="N189" t="str">
            <v>--</v>
          </cell>
          <cell r="O189" t="str">
            <v>--</v>
          </cell>
          <cell r="P189" t="str">
            <v>--</v>
          </cell>
          <cell r="Q189" t="str">
            <v>--</v>
          </cell>
          <cell r="S189" t="str">
            <v>--</v>
          </cell>
          <cell r="T189" t="str">
            <v>--</v>
          </cell>
          <cell r="U189" t="str">
            <v>--</v>
          </cell>
          <cell r="V189" t="str">
            <v>--</v>
          </cell>
          <cell r="X189" t="str">
            <v>--</v>
          </cell>
          <cell r="Y189" t="str">
            <v>--</v>
          </cell>
          <cell r="Z189" t="str">
            <v>--</v>
          </cell>
          <cell r="AA189" t="str">
            <v>--</v>
          </cell>
          <cell r="AH189" t="str">
            <v>--</v>
          </cell>
          <cell r="AI189" t="str">
            <v>--</v>
          </cell>
          <cell r="AJ189" t="str">
            <v>--</v>
          </cell>
          <cell r="AK189" t="str">
            <v>--</v>
          </cell>
          <cell r="AW189" t="str">
            <v>--</v>
          </cell>
          <cell r="AX189" t="str">
            <v>--</v>
          </cell>
          <cell r="AY189" t="str">
            <v>--</v>
          </cell>
          <cell r="AZ189" t="str">
            <v>--</v>
          </cell>
          <cell r="BB189" t="str">
            <v>--</v>
          </cell>
          <cell r="BC189" t="str">
            <v>--</v>
          </cell>
          <cell r="BV189" t="str">
            <v>--</v>
          </cell>
          <cell r="BW189" t="str">
            <v>--</v>
          </cell>
          <cell r="BX189" t="str">
            <v>--</v>
          </cell>
          <cell r="BY189" t="str">
            <v>--</v>
          </cell>
          <cell r="CA189" t="str">
            <v>--</v>
          </cell>
          <cell r="CB189" t="str">
            <v>--</v>
          </cell>
          <cell r="CC189" t="str">
            <v>--</v>
          </cell>
          <cell r="CD189" t="str">
            <v>--</v>
          </cell>
          <cell r="CM189" t="str">
            <v>--</v>
          </cell>
          <cell r="CN189" t="str">
            <v>--</v>
          </cell>
          <cell r="CO189" t="str">
            <v>--</v>
          </cell>
          <cell r="CP189" t="str">
            <v>--</v>
          </cell>
          <cell r="CR189" t="str">
            <v>--</v>
          </cell>
          <cell r="CS189" t="str">
            <v>--</v>
          </cell>
          <cell r="CT189" t="str">
            <v>--</v>
          </cell>
          <cell r="CU189" t="str">
            <v>--</v>
          </cell>
          <cell r="CW189" t="str">
            <v>--</v>
          </cell>
          <cell r="CX189" t="str">
            <v>--</v>
          </cell>
          <cell r="CY189" t="str">
            <v>--</v>
          </cell>
          <cell r="CZ189" t="str">
            <v>--</v>
          </cell>
          <cell r="DB189">
            <v>-0.22032564998129844</v>
          </cell>
          <cell r="DC189">
            <v>0.3493738615271349</v>
          </cell>
          <cell r="DD189">
            <v>0.79604880365939512</v>
          </cell>
          <cell r="DE189">
            <v>1.273965244369708</v>
          </cell>
          <cell r="DG189">
            <v>0.68732760753804589</v>
          </cell>
          <cell r="DH189">
            <v>0.33566460632146544</v>
          </cell>
          <cell r="DI189">
            <v>8.3343359281525142E-2</v>
          </cell>
          <cell r="DJ189">
            <v>8.2361950664282535E-3</v>
          </cell>
          <cell r="DL189">
            <v>7.390169000000002E-2</v>
          </cell>
          <cell r="DM189">
            <v>7.390169000000002E-2</v>
          </cell>
          <cell r="DN189">
            <v>6.326900000000002E-2</v>
          </cell>
          <cell r="DO189">
            <v>9.4238000000000044E-2</v>
          </cell>
          <cell r="DU189" t="str">
            <v>--</v>
          </cell>
          <cell r="DV189" t="str">
            <v>--</v>
          </cell>
          <cell r="DW189" t="str">
            <v>--</v>
          </cell>
          <cell r="EL189" t="str">
            <v>--</v>
          </cell>
          <cell r="EM189" t="str">
            <v>--</v>
          </cell>
          <cell r="EP189" t="str">
            <v>--</v>
          </cell>
          <cell r="EQ189" t="str">
            <v>--</v>
          </cell>
          <cell r="ER189" t="str">
            <v>--</v>
          </cell>
          <cell r="ES189" t="str">
            <v>--</v>
          </cell>
          <cell r="ET189" t="str">
            <v>--</v>
          </cell>
          <cell r="EU189">
            <v>0.42858481970094831</v>
          </cell>
          <cell r="EV189">
            <v>0.23149347580070501</v>
          </cell>
          <cell r="EW189">
            <v>7.6426637917377915E-2</v>
          </cell>
          <cell r="EY189" t="str">
            <v>--</v>
          </cell>
          <cell r="EZ189" t="str">
            <v>--</v>
          </cell>
          <cell r="FA189" t="str">
            <v>--</v>
          </cell>
          <cell r="FB189" t="str">
            <v>--</v>
          </cell>
          <cell r="FC189">
            <v>0.74973520180316888</v>
          </cell>
        </row>
        <row r="190">
          <cell r="A190" t="str">
            <v>High-End Computing</v>
          </cell>
          <cell r="N190" t="str">
            <v>--</v>
          </cell>
          <cell r="O190" t="str">
            <v>--</v>
          </cell>
          <cell r="P190" t="str">
            <v>--</v>
          </cell>
          <cell r="Q190" t="str">
            <v>--</v>
          </cell>
          <cell r="S190">
            <v>8.9211200322258932E-4</v>
          </cell>
          <cell r="T190">
            <v>0.33905197610878468</v>
          </cell>
          <cell r="U190">
            <v>-4.2158379869475238E-2</v>
          </cell>
          <cell r="V190">
            <v>1.8775220950596645</v>
          </cell>
          <cell r="X190">
            <v>0.98733627244265465</v>
          </cell>
          <cell r="Y190">
            <v>1.447249375217484</v>
          </cell>
          <cell r="Z190">
            <v>1.9615914135596095</v>
          </cell>
          <cell r="AA190">
            <v>-0.19154218293093839</v>
          </cell>
          <cell r="AH190" t="str">
            <v>--</v>
          </cell>
          <cell r="AI190" t="str">
            <v>--</v>
          </cell>
          <cell r="AJ190" t="str">
            <v>--</v>
          </cell>
          <cell r="AK190" t="str">
            <v>--</v>
          </cell>
          <cell r="AW190" t="str">
            <v>--</v>
          </cell>
          <cell r="AX190" t="str">
            <v>--</v>
          </cell>
          <cell r="AY190" t="str">
            <v>--</v>
          </cell>
          <cell r="AZ190" t="str">
            <v>--</v>
          </cell>
          <cell r="BB190">
            <v>7.9519459716686836E-2</v>
          </cell>
          <cell r="BC190">
            <v>-7.8232908871025186E-2</v>
          </cell>
          <cell r="BV190" t="str">
            <v>--</v>
          </cell>
          <cell r="BW190" t="str">
            <v>--</v>
          </cell>
          <cell r="BX190" t="str">
            <v>--</v>
          </cell>
          <cell r="BY190" t="str">
            <v>--</v>
          </cell>
          <cell r="CA190">
            <v>0.54637853887769117</v>
          </cell>
          <cell r="CB190">
            <v>0.42422435885039778</v>
          </cell>
          <cell r="CC190">
            <v>0.30033451833187863</v>
          </cell>
          <cell r="CD190">
            <v>0.81806816841608776</v>
          </cell>
          <cell r="CM190" t="str">
            <v>--</v>
          </cell>
          <cell r="CN190" t="str">
            <v>--</v>
          </cell>
          <cell r="CO190" t="str">
            <v>--</v>
          </cell>
          <cell r="CP190" t="str">
            <v>--</v>
          </cell>
          <cell r="CR190" t="str">
            <v>--</v>
          </cell>
          <cell r="CS190" t="str">
            <v>--</v>
          </cell>
          <cell r="CT190" t="str">
            <v>--</v>
          </cell>
          <cell r="CU190" t="str">
            <v>--</v>
          </cell>
          <cell r="CW190" t="str">
            <v>--</v>
          </cell>
          <cell r="CX190" t="str">
            <v>--</v>
          </cell>
          <cell r="CY190" t="str">
            <v>--</v>
          </cell>
          <cell r="CZ190" t="str">
            <v>--</v>
          </cell>
          <cell r="DB190">
            <v>-0.37155558856251203</v>
          </cell>
          <cell r="DC190">
            <v>-0.29565650085122075</v>
          </cell>
          <cell r="DD190">
            <v>-0.18128829462819607</v>
          </cell>
          <cell r="DE190">
            <v>4.1282346601295483E-2</v>
          </cell>
          <cell r="DG190">
            <v>2.3863500825150874E-2</v>
          </cell>
          <cell r="DH190">
            <v>1.1517106751253836E-2</v>
          </cell>
          <cell r="DI190">
            <v>9.8000000000000309E-3</v>
          </cell>
          <cell r="DJ190">
            <v>4.0094000000000074E-2</v>
          </cell>
          <cell r="DL190">
            <v>0.16490528000000015</v>
          </cell>
          <cell r="DM190">
            <v>0.11783840000000012</v>
          </cell>
          <cell r="DN190">
            <v>0.15071600000000029</v>
          </cell>
          <cell r="DO190">
            <v>0.18423200000000017</v>
          </cell>
          <cell r="DU190" t="str">
            <v>--</v>
          </cell>
          <cell r="DV190">
            <v>0.52286967480138324</v>
          </cell>
          <cell r="DW190">
            <v>0.67784150984318225</v>
          </cell>
          <cell r="EL190" t="str">
            <v>--</v>
          </cell>
          <cell r="EM190">
            <v>3.8420049331123085E-2</v>
          </cell>
          <cell r="EP190" t="str">
            <v>--</v>
          </cell>
          <cell r="EQ190" t="str">
            <v>--</v>
          </cell>
          <cell r="ER190" t="str">
            <v>--</v>
          </cell>
          <cell r="ES190">
            <v>-8.6303747114069962E-2</v>
          </cell>
          <cell r="ET190" t="str">
            <v>--</v>
          </cell>
          <cell r="EU190">
            <v>-0.22828429723268717</v>
          </cell>
          <cell r="EV190">
            <v>2.1356368744486875E-2</v>
          </cell>
          <cell r="EW190">
            <v>0.15480032659470777</v>
          </cell>
          <cell r="EY190" t="str">
            <v>--</v>
          </cell>
          <cell r="EZ190" t="str">
            <v>--</v>
          </cell>
          <cell r="FA190">
            <v>3.1371099137152703</v>
          </cell>
          <cell r="FB190" t="str">
            <v>--</v>
          </cell>
          <cell r="FC190">
            <v>-0.12517720662448339</v>
          </cell>
        </row>
        <row r="191">
          <cell r="A191" t="str">
            <v>Medical/Industrial/Aerospace</v>
          </cell>
          <cell r="N191" t="str">
            <v>--</v>
          </cell>
          <cell r="O191" t="str">
            <v>--</v>
          </cell>
          <cell r="P191" t="str">
            <v>--</v>
          </cell>
          <cell r="Q191" t="str">
            <v>--</v>
          </cell>
          <cell r="S191">
            <v>0.31367089700423034</v>
          </cell>
          <cell r="T191">
            <v>1.4102935569958062</v>
          </cell>
          <cell r="U191">
            <v>1.1598389473531459</v>
          </cell>
          <cell r="V191">
            <v>0.81177317096349388</v>
          </cell>
          <cell r="X191">
            <v>1.3117993373312515</v>
          </cell>
          <cell r="Y191">
            <v>1.9687239673953361E-2</v>
          </cell>
          <cell r="Z191">
            <v>-3.4263669491432336E-2</v>
          </cell>
          <cell r="AA191">
            <v>2.7216991099514809E-2</v>
          </cell>
          <cell r="AH191" t="str">
            <v>--</v>
          </cell>
          <cell r="AI191" t="str">
            <v>--</v>
          </cell>
          <cell r="AJ191" t="str">
            <v>--</v>
          </cell>
          <cell r="AK191" t="str">
            <v>--</v>
          </cell>
          <cell r="AW191" t="str">
            <v>--</v>
          </cell>
          <cell r="AX191" t="str">
            <v>--</v>
          </cell>
          <cell r="AY191" t="str">
            <v>--</v>
          </cell>
          <cell r="AZ191" t="str">
            <v>--</v>
          </cell>
          <cell r="BB191">
            <v>0.25126119194434038</v>
          </cell>
          <cell r="BC191">
            <v>0.53627848521495847</v>
          </cell>
          <cell r="BV191" t="str">
            <v>--</v>
          </cell>
          <cell r="BW191" t="str">
            <v>--</v>
          </cell>
          <cell r="BX191" t="str">
            <v>--</v>
          </cell>
          <cell r="BY191" t="str">
            <v>--</v>
          </cell>
          <cell r="CA191">
            <v>0.40324267412207027</v>
          </cell>
          <cell r="CB191">
            <v>0.66328122308258797</v>
          </cell>
          <cell r="CC191">
            <v>0.76028755456827857</v>
          </cell>
          <cell r="CD191">
            <v>0.93114356527173259</v>
          </cell>
          <cell r="CM191" t="str">
            <v>--</v>
          </cell>
          <cell r="CN191" t="str">
            <v>--</v>
          </cell>
          <cell r="CO191" t="str">
            <v>--</v>
          </cell>
          <cell r="CP191" t="str">
            <v>--</v>
          </cell>
          <cell r="CR191" t="str">
            <v>--</v>
          </cell>
          <cell r="CS191" t="str">
            <v>--</v>
          </cell>
          <cell r="CT191" t="str">
            <v>--</v>
          </cell>
          <cell r="CU191" t="str">
            <v>--</v>
          </cell>
          <cell r="CW191" t="str">
            <v>--</v>
          </cell>
          <cell r="CX191" t="str">
            <v>--</v>
          </cell>
          <cell r="CY191" t="str">
            <v>--</v>
          </cell>
          <cell r="CZ191" t="str">
            <v>--</v>
          </cell>
          <cell r="DB191">
            <v>-0.26065363360295524</v>
          </cell>
          <cell r="DC191">
            <v>-0.27494051558213906</v>
          </cell>
          <cell r="DD191">
            <v>-0.33014496833216034</v>
          </cell>
          <cell r="DE191">
            <v>-8.8357305550565646E-2</v>
          </cell>
          <cell r="DG191">
            <v>-4.0860030379511025E-2</v>
          </cell>
          <cell r="DH191">
            <v>-2.371158191420919E-2</v>
          </cell>
          <cell r="DI191">
            <v>0.16910767999999998</v>
          </cell>
          <cell r="DJ191">
            <v>0.1804582400000001</v>
          </cell>
          <cell r="DL191">
            <v>0.19149056000000009</v>
          </cell>
          <cell r="DM191">
            <v>0.16812800000000006</v>
          </cell>
          <cell r="DN191">
            <v>0.15689600000000037</v>
          </cell>
          <cell r="DO191">
            <v>0.15689600000000015</v>
          </cell>
          <cell r="DU191" t="str">
            <v>--</v>
          </cell>
          <cell r="DV191">
            <v>0.93347010494665028</v>
          </cell>
          <cell r="DW191">
            <v>0.19175380465318215</v>
          </cell>
          <cell r="EL191" t="str">
            <v>--</v>
          </cell>
          <cell r="EM191">
            <v>0.10525412678051871</v>
          </cell>
          <cell r="EP191" t="str">
            <v>--</v>
          </cell>
          <cell r="EQ191" t="str">
            <v>--</v>
          </cell>
          <cell r="ER191" t="str">
            <v>--</v>
          </cell>
          <cell r="ES191">
            <v>-2.0899784417772627E-2</v>
          </cell>
          <cell r="ET191" t="str">
            <v>--</v>
          </cell>
          <cell r="EU191">
            <v>-0.2488171937232162</v>
          </cell>
          <cell r="EV191">
            <v>6.4825587077729008E-2</v>
          </cell>
          <cell r="EW191">
            <v>0.16790241677692719</v>
          </cell>
          <cell r="EY191" t="str">
            <v>--</v>
          </cell>
          <cell r="EZ191" t="str">
            <v>--</v>
          </cell>
          <cell r="FA191">
            <v>2.7906772278134135</v>
          </cell>
          <cell r="FB191" t="str">
            <v>--</v>
          </cell>
          <cell r="FC191">
            <v>-0.20080264979830498</v>
          </cell>
        </row>
        <row r="192">
          <cell r="A192" t="str">
            <v>Multimedia</v>
          </cell>
          <cell r="N192" t="str">
            <v>--</v>
          </cell>
          <cell r="O192" t="str">
            <v>--</v>
          </cell>
          <cell r="P192" t="str">
            <v>--</v>
          </cell>
          <cell r="Q192" t="str">
            <v>--</v>
          </cell>
          <cell r="S192" t="str">
            <v>--</v>
          </cell>
          <cell r="T192" t="str">
            <v>--</v>
          </cell>
          <cell r="U192" t="str">
            <v>--</v>
          </cell>
          <cell r="V192" t="str">
            <v>--</v>
          </cell>
          <cell r="X192" t="str">
            <v>--</v>
          </cell>
          <cell r="Y192" t="str">
            <v>--</v>
          </cell>
          <cell r="Z192" t="str">
            <v>--</v>
          </cell>
          <cell r="AA192" t="str">
            <v>--</v>
          </cell>
          <cell r="AH192" t="str">
            <v>--</v>
          </cell>
          <cell r="AI192" t="str">
            <v>--</v>
          </cell>
          <cell r="AJ192" t="str">
            <v>--</v>
          </cell>
          <cell r="AK192" t="str">
            <v>--</v>
          </cell>
          <cell r="AW192" t="str">
            <v>--</v>
          </cell>
          <cell r="AX192" t="str">
            <v>--</v>
          </cell>
          <cell r="AY192" t="str">
            <v>--</v>
          </cell>
          <cell r="AZ192" t="str">
            <v>--</v>
          </cell>
          <cell r="BB192" t="str">
            <v>--</v>
          </cell>
          <cell r="BC192" t="str">
            <v>--</v>
          </cell>
          <cell r="BV192" t="str">
            <v>--</v>
          </cell>
          <cell r="BW192" t="str">
            <v>--</v>
          </cell>
          <cell r="BX192" t="str">
            <v>--</v>
          </cell>
          <cell r="BY192" t="str">
            <v>--</v>
          </cell>
          <cell r="CA192" t="str">
            <v>--</v>
          </cell>
          <cell r="CB192" t="str">
            <v>--</v>
          </cell>
          <cell r="CC192" t="str">
            <v>--</v>
          </cell>
          <cell r="CD192" t="str">
            <v>--</v>
          </cell>
          <cell r="CM192" t="str">
            <v>--</v>
          </cell>
          <cell r="CN192" t="str">
            <v>--</v>
          </cell>
          <cell r="CO192" t="str">
            <v>--</v>
          </cell>
          <cell r="CP192" t="str">
            <v>--</v>
          </cell>
          <cell r="CR192" t="str">
            <v>--</v>
          </cell>
          <cell r="CS192" t="str">
            <v>--</v>
          </cell>
          <cell r="CT192" t="str">
            <v>--</v>
          </cell>
          <cell r="CU192" t="str">
            <v>--</v>
          </cell>
          <cell r="CW192" t="str">
            <v>--</v>
          </cell>
          <cell r="CX192" t="str">
            <v>--</v>
          </cell>
          <cell r="CY192" t="str">
            <v>--</v>
          </cell>
          <cell r="CZ192" t="str">
            <v>--</v>
          </cell>
          <cell r="DB192">
            <v>-1.4204844803940242E-2</v>
          </cell>
          <cell r="DC192">
            <v>-2.2512398784809595E-2</v>
          </cell>
          <cell r="DD192">
            <v>-0.30921199859254056</v>
          </cell>
          <cell r="DE192">
            <v>-0.30299162924375789</v>
          </cell>
          <cell r="DG192">
            <v>-0.23240953343138437</v>
          </cell>
          <cell r="DH192">
            <v>-1.5150162426733726E-2</v>
          </cell>
          <cell r="DI192">
            <v>0.10073600000000016</v>
          </cell>
          <cell r="DJ192">
            <v>0.10073600000000016</v>
          </cell>
          <cell r="DL192">
            <v>0.22849999999999993</v>
          </cell>
          <cell r="DM192">
            <v>0.20120000000000005</v>
          </cell>
          <cell r="DN192">
            <v>0.17810000000000015</v>
          </cell>
          <cell r="DO192">
            <v>0.20054000000000016</v>
          </cell>
          <cell r="DU192" t="str">
            <v>--</v>
          </cell>
          <cell r="DV192" t="str">
            <v>--</v>
          </cell>
          <cell r="DW192" t="str">
            <v>--</v>
          </cell>
          <cell r="EL192" t="str">
            <v>--</v>
          </cell>
          <cell r="EM192" t="str">
            <v>--</v>
          </cell>
          <cell r="EP192" t="str">
            <v>--</v>
          </cell>
          <cell r="EQ192" t="str">
            <v>--</v>
          </cell>
          <cell r="ER192" t="str">
            <v>--</v>
          </cell>
          <cell r="ES192" t="str">
            <v>--</v>
          </cell>
          <cell r="ET192" t="str">
            <v>--</v>
          </cell>
          <cell r="EU192">
            <v>-0.16957011752317108</v>
          </cell>
          <cell r="EV192">
            <v>-3.5612781727360709E-2</v>
          </cell>
          <cell r="EW192">
            <v>0.20251710275479207</v>
          </cell>
          <cell r="EY192" t="str">
            <v>--</v>
          </cell>
          <cell r="EZ192" t="str">
            <v>--</v>
          </cell>
          <cell r="FA192" t="str">
            <v>--</v>
          </cell>
          <cell r="FB192" t="str">
            <v>--</v>
          </cell>
          <cell r="FC192">
            <v>-0.23003569550715719</v>
          </cell>
        </row>
        <row r="194">
          <cell r="A194" t="str">
            <v>Revenue Growth (Seq.)</v>
          </cell>
          <cell r="N194">
            <v>0.14683168316831696</v>
          </cell>
          <cell r="O194">
            <v>0.13226279892946557</v>
          </cell>
          <cell r="P194">
            <v>0.13328250095310712</v>
          </cell>
          <cell r="Q194">
            <v>0.1013030119536209</v>
          </cell>
          <cell r="S194">
            <v>6.2395633934753336E-2</v>
          </cell>
          <cell r="T194">
            <v>0.21184588844163321</v>
          </cell>
          <cell r="U194">
            <v>0.1259055392110342</v>
          </cell>
          <cell r="V194">
            <v>0.1028349863729594</v>
          </cell>
          <cell r="X194">
            <v>0.13204759114417475</v>
          </cell>
          <cell r="Y194">
            <v>8.8130710717018612E-2</v>
          </cell>
          <cell r="Z194">
            <v>9.0031023784901798E-2</v>
          </cell>
          <cell r="AA194">
            <v>8.3790296567557654E-2</v>
          </cell>
          <cell r="AW194" t="str">
            <v>--</v>
          </cell>
          <cell r="AX194">
            <v>2.0349649588252472E-2</v>
          </cell>
          <cell r="AY194">
            <v>0.10086078110549912</v>
          </cell>
          <cell r="AZ194">
            <v>0.12626657533538399</v>
          </cell>
          <cell r="BB194">
            <v>0.31875493078964356</v>
          </cell>
          <cell r="BC194">
            <v>0.20802723604207229</v>
          </cell>
          <cell r="BV194" t="str">
            <v>--</v>
          </cell>
          <cell r="BW194">
            <v>5.0288115639886222E-2</v>
          </cell>
          <cell r="BX194">
            <v>4.9084470262851454E-2</v>
          </cell>
          <cell r="BY194">
            <v>9.8686452031186533E-2</v>
          </cell>
          <cell r="CA194">
            <v>0.14965000225805003</v>
          </cell>
          <cell r="CB194">
            <v>0.14605977994005492</v>
          </cell>
          <cell r="CC194">
            <v>0.14325670353625886</v>
          </cell>
          <cell r="CD194">
            <v>0.27117561701004966</v>
          </cell>
          <cell r="CM194" t="str">
            <v>--</v>
          </cell>
          <cell r="CN194">
            <v>0.13256384687498124</v>
          </cell>
          <cell r="CO194">
            <v>0.14532908458620075</v>
          </cell>
          <cell r="CP194">
            <v>0.25872735876676289</v>
          </cell>
          <cell r="CR194">
            <v>8.657357664201526E-2</v>
          </cell>
          <cell r="CS194">
            <v>-0.19819517209207771</v>
          </cell>
          <cell r="CT194">
            <v>-0.34801677051693425</v>
          </cell>
          <cell r="CU194">
            <v>-0.22645447732557988</v>
          </cell>
          <cell r="CW194" t="str">
            <v>--</v>
          </cell>
          <cell r="CX194">
            <v>-0.2139775023929702</v>
          </cell>
          <cell r="CY194">
            <v>-0.11122786278759222</v>
          </cell>
          <cell r="CZ194">
            <v>-0.16749648135116124</v>
          </cell>
          <cell r="DB194">
            <v>1.7012859392005364E-2</v>
          </cell>
          <cell r="DC194">
            <v>2.0837601772401015E-3</v>
          </cell>
          <cell r="DD194">
            <v>8.5592854467886115E-2</v>
          </cell>
          <cell r="DE194">
            <v>2.5574725877570037E-2</v>
          </cell>
          <cell r="DG194">
            <v>2.5898225129623587E-3</v>
          </cell>
          <cell r="DH194">
            <v>-4.9953691478250017E-2</v>
          </cell>
          <cell r="DI194">
            <v>1.3808044878346193E-2</v>
          </cell>
          <cell r="DJ194">
            <v>2.4804739673824017E-2</v>
          </cell>
          <cell r="DL194">
            <v>0.13683758978546567</v>
          </cell>
          <cell r="DM194">
            <v>-5.907974658027948E-2</v>
          </cell>
          <cell r="DN194">
            <v>1.5023891417476287E-2</v>
          </cell>
          <cell r="DO194">
            <v>4.8550035975077677E-2</v>
          </cell>
        </row>
        <row r="195">
          <cell r="A195" t="str">
            <v>Communications</v>
          </cell>
          <cell r="N195" t="str">
            <v>--</v>
          </cell>
          <cell r="O195">
            <v>0.20774698552476334</v>
          </cell>
          <cell r="P195">
            <v>0.10495043842927965</v>
          </cell>
          <cell r="Q195">
            <v>0.1295415507216624</v>
          </cell>
          <cell r="S195">
            <v>6.2395633934753336E-2</v>
          </cell>
          <cell r="T195">
            <v>0.12095744680851039</v>
          </cell>
          <cell r="U195">
            <v>0.1259055392110342</v>
          </cell>
          <cell r="V195">
            <v>0.1028349863729594</v>
          </cell>
          <cell r="X195">
            <v>0.13204759114417475</v>
          </cell>
          <cell r="Y195">
            <v>0.14694858697199242</v>
          </cell>
          <cell r="Z195">
            <v>0.1040057805000929</v>
          </cell>
          <cell r="AA195">
            <v>0.13866575462161146</v>
          </cell>
          <cell r="AW195" t="str">
            <v>--</v>
          </cell>
          <cell r="AX195">
            <v>2.0349649588252472E-2</v>
          </cell>
          <cell r="AY195">
            <v>0.16658381281328993</v>
          </cell>
          <cell r="AZ195">
            <v>0.17385530387068182</v>
          </cell>
          <cell r="BB195">
            <v>0.37221796852435896</v>
          </cell>
          <cell r="BC195">
            <v>0.23940456684835998</v>
          </cell>
          <cell r="BV195" t="str">
            <v>--</v>
          </cell>
          <cell r="BW195">
            <v>3.6588705435887769E-2</v>
          </cell>
          <cell r="BX195">
            <v>9.0678127674153952E-2</v>
          </cell>
          <cell r="BY195">
            <v>0.15455186484633154</v>
          </cell>
          <cell r="CA195">
            <v>3.2212636435991371E-2</v>
          </cell>
          <cell r="CB195">
            <v>0.16836333853170293</v>
          </cell>
          <cell r="CC195">
            <v>0.24230537535511232</v>
          </cell>
          <cell r="CD195">
            <v>0.2883926128956773</v>
          </cell>
          <cell r="CM195" t="str">
            <v>--</v>
          </cell>
          <cell r="CN195" t="str">
            <v>--</v>
          </cell>
          <cell r="CO195" t="str">
            <v>--</v>
          </cell>
          <cell r="CP195" t="str">
            <v>--</v>
          </cell>
          <cell r="CR195" t="str">
            <v>--</v>
          </cell>
          <cell r="CS195">
            <v>-0.24811298238984725</v>
          </cell>
          <cell r="CT195">
            <v>-0.33990079670594164</v>
          </cell>
          <cell r="CU195">
            <v>-0.23913555146778365</v>
          </cell>
          <cell r="CW195" t="str">
            <v>--</v>
          </cell>
          <cell r="CX195">
            <v>-0.24606005331570613</v>
          </cell>
          <cell r="CY195">
            <v>-0.18686804467800988</v>
          </cell>
          <cell r="CZ195">
            <v>-0.20621757524180484</v>
          </cell>
          <cell r="DB195">
            <v>-0.15662348245541013</v>
          </cell>
          <cell r="DC195">
            <v>-5.6862343362597434E-2</v>
          </cell>
          <cell r="DD195">
            <v>5.1668077765764542E-2</v>
          </cell>
          <cell r="DE195">
            <v>-6.9191488283535274E-2</v>
          </cell>
          <cell r="DG195">
            <v>-0.10000000000000009</v>
          </cell>
          <cell r="DH195">
            <v>-5.0000000000000155E-2</v>
          </cell>
          <cell r="DI195">
            <v>0</v>
          </cell>
          <cell r="DJ195">
            <v>0</v>
          </cell>
          <cell r="DL195">
            <v>0.18613563880186246</v>
          </cell>
          <cell r="DM195">
            <v>-5.0000000000000044E-2</v>
          </cell>
          <cell r="DN195">
            <v>1.0000000000000009E-2</v>
          </cell>
          <cell r="DO195">
            <v>2.0000000000000018E-2</v>
          </cell>
          <cell r="EP195" t="str">
            <v>--</v>
          </cell>
          <cell r="EQ195" t="str">
            <v>--</v>
          </cell>
          <cell r="ER195" t="str">
            <v>--</v>
          </cell>
          <cell r="ES195" t="str">
            <v>--</v>
          </cell>
          <cell r="ET195" t="str">
            <v>--</v>
          </cell>
          <cell r="EU195" t="str">
            <v>--</v>
          </cell>
          <cell r="EV195" t="str">
            <v>--</v>
          </cell>
          <cell r="EW195" t="str">
            <v>--</v>
          </cell>
          <cell r="EY195" t="str">
            <v>--</v>
          </cell>
          <cell r="EZ195" t="str">
            <v>--</v>
          </cell>
          <cell r="FA195" t="str">
            <v>--</v>
          </cell>
          <cell r="FB195">
            <v>0</v>
          </cell>
          <cell r="FC195" t="str">
            <v>--</v>
          </cell>
        </row>
        <row r="196">
          <cell r="A196" t="str">
            <v>PCs</v>
          </cell>
          <cell r="N196" t="str">
            <v>--</v>
          </cell>
          <cell r="O196" t="str">
            <v>--</v>
          </cell>
          <cell r="P196" t="str">
            <v>--</v>
          </cell>
          <cell r="Q196" t="str">
            <v>--</v>
          </cell>
          <cell r="S196" t="str">
            <v>--</v>
          </cell>
          <cell r="T196" t="str">
            <v>--</v>
          </cell>
          <cell r="U196" t="str">
            <v>--</v>
          </cell>
          <cell r="V196" t="str">
            <v>--</v>
          </cell>
          <cell r="X196" t="str">
            <v>--</v>
          </cell>
          <cell r="Y196" t="str">
            <v>--</v>
          </cell>
          <cell r="Z196" t="str">
            <v>--</v>
          </cell>
          <cell r="AA196" t="str">
            <v>--</v>
          </cell>
          <cell r="AW196" t="str">
            <v>--</v>
          </cell>
          <cell r="AX196" t="str">
            <v>--</v>
          </cell>
          <cell r="AY196" t="str">
            <v>--</v>
          </cell>
          <cell r="AZ196" t="str">
            <v>--</v>
          </cell>
          <cell r="BB196" t="str">
            <v>--</v>
          </cell>
          <cell r="BC196" t="str">
            <v>--</v>
          </cell>
          <cell r="BV196" t="str">
            <v>--</v>
          </cell>
          <cell r="BW196" t="str">
            <v>--</v>
          </cell>
          <cell r="BX196" t="str">
            <v>--</v>
          </cell>
          <cell r="BY196" t="str">
            <v>--</v>
          </cell>
          <cell r="CA196" t="str">
            <v>--</v>
          </cell>
          <cell r="CB196" t="str">
            <v>--</v>
          </cell>
          <cell r="CC196" t="str">
            <v>--</v>
          </cell>
          <cell r="CD196" t="str">
            <v>--</v>
          </cell>
          <cell r="CM196" t="str">
            <v>--</v>
          </cell>
          <cell r="CN196" t="str">
            <v>--</v>
          </cell>
          <cell r="CO196" t="str">
            <v>--</v>
          </cell>
          <cell r="CP196" t="str">
            <v>--</v>
          </cell>
          <cell r="CR196" t="str">
            <v>--</v>
          </cell>
          <cell r="CS196" t="str">
            <v>--</v>
          </cell>
          <cell r="CT196" t="str">
            <v>--</v>
          </cell>
          <cell r="CU196" t="str">
            <v>--</v>
          </cell>
          <cell r="CW196" t="str">
            <v>--</v>
          </cell>
          <cell r="CX196">
            <v>-0.32116238843029243</v>
          </cell>
          <cell r="CY196">
            <v>-6.4450381881676178E-2</v>
          </cell>
          <cell r="CZ196">
            <v>-0.12587130541871927</v>
          </cell>
          <cell r="DB196">
            <v>0.40444632963657878</v>
          </cell>
          <cell r="DC196">
            <v>0.17485682227676458</v>
          </cell>
          <cell r="DD196">
            <v>0.24523886247786941</v>
          </cell>
          <cell r="DE196">
            <v>0.10672842883452804</v>
          </cell>
          <cell r="DG196">
            <v>4.2127214199407348E-2</v>
          </cell>
          <cell r="DH196">
            <v>-7.0000000000000062E-2</v>
          </cell>
          <cell r="DI196">
            <v>1.0000000000000009E-2</v>
          </cell>
          <cell r="DJ196">
            <v>3.0000000000000027E-2</v>
          </cell>
          <cell r="DL196">
            <v>0.1100000000000001</v>
          </cell>
          <cell r="DM196">
            <v>-7.0000000000000062E-2</v>
          </cell>
          <cell r="DN196">
            <v>0</v>
          </cell>
          <cell r="DO196">
            <v>6.0000000000000053E-2</v>
          </cell>
          <cell r="EP196" t="str">
            <v>--</v>
          </cell>
          <cell r="EQ196" t="str">
            <v>--</v>
          </cell>
          <cell r="ER196" t="str">
            <v>--</v>
          </cell>
          <cell r="ES196" t="str">
            <v>--</v>
          </cell>
          <cell r="ET196" t="str">
            <v>--</v>
          </cell>
          <cell r="EU196" t="str">
            <v>--</v>
          </cell>
          <cell r="EV196" t="str">
            <v>--</v>
          </cell>
          <cell r="EW196" t="str">
            <v>--</v>
          </cell>
          <cell r="EY196" t="str">
            <v>--</v>
          </cell>
          <cell r="EZ196" t="str">
            <v>--</v>
          </cell>
          <cell r="FA196" t="str">
            <v>--</v>
          </cell>
          <cell r="FB196">
            <v>0</v>
          </cell>
          <cell r="FC196" t="str">
            <v>--</v>
          </cell>
        </row>
        <row r="197">
          <cell r="A197" t="str">
            <v>High-End Computing</v>
          </cell>
          <cell r="N197" t="str">
            <v>--</v>
          </cell>
          <cell r="O197">
            <v>-0.2451581340470238</v>
          </cell>
          <cell r="P197">
            <v>-5.5597915872410253E-2</v>
          </cell>
          <cell r="Q197">
            <v>0.10130301195362135</v>
          </cell>
          <cell r="S197">
            <v>0.27487476072170369</v>
          </cell>
          <cell r="T197">
            <v>9.8715737013628235E-3</v>
          </cell>
          <cell r="U197">
            <v>-0.32445667647338139</v>
          </cell>
          <cell r="V197">
            <v>2.30850495911888</v>
          </cell>
          <cell r="X197">
            <v>-0.11951854022119746</v>
          </cell>
          <cell r="Y197">
            <v>0.24357795510516489</v>
          </cell>
          <cell r="Z197">
            <v>-0.18247673216132432</v>
          </cell>
          <cell r="AA197">
            <v>-9.6841419527036399E-2</v>
          </cell>
          <cell r="AW197" t="str">
            <v>--</v>
          </cell>
          <cell r="AX197">
            <v>-9.9691485657423917E-2</v>
          </cell>
          <cell r="AY197">
            <v>2.7470062365132497E-2</v>
          </cell>
          <cell r="AZ197">
            <v>-0.19552387476043998</v>
          </cell>
          <cell r="BB197">
            <v>0.45063042386860808</v>
          </cell>
          <cell r="BC197">
            <v>-0.23125539524595429</v>
          </cell>
          <cell r="BV197" t="str">
            <v>--</v>
          </cell>
          <cell r="BW197">
            <v>7.2516435547608671E-2</v>
          </cell>
          <cell r="BX197">
            <v>-1.0707908871300686E-2</v>
          </cell>
          <cell r="BY197">
            <v>-0.16089331410804986</v>
          </cell>
          <cell r="CA197">
            <v>0.73688129837547112</v>
          </cell>
          <cell r="CB197">
            <v>-1.2205618242143057E-2</v>
          </cell>
          <cell r="CC197">
            <v>-9.6764040852568955E-2</v>
          </cell>
          <cell r="CD197">
            <v>0.17320053726045215</v>
          </cell>
          <cell r="CM197" t="str">
            <v>--</v>
          </cell>
          <cell r="CN197" t="str">
            <v>--</v>
          </cell>
          <cell r="CO197" t="str">
            <v>--</v>
          </cell>
          <cell r="CP197" t="str">
            <v>--</v>
          </cell>
          <cell r="CR197" t="str">
            <v>--</v>
          </cell>
          <cell r="CS197">
            <v>-1.1728933043723355E-2</v>
          </cell>
          <cell r="CT197">
            <v>-0.4177256692666963</v>
          </cell>
          <cell r="CU197">
            <v>-0.23734948468719119</v>
          </cell>
          <cell r="CW197" t="str">
            <v>--</v>
          </cell>
          <cell r="CX197">
            <v>-0.10589940897200356</v>
          </cell>
          <cell r="CY197">
            <v>-0.12099458957014619</v>
          </cell>
          <cell r="CZ197">
            <v>-0.21374667683165216</v>
          </cell>
          <cell r="DB197">
            <v>1.7012859392005364E-2</v>
          </cell>
          <cell r="DC197">
            <v>2.0837601772403236E-3</v>
          </cell>
          <cell r="DD197">
            <v>2.173445126389284E-2</v>
          </cell>
          <cell r="DE197">
            <v>0</v>
          </cell>
          <cell r="DG197">
            <v>0</v>
          </cell>
          <cell r="DH197">
            <v>-1.0000000000000009E-2</v>
          </cell>
          <cell r="DI197">
            <v>2.0000000000000018E-2</v>
          </cell>
          <cell r="DJ197">
            <v>3.0000000000000027E-2</v>
          </cell>
          <cell r="DL197">
            <v>0.12000000000000011</v>
          </cell>
          <cell r="DM197">
            <v>-5.0000000000000044E-2</v>
          </cell>
          <cell r="DN197">
            <v>5.0000000000000044E-2</v>
          </cell>
          <cell r="DO197">
            <v>6.0000000000000053E-2</v>
          </cell>
          <cell r="EP197" t="str">
            <v>--</v>
          </cell>
          <cell r="EQ197" t="str">
            <v>--</v>
          </cell>
          <cell r="ER197" t="str">
            <v>--</v>
          </cell>
          <cell r="ES197" t="str">
            <v>--</v>
          </cell>
          <cell r="ET197" t="str">
            <v>--</v>
          </cell>
          <cell r="EU197" t="str">
            <v>--</v>
          </cell>
          <cell r="EV197" t="str">
            <v>--</v>
          </cell>
          <cell r="EW197" t="str">
            <v>--</v>
          </cell>
          <cell r="EY197" t="str">
            <v>--</v>
          </cell>
          <cell r="EZ197" t="str">
            <v>--</v>
          </cell>
          <cell r="FA197" t="str">
            <v>--</v>
          </cell>
          <cell r="FB197">
            <v>0</v>
          </cell>
          <cell r="FC197" t="str">
            <v>--</v>
          </cell>
        </row>
        <row r="198">
          <cell r="A198" t="str">
            <v>Medical/Industrial/Aerospace</v>
          </cell>
          <cell r="N198" t="str">
            <v>--</v>
          </cell>
          <cell r="O198">
            <v>-9.270050936717622E-3</v>
          </cell>
          <cell r="P198">
            <v>0.37612875115734434</v>
          </cell>
          <cell r="Q198">
            <v>-2.8262048276216922E-2</v>
          </cell>
          <cell r="S198">
            <v>-8.4307416608967456E-3</v>
          </cell>
          <cell r="T198">
            <v>0.81776883266244949</v>
          </cell>
          <cell r="U198">
            <v>0.23313463818351376</v>
          </cell>
          <cell r="V198">
            <v>-0.18486109702868225</v>
          </cell>
          <cell r="X198">
            <v>0.26522966069054799</v>
          </cell>
          <cell r="Y198">
            <v>-0.19821947631377557</v>
          </cell>
          <cell r="Z198">
            <v>0.16789038262668021</v>
          </cell>
          <cell r="AA198">
            <v>-0.13296776274595368</v>
          </cell>
          <cell r="AW198" t="str">
            <v>--</v>
          </cell>
          <cell r="AX198">
            <v>0.14789335578678386</v>
          </cell>
          <cell r="AY198">
            <v>-8.2616015745417437E-2</v>
          </cell>
          <cell r="AZ198">
            <v>0.20135101369107633</v>
          </cell>
          <cell r="BB198">
            <v>-1.0933801907767382E-2</v>
          </cell>
          <cell r="BC198">
            <v>0.40936510871575127</v>
          </cell>
          <cell r="BV198" t="str">
            <v>--</v>
          </cell>
          <cell r="BW198">
            <v>9.368845099690648E-2</v>
          </cell>
          <cell r="BX198">
            <v>-8.4132605326082022E-2</v>
          </cell>
          <cell r="BY198">
            <v>0.16860286261498914</v>
          </cell>
          <cell r="CA198">
            <v>0.19878034423488966</v>
          </cell>
          <cell r="CB198">
            <v>0.29636270189940661</v>
          </cell>
          <cell r="CC198">
            <v>-3.0717142654041352E-2</v>
          </cell>
          <cell r="CD198">
            <v>0.28202911657268537</v>
          </cell>
          <cell r="CM198" t="str">
            <v>--</v>
          </cell>
          <cell r="CN198" t="str">
            <v>--</v>
          </cell>
          <cell r="CO198" t="str">
            <v>--</v>
          </cell>
          <cell r="CP198" t="str">
            <v>--</v>
          </cell>
          <cell r="CR198" t="str">
            <v>--</v>
          </cell>
          <cell r="CS198">
            <v>-5.3870303068651704E-2</v>
          </cell>
          <cell r="CT198">
            <v>-0.30381451767062473</v>
          </cell>
          <cell r="CU198">
            <v>-0.14050497480619972</v>
          </cell>
          <cell r="CW198" t="str">
            <v>--</v>
          </cell>
          <cell r="CX198">
            <v>2.1829246889138787E-2</v>
          </cell>
          <cell r="CY198">
            <v>-5.9952547179184079E-2</v>
          </cell>
          <cell r="CZ198">
            <v>-0.24317861941014651</v>
          </cell>
          <cell r="DB198">
            <v>1.7012859392005364E-2</v>
          </cell>
          <cell r="DC198">
            <v>2.0837601772401015E-3</v>
          </cell>
          <cell r="DD198">
            <v>-0.13152571642569111</v>
          </cell>
          <cell r="DE198">
            <v>3.0000000000000027E-2</v>
          </cell>
          <cell r="DG198">
            <v>7.0000000000000062E-2</v>
          </cell>
          <cell r="DH198">
            <v>2.0000000000000018E-2</v>
          </cell>
          <cell r="DI198">
            <v>4.0000000000000036E-2</v>
          </cell>
          <cell r="DJ198">
            <v>4.0000000000000036E-2</v>
          </cell>
          <cell r="DL198">
            <v>8.0000000000000071E-2</v>
          </cell>
          <cell r="DM198">
            <v>0</v>
          </cell>
          <cell r="DN198">
            <v>3.0000000000000027E-2</v>
          </cell>
          <cell r="DO198">
            <v>4.0000000000000036E-2</v>
          </cell>
          <cell r="EP198" t="str">
            <v>--</v>
          </cell>
          <cell r="EQ198" t="str">
            <v>--</v>
          </cell>
          <cell r="ER198" t="str">
            <v>--</v>
          </cell>
          <cell r="ES198" t="str">
            <v>--</v>
          </cell>
          <cell r="ET198" t="str">
            <v>--</v>
          </cell>
          <cell r="EU198" t="str">
            <v>--</v>
          </cell>
          <cell r="EV198" t="str">
            <v>--</v>
          </cell>
          <cell r="EW198" t="str">
            <v>--</v>
          </cell>
          <cell r="EY198" t="str">
            <v>--</v>
          </cell>
          <cell r="EZ198" t="str">
            <v>--</v>
          </cell>
          <cell r="FA198" t="str">
            <v>--</v>
          </cell>
          <cell r="FB198">
            <v>0</v>
          </cell>
          <cell r="FC198" t="str">
            <v>--</v>
          </cell>
        </row>
        <row r="199">
          <cell r="A199" t="str">
            <v>Multimedia</v>
          </cell>
          <cell r="N199" t="str">
            <v>--</v>
          </cell>
          <cell r="O199" t="str">
            <v>--</v>
          </cell>
          <cell r="P199" t="str">
            <v>--</v>
          </cell>
          <cell r="Q199" t="str">
            <v>--</v>
          </cell>
          <cell r="S199" t="str">
            <v>--</v>
          </cell>
          <cell r="T199" t="str">
            <v>--</v>
          </cell>
          <cell r="U199" t="str">
            <v>--</v>
          </cell>
          <cell r="V199" t="str">
            <v>--</v>
          </cell>
          <cell r="X199" t="str">
            <v>--</v>
          </cell>
          <cell r="Y199" t="str">
            <v>--</v>
          </cell>
          <cell r="Z199" t="str">
            <v>--</v>
          </cell>
          <cell r="AA199" t="str">
            <v>--</v>
          </cell>
          <cell r="AW199" t="str">
            <v>--</v>
          </cell>
          <cell r="AX199" t="str">
            <v>--</v>
          </cell>
          <cell r="AY199" t="str">
            <v>--</v>
          </cell>
          <cell r="AZ199" t="str">
            <v>--</v>
          </cell>
          <cell r="BB199" t="str">
            <v>--</v>
          </cell>
          <cell r="BC199" t="str">
            <v>--</v>
          </cell>
          <cell r="BV199" t="str">
            <v>--</v>
          </cell>
          <cell r="BW199" t="str">
            <v>--</v>
          </cell>
          <cell r="BX199" t="str">
            <v>--</v>
          </cell>
          <cell r="BY199" t="str">
            <v>--</v>
          </cell>
          <cell r="CA199" t="str">
            <v>--</v>
          </cell>
          <cell r="CB199" t="str">
            <v>--</v>
          </cell>
          <cell r="CC199" t="str">
            <v>--</v>
          </cell>
          <cell r="CD199" t="str">
            <v>--</v>
          </cell>
          <cell r="CM199" t="str">
            <v>--</v>
          </cell>
          <cell r="CN199" t="str">
            <v>--</v>
          </cell>
          <cell r="CO199" t="str">
            <v>--</v>
          </cell>
          <cell r="CP199" t="str">
            <v>--</v>
          </cell>
          <cell r="CR199" t="str">
            <v>--</v>
          </cell>
          <cell r="CS199" t="str">
            <v>--</v>
          </cell>
          <cell r="CT199" t="str">
            <v>--</v>
          </cell>
          <cell r="CU199" t="str">
            <v>--</v>
          </cell>
          <cell r="CW199" t="str">
            <v>--</v>
          </cell>
          <cell r="CX199">
            <v>-0.29257975215367316</v>
          </cell>
          <cell r="CY199">
            <v>0.3166994625369004</v>
          </cell>
          <cell r="CZ199">
            <v>4.0629398311048393E-2</v>
          </cell>
          <cell r="DB199">
            <v>1.7012859392005364E-2</v>
          </cell>
          <cell r="DC199">
            <v>-0.29854136787593188</v>
          </cell>
          <cell r="DD199">
            <v>-6.9491839027526425E-2</v>
          </cell>
          <cell r="DE199">
            <v>5.0000000000000044E-2</v>
          </cell>
          <cell r="DG199">
            <v>0.12000000000000011</v>
          </cell>
          <cell r="DH199">
            <v>-9.9999999999999978E-2</v>
          </cell>
          <cell r="DI199">
            <v>4.0000000000000036E-2</v>
          </cell>
          <cell r="DJ199">
            <v>5.0000000000000044E-2</v>
          </cell>
          <cell r="DL199">
            <v>0.25</v>
          </cell>
          <cell r="DM199">
            <v>-0.11999999999999988</v>
          </cell>
          <cell r="DN199">
            <v>2.0000000000000018E-2</v>
          </cell>
          <cell r="DO199">
            <v>7.0000000000000062E-2</v>
          </cell>
          <cell r="EP199" t="str">
            <v>--</v>
          </cell>
          <cell r="EQ199" t="str">
            <v>--</v>
          </cell>
          <cell r="ER199" t="str">
            <v>--</v>
          </cell>
          <cell r="ES199" t="str">
            <v>--</v>
          </cell>
          <cell r="ET199" t="str">
            <v>--</v>
          </cell>
          <cell r="EU199" t="str">
            <v>--</v>
          </cell>
          <cell r="EV199" t="str">
            <v>--</v>
          </cell>
          <cell r="EW199" t="str">
            <v>--</v>
          </cell>
          <cell r="EY199" t="str">
            <v>--</v>
          </cell>
          <cell r="EZ199" t="str">
            <v>--</v>
          </cell>
          <cell r="FA199" t="str">
            <v>--</v>
          </cell>
          <cell r="FB199">
            <v>0</v>
          </cell>
          <cell r="FC199" t="str">
            <v>--</v>
          </cell>
        </row>
        <row r="202">
          <cell r="A202" t="str">
            <v>Sanmina-SCI Corp.</v>
          </cell>
        </row>
        <row r="203">
          <cell r="A203" t="str">
            <v>Revenue by Business Segment</v>
          </cell>
        </row>
        <row r="204">
          <cell r="A204" t="str">
            <v>($ Millions Except EPS)</v>
          </cell>
          <cell r="EC204" t="str">
            <v xml:space="preserve"> </v>
          </cell>
        </row>
        <row r="205">
          <cell r="AD205" t="str">
            <v>F1997</v>
          </cell>
          <cell r="AN205" t="str">
            <v>F1998</v>
          </cell>
          <cell r="AS205" t="str">
            <v>F1998</v>
          </cell>
          <cell r="BG205" t="str">
            <v>F1999</v>
          </cell>
          <cell r="BL205" t="str">
            <v>F2000E</v>
          </cell>
          <cell r="BQ205" t="str">
            <v>F1998</v>
          </cell>
          <cell r="BV205" t="str">
            <v>F1999</v>
          </cell>
          <cell r="CA205" t="str">
            <v>F2000</v>
          </cell>
          <cell r="CF205" t="str">
            <v>Sanmina Only</v>
          </cell>
          <cell r="CH205" t="str">
            <v>F1999</v>
          </cell>
          <cell r="CM205" t="str">
            <v>F2000</v>
          </cell>
          <cell r="CW205" t="str">
            <v>F2001</v>
          </cell>
          <cell r="DX205" t="str">
            <v xml:space="preserve"> </v>
          </cell>
          <cell r="EA205" t="str">
            <v>Proforma</v>
          </cell>
          <cell r="EB205" t="str">
            <v>Proforma for Altron</v>
          </cell>
          <cell r="EE205" t="str">
            <v xml:space="preserve"> </v>
          </cell>
          <cell r="EN205" t="str">
            <v>SANM</v>
          </cell>
          <cell r="ER205" t="str">
            <v xml:space="preserve"> </v>
          </cell>
          <cell r="ET205" t="str">
            <v>Proforma</v>
          </cell>
        </row>
        <row r="206">
          <cell r="D206" t="str">
            <v>F1993</v>
          </cell>
          <cell r="I206" t="str">
            <v>F1994</v>
          </cell>
          <cell r="N206" t="str">
            <v>F1995</v>
          </cell>
          <cell r="S206" t="str">
            <v>F1996</v>
          </cell>
          <cell r="X206" t="str">
            <v>F1997</v>
          </cell>
          <cell r="AD206" t="str">
            <v xml:space="preserve"> Proforma for Elexsys Acquisition</v>
          </cell>
          <cell r="AH206" t="str">
            <v>F1998</v>
          </cell>
          <cell r="AM206" t="str">
            <v xml:space="preserve"> Pro forma for Altron</v>
          </cell>
          <cell r="AR206" t="str">
            <v xml:space="preserve"> Pro forma for Manu-Tronics / Altron</v>
          </cell>
          <cell r="AW206" t="str">
            <v>F1999</v>
          </cell>
          <cell r="BB206" t="str">
            <v>F2000E</v>
          </cell>
          <cell r="BG206" t="str">
            <v xml:space="preserve"> Pro forma for Hadco</v>
          </cell>
          <cell r="BL206" t="str">
            <v xml:space="preserve"> Pro forma for Hadco</v>
          </cell>
          <cell r="BQ206" t="str">
            <v xml:space="preserve"> Pro forma for Hadco / Essex</v>
          </cell>
          <cell r="BV206" t="str">
            <v xml:space="preserve"> Pro forma for Hadco / Essex</v>
          </cell>
          <cell r="CA206" t="str">
            <v xml:space="preserve"> Pro forma for Hadco / Essex</v>
          </cell>
          <cell r="CF206" t="str">
            <v>F2001</v>
          </cell>
          <cell r="CH206" t="str">
            <v xml:space="preserve"> Pro forma for Segerstrom</v>
          </cell>
          <cell r="CM206" t="str">
            <v xml:space="preserve"> Pro forma for Segerstrom</v>
          </cell>
          <cell r="CR206" t="str">
            <v>F2001</v>
          </cell>
          <cell r="CW206" t="str">
            <v xml:space="preserve"> Pro forma for SCI Systems</v>
          </cell>
          <cell r="DC206" t="str">
            <v>F2002E</v>
          </cell>
          <cell r="DH206" t="str">
            <v>F2003E</v>
          </cell>
          <cell r="DM206" t="str">
            <v>F2004E</v>
          </cell>
          <cell r="DT206" t="str">
            <v xml:space="preserve"> </v>
          </cell>
          <cell r="DU206" t="str">
            <v xml:space="preserve"> </v>
          </cell>
          <cell r="DX206" t="str">
            <v>Proforma for Elexsys</v>
          </cell>
          <cell r="DZ206" t="str">
            <v xml:space="preserve"> </v>
          </cell>
          <cell r="EA206" t="str">
            <v>Altron</v>
          </cell>
          <cell r="EB206" t="str">
            <v xml:space="preserve">   and Manu-Tronics</v>
          </cell>
          <cell r="EE206" t="str">
            <v xml:space="preserve">                SANM ONLY</v>
          </cell>
          <cell r="EH206" t="str">
            <v xml:space="preserve"> Proforma for Hadco</v>
          </cell>
          <cell r="EJ206" t="str">
            <v xml:space="preserve"> </v>
          </cell>
          <cell r="EK206" t="str">
            <v>Proforma for Hadco / Essex</v>
          </cell>
          <cell r="EN206" t="str">
            <v>Only</v>
          </cell>
          <cell r="EP206" t="str">
            <v>Proforma for Segerstrom</v>
          </cell>
          <cell r="ET206" t="str">
            <v>for SCI</v>
          </cell>
          <cell r="FA206" t="str">
            <v>Unrestated</v>
          </cell>
        </row>
        <row r="207">
          <cell r="D207">
            <v>33939</v>
          </cell>
          <cell r="E207">
            <v>34029</v>
          </cell>
          <cell r="F207" t="str">
            <v xml:space="preserve"> 6/93</v>
          </cell>
          <cell r="G207">
            <v>34213</v>
          </cell>
          <cell r="I207">
            <v>34304</v>
          </cell>
          <cell r="J207">
            <v>34394</v>
          </cell>
          <cell r="K207">
            <v>34486</v>
          </cell>
          <cell r="L207">
            <v>34578</v>
          </cell>
          <cell r="N207">
            <v>34669</v>
          </cell>
          <cell r="O207">
            <v>34759</v>
          </cell>
          <cell r="P207">
            <v>34851</v>
          </cell>
          <cell r="Q207">
            <v>34943</v>
          </cell>
          <cell r="S207">
            <v>35034</v>
          </cell>
          <cell r="T207">
            <v>35125</v>
          </cell>
          <cell r="U207">
            <v>35217</v>
          </cell>
          <cell r="V207">
            <v>35309</v>
          </cell>
          <cell r="X207">
            <v>35400</v>
          </cell>
          <cell r="Y207">
            <v>35490</v>
          </cell>
          <cell r="Z207">
            <v>35582</v>
          </cell>
          <cell r="AA207">
            <v>35674</v>
          </cell>
          <cell r="AC207">
            <v>35400</v>
          </cell>
          <cell r="AD207" t="str">
            <v xml:space="preserve">  3/97</v>
          </cell>
          <cell r="AE207" t="str">
            <v xml:space="preserve"> 6/97</v>
          </cell>
          <cell r="AF207" t="str">
            <v xml:space="preserve"> 9/97</v>
          </cell>
          <cell r="AH207" t="str">
            <v xml:space="preserve"> 12/97</v>
          </cell>
          <cell r="AI207" t="str">
            <v xml:space="preserve"> 3/98</v>
          </cell>
          <cell r="AJ207" t="str">
            <v xml:space="preserve"> 6/98</v>
          </cell>
          <cell r="AK207" t="str">
            <v xml:space="preserve"> 9/98</v>
          </cell>
          <cell r="AM207" t="str">
            <v xml:space="preserve"> 12/97</v>
          </cell>
          <cell r="AN207" t="str">
            <v xml:space="preserve"> 3/98</v>
          </cell>
          <cell r="AO207" t="str">
            <v xml:space="preserve"> 6/98</v>
          </cell>
          <cell r="AP207" t="str">
            <v xml:space="preserve"> 9/98</v>
          </cell>
          <cell r="AR207" t="str">
            <v xml:space="preserve"> 12/97</v>
          </cell>
          <cell r="AS207" t="str">
            <v xml:space="preserve"> 3/98</v>
          </cell>
          <cell r="AT207" t="str">
            <v xml:space="preserve"> 6/98</v>
          </cell>
          <cell r="AU207" t="str">
            <v xml:space="preserve"> 9/98</v>
          </cell>
          <cell r="AW207" t="str">
            <v xml:space="preserve"> 12/98</v>
          </cell>
          <cell r="AX207" t="str">
            <v xml:space="preserve"> 3/99</v>
          </cell>
          <cell r="AY207" t="str">
            <v xml:space="preserve"> 6/99</v>
          </cell>
          <cell r="AZ207" t="str">
            <v xml:space="preserve"> 9/99</v>
          </cell>
          <cell r="BB207" t="str">
            <v xml:space="preserve"> 12/99</v>
          </cell>
          <cell r="BC207" t="str">
            <v xml:space="preserve"> 3/00</v>
          </cell>
          <cell r="BD207" t="str">
            <v xml:space="preserve"> 6/00E</v>
          </cell>
          <cell r="BE207" t="str">
            <v xml:space="preserve"> 9/00E</v>
          </cell>
          <cell r="BG207" t="str">
            <v xml:space="preserve"> 12/98</v>
          </cell>
          <cell r="BH207" t="str">
            <v xml:space="preserve"> 3/99</v>
          </cell>
          <cell r="BI207" t="str">
            <v xml:space="preserve"> 6/99</v>
          </cell>
          <cell r="BJ207" t="str">
            <v xml:space="preserve"> 9/99</v>
          </cell>
          <cell r="BL207" t="str">
            <v xml:space="preserve"> 12/99</v>
          </cell>
          <cell r="BM207" t="str">
            <v xml:space="preserve"> 3/00</v>
          </cell>
          <cell r="BN207" t="str">
            <v xml:space="preserve"> 6/00E</v>
          </cell>
          <cell r="BO207" t="str">
            <v xml:space="preserve"> 9/00E</v>
          </cell>
          <cell r="BQ207" t="str">
            <v xml:space="preserve"> 12/97</v>
          </cell>
          <cell r="BR207" t="str">
            <v xml:space="preserve"> 3/98</v>
          </cell>
          <cell r="BS207" t="str">
            <v xml:space="preserve"> 6/98</v>
          </cell>
          <cell r="BT207" t="str">
            <v xml:space="preserve"> 9/98</v>
          </cell>
          <cell r="BV207" t="str">
            <v xml:space="preserve"> 12/98</v>
          </cell>
          <cell r="BW207" t="str">
            <v xml:space="preserve"> 3/99</v>
          </cell>
          <cell r="BX207" t="str">
            <v xml:space="preserve"> 6/99</v>
          </cell>
          <cell r="BY207" t="str">
            <v xml:space="preserve"> 9/99</v>
          </cell>
          <cell r="CA207" t="str">
            <v xml:space="preserve"> 12/99</v>
          </cell>
          <cell r="CB207" t="str">
            <v xml:space="preserve"> 3/00</v>
          </cell>
          <cell r="CC207" t="str">
            <v xml:space="preserve"> 6/00</v>
          </cell>
          <cell r="CD207" t="str">
            <v xml:space="preserve"> 9/00</v>
          </cell>
          <cell r="CF207" t="str">
            <v xml:space="preserve"> 12/00</v>
          </cell>
          <cell r="CH207" t="str">
            <v xml:space="preserve"> 12/98</v>
          </cell>
          <cell r="CI207" t="str">
            <v xml:space="preserve"> 3/99</v>
          </cell>
          <cell r="CJ207" t="str">
            <v xml:space="preserve"> 6/99</v>
          </cell>
          <cell r="CK207" t="str">
            <v xml:space="preserve"> 9/99</v>
          </cell>
          <cell r="CM207" t="str">
            <v xml:space="preserve"> 12/99</v>
          </cell>
          <cell r="CN207" t="str">
            <v xml:space="preserve"> 3/00</v>
          </cell>
          <cell r="CO207" t="str">
            <v xml:space="preserve"> 6/00</v>
          </cell>
          <cell r="CP207" t="str">
            <v xml:space="preserve"> 9/00</v>
          </cell>
          <cell r="CR207">
            <v>36861</v>
          </cell>
          <cell r="CS207" t="str">
            <v xml:space="preserve"> 3/01</v>
          </cell>
          <cell r="CT207" t="str">
            <v xml:space="preserve"> 6/01</v>
          </cell>
          <cell r="CU207" t="str">
            <v xml:space="preserve"> 9/01</v>
          </cell>
          <cell r="CW207">
            <v>36861</v>
          </cell>
          <cell r="CX207" t="str">
            <v xml:space="preserve"> 3/01</v>
          </cell>
          <cell r="CY207" t="str">
            <v xml:space="preserve"> 6/01</v>
          </cell>
          <cell r="CZ207" t="str">
            <v xml:space="preserve"> 9/01</v>
          </cell>
          <cell r="DB207" t="str">
            <v xml:space="preserve"> 12/01</v>
          </cell>
          <cell r="DC207" t="str">
            <v xml:space="preserve"> 3/02</v>
          </cell>
          <cell r="DD207" t="str">
            <v xml:space="preserve"> 6/02</v>
          </cell>
          <cell r="DE207" t="str">
            <v xml:space="preserve"> 9/02E</v>
          </cell>
          <cell r="DG207" t="str">
            <v xml:space="preserve"> 12/02E</v>
          </cell>
          <cell r="DH207" t="str">
            <v xml:space="preserve"> 3/03E</v>
          </cell>
          <cell r="DI207" t="str">
            <v xml:space="preserve"> 6/03E</v>
          </cell>
          <cell r="DJ207" t="str">
            <v xml:space="preserve"> 9/03E</v>
          </cell>
          <cell r="DL207" t="str">
            <v xml:space="preserve"> 12/03E</v>
          </cell>
          <cell r="DM207" t="str">
            <v xml:space="preserve"> 3/04E</v>
          </cell>
          <cell r="DN207" t="str">
            <v xml:space="preserve"> 6/04E</v>
          </cell>
          <cell r="DO207" t="str">
            <v xml:space="preserve"> 9/04E</v>
          </cell>
          <cell r="DQ207" t="str">
            <v>F1991</v>
          </cell>
          <cell r="DR207" t="str">
            <v>F1992</v>
          </cell>
          <cell r="DS207" t="str">
            <v>F1993</v>
          </cell>
          <cell r="DT207" t="str">
            <v>F1994</v>
          </cell>
          <cell r="DU207" t="str">
            <v>F1995</v>
          </cell>
          <cell r="DV207" t="str">
            <v>F1996</v>
          </cell>
          <cell r="DW207" t="str">
            <v>F1997</v>
          </cell>
          <cell r="DX207" t="str">
            <v>F1996</v>
          </cell>
          <cell r="DY207" t="str">
            <v>F1997</v>
          </cell>
          <cell r="DZ207" t="str">
            <v>F1998</v>
          </cell>
          <cell r="EA207" t="str">
            <v>F1998</v>
          </cell>
          <cell r="EB207" t="str">
            <v>F1997</v>
          </cell>
          <cell r="EC207" t="str">
            <v>F1998</v>
          </cell>
          <cell r="EE207" t="str">
            <v>F1999</v>
          </cell>
          <cell r="EF207" t="str">
            <v>F2000E</v>
          </cell>
          <cell r="EH207" t="str">
            <v>F1998</v>
          </cell>
          <cell r="EI207" t="str">
            <v>F1999</v>
          </cell>
          <cell r="EK207" t="str">
            <v>F1997</v>
          </cell>
          <cell r="EL207" t="str">
            <v>F1998</v>
          </cell>
          <cell r="EM207" t="str">
            <v>F1999</v>
          </cell>
          <cell r="EN207" t="str">
            <v>F2000</v>
          </cell>
          <cell r="EP207" t="str">
            <v>F1998</v>
          </cell>
          <cell r="EQ207" t="str">
            <v>F1999</v>
          </cell>
          <cell r="ER207" t="str">
            <v>F2000</v>
          </cell>
          <cell r="ES207" t="str">
            <v>F2001</v>
          </cell>
          <cell r="ET207" t="str">
            <v>F2001</v>
          </cell>
          <cell r="EU207" t="str">
            <v>F2002E</v>
          </cell>
          <cell r="EV207" t="str">
            <v>F2003E</v>
          </cell>
          <cell r="EW207" t="str">
            <v>F2004E</v>
          </cell>
          <cell r="EY207" t="str">
            <v>C1999</v>
          </cell>
          <cell r="EZ207" t="str">
            <v>C2000</v>
          </cell>
          <cell r="FA207" t="str">
            <v>C2001</v>
          </cell>
          <cell r="FC207" t="str">
            <v>C2002</v>
          </cell>
        </row>
        <row r="209">
          <cell r="A209" t="str">
            <v>Revenues</v>
          </cell>
          <cell r="N209">
            <v>34.749000000000002</v>
          </cell>
          <cell r="O209">
            <v>39.344999999999999</v>
          </cell>
          <cell r="P209">
            <v>44.588999999999999</v>
          </cell>
          <cell r="Q209">
            <v>49.106000000000002</v>
          </cell>
          <cell r="S209">
            <v>52.17</v>
          </cell>
          <cell r="T209">
            <v>63.222000000000001</v>
          </cell>
          <cell r="U209">
            <v>71.182000000000002</v>
          </cell>
          <cell r="V209">
            <v>78.501999999999995</v>
          </cell>
          <cell r="X209">
            <v>88.867999999999995</v>
          </cell>
          <cell r="Y209">
            <v>96.7</v>
          </cell>
          <cell r="Z209">
            <v>105.40600000000001</v>
          </cell>
          <cell r="AA209">
            <v>114.238</v>
          </cell>
          <cell r="AH209">
            <v>159.107</v>
          </cell>
          <cell r="AI209">
            <v>172.14599999999999</v>
          </cell>
          <cell r="AJ209">
            <v>197.13900000000001</v>
          </cell>
          <cell r="AK209">
            <v>194.18899999999999</v>
          </cell>
          <cell r="AW209">
            <v>275.53300000000002</v>
          </cell>
          <cell r="AX209">
            <v>281.14</v>
          </cell>
          <cell r="AY209">
            <v>309.49599999999998</v>
          </cell>
          <cell r="AZ209">
            <v>348.57499999999999</v>
          </cell>
          <cell r="BB209">
            <v>459.685</v>
          </cell>
          <cell r="BC209">
            <v>555.31200000000001</v>
          </cell>
          <cell r="CA209">
            <v>763.70100000000002</v>
          </cell>
          <cell r="CB209">
            <v>875.24699999999996</v>
          </cell>
          <cell r="CC209">
            <v>1000.6319999999999</v>
          </cell>
          <cell r="CD209">
            <v>1271.979</v>
          </cell>
          <cell r="CF209">
            <v>1390.3430000000001</v>
          </cell>
          <cell r="CH209">
            <v>603.37900000000002</v>
          </cell>
          <cell r="CI209">
            <v>627.72299999999996</v>
          </cell>
          <cell r="CJ209">
            <v>658.48400000000004</v>
          </cell>
          <cell r="CK209">
            <v>730.99199999999996</v>
          </cell>
          <cell r="CM209">
            <v>837.35500000000002</v>
          </cell>
          <cell r="CN209">
            <v>948.35799999999995</v>
          </cell>
          <cell r="CO209">
            <v>1086.182</v>
          </cell>
          <cell r="CP209">
            <v>1367.2070000000001</v>
          </cell>
          <cell r="CR209">
            <v>1485.5709999999999</v>
          </cell>
          <cell r="CS209">
            <v>1191.1379999999999</v>
          </cell>
          <cell r="CT209">
            <v>776.60199999999998</v>
          </cell>
          <cell r="CU209">
            <v>600.73699999999997</v>
          </cell>
          <cell r="CW209">
            <v>4068.1660000000002</v>
          </cell>
          <cell r="CX209">
            <v>3197.67</v>
          </cell>
          <cell r="CY209">
            <v>2842</v>
          </cell>
          <cell r="CZ209">
            <v>2365.9749999999999</v>
          </cell>
          <cell r="DB209">
            <v>2406.2269999999999</v>
          </cell>
          <cell r="DC209">
            <v>2411.241</v>
          </cell>
          <cell r="DD209">
            <v>2617.6260000000002</v>
          </cell>
          <cell r="DE209">
            <v>2684.5710674000002</v>
          </cell>
          <cell r="DG209">
            <v>2691.5236299880003</v>
          </cell>
          <cell r="DH209">
            <v>2557.0720889691602</v>
          </cell>
          <cell r="DI209">
            <v>2592.3802551308127</v>
          </cell>
          <cell r="DJ209">
            <v>2656.6835724948942</v>
          </cell>
          <cell r="DL209">
            <v>3020.2177493777358</v>
          </cell>
          <cell r="DM209">
            <v>2841.7840501272372</v>
          </cell>
          <cell r="DN209">
            <v>2884.4787051282647</v>
          </cell>
          <cell r="DO209">
            <v>3024.5202500315872</v>
          </cell>
          <cell r="DQ209">
            <v>58.871000000000002</v>
          </cell>
          <cell r="DR209">
            <v>65.096000000000004</v>
          </cell>
          <cell r="DS209">
            <v>88.474000000000004</v>
          </cell>
          <cell r="DT209">
            <v>115.125</v>
          </cell>
          <cell r="DU209">
            <v>167.78899999999999</v>
          </cell>
          <cell r="DV209">
            <v>265.07600000000002</v>
          </cell>
          <cell r="DW209">
            <v>405.21199999999999</v>
          </cell>
          <cell r="DZ209">
            <v>722.58100000000002</v>
          </cell>
          <cell r="EC209">
            <v>991.82099999999991</v>
          </cell>
          <cell r="EE209">
            <v>1214.7439999999999</v>
          </cell>
          <cell r="EN209">
            <v>3911.5590000000002</v>
          </cell>
          <cell r="EP209">
            <v>2516.7049999999999</v>
          </cell>
          <cell r="EQ209">
            <v>2871.895</v>
          </cell>
          <cell r="ER209">
            <v>4239.1019999999999</v>
          </cell>
          <cell r="ES209">
            <v>4054.0479999999998</v>
          </cell>
          <cell r="ET209">
            <v>12473.811</v>
          </cell>
          <cell r="EU209">
            <v>10119.665067400001</v>
          </cell>
          <cell r="EV209">
            <v>10497.659546582867</v>
          </cell>
          <cell r="EW209">
            <v>11771.000754664823</v>
          </cell>
        </row>
        <row r="210">
          <cell r="A210" t="str">
            <v>Printed Circuit Board Fabrication</v>
          </cell>
          <cell r="N210">
            <v>7.6447800000000008</v>
          </cell>
          <cell r="O210">
            <v>7.0821000000000041</v>
          </cell>
          <cell r="P210">
            <v>6.6883499999999998</v>
          </cell>
          <cell r="Q210">
            <v>5.8927199999999971</v>
          </cell>
          <cell r="R210" t="e">
            <v>#VALUE!</v>
          </cell>
          <cell r="S210">
            <v>6.0517200000000031</v>
          </cell>
          <cell r="T210">
            <v>5.879646000000001</v>
          </cell>
          <cell r="U210">
            <v>5.4810140000000018</v>
          </cell>
          <cell r="V210">
            <v>5.1026299999999907</v>
          </cell>
          <cell r="X210">
            <v>4.532268000000002</v>
          </cell>
          <cell r="Y210">
            <v>5.5119000000000113</v>
          </cell>
          <cell r="Z210">
            <v>5.0594880000000018</v>
          </cell>
          <cell r="AA210">
            <v>6.3973280000000017</v>
          </cell>
          <cell r="AH210">
            <v>28.63926</v>
          </cell>
          <cell r="AI210">
            <v>29.264820000000004</v>
          </cell>
          <cell r="AJ210">
            <v>23.656680000000001</v>
          </cell>
          <cell r="AK210">
            <v>31.070240000000005</v>
          </cell>
          <cell r="AW210">
            <v>38.57462000000001</v>
          </cell>
          <cell r="AX210">
            <v>36.548200000000008</v>
          </cell>
          <cell r="AY210">
            <v>37.139519999999997</v>
          </cell>
          <cell r="AZ210">
            <v>41.829000000000001</v>
          </cell>
          <cell r="BB210">
            <v>50.565350000000002</v>
          </cell>
          <cell r="BC210">
            <v>44.424959999999999</v>
          </cell>
          <cell r="CA210">
            <v>259.65834000000001</v>
          </cell>
          <cell r="CB210">
            <v>271.32657</v>
          </cell>
          <cell r="CC210">
            <v>299.18896799999999</v>
          </cell>
          <cell r="CD210">
            <v>317.99475000000001</v>
          </cell>
          <cell r="CF210">
            <v>319.77889000000005</v>
          </cell>
          <cell r="CM210">
            <v>259.65834000000001</v>
          </cell>
          <cell r="CN210">
            <v>271.32657</v>
          </cell>
          <cell r="CO210">
            <v>299.18896799999999</v>
          </cell>
          <cell r="CP210">
            <v>317.99475000000001</v>
          </cell>
          <cell r="CR210">
            <v>319.39776499999999</v>
          </cell>
          <cell r="CS210">
            <v>273.96174000000002</v>
          </cell>
          <cell r="CT210">
            <v>124.25632</v>
          </cell>
          <cell r="CU210">
            <v>72.088439999999991</v>
          </cell>
          <cell r="CW210">
            <v>319.39776499999999</v>
          </cell>
          <cell r="CX210">
            <v>273.96174000000002</v>
          </cell>
          <cell r="CY210">
            <v>124.25632</v>
          </cell>
          <cell r="CZ210">
            <v>72.088439999999991</v>
          </cell>
          <cell r="DB210">
            <v>72.186809999999994</v>
          </cell>
          <cell r="DC210">
            <v>72.337229999999991</v>
          </cell>
          <cell r="DD210">
            <v>79.570953000000003</v>
          </cell>
          <cell r="DE210">
            <v>83.549500650000013</v>
          </cell>
          <cell r="DG210">
            <v>96.081925747500009</v>
          </cell>
          <cell r="DH210">
            <v>91.277829460125005</v>
          </cell>
          <cell r="DI210">
            <v>95.841720933131256</v>
          </cell>
          <cell r="DJ210">
            <v>98.716972561125203</v>
          </cell>
          <cell r="DL210">
            <v>108.58866981723773</v>
          </cell>
          <cell r="DM210">
            <v>103.15923632637583</v>
          </cell>
          <cell r="DN210">
            <v>108.31719814269464</v>
          </cell>
          <cell r="DO210">
            <v>111.56671408697548</v>
          </cell>
          <cell r="DQ210">
            <v>40.032280000000007</v>
          </cell>
          <cell r="DR210">
            <v>38.406640000000003</v>
          </cell>
          <cell r="DS210">
            <v>38.043820000000004</v>
          </cell>
          <cell r="DT210">
            <v>33.386249999999997</v>
          </cell>
          <cell r="DU210">
            <v>28.52413</v>
          </cell>
          <cell r="DV210">
            <v>22.515009999999997</v>
          </cell>
          <cell r="DW210">
            <v>21.500984000000017</v>
          </cell>
          <cell r="DZ210">
            <v>112.63100000000003</v>
          </cell>
          <cell r="EC210">
            <v>158.69136</v>
          </cell>
          <cell r="EE210">
            <v>154.09134000000003</v>
          </cell>
          <cell r="EL210" t="str">
            <v xml:space="preserve"> --</v>
          </cell>
          <cell r="EM210" t="str">
            <v xml:space="preserve"> -- </v>
          </cell>
          <cell r="EN210">
            <v>1148.1686280000001</v>
          </cell>
          <cell r="EP210" t="str">
            <v xml:space="preserve"> -- </v>
          </cell>
          <cell r="EQ210" t="str">
            <v xml:space="preserve"> -- </v>
          </cell>
          <cell r="ER210">
            <v>1148.1686280000001</v>
          </cell>
          <cell r="ES210">
            <v>789.70426499999996</v>
          </cell>
          <cell r="ET210">
            <v>789.70426499999996</v>
          </cell>
          <cell r="EU210">
            <v>307.64449365000002</v>
          </cell>
          <cell r="EV210">
            <v>381.91844870188152</v>
          </cell>
          <cell r="EW210">
            <v>431.63181837328369</v>
          </cell>
        </row>
        <row r="211">
          <cell r="A211" t="str">
            <v>Value-added Assembly (EMS)</v>
          </cell>
          <cell r="N211">
            <v>27.104220000000002</v>
          </cell>
          <cell r="O211">
            <v>32.262899999999995</v>
          </cell>
          <cell r="P211">
            <v>37.900649999999999</v>
          </cell>
          <cell r="Q211">
            <v>43.213280000000005</v>
          </cell>
          <cell r="R211" t="str">
            <v xml:space="preserve"> </v>
          </cell>
          <cell r="S211">
            <v>46.118279999999999</v>
          </cell>
          <cell r="T211">
            <v>57.342354</v>
          </cell>
          <cell r="U211">
            <v>65.700986</v>
          </cell>
          <cell r="V211">
            <v>73.399370000000005</v>
          </cell>
          <cell r="X211">
            <v>84.335731999999993</v>
          </cell>
          <cell r="Y211">
            <v>91.188099999999991</v>
          </cell>
          <cell r="Z211">
            <v>100.346512</v>
          </cell>
          <cell r="AA211">
            <v>107.840672</v>
          </cell>
          <cell r="AH211">
            <v>130.46773999999999</v>
          </cell>
          <cell r="AI211">
            <v>142.88117999999997</v>
          </cell>
          <cell r="AJ211">
            <v>173.48232000000002</v>
          </cell>
          <cell r="AK211">
            <v>163.11875999999998</v>
          </cell>
          <cell r="AW211">
            <v>236.95838000000001</v>
          </cell>
          <cell r="AX211">
            <v>244.59179999999998</v>
          </cell>
          <cell r="AY211">
            <v>269.26151999999996</v>
          </cell>
          <cell r="AZ211">
            <v>306.74599999999998</v>
          </cell>
          <cell r="BB211">
            <v>409.11964999999998</v>
          </cell>
          <cell r="BC211">
            <v>510.88704000000001</v>
          </cell>
          <cell r="CA211">
            <v>504.04266000000001</v>
          </cell>
          <cell r="CB211">
            <v>603.9204299999999</v>
          </cell>
          <cell r="CC211">
            <v>701.4430319999999</v>
          </cell>
          <cell r="CD211">
            <v>953.98424999999997</v>
          </cell>
          <cell r="CF211">
            <v>1070.56411</v>
          </cell>
          <cell r="CM211">
            <v>577.69666000000007</v>
          </cell>
          <cell r="CN211">
            <v>677.03143</v>
          </cell>
          <cell r="CO211">
            <v>786.99303200000008</v>
          </cell>
          <cell r="CP211">
            <v>1049.21225</v>
          </cell>
          <cell r="CR211">
            <v>1166.173235</v>
          </cell>
          <cell r="CS211">
            <v>917.17625999999996</v>
          </cell>
          <cell r="CT211">
            <v>652.34568000000002</v>
          </cell>
          <cell r="CU211">
            <v>528.64855999999997</v>
          </cell>
          <cell r="CW211">
            <v>3748.768235</v>
          </cell>
          <cell r="CX211">
            <v>2923.7082599999999</v>
          </cell>
          <cell r="CY211">
            <v>2717.74368</v>
          </cell>
          <cell r="CZ211">
            <v>2293.8865599999999</v>
          </cell>
          <cell r="DB211">
            <v>2334.0401899999997</v>
          </cell>
          <cell r="DC211">
            <v>2338.9037699999999</v>
          </cell>
          <cell r="DD211">
            <v>2538.0550470000003</v>
          </cell>
          <cell r="DE211">
            <v>2601.0215667500001</v>
          </cell>
          <cell r="DG211">
            <v>2595.4417042405003</v>
          </cell>
          <cell r="DH211">
            <v>2465.7942595090353</v>
          </cell>
          <cell r="DI211">
            <v>2496.5385341976812</v>
          </cell>
          <cell r="DJ211">
            <v>2557.966599933769</v>
          </cell>
          <cell r="DL211">
            <v>2911.6290795604982</v>
          </cell>
          <cell r="DM211">
            <v>2738.6248138008614</v>
          </cell>
          <cell r="DN211">
            <v>2776.1615069855702</v>
          </cell>
          <cell r="DO211">
            <v>2912.9535359446118</v>
          </cell>
          <cell r="DQ211">
            <v>18.838720000000002</v>
          </cell>
          <cell r="DR211">
            <v>26.689360000000001</v>
          </cell>
          <cell r="DS211">
            <v>50.43018</v>
          </cell>
          <cell r="DT211">
            <v>81.738749999999996</v>
          </cell>
          <cell r="DU211">
            <v>139.26486999999997</v>
          </cell>
          <cell r="DV211">
            <v>242.56099</v>
          </cell>
          <cell r="DW211">
            <v>383.71101599999997</v>
          </cell>
          <cell r="DZ211">
            <v>609.94999999999993</v>
          </cell>
          <cell r="EC211">
            <v>833.12963999999988</v>
          </cell>
          <cell r="EE211">
            <v>1057.5576999999998</v>
          </cell>
          <cell r="EL211" t="str">
            <v xml:space="preserve"> --</v>
          </cell>
          <cell r="EM211" t="str">
            <v xml:space="preserve"> -- </v>
          </cell>
          <cell r="EN211">
            <v>2763.3903719999998</v>
          </cell>
          <cell r="EP211" t="str">
            <v xml:space="preserve"> -- </v>
          </cell>
          <cell r="EQ211" t="str">
            <v xml:space="preserve"> -- </v>
          </cell>
          <cell r="ER211">
            <v>3090.9333720000004</v>
          </cell>
          <cell r="ES211">
            <v>3264.3437349999999</v>
          </cell>
          <cell r="ET211">
            <v>11684.106735000001</v>
          </cell>
          <cell r="EU211">
            <v>9812.02057375</v>
          </cell>
          <cell r="EV211">
            <v>10115.741097880986</v>
          </cell>
          <cell r="EW211">
            <v>11339.368936291543</v>
          </cell>
        </row>
        <row r="213">
          <cell r="A213" t="str">
            <v>% Total Sales</v>
          </cell>
        </row>
        <row r="214">
          <cell r="A214" t="str">
            <v>Printed Circuit Board Fabrication</v>
          </cell>
          <cell r="N214">
            <v>0.22</v>
          </cell>
          <cell r="O214">
            <v>0.1800000000000001</v>
          </cell>
          <cell r="P214">
            <v>0.15</v>
          </cell>
          <cell r="Q214">
            <v>0.11999999999999994</v>
          </cell>
          <cell r="R214" t="e">
            <v>#VALUE!</v>
          </cell>
          <cell r="S214">
            <v>0.11600000000000006</v>
          </cell>
          <cell r="T214">
            <v>9.3000000000000013E-2</v>
          </cell>
          <cell r="U214">
            <v>7.7000000000000027E-2</v>
          </cell>
          <cell r="V214">
            <v>6.4999999999999891E-2</v>
          </cell>
          <cell r="W214" t="str">
            <v xml:space="preserve"> </v>
          </cell>
          <cell r="X214">
            <v>5.1000000000000024E-2</v>
          </cell>
          <cell r="Y214">
            <v>5.7000000000000113E-2</v>
          </cell>
          <cell r="Z214">
            <v>4.8000000000000015E-2</v>
          </cell>
          <cell r="AA214">
            <v>5.6000000000000015E-2</v>
          </cell>
          <cell r="AB214" t="str">
            <v xml:space="preserve"> </v>
          </cell>
          <cell r="AH214">
            <v>0.18</v>
          </cell>
          <cell r="AI214">
            <v>0.17000000000000004</v>
          </cell>
          <cell r="AJ214">
            <v>0.12</v>
          </cell>
          <cell r="AK214">
            <v>0.16000000000000003</v>
          </cell>
          <cell r="AW214">
            <v>0.14000000000000004</v>
          </cell>
          <cell r="AX214">
            <v>0.13000000000000003</v>
          </cell>
          <cell r="AY214">
            <v>0.12</v>
          </cell>
          <cell r="AZ214">
            <v>0.12000000000000001</v>
          </cell>
          <cell r="BB214">
            <v>0.11</v>
          </cell>
          <cell r="BC214">
            <v>0.08</v>
          </cell>
          <cell r="CA214">
            <v>0.34</v>
          </cell>
          <cell r="CB214">
            <v>0.31</v>
          </cell>
          <cell r="CC214">
            <v>0.29899999999999999</v>
          </cell>
          <cell r="CD214">
            <v>0.25</v>
          </cell>
          <cell r="CF214">
            <v>0.23</v>
          </cell>
          <cell r="CM214">
            <v>0.31009349678451792</v>
          </cell>
          <cell r="CN214">
            <v>0.28610141950613588</v>
          </cell>
          <cell r="CO214">
            <v>0.27545012530128465</v>
          </cell>
          <cell r="CP214">
            <v>0.23258712835730067</v>
          </cell>
          <cell r="CR214">
            <v>0.215</v>
          </cell>
          <cell r="CS214">
            <v>0.23000000000000004</v>
          </cell>
          <cell r="CT214">
            <v>0.16</v>
          </cell>
          <cell r="CU214">
            <v>0.12</v>
          </cell>
          <cell r="CW214">
            <v>7.8511487731818208E-2</v>
          </cell>
          <cell r="CX214">
            <v>8.5675426169679797E-2</v>
          </cell>
          <cell r="CY214">
            <v>4.3721435608726253E-2</v>
          </cell>
          <cell r="CZ214">
            <v>3.0468808842020727E-2</v>
          </cell>
          <cell r="DB214">
            <v>0.03</v>
          </cell>
          <cell r="DC214">
            <v>2.9999999999999995E-2</v>
          </cell>
          <cell r="DD214">
            <v>3.039813670860543E-2</v>
          </cell>
          <cell r="DE214">
            <v>3.1122104258881653E-2</v>
          </cell>
          <cell r="DG214">
            <v>3.569796849523791E-2</v>
          </cell>
          <cell r="DH214">
            <v>3.5696228453583452E-2</v>
          </cell>
          <cell r="DI214">
            <v>3.6970548878175684E-2</v>
          </cell>
          <cell r="DJ214">
            <v>3.7157971533817252E-2</v>
          </cell>
          <cell r="DL214">
            <v>3.5953920818990806E-2</v>
          </cell>
          <cell r="DM214">
            <v>3.6300871039710782E-2</v>
          </cell>
          <cell r="DN214">
            <v>3.7551741307751504E-2</v>
          </cell>
          <cell r="DO214">
            <v>3.6887408535555451E-2</v>
          </cell>
          <cell r="DQ214">
            <v>0.68</v>
          </cell>
          <cell r="DR214">
            <v>0.59</v>
          </cell>
          <cell r="DS214">
            <v>0.43</v>
          </cell>
          <cell r="DT214">
            <v>0.28999999999999998</v>
          </cell>
          <cell r="DU214">
            <v>0.17</v>
          </cell>
          <cell r="DV214" t="e">
            <v>#REF!</v>
          </cell>
          <cell r="DW214">
            <v>5.3061074203133218E-2</v>
          </cell>
          <cell r="DZ214" t="e">
            <v>#REF!</v>
          </cell>
          <cell r="EC214">
            <v>0.16</v>
          </cell>
          <cell r="EE214">
            <v>0.12685087557542993</v>
          </cell>
          <cell r="EL214" t="str">
            <v xml:space="preserve"> --</v>
          </cell>
          <cell r="EM214" t="str">
            <v xml:space="preserve"> -- </v>
          </cell>
          <cell r="EN214" t="e">
            <v>#REF!</v>
          </cell>
          <cell r="EO214" t="str">
            <v xml:space="preserve"> </v>
          </cell>
          <cell r="EP214" t="str">
            <v xml:space="preserve"> -- </v>
          </cell>
          <cell r="EQ214" t="str">
            <v xml:space="preserve"> -- </v>
          </cell>
          <cell r="ER214">
            <v>0.2708518521139619</v>
          </cell>
          <cell r="ES214">
            <v>0.19479400959238766</v>
          </cell>
          <cell r="ET214">
            <v>6.3308981112508433E-2</v>
          </cell>
          <cell r="EU214">
            <v>3.0400659666203922E-2</v>
          </cell>
          <cell r="EV214">
            <v>3.6381294993149328E-2</v>
          </cell>
          <cell r="EW214">
            <v>3.6669084249461872E-2</v>
          </cell>
        </row>
        <row r="215">
          <cell r="A215" t="str">
            <v>Value-added Assembly (EMS)</v>
          </cell>
          <cell r="N215">
            <v>0.78</v>
          </cell>
          <cell r="O215">
            <v>0.81999999999999984</v>
          </cell>
          <cell r="P215">
            <v>0.85</v>
          </cell>
          <cell r="Q215">
            <v>0.88000000000000012</v>
          </cell>
          <cell r="S215">
            <v>0.8839999999999999</v>
          </cell>
          <cell r="T215">
            <v>0.90700000000000003</v>
          </cell>
          <cell r="U215">
            <v>0.92299999999999993</v>
          </cell>
          <cell r="V215">
            <v>0.93500000000000016</v>
          </cell>
          <cell r="X215">
            <v>0.94899999999999995</v>
          </cell>
          <cell r="Y215">
            <v>0.94299999999999984</v>
          </cell>
          <cell r="Z215">
            <v>0.95199999999999996</v>
          </cell>
          <cell r="AA215">
            <v>0.94399999999999995</v>
          </cell>
          <cell r="AH215">
            <v>0.82</v>
          </cell>
          <cell r="AI215">
            <v>0.82999999999999985</v>
          </cell>
          <cell r="AJ215">
            <v>0.88</v>
          </cell>
          <cell r="AK215">
            <v>0.84</v>
          </cell>
          <cell r="AW215">
            <v>0.86</v>
          </cell>
          <cell r="AX215">
            <v>0.87</v>
          </cell>
          <cell r="AY215">
            <v>0.86999999999999988</v>
          </cell>
          <cell r="AZ215">
            <v>0.88</v>
          </cell>
          <cell r="BB215">
            <v>0.8899999999999999</v>
          </cell>
          <cell r="BC215">
            <v>0.92</v>
          </cell>
          <cell r="CA215">
            <v>0.66</v>
          </cell>
          <cell r="CB215">
            <v>0.69</v>
          </cell>
          <cell r="CC215">
            <v>0.70099999999999996</v>
          </cell>
          <cell r="CD215">
            <v>0.75</v>
          </cell>
          <cell r="CF215">
            <v>0.77</v>
          </cell>
          <cell r="CM215">
            <v>0.68990650321548219</v>
          </cell>
          <cell r="CN215">
            <v>0.71389858049386412</v>
          </cell>
          <cell r="CO215">
            <v>0.72454987469871535</v>
          </cell>
          <cell r="CP215">
            <v>0.76741287164269933</v>
          </cell>
          <cell r="CR215">
            <v>0.78500000000000003</v>
          </cell>
          <cell r="CS215">
            <v>0.77</v>
          </cell>
          <cell r="CT215">
            <v>0.84000000000000008</v>
          </cell>
          <cell r="CU215">
            <v>0.88</v>
          </cell>
          <cell r="CW215">
            <v>0.92148851226818174</v>
          </cell>
          <cell r="CX215">
            <v>0.91432457383032018</v>
          </cell>
          <cell r="CY215">
            <v>0.95627856439127379</v>
          </cell>
          <cell r="CZ215">
            <v>0.96953119115797926</v>
          </cell>
          <cell r="DB215">
            <v>0.97</v>
          </cell>
          <cell r="DC215">
            <v>0.97</v>
          </cell>
          <cell r="DD215">
            <v>0.96960186329139464</v>
          </cell>
          <cell r="DE215">
            <v>0.96887789574111838</v>
          </cell>
          <cell r="DG215">
            <v>0.96430203150476212</v>
          </cell>
          <cell r="DH215">
            <v>0.96430377154641667</v>
          </cell>
          <cell r="DI215">
            <v>0.96302945112182425</v>
          </cell>
          <cell r="DJ215">
            <v>0.96284202846618272</v>
          </cell>
          <cell r="DL215">
            <v>0.96404607918100926</v>
          </cell>
          <cell r="DM215">
            <v>0.9636991289602892</v>
          </cell>
          <cell r="DN215">
            <v>0.96244825869224859</v>
          </cell>
          <cell r="DO215">
            <v>0.9631125914644445</v>
          </cell>
          <cell r="DQ215">
            <v>0.32</v>
          </cell>
          <cell r="DR215">
            <v>0.41</v>
          </cell>
          <cell r="DS215">
            <v>0.56999999999999995</v>
          </cell>
          <cell r="DT215">
            <v>0.71</v>
          </cell>
          <cell r="DU215">
            <v>0.83</v>
          </cell>
          <cell r="DV215" t="e">
            <v>#REF!</v>
          </cell>
          <cell r="DW215">
            <v>0.94693892579686678</v>
          </cell>
          <cell r="DZ215">
            <v>0.84412681761629482</v>
          </cell>
          <cell r="EC215">
            <v>0.84</v>
          </cell>
          <cell r="EE215">
            <v>0.87060129541697673</v>
          </cell>
          <cell r="EL215" t="str">
            <v xml:space="preserve"> --</v>
          </cell>
          <cell r="EM215" t="str">
            <v xml:space="preserve"> -- </v>
          </cell>
          <cell r="EN215" t="e">
            <v>#REF!</v>
          </cell>
          <cell r="EO215" t="str">
            <v xml:space="preserve"> </v>
          </cell>
          <cell r="EP215" t="str">
            <v xml:space="preserve"> -- </v>
          </cell>
          <cell r="EQ215" t="str">
            <v xml:space="preserve"> -- </v>
          </cell>
          <cell r="ER215">
            <v>0.72914814788603821</v>
          </cell>
          <cell r="ES215">
            <v>0.80520599040761232</v>
          </cell>
          <cell r="ET215">
            <v>0.93669101888749173</v>
          </cell>
          <cell r="EU215">
            <v>0.96959934033379602</v>
          </cell>
          <cell r="EV215">
            <v>0.96361870500685076</v>
          </cell>
          <cell r="EW215">
            <v>0.96333091575053842</v>
          </cell>
        </row>
        <row r="217">
          <cell r="A217" t="str">
            <v>Year-over-year Growth</v>
          </cell>
          <cell r="CM217">
            <v>0.38777617384761487</v>
          </cell>
          <cell r="CN217">
            <v>0.51079058756808338</v>
          </cell>
          <cell r="CO217">
            <v>0.64951919864415841</v>
          </cell>
          <cell r="CP217">
            <v>0.87034468229474493</v>
          </cell>
          <cell r="CR217">
            <v>0.77412328104567352</v>
          </cell>
          <cell r="CS217">
            <v>0.25600037116785002</v>
          </cell>
          <cell r="CT217">
            <v>-0.2850166914936908</v>
          </cell>
          <cell r="CU217">
            <v>-0.56061006124164092</v>
          </cell>
          <cell r="CW217" t="str">
            <v>--</v>
          </cell>
          <cell r="CX217" t="str">
            <v>--</v>
          </cell>
          <cell r="CY217" t="str">
            <v>--</v>
          </cell>
          <cell r="CZ217" t="str">
            <v>--</v>
          </cell>
          <cell r="DB217">
            <v>-0.40852290688236426</v>
          </cell>
          <cell r="DC217">
            <v>-0.2459381362054246</v>
          </cell>
          <cell r="DD217">
            <v>-7.8949331456720562E-2</v>
          </cell>
          <cell r="DE217">
            <v>0.13465741075032511</v>
          </cell>
          <cell r="DG217">
            <v>0.11856596654762841</v>
          </cell>
          <cell r="DH217">
            <v>6.0479682026458592E-2</v>
          </cell>
          <cell r="DI217">
            <v>-9.6445194497561948E-3</v>
          </cell>
          <cell r="DJ217">
            <v>-1.0388063569542583E-2</v>
          </cell>
          <cell r="DL217">
            <v>0.12212195194110231</v>
          </cell>
          <cell r="DM217">
            <v>0.11134295446197373</v>
          </cell>
          <cell r="DN217">
            <v>0.11267577332427736</v>
          </cell>
          <cell r="DO217">
            <v>0.13845709039080534</v>
          </cell>
          <cell r="EP217" t="str">
            <v xml:space="preserve"> -- </v>
          </cell>
          <cell r="EQ217">
            <v>0.14113294963056866</v>
          </cell>
          <cell r="ER217">
            <v>0.47606441043283265</v>
          </cell>
          <cell r="ES217">
            <v>-4.3654056920545914E-2</v>
          </cell>
          <cell r="ET217">
            <v>1.9425597685547551</v>
          </cell>
          <cell r="EU217">
            <v>-0.18872708048887377</v>
          </cell>
          <cell r="EV217">
            <v>3.7352469342148087E-2</v>
          </cell>
          <cell r="EW217">
            <v>0.12129762852677439</v>
          </cell>
        </row>
        <row r="218">
          <cell r="A218" t="str">
            <v>Printed Circuit Board Fabrication</v>
          </cell>
          <cell r="N218" t="str">
            <v xml:space="preserve"> -- </v>
          </cell>
          <cell r="O218" t="str">
            <v xml:space="preserve"> -- </v>
          </cell>
          <cell r="P218" t="str">
            <v xml:space="preserve"> -- </v>
          </cell>
          <cell r="Q218" t="str">
            <v xml:space="preserve"> -- </v>
          </cell>
          <cell r="S218">
            <v>-0.20838532959745049</v>
          </cell>
          <cell r="T218">
            <v>-0.16978777481255591</v>
          </cell>
          <cell r="U218">
            <v>-0.1805132805549946</v>
          </cell>
          <cell r="V218">
            <v>-0.13407899917186061</v>
          </cell>
          <cell r="X218">
            <v>-0.25107771013860525</v>
          </cell>
          <cell r="Y218">
            <v>-6.2545602235234865E-2</v>
          </cell>
          <cell r="Z218">
            <v>-7.6906572397005379E-2</v>
          </cell>
          <cell r="AA218">
            <v>0.25373150708556436</v>
          </cell>
          <cell r="AH218" t="str">
            <v>NM</v>
          </cell>
          <cell r="AI218" t="str">
            <v>NM</v>
          </cell>
          <cell r="AJ218" t="str">
            <v>NM</v>
          </cell>
          <cell r="AK218" t="str">
            <v>NM</v>
          </cell>
          <cell r="AW218">
            <v>0.34691399149279722</v>
          </cell>
          <cell r="AX218">
            <v>0.24887834608242954</v>
          </cell>
          <cell r="AY218">
            <v>0.56993796255433971</v>
          </cell>
          <cell r="AZ218">
            <v>0.34627218843497798</v>
          </cell>
          <cell r="BB218">
            <v>0.31084505822740405</v>
          </cell>
          <cell r="BC218">
            <v>0.2155170432469995</v>
          </cell>
          <cell r="CA218" t="str">
            <v xml:space="preserve"> -- </v>
          </cell>
          <cell r="CB218" t="str">
            <v xml:space="preserve"> -- </v>
          </cell>
          <cell r="CC218" t="str">
            <v xml:space="preserve"> -- </v>
          </cell>
          <cell r="CD218" t="str">
            <v xml:space="preserve"> -- </v>
          </cell>
          <cell r="CF218">
            <v>0.23153714223082544</v>
          </cell>
          <cell r="CM218" t="str">
            <v>--</v>
          </cell>
          <cell r="CN218" t="str">
            <v>--</v>
          </cell>
          <cell r="CO218" t="str">
            <v>--</v>
          </cell>
          <cell r="CP218" t="str">
            <v>--</v>
          </cell>
          <cell r="CR218">
            <v>0.23006934805175128</v>
          </cell>
          <cell r="CS218">
            <v>9.7121708353149483E-3</v>
          </cell>
          <cell r="CT218">
            <v>-0.58468949964759398</v>
          </cell>
          <cell r="CU218">
            <v>-0.77330304981450171</v>
          </cell>
          <cell r="CW218">
            <v>0.23006934805175128</v>
          </cell>
          <cell r="CX218">
            <v>9.7121708353149483E-3</v>
          </cell>
          <cell r="CY218">
            <v>-0.58468949964759398</v>
          </cell>
          <cell r="CZ218">
            <v>-0.77330304981450171</v>
          </cell>
          <cell r="DB218">
            <v>-0.77399087310457548</v>
          </cell>
          <cell r="DC218">
            <v>-0.73595864152417789</v>
          </cell>
          <cell r="DD218">
            <v>-0.35962248841749056</v>
          </cell>
          <cell r="DE218">
            <v>0.15898610997824369</v>
          </cell>
          <cell r="DG218">
            <v>0.33101775445541937</v>
          </cell>
          <cell r="DH218">
            <v>0.26183750000000017</v>
          </cell>
          <cell r="DI218">
            <v>0.20448124999999995</v>
          </cell>
          <cell r="DJ218">
            <v>0.18153875000000008</v>
          </cell>
          <cell r="DL218">
            <v>0.13016750000000021</v>
          </cell>
          <cell r="DM218">
            <v>0.13016749999999999</v>
          </cell>
          <cell r="DN218">
            <v>0.13016750000000021</v>
          </cell>
          <cell r="DO218">
            <v>0.13016750000000021</v>
          </cell>
          <cell r="DQ218" t="str">
            <v xml:space="preserve"> -- </v>
          </cell>
          <cell r="DR218">
            <v>-4.0608229159068698E-2</v>
          </cell>
          <cell r="DS218">
            <v>-9.4468039901433043E-3</v>
          </cell>
          <cell r="DT218">
            <v>-0.12242645454636281</v>
          </cell>
          <cell r="DU218">
            <v>-0.14563240855142456</v>
          </cell>
          <cell r="DV218">
            <v>-0.21066795025825513</v>
          </cell>
          <cell r="DW218">
            <v>-4.5037777020751069E-2</v>
          </cell>
          <cell r="DZ218" t="str">
            <v xml:space="preserve"> -- </v>
          </cell>
          <cell r="EC218" t="str">
            <v xml:space="preserve"> -- </v>
          </cell>
          <cell r="EE218">
            <v>-2.8987211402057289E-2</v>
          </cell>
          <cell r="EL218" t="str">
            <v xml:space="preserve"> --</v>
          </cell>
          <cell r="EM218" t="str">
            <v xml:space="preserve"> -- </v>
          </cell>
          <cell r="EN218" t="str">
            <v xml:space="preserve"> -- </v>
          </cell>
          <cell r="EP218" t="str">
            <v xml:space="preserve"> -- </v>
          </cell>
          <cell r="EQ218" t="str">
            <v xml:space="preserve"> -- </v>
          </cell>
          <cell r="ER218" t="str">
            <v xml:space="preserve"> -- </v>
          </cell>
          <cell r="ES218">
            <v>-0.31220532790937749</v>
          </cell>
          <cell r="ET218">
            <v>-0.31220532790937749</v>
          </cell>
          <cell r="EU218">
            <v>-0.61043075580958139</v>
          </cell>
          <cell r="EV218">
            <v>0.24142787075650141</v>
          </cell>
          <cell r="EW218">
            <v>0.13016749999999999</v>
          </cell>
        </row>
        <row r="219">
          <cell r="A219" t="str">
            <v>Value-added Assembly (EMS)</v>
          </cell>
          <cell r="N219" t="str">
            <v xml:space="preserve"> -- </v>
          </cell>
          <cell r="O219" t="str">
            <v xml:space="preserve"> -- </v>
          </cell>
          <cell r="P219" t="str">
            <v xml:space="preserve"> -- </v>
          </cell>
          <cell r="Q219" t="str">
            <v xml:space="preserve"> -- </v>
          </cell>
          <cell r="S219">
            <v>0.7015165904054792</v>
          </cell>
          <cell r="T219">
            <v>0.77734654975219253</v>
          </cell>
          <cell r="U219">
            <v>0.73350552035387273</v>
          </cell>
          <cell r="V219">
            <v>0.69853734777827547</v>
          </cell>
          <cell r="X219">
            <v>0.82868337674345183</v>
          </cell>
          <cell r="Y219">
            <v>0.5902399123691362</v>
          </cell>
          <cell r="Z219">
            <v>0.52732124902965682</v>
          </cell>
          <cell r="AA219">
            <v>0.46923157514839686</v>
          </cell>
          <cell r="AH219" t="str">
            <v>NM</v>
          </cell>
          <cell r="AI219" t="str">
            <v>NM</v>
          </cell>
          <cell r="AJ219" t="str">
            <v>NM</v>
          </cell>
          <cell r="AK219" t="str">
            <v>NM</v>
          </cell>
          <cell r="AW219">
            <v>0.81622200246589705</v>
          </cell>
          <cell r="AX219">
            <v>0.71185456335117081</v>
          </cell>
          <cell r="AY219">
            <v>0.55209775843440378</v>
          </cell>
          <cell r="AZ219">
            <v>0.88050718384568416</v>
          </cell>
          <cell r="BB219">
            <v>0.72654645089994263</v>
          </cell>
          <cell r="BC219">
            <v>1.0887333099474312</v>
          </cell>
          <cell r="CA219" t="str">
            <v xml:space="preserve"> -- </v>
          </cell>
          <cell r="CB219" t="str">
            <v xml:space="preserve"> -- </v>
          </cell>
          <cell r="CC219" t="str">
            <v xml:space="preserve"> -- </v>
          </cell>
          <cell r="CD219" t="str">
            <v xml:space="preserve"> -- </v>
          </cell>
          <cell r="CF219">
            <v>1.1239553612386697</v>
          </cell>
          <cell r="CM219" t="str">
            <v>--</v>
          </cell>
          <cell r="CN219" t="str">
            <v>--</v>
          </cell>
          <cell r="CO219" t="str">
            <v>--</v>
          </cell>
          <cell r="CP219" t="str">
            <v>--</v>
          </cell>
          <cell r="CR219">
            <v>1.0186601650077045</v>
          </cell>
          <cell r="CS219">
            <v>0.35470263175226591</v>
          </cell>
          <cell r="CT219">
            <v>-0.17109090744783118</v>
          </cell>
          <cell r="CU219">
            <v>-0.49614717136594622</v>
          </cell>
          <cell r="CW219" t="str">
            <v>--</v>
          </cell>
          <cell r="CX219" t="str">
            <v>--</v>
          </cell>
          <cell r="CY219" t="str">
            <v>--</v>
          </cell>
          <cell r="CZ219" t="str">
            <v>--</v>
          </cell>
          <cell r="DB219">
            <v>-0.37738477182759211</v>
          </cell>
          <cell r="DC219">
            <v>-0.20002149256848223</v>
          </cell>
          <cell r="DD219">
            <v>-6.6116843292594707E-2</v>
          </cell>
          <cell r="DE219">
            <v>0.13389284897767584</v>
          </cell>
          <cell r="DG219">
            <v>0.11199529269481023</v>
          </cell>
          <cell r="DH219">
            <v>5.4252120645833735E-2</v>
          </cell>
          <cell r="DI219">
            <v>-1.6357609284870289E-2</v>
          </cell>
          <cell r="DJ219">
            <v>-1.6553098738826932E-2</v>
          </cell>
          <cell r="DL219">
            <v>0.12182410986284253</v>
          </cell>
          <cell r="DM219">
            <v>0.11064611463007834</v>
          </cell>
          <cell r="DN219">
            <v>0.11200426869347413</v>
          </cell>
          <cell r="DO219">
            <v>0.13877700202185372</v>
          </cell>
          <cell r="DQ219" t="str">
            <v xml:space="preserve"> -- </v>
          </cell>
          <cell r="DR219">
            <v>0.41672894973756169</v>
          </cell>
          <cell r="DS219">
            <v>0.88952376527575039</v>
          </cell>
          <cell r="DT219">
            <v>0.62083002678158183</v>
          </cell>
          <cell r="DU219">
            <v>0.70378027557309086</v>
          </cell>
          <cell r="DV219">
            <v>0.74172416920361939</v>
          </cell>
          <cell r="DW219">
            <v>0.58191560811159282</v>
          </cell>
          <cell r="DZ219" t="str">
            <v xml:space="preserve"> -- </v>
          </cell>
          <cell r="EC219" t="str">
            <v xml:space="preserve"> -- </v>
          </cell>
          <cell r="EE219">
            <v>0.2693795169740929</v>
          </cell>
          <cell r="EL219" t="str">
            <v xml:space="preserve"> --</v>
          </cell>
          <cell r="EM219" t="str">
            <v xml:space="preserve"> -- </v>
          </cell>
          <cell r="EN219" t="str">
            <v xml:space="preserve"> -- </v>
          </cell>
          <cell r="EP219" t="str">
            <v xml:space="preserve"> -- </v>
          </cell>
          <cell r="EQ219" t="str">
            <v xml:space="preserve"> -- </v>
          </cell>
          <cell r="ER219" t="str">
            <v xml:space="preserve"> -- </v>
          </cell>
          <cell r="ES219">
            <v>0.18128215545508897</v>
          </cell>
          <cell r="ET219">
            <v>2.7801224836625171</v>
          </cell>
          <cell r="EU219">
            <v>-0.16022501366254427</v>
          </cell>
          <cell r="EV219">
            <v>3.0953922471741002E-2</v>
          </cell>
          <cell r="EW219">
            <v>0.12096274771868942</v>
          </cell>
        </row>
        <row r="221">
          <cell r="A221" t="str">
            <v>Sequential Growth</v>
          </cell>
          <cell r="CW221" t="str">
            <v>--</v>
          </cell>
          <cell r="CX221">
            <v>-0.2139775023929702</v>
          </cell>
          <cell r="CY221">
            <v>-0.11122786278759222</v>
          </cell>
          <cell r="CZ221">
            <v>-0.16749648135116124</v>
          </cell>
          <cell r="DB221">
            <v>1.7012859392005364E-2</v>
          </cell>
          <cell r="DC221">
            <v>2.0837601772401015E-3</v>
          </cell>
          <cell r="DD221">
            <v>8.5592854467886115E-2</v>
          </cell>
          <cell r="DE221">
            <v>2.5574725877570037E-2</v>
          </cell>
          <cell r="DG221">
            <v>2.5898225129623587E-3</v>
          </cell>
          <cell r="DH221">
            <v>-4.9953691478250017E-2</v>
          </cell>
          <cell r="DI221">
            <v>1.3808044878346193E-2</v>
          </cell>
          <cell r="DJ221">
            <v>2.4804739673824017E-2</v>
          </cell>
          <cell r="DL221">
            <v>0.13683758978546567</v>
          </cell>
          <cell r="DM221">
            <v>-5.907974658027948E-2</v>
          </cell>
          <cell r="DN221">
            <v>1.5023891417476287E-2</v>
          </cell>
          <cell r="DO221">
            <v>4.8550035975077677E-2</v>
          </cell>
          <cell r="EP221" t="str">
            <v xml:space="preserve"> -- </v>
          </cell>
          <cell r="EQ221" t="str">
            <v xml:space="preserve"> -- </v>
          </cell>
          <cell r="ER221" t="str">
            <v xml:space="preserve"> -- </v>
          </cell>
          <cell r="ES221" t="str">
            <v xml:space="preserve"> -- </v>
          </cell>
          <cell r="ET221" t="str">
            <v xml:space="preserve"> -- </v>
          </cell>
          <cell r="EU221" t="str">
            <v xml:space="preserve"> -- </v>
          </cell>
          <cell r="EV221" t="str">
            <v xml:space="preserve"> -- </v>
          </cell>
          <cell r="EW221" t="str">
            <v xml:space="preserve"> -- </v>
          </cell>
        </row>
        <row r="222">
          <cell r="A222" t="str">
            <v>Printed Circuit Board Fabrication</v>
          </cell>
          <cell r="CA222" t="str">
            <v xml:space="preserve"> -- </v>
          </cell>
          <cell r="CB222">
            <v>0.14605977994005492</v>
          </cell>
          <cell r="CC222">
            <v>0.14325670353625886</v>
          </cell>
          <cell r="CD222">
            <v>0.27117561701004966</v>
          </cell>
          <cell r="CM222" t="str">
            <v>--</v>
          </cell>
          <cell r="CN222">
            <v>4.4936858180638417E-2</v>
          </cell>
          <cell r="CO222">
            <v>0.10268953018497218</v>
          </cell>
          <cell r="CP222">
            <v>6.285586706525903E-2</v>
          </cell>
          <cell r="CR222">
            <v>4.4120696961191808E-3</v>
          </cell>
          <cell r="CS222">
            <v>-0.14225530037757139</v>
          </cell>
          <cell r="CT222">
            <v>-0.54644644905525863</v>
          </cell>
          <cell r="CU222">
            <v>-0.41984085799418502</v>
          </cell>
          <cell r="CW222">
            <v>4.4120696961191808E-3</v>
          </cell>
          <cell r="CX222">
            <v>-0.14225530037757139</v>
          </cell>
          <cell r="CY222">
            <v>-0.54644644905525863</v>
          </cell>
          <cell r="CZ222">
            <v>-0.41984085799418502</v>
          </cell>
          <cell r="DB222">
            <v>1.3645738484562298E-3</v>
          </cell>
          <cell r="DC222">
            <v>2.0837601772401015E-3</v>
          </cell>
          <cell r="DD222">
            <v>0.10000000000000009</v>
          </cell>
          <cell r="DE222">
            <v>5.0000000000000044E-2</v>
          </cell>
          <cell r="DG222">
            <v>0.14999999999999991</v>
          </cell>
          <cell r="DH222">
            <v>-5.0000000000000044E-2</v>
          </cell>
          <cell r="DI222">
            <v>5.0000000000000044E-2</v>
          </cell>
          <cell r="DJ222">
            <v>3.0000000000000027E-2</v>
          </cell>
          <cell r="DL222">
            <v>0.10000000000000009</v>
          </cell>
          <cell r="DM222">
            <v>-5.0000000000000044E-2</v>
          </cell>
          <cell r="DN222">
            <v>5.0000000000000044E-2</v>
          </cell>
          <cell r="DO222">
            <v>3.0000000000000027E-2</v>
          </cell>
          <cell r="EN222" t="str">
            <v xml:space="preserve"> -- </v>
          </cell>
          <cell r="EO222" t="str">
            <v xml:space="preserve"> </v>
          </cell>
          <cell r="EP222" t="str">
            <v xml:space="preserve"> -- </v>
          </cell>
          <cell r="EQ222" t="str">
            <v xml:space="preserve"> -- </v>
          </cell>
          <cell r="ER222" t="str">
            <v xml:space="preserve"> -- </v>
          </cell>
          <cell r="ES222" t="str">
            <v xml:space="preserve"> -- </v>
          </cell>
          <cell r="ET222" t="str">
            <v xml:space="preserve"> -- </v>
          </cell>
          <cell r="EU222" t="str">
            <v xml:space="preserve"> -- </v>
          </cell>
          <cell r="EV222" t="str">
            <v xml:space="preserve"> -- </v>
          </cell>
          <cell r="EW222" t="str">
            <v xml:space="preserve"> -- </v>
          </cell>
        </row>
        <row r="223">
          <cell r="A223" t="str">
            <v>Value-added Assembly (EMS)</v>
          </cell>
          <cell r="CA223" t="str">
            <v xml:space="preserve"> -- </v>
          </cell>
          <cell r="CB223">
            <v>4.4936858180638417E-2</v>
          </cell>
          <cell r="CC223">
            <v>0.10268953018497218</v>
          </cell>
          <cell r="CD223">
            <v>6.285586706525903E-2</v>
          </cell>
          <cell r="CM223" t="str">
            <v>--</v>
          </cell>
          <cell r="CN223">
            <v>0.17194970453871061</v>
          </cell>
          <cell r="CO223">
            <v>0.16241727802799355</v>
          </cell>
          <cell r="CP223">
            <v>0.33319128294391298</v>
          </cell>
          <cell r="CR223">
            <v>0.1114750471127266</v>
          </cell>
          <cell r="CS223">
            <v>-0.21351628345337559</v>
          </cell>
          <cell r="CT223">
            <v>-0.2887455678366555</v>
          </cell>
          <cell r="CU223">
            <v>-0.18961897624584567</v>
          </cell>
          <cell r="CW223" t="str">
            <v>--</v>
          </cell>
          <cell r="CX223">
            <v>-0.22008828587932172</v>
          </cell>
          <cell r="CY223">
            <v>-7.0446351579551925E-2</v>
          </cell>
          <cell r="CZ223">
            <v>-0.15595919626975274</v>
          </cell>
          <cell r="DB223">
            <v>1.7504627604601142E-2</v>
          </cell>
          <cell r="DC223">
            <v>2.0837601772403236E-3</v>
          </cell>
          <cell r="DD223">
            <v>8.5147272647305261E-2</v>
          </cell>
          <cell r="DE223">
            <v>2.4808965362838276E-2</v>
          </cell>
          <cell r="DG223">
            <v>-2.145258071224676E-3</v>
          </cell>
          <cell r="DH223">
            <v>-4.995197716043609E-2</v>
          </cell>
          <cell r="DI223">
            <v>1.2468304916391171E-2</v>
          </cell>
          <cell r="DJ223">
            <v>2.4605294448550863E-2</v>
          </cell>
          <cell r="DL223">
            <v>0.13825922497810805</v>
          </cell>
          <cell r="DM223">
            <v>-5.9418374055307699E-2</v>
          </cell>
          <cell r="DN223">
            <v>1.3706402204328505E-2</v>
          </cell>
          <cell r="DO223">
            <v>4.9273800755048169E-2</v>
          </cell>
          <cell r="EN223" t="str">
            <v xml:space="preserve"> -- </v>
          </cell>
          <cell r="EO223" t="str">
            <v xml:space="preserve"> </v>
          </cell>
          <cell r="EP223" t="str">
            <v xml:space="preserve"> -- </v>
          </cell>
          <cell r="EQ223" t="str">
            <v xml:space="preserve"> -- </v>
          </cell>
          <cell r="ER223" t="str">
            <v xml:space="preserve"> -- </v>
          </cell>
          <cell r="ES223" t="str">
            <v xml:space="preserve"> -- </v>
          </cell>
          <cell r="ET223" t="str">
            <v xml:space="preserve"> -- </v>
          </cell>
          <cell r="EU223" t="str">
            <v xml:space="preserve"> -- </v>
          </cell>
          <cell r="EV223" t="str">
            <v xml:space="preserve"> -- </v>
          </cell>
          <cell r="EW223" t="str">
            <v xml:space="preserve"> -- </v>
          </cell>
        </row>
        <row r="224">
          <cell r="S224" t="str">
            <v xml:space="preserve"> </v>
          </cell>
          <cell r="T224" t="str">
            <v xml:space="preserve"> </v>
          </cell>
          <cell r="U224" t="str">
            <v xml:space="preserve"> </v>
          </cell>
          <cell r="V224" t="str">
            <v xml:space="preserve"> </v>
          </cell>
          <cell r="X224" t="str">
            <v xml:space="preserve"> </v>
          </cell>
          <cell r="DV224" t="str">
            <v xml:space="preserve"> </v>
          </cell>
        </row>
        <row r="225">
          <cell r="A225" t="str">
            <v>Capacity Utilization Analysis:</v>
          </cell>
        </row>
        <row r="227">
          <cell r="A227" t="str">
            <v>Capacity</v>
          </cell>
          <cell r="CM227" t="str">
            <v xml:space="preserve"> --</v>
          </cell>
          <cell r="CN227" t="str">
            <v xml:space="preserve"> --</v>
          </cell>
          <cell r="CO227" t="str">
            <v xml:space="preserve"> --</v>
          </cell>
          <cell r="CP227" t="str">
            <v xml:space="preserve"> --</v>
          </cell>
          <cell r="CR227" t="str">
            <v xml:space="preserve"> --</v>
          </cell>
          <cell r="CS227" t="str">
            <v xml:space="preserve"> --</v>
          </cell>
          <cell r="CT227" t="str">
            <v xml:space="preserve"> --</v>
          </cell>
          <cell r="CU227" t="str">
            <v xml:space="preserve"> --</v>
          </cell>
          <cell r="CW227" t="str">
            <v xml:space="preserve"> --</v>
          </cell>
          <cell r="CX227" t="str">
            <v xml:space="preserve"> --</v>
          </cell>
          <cell r="CY227" t="str">
            <v xml:space="preserve"> --</v>
          </cell>
          <cell r="CZ227" t="str">
            <v xml:space="preserve"> --</v>
          </cell>
          <cell r="DB227">
            <v>6125</v>
          </cell>
          <cell r="DC227">
            <v>5141.6525000000001</v>
          </cell>
          <cell r="DD227">
            <v>5622.1525000000001</v>
          </cell>
          <cell r="DE227">
            <v>6950</v>
          </cell>
          <cell r="DG227">
            <v>6950</v>
          </cell>
          <cell r="DH227">
            <v>6950</v>
          </cell>
          <cell r="DI227">
            <v>6950</v>
          </cell>
          <cell r="DJ227">
            <v>6950</v>
          </cell>
          <cell r="DL227">
            <v>6950</v>
          </cell>
          <cell r="DM227">
            <v>6950</v>
          </cell>
          <cell r="DN227">
            <v>6950</v>
          </cell>
          <cell r="DO227">
            <v>6950</v>
          </cell>
          <cell r="EP227" t="str">
            <v xml:space="preserve"> -- </v>
          </cell>
          <cell r="EQ227" t="str">
            <v xml:space="preserve"> -- </v>
          </cell>
          <cell r="ER227" t="str">
            <v xml:space="preserve"> -- </v>
          </cell>
          <cell r="ES227" t="str">
            <v xml:space="preserve"> -- </v>
          </cell>
          <cell r="ET227" t="str">
            <v xml:space="preserve"> -- </v>
          </cell>
          <cell r="EU227">
            <v>23838.805</v>
          </cell>
          <cell r="EV227">
            <v>27800</v>
          </cell>
          <cell r="EW227">
            <v>27800</v>
          </cell>
        </row>
        <row r="228">
          <cell r="A228" t="str">
            <v>Printed Circuit Board Fabrication</v>
          </cell>
          <cell r="CM228" t="str">
            <v xml:space="preserve"> --</v>
          </cell>
          <cell r="CN228" t="str">
            <v xml:space="preserve"> --</v>
          </cell>
          <cell r="CO228" t="str">
            <v xml:space="preserve"> --</v>
          </cell>
          <cell r="CP228" t="str">
            <v xml:space="preserve"> --</v>
          </cell>
          <cell r="CR228" t="str">
            <v xml:space="preserve"> --</v>
          </cell>
          <cell r="CS228" t="str">
            <v xml:space="preserve"> --</v>
          </cell>
          <cell r="CT228" t="str">
            <v xml:space="preserve"> --</v>
          </cell>
          <cell r="CU228" t="str">
            <v xml:space="preserve"> --</v>
          </cell>
          <cell r="CW228" t="str">
            <v xml:space="preserve"> --</v>
          </cell>
          <cell r="CX228" t="str">
            <v xml:space="preserve"> --</v>
          </cell>
          <cell r="CY228" t="str">
            <v xml:space="preserve"> --</v>
          </cell>
          <cell r="CZ228" t="str">
            <v xml:space="preserve"> --</v>
          </cell>
          <cell r="DB228">
            <v>375</v>
          </cell>
          <cell r="DC228">
            <v>375</v>
          </cell>
          <cell r="DD228">
            <v>375</v>
          </cell>
          <cell r="DE228">
            <v>375</v>
          </cell>
          <cell r="DG228">
            <v>375</v>
          </cell>
          <cell r="DH228">
            <v>375</v>
          </cell>
          <cell r="DI228">
            <v>375</v>
          </cell>
          <cell r="DJ228">
            <v>375</v>
          </cell>
          <cell r="DL228">
            <v>375</v>
          </cell>
          <cell r="DM228">
            <v>375</v>
          </cell>
          <cell r="DN228">
            <v>375</v>
          </cell>
          <cell r="DO228">
            <v>375</v>
          </cell>
          <cell r="EP228" t="str">
            <v xml:space="preserve"> -- </v>
          </cell>
          <cell r="EQ228" t="str">
            <v xml:space="preserve"> -- </v>
          </cell>
          <cell r="ER228" t="str">
            <v xml:space="preserve"> -- </v>
          </cell>
          <cell r="ES228" t="str">
            <v xml:space="preserve"> -- </v>
          </cell>
          <cell r="ET228" t="str">
            <v xml:space="preserve"> -- </v>
          </cell>
          <cell r="EU228">
            <v>1500</v>
          </cell>
          <cell r="EV228">
            <v>1500</v>
          </cell>
          <cell r="EW228">
            <v>1500</v>
          </cell>
        </row>
        <row r="229">
          <cell r="A229" t="str">
            <v>Value-added Assembly (EMS)</v>
          </cell>
          <cell r="CM229" t="str">
            <v xml:space="preserve"> --</v>
          </cell>
          <cell r="CN229" t="str">
            <v xml:space="preserve"> --</v>
          </cell>
          <cell r="CO229" t="str">
            <v xml:space="preserve"> --</v>
          </cell>
          <cell r="CP229" t="str">
            <v xml:space="preserve"> --</v>
          </cell>
          <cell r="CR229" t="str">
            <v xml:space="preserve"> --</v>
          </cell>
          <cell r="CS229" t="str">
            <v xml:space="preserve"> --</v>
          </cell>
          <cell r="CT229" t="str">
            <v xml:space="preserve"> --</v>
          </cell>
          <cell r="CU229" t="str">
            <v xml:space="preserve"> --</v>
          </cell>
          <cell r="CW229" t="str">
            <v xml:space="preserve"> --</v>
          </cell>
          <cell r="CX229" t="str">
            <v xml:space="preserve"> --</v>
          </cell>
          <cell r="CY229" t="str">
            <v xml:space="preserve"> --</v>
          </cell>
          <cell r="CZ229" t="str">
            <v xml:space="preserve"> --</v>
          </cell>
          <cell r="DB229">
            <v>4625</v>
          </cell>
          <cell r="DC229">
            <v>4766.6525000000001</v>
          </cell>
          <cell r="DD229">
            <v>5247.1525000000001</v>
          </cell>
          <cell r="DE229">
            <v>6575</v>
          </cell>
          <cell r="DG229">
            <v>6575</v>
          </cell>
          <cell r="DH229">
            <v>6575</v>
          </cell>
          <cell r="DI229">
            <v>6575</v>
          </cell>
          <cell r="DJ229">
            <v>6575</v>
          </cell>
          <cell r="DL229">
            <v>6575</v>
          </cell>
          <cell r="DM229">
            <v>6575</v>
          </cell>
          <cell r="DN229">
            <v>6575</v>
          </cell>
          <cell r="DO229">
            <v>6575</v>
          </cell>
          <cell r="EP229" t="str">
            <v xml:space="preserve"> -- </v>
          </cell>
          <cell r="EQ229" t="str">
            <v xml:space="preserve"> -- </v>
          </cell>
          <cell r="ER229" t="str">
            <v xml:space="preserve"> -- </v>
          </cell>
          <cell r="ES229" t="str">
            <v xml:space="preserve"> -- </v>
          </cell>
          <cell r="ET229" t="str">
            <v xml:space="preserve"> -- </v>
          </cell>
          <cell r="EU229">
            <v>21213.805</v>
          </cell>
          <cell r="EV229">
            <v>26300</v>
          </cell>
          <cell r="EW229">
            <v>26300</v>
          </cell>
        </row>
        <row r="231">
          <cell r="A231" t="str">
            <v>Capacity Utilization</v>
          </cell>
          <cell r="CM231" t="str">
            <v xml:space="preserve"> --</v>
          </cell>
          <cell r="CN231" t="str">
            <v xml:space="preserve"> --</v>
          </cell>
          <cell r="CO231" t="str">
            <v xml:space="preserve"> --</v>
          </cell>
          <cell r="CP231" t="str">
            <v xml:space="preserve"> --</v>
          </cell>
          <cell r="CR231" t="str">
            <v xml:space="preserve"> --</v>
          </cell>
          <cell r="CS231" t="str">
            <v xml:space="preserve"> --</v>
          </cell>
          <cell r="CT231" t="str">
            <v xml:space="preserve"> --</v>
          </cell>
          <cell r="CU231" t="str">
            <v xml:space="preserve"> --</v>
          </cell>
          <cell r="CW231" t="str">
            <v xml:space="preserve"> --</v>
          </cell>
          <cell r="CX231" t="str">
            <v xml:space="preserve"> --</v>
          </cell>
          <cell r="CY231" t="str">
            <v xml:space="preserve"> --</v>
          </cell>
          <cell r="CZ231" t="str">
            <v xml:space="preserve"> --</v>
          </cell>
          <cell r="DB231">
            <v>0.39285338775510203</v>
          </cell>
          <cell r="DC231">
            <v>0.46896226456377593</v>
          </cell>
          <cell r="DD231">
            <v>0.4655914260596809</v>
          </cell>
          <cell r="DE231">
            <v>0.3862692183309353</v>
          </cell>
          <cell r="DG231">
            <v>0.38726958704863312</v>
          </cell>
          <cell r="DH231">
            <v>0.36792404157829645</v>
          </cell>
          <cell r="DI231">
            <v>0.37300435325623205</v>
          </cell>
          <cell r="DJ231">
            <v>0.38225662913595598</v>
          </cell>
          <cell r="DL231">
            <v>0.43456370494643681</v>
          </cell>
          <cell r="DM231">
            <v>0.40888979138521397</v>
          </cell>
          <cell r="DN231">
            <v>0.41503290721269998</v>
          </cell>
          <cell r="DO231">
            <v>0.43518276978871756</v>
          </cell>
          <cell r="EP231" t="str">
            <v xml:space="preserve"> -- </v>
          </cell>
          <cell r="EQ231" t="str">
            <v xml:space="preserve"> -- </v>
          </cell>
          <cell r="ER231" t="str">
            <v xml:space="preserve"> -- </v>
          </cell>
          <cell r="ES231" t="str">
            <v xml:space="preserve"> -- </v>
          </cell>
          <cell r="ET231" t="str">
            <v xml:space="preserve"> -- </v>
          </cell>
          <cell r="EU231">
            <v>0.42450387372185816</v>
          </cell>
          <cell r="EV231">
            <v>0.37761365275477937</v>
          </cell>
          <cell r="EW231">
            <v>0.423417293333267</v>
          </cell>
        </row>
        <row r="232">
          <cell r="A232" t="str">
            <v>Printed Circuit Board Fabrication</v>
          </cell>
          <cell r="CM232" t="str">
            <v xml:space="preserve"> --</v>
          </cell>
          <cell r="CN232" t="str">
            <v xml:space="preserve"> --</v>
          </cell>
          <cell r="CO232" t="str">
            <v xml:space="preserve"> --</v>
          </cell>
          <cell r="CP232" t="str">
            <v xml:space="preserve"> --</v>
          </cell>
          <cell r="CR232" t="str">
            <v xml:space="preserve"> --</v>
          </cell>
          <cell r="CS232" t="str">
            <v xml:space="preserve"> --</v>
          </cell>
          <cell r="CT232" t="str">
            <v xml:space="preserve"> --</v>
          </cell>
          <cell r="CU232" t="str">
            <v xml:space="preserve"> --</v>
          </cell>
          <cell r="CW232" t="str">
            <v xml:space="preserve"> --</v>
          </cell>
          <cell r="CX232" t="str">
            <v xml:space="preserve"> --</v>
          </cell>
          <cell r="CY232" t="str">
            <v xml:space="preserve"> --</v>
          </cell>
          <cell r="CZ232" t="str">
            <v xml:space="preserve"> --</v>
          </cell>
          <cell r="DB232">
            <v>0.19249815999999997</v>
          </cell>
          <cell r="DC232">
            <v>0.19289927999999998</v>
          </cell>
          <cell r="DD232" t="str">
            <v>--</v>
          </cell>
          <cell r="DE232" t="str">
            <v>--</v>
          </cell>
          <cell r="DG232" t="str">
            <v>--</v>
          </cell>
          <cell r="DH232" t="str">
            <v>--</v>
          </cell>
          <cell r="DI232" t="str">
            <v>--</v>
          </cell>
          <cell r="DJ232" t="str">
            <v>--</v>
          </cell>
          <cell r="DL232" t="str">
            <v>--</v>
          </cell>
          <cell r="DM232" t="str">
            <v>--</v>
          </cell>
          <cell r="DN232" t="str">
            <v>--</v>
          </cell>
          <cell r="DO232" t="str">
            <v>--</v>
          </cell>
          <cell r="EP232" t="str">
            <v xml:space="preserve"> -- </v>
          </cell>
          <cell r="EQ232" t="str">
            <v xml:space="preserve"> -- </v>
          </cell>
          <cell r="ER232" t="str">
            <v xml:space="preserve"> -- </v>
          </cell>
          <cell r="ES232" t="str">
            <v xml:space="preserve"> -- </v>
          </cell>
          <cell r="ET232" t="str">
            <v xml:space="preserve"> -- </v>
          </cell>
          <cell r="EU232">
            <v>0.2050963291</v>
          </cell>
          <cell r="EV232">
            <v>0.25461229913458766</v>
          </cell>
          <cell r="EW232">
            <v>0.2877545455821891</v>
          </cell>
        </row>
        <row r="233">
          <cell r="A233" t="str">
            <v>Value-added Assembly (EMS)</v>
          </cell>
          <cell r="CM233" t="str">
            <v xml:space="preserve"> --</v>
          </cell>
          <cell r="CN233" t="str">
            <v xml:space="preserve"> --</v>
          </cell>
          <cell r="CO233" t="str">
            <v xml:space="preserve"> --</v>
          </cell>
          <cell r="CP233" t="str">
            <v xml:space="preserve"> --</v>
          </cell>
          <cell r="CR233" t="str">
            <v xml:space="preserve"> --</v>
          </cell>
          <cell r="CS233" t="str">
            <v xml:space="preserve"> --</v>
          </cell>
          <cell r="CT233" t="str">
            <v xml:space="preserve"> --</v>
          </cell>
          <cell r="CU233" t="str">
            <v xml:space="preserve"> --</v>
          </cell>
          <cell r="CW233" t="str">
            <v xml:space="preserve"> --</v>
          </cell>
          <cell r="CX233" t="str">
            <v xml:space="preserve"> --</v>
          </cell>
          <cell r="CY233" t="str">
            <v xml:space="preserve"> --</v>
          </cell>
          <cell r="CZ233" t="str">
            <v xml:space="preserve"> --</v>
          </cell>
          <cell r="DB233">
            <v>0.50465733837837834</v>
          </cell>
          <cell r="DC233">
            <v>0.49068057090379463</v>
          </cell>
          <cell r="DD233" t="str">
            <v>--</v>
          </cell>
          <cell r="DE233" t="str">
            <v>--</v>
          </cell>
          <cell r="DG233" t="str">
            <v>--</v>
          </cell>
          <cell r="DH233" t="str">
            <v>--</v>
          </cell>
          <cell r="DI233" t="str">
            <v>--</v>
          </cell>
          <cell r="DJ233" t="str">
            <v>--</v>
          </cell>
          <cell r="DL233" t="str">
            <v>--</v>
          </cell>
          <cell r="DM233" t="str">
            <v>--</v>
          </cell>
          <cell r="DN233" t="str">
            <v>--</v>
          </cell>
          <cell r="DO233" t="str">
            <v>--</v>
          </cell>
          <cell r="EP233" t="str">
            <v xml:space="preserve"> -- </v>
          </cell>
          <cell r="EQ233" t="str">
            <v xml:space="preserve"> -- </v>
          </cell>
          <cell r="ER233" t="str">
            <v xml:space="preserve"> -- </v>
          </cell>
          <cell r="ES233" t="str">
            <v xml:space="preserve"> -- </v>
          </cell>
          <cell r="ET233" t="str">
            <v xml:space="preserve"> -- </v>
          </cell>
          <cell r="EU233">
            <v>0.4625299692228716</v>
          </cell>
          <cell r="EV233">
            <v>0.38462893908292722</v>
          </cell>
          <cell r="EW233">
            <v>0.43115471240652253</v>
          </cell>
        </row>
        <row r="235">
          <cell r="A235" t="str">
            <v>Top 10 customers</v>
          </cell>
          <cell r="N235">
            <v>0.67</v>
          </cell>
          <cell r="O235">
            <v>0.68</v>
          </cell>
          <cell r="P235">
            <v>0.67</v>
          </cell>
          <cell r="Q235">
            <v>0.71</v>
          </cell>
          <cell r="S235">
            <v>0.68</v>
          </cell>
          <cell r="T235">
            <v>0.66</v>
          </cell>
          <cell r="U235">
            <v>0.66</v>
          </cell>
          <cell r="V235">
            <v>0.7</v>
          </cell>
          <cell r="X235">
            <v>0.64</v>
          </cell>
          <cell r="Y235">
            <v>0.63</v>
          </cell>
          <cell r="Z235">
            <v>0.65</v>
          </cell>
          <cell r="AA235">
            <v>0.65</v>
          </cell>
          <cell r="AH235">
            <v>0.56000000000000005</v>
          </cell>
          <cell r="AI235">
            <v>0.56000000000000005</v>
          </cell>
          <cell r="AJ235">
            <v>0.6</v>
          </cell>
          <cell r="AK235">
            <v>0.67</v>
          </cell>
          <cell r="AW235">
            <v>0.57999999999999996</v>
          </cell>
          <cell r="AX235">
            <v>0.52</v>
          </cell>
          <cell r="AY235">
            <v>0.59</v>
          </cell>
          <cell r="AZ235">
            <v>0.56999999999999995</v>
          </cell>
          <cell r="BB235">
            <v>0.62</v>
          </cell>
          <cell r="BC235">
            <v>0.61</v>
          </cell>
          <cell r="BV235">
            <v>0.44</v>
          </cell>
          <cell r="BW235">
            <v>0.48</v>
          </cell>
          <cell r="BX235">
            <v>0.53</v>
          </cell>
          <cell r="BY235">
            <v>0.52</v>
          </cell>
          <cell r="CA235">
            <v>0.54</v>
          </cell>
          <cell r="CB235">
            <v>0.54</v>
          </cell>
          <cell r="CC235">
            <v>0.56000000000000005</v>
          </cell>
          <cell r="CD235">
            <v>0.56000000000000005</v>
          </cell>
          <cell r="CF235">
            <v>0.55900000000000005</v>
          </cell>
          <cell r="CM235" t="str">
            <v xml:space="preserve"> --</v>
          </cell>
          <cell r="CN235" t="str">
            <v xml:space="preserve"> --</v>
          </cell>
          <cell r="CO235" t="str">
            <v xml:space="preserve"> --</v>
          </cell>
          <cell r="CP235" t="str">
            <v xml:space="preserve"> --</v>
          </cell>
          <cell r="CR235" t="str">
            <v xml:space="preserve"> --</v>
          </cell>
          <cell r="CS235">
            <v>0.51800000000000002</v>
          </cell>
          <cell r="CT235">
            <v>0.54800000000000004</v>
          </cell>
          <cell r="CU235">
            <v>0.49299999999999999</v>
          </cell>
          <cell r="CW235" t="str">
            <v xml:space="preserve"> --</v>
          </cell>
          <cell r="CX235" t="str">
            <v xml:space="preserve"> --</v>
          </cell>
          <cell r="CY235" t="str">
            <v xml:space="preserve"> --</v>
          </cell>
          <cell r="CZ235">
            <v>0.60599999999999998</v>
          </cell>
          <cell r="DB235">
            <v>0.65300000000000002</v>
          </cell>
          <cell r="DC235">
            <v>0.66200000000000003</v>
          </cell>
          <cell r="DD235" t="str">
            <v>--</v>
          </cell>
          <cell r="DE235" t="str">
            <v>--</v>
          </cell>
          <cell r="DG235" t="str">
            <v>--</v>
          </cell>
          <cell r="DH235" t="str">
            <v>--</v>
          </cell>
          <cell r="DI235" t="str">
            <v>--</v>
          </cell>
          <cell r="DJ235" t="str">
            <v>--</v>
          </cell>
          <cell r="DL235" t="str">
            <v>--</v>
          </cell>
          <cell r="DM235" t="str">
            <v>--</v>
          </cell>
          <cell r="DN235" t="str">
            <v>--</v>
          </cell>
          <cell r="DO235" t="str">
            <v>--</v>
          </cell>
          <cell r="DT235">
            <v>0.76</v>
          </cell>
          <cell r="DU235">
            <v>0.67</v>
          </cell>
          <cell r="DV235">
            <v>0.65</v>
          </cell>
          <cell r="DW235">
            <v>0.63</v>
          </cell>
          <cell r="DY235">
            <v>0.52</v>
          </cell>
          <cell r="DZ235">
            <v>0.59</v>
          </cell>
          <cell r="EC235">
            <v>0.53</v>
          </cell>
          <cell r="EE235">
            <v>0.54</v>
          </cell>
          <cell r="EL235">
            <v>0.437</v>
          </cell>
          <cell r="EM235">
            <v>0.48899999999999999</v>
          </cell>
          <cell r="EN235">
            <v>0.55800000000000005</v>
          </cell>
          <cell r="EP235" t="str">
            <v xml:space="preserve"> -- </v>
          </cell>
          <cell r="EQ235" t="str">
            <v xml:space="preserve"> -- </v>
          </cell>
          <cell r="ER235">
            <v>0.54800000000000004</v>
          </cell>
          <cell r="ES235">
            <v>0.51100000000000001</v>
          </cell>
          <cell r="ET235" t="str">
            <v xml:space="preserve"> -- </v>
          </cell>
          <cell r="EU235" t="str">
            <v xml:space="preserve"> -- </v>
          </cell>
          <cell r="EV235" t="str">
            <v xml:space="preserve"> -- </v>
          </cell>
          <cell r="EW235" t="str">
            <v xml:space="preserve"> -- </v>
          </cell>
        </row>
        <row r="236">
          <cell r="A236" t="str">
            <v>Top 20 Customers</v>
          </cell>
          <cell r="N236">
            <v>0.16</v>
          </cell>
          <cell r="O236">
            <v>0.13</v>
          </cell>
          <cell r="P236">
            <v>0.13</v>
          </cell>
          <cell r="Q236">
            <v>0.12</v>
          </cell>
          <cell r="S236">
            <v>0.14000000000000001</v>
          </cell>
          <cell r="T236">
            <v>0.14000000000000001</v>
          </cell>
          <cell r="U236">
            <v>0.13</v>
          </cell>
          <cell r="V236">
            <v>0.17000000000000004</v>
          </cell>
          <cell r="X236">
            <v>0.13</v>
          </cell>
          <cell r="Y236">
            <v>0.14000000000000001</v>
          </cell>
          <cell r="Z236">
            <v>0.12</v>
          </cell>
          <cell r="AA236">
            <v>0.12</v>
          </cell>
          <cell r="AH236">
            <v>0.1</v>
          </cell>
          <cell r="AI236">
            <v>0.1</v>
          </cell>
          <cell r="AJ236">
            <v>0.13</v>
          </cell>
          <cell r="AK236">
            <v>0.12</v>
          </cell>
          <cell r="AW236">
            <v>0.12</v>
          </cell>
          <cell r="AX236">
            <v>0.13</v>
          </cell>
          <cell r="AY236">
            <v>0.11</v>
          </cell>
          <cell r="AZ236">
            <v>0.12</v>
          </cell>
          <cell r="BB236">
            <v>0.11</v>
          </cell>
          <cell r="BC236">
            <v>0.13</v>
          </cell>
          <cell r="BV236">
            <v>0.14000000000000001</v>
          </cell>
          <cell r="BW236">
            <v>0.12</v>
          </cell>
          <cell r="BX236">
            <v>0.11</v>
          </cell>
          <cell r="BY236">
            <v>0.12</v>
          </cell>
          <cell r="CA236">
            <v>0.11</v>
          </cell>
          <cell r="CB236">
            <v>0.13</v>
          </cell>
          <cell r="CC236">
            <v>0.14000000000000001</v>
          </cell>
          <cell r="CD236">
            <v>0.15</v>
          </cell>
          <cell r="CF236">
            <v>0.15</v>
          </cell>
          <cell r="CM236" t="str">
            <v xml:space="preserve"> --</v>
          </cell>
          <cell r="CN236" t="str">
            <v xml:space="preserve"> --</v>
          </cell>
          <cell r="CO236" t="str">
            <v xml:space="preserve"> --</v>
          </cell>
          <cell r="CP236" t="str">
            <v xml:space="preserve"> --</v>
          </cell>
          <cell r="CR236" t="str">
            <v xml:space="preserve"> --</v>
          </cell>
          <cell r="CS236">
            <v>0.67400000000000004</v>
          </cell>
          <cell r="CT236">
            <v>0.71799999999999997</v>
          </cell>
          <cell r="CU236">
            <v>0.65100000000000002</v>
          </cell>
          <cell r="CW236" t="str">
            <v xml:space="preserve"> --</v>
          </cell>
          <cell r="CX236" t="str">
            <v xml:space="preserve"> --</v>
          </cell>
          <cell r="CY236" t="str">
            <v xml:space="preserve"> --</v>
          </cell>
          <cell r="CZ236">
            <v>0.72099999999999997</v>
          </cell>
          <cell r="DB236">
            <v>0.76700000000000002</v>
          </cell>
          <cell r="DC236">
            <v>0.76700000000000002</v>
          </cell>
          <cell r="DD236" t="str">
            <v>--</v>
          </cell>
          <cell r="DE236" t="str">
            <v>--</v>
          </cell>
          <cell r="DG236" t="str">
            <v>--</v>
          </cell>
          <cell r="DH236" t="str">
            <v>--</v>
          </cell>
          <cell r="DI236" t="str">
            <v>--</v>
          </cell>
          <cell r="DJ236" t="str">
            <v>--</v>
          </cell>
          <cell r="DL236" t="str">
            <v>--</v>
          </cell>
          <cell r="DM236" t="str">
            <v>--</v>
          </cell>
          <cell r="DN236" t="str">
            <v>--</v>
          </cell>
          <cell r="DO236" t="str">
            <v>--</v>
          </cell>
          <cell r="DT236" t="str">
            <v xml:space="preserve"> -- </v>
          </cell>
          <cell r="DU236" t="str">
            <v xml:space="preserve"> -- </v>
          </cell>
          <cell r="DV236">
            <v>0.14500000000000002</v>
          </cell>
          <cell r="DW236">
            <v>0.1275</v>
          </cell>
          <cell r="DY236" t="str">
            <v xml:space="preserve"> -- </v>
          </cell>
          <cell r="DZ236">
            <v>0.1125</v>
          </cell>
          <cell r="EC236" t="str">
            <v xml:space="preserve"> -- </v>
          </cell>
          <cell r="EE236" t="str">
            <v xml:space="preserve"> -- </v>
          </cell>
          <cell r="EL236" t="str">
            <v xml:space="preserve"> -- </v>
          </cell>
          <cell r="EM236">
            <v>0.11</v>
          </cell>
          <cell r="EN236">
            <v>0.12</v>
          </cell>
          <cell r="EP236" t="str">
            <v xml:space="preserve"> -- </v>
          </cell>
          <cell r="EQ236" t="str">
            <v xml:space="preserve"> -- </v>
          </cell>
          <cell r="ER236" t="str">
            <v xml:space="preserve"> -- </v>
          </cell>
          <cell r="ES236" t="str">
            <v xml:space="preserve"> -- </v>
          </cell>
          <cell r="ET236" t="str">
            <v xml:space="preserve"> -- </v>
          </cell>
          <cell r="EU236" t="str">
            <v xml:space="preserve"> -- </v>
          </cell>
          <cell r="EV236" t="str">
            <v xml:space="preserve"> -- </v>
          </cell>
          <cell r="EW236" t="str">
            <v xml:space="preserve"> -- </v>
          </cell>
        </row>
        <row r="239">
          <cell r="A239" t="str">
            <v>Sanmina-SCI Corp.</v>
          </cell>
        </row>
        <row r="240">
          <cell r="A240" t="str">
            <v>Revenue by Major Customer</v>
          </cell>
        </row>
        <row r="241">
          <cell r="A241" t="str">
            <v>($ Millions Except EPS)</v>
          </cell>
        </row>
        <row r="242">
          <cell r="AD242" t="str">
            <v>F1997</v>
          </cell>
          <cell r="AN242" t="str">
            <v>F1998</v>
          </cell>
          <cell r="AS242" t="str">
            <v>F1998</v>
          </cell>
          <cell r="BG242" t="str">
            <v>F1999</v>
          </cell>
          <cell r="BL242" t="str">
            <v>F2000E</v>
          </cell>
          <cell r="BQ242" t="str">
            <v>F1998</v>
          </cell>
          <cell r="BV242" t="str">
            <v>F1999</v>
          </cell>
          <cell r="CA242" t="str">
            <v>F2000</v>
          </cell>
          <cell r="CF242" t="str">
            <v>Sanmina Only</v>
          </cell>
          <cell r="CH242" t="str">
            <v>F1999</v>
          </cell>
          <cell r="CM242" t="str">
            <v>F2000</v>
          </cell>
          <cell r="CW242" t="str">
            <v>F2001</v>
          </cell>
          <cell r="DX242" t="str">
            <v xml:space="preserve"> </v>
          </cell>
          <cell r="EA242" t="str">
            <v>Proforma</v>
          </cell>
          <cell r="EB242" t="str">
            <v>Proforma for Altron</v>
          </cell>
          <cell r="EE242" t="str">
            <v xml:space="preserve"> </v>
          </cell>
          <cell r="EN242" t="str">
            <v>SANM</v>
          </cell>
          <cell r="ER242" t="str">
            <v xml:space="preserve"> </v>
          </cell>
          <cell r="ET242" t="str">
            <v>Proforma</v>
          </cell>
        </row>
        <row r="243">
          <cell r="D243" t="str">
            <v>F1993</v>
          </cell>
          <cell r="I243" t="str">
            <v>F1994</v>
          </cell>
          <cell r="N243" t="str">
            <v>F1995</v>
          </cell>
          <cell r="S243" t="str">
            <v>F1996</v>
          </cell>
          <cell r="X243" t="str">
            <v>F1997</v>
          </cell>
          <cell r="AD243" t="str">
            <v xml:space="preserve"> Proforma for Elexsys Acquisition</v>
          </cell>
          <cell r="AH243" t="str">
            <v>F1998</v>
          </cell>
          <cell r="AM243" t="str">
            <v xml:space="preserve"> Pro forma for Altron</v>
          </cell>
          <cell r="AR243" t="str">
            <v xml:space="preserve"> Pro forma for Manu-Tronics / Altron</v>
          </cell>
          <cell r="AW243" t="str">
            <v>F1999</v>
          </cell>
          <cell r="BB243" t="str">
            <v>F2000E</v>
          </cell>
          <cell r="BG243" t="str">
            <v xml:space="preserve"> Pro forma for Hadco</v>
          </cell>
          <cell r="BL243" t="str">
            <v xml:space="preserve"> Pro forma for Hadco</v>
          </cell>
          <cell r="BQ243" t="str">
            <v xml:space="preserve"> Pro forma for Hadco / Essex</v>
          </cell>
          <cell r="BV243" t="str">
            <v xml:space="preserve"> Pro forma for Hadco / Essex</v>
          </cell>
          <cell r="CA243" t="str">
            <v xml:space="preserve"> Pro forma for Hadco / Essex</v>
          </cell>
          <cell r="CF243" t="str">
            <v>F2001</v>
          </cell>
          <cell r="CH243" t="str">
            <v xml:space="preserve"> Pro forma for Segerstrom</v>
          </cell>
          <cell r="CM243" t="str">
            <v xml:space="preserve"> Pro forma for Segerstrom</v>
          </cell>
          <cell r="CR243" t="str">
            <v>F2001</v>
          </cell>
          <cell r="CW243" t="str">
            <v xml:space="preserve"> Pro forma for SCI Systems</v>
          </cell>
          <cell r="DC243" t="str">
            <v>F2002E</v>
          </cell>
          <cell r="DH243" t="str">
            <v>F2003E</v>
          </cell>
          <cell r="DM243" t="str">
            <v>F2004E</v>
          </cell>
          <cell r="DT243" t="str">
            <v xml:space="preserve"> </v>
          </cell>
          <cell r="DU243" t="str">
            <v xml:space="preserve"> </v>
          </cell>
          <cell r="DX243" t="str">
            <v>Proforma for Elexsys</v>
          </cell>
          <cell r="DZ243" t="str">
            <v xml:space="preserve"> </v>
          </cell>
          <cell r="EA243" t="str">
            <v>Altron</v>
          </cell>
          <cell r="EB243" t="str">
            <v xml:space="preserve">   and Manu-Tronics</v>
          </cell>
          <cell r="EE243" t="str">
            <v xml:space="preserve">                SANM ONLY</v>
          </cell>
          <cell r="EH243" t="str">
            <v xml:space="preserve"> Proforma for Hadco</v>
          </cell>
          <cell r="EJ243" t="str">
            <v xml:space="preserve"> </v>
          </cell>
          <cell r="EK243" t="str">
            <v>Proforma for Hadco / Essex</v>
          </cell>
          <cell r="EN243" t="str">
            <v>Only</v>
          </cell>
          <cell r="EP243" t="str">
            <v>Proforma for Segerstrom</v>
          </cell>
          <cell r="ET243" t="str">
            <v>for SCI</v>
          </cell>
          <cell r="FA243" t="str">
            <v>Unrestated</v>
          </cell>
        </row>
        <row r="244">
          <cell r="D244">
            <v>33939</v>
          </cell>
          <cell r="E244">
            <v>34029</v>
          </cell>
          <cell r="F244" t="str">
            <v xml:space="preserve"> 6/93</v>
          </cell>
          <cell r="G244">
            <v>34213</v>
          </cell>
          <cell r="I244">
            <v>34304</v>
          </cell>
          <cell r="J244">
            <v>34394</v>
          </cell>
          <cell r="K244">
            <v>34486</v>
          </cell>
          <cell r="L244">
            <v>34578</v>
          </cell>
          <cell r="N244">
            <v>34669</v>
          </cell>
          <cell r="O244">
            <v>34759</v>
          </cell>
          <cell r="P244">
            <v>34851</v>
          </cell>
          <cell r="Q244">
            <v>34943</v>
          </cell>
          <cell r="S244">
            <v>35034</v>
          </cell>
          <cell r="T244">
            <v>35125</v>
          </cell>
          <cell r="U244">
            <v>35217</v>
          </cell>
          <cell r="V244">
            <v>35309</v>
          </cell>
          <cell r="X244">
            <v>35400</v>
          </cell>
          <cell r="Y244">
            <v>35490</v>
          </cell>
          <cell r="Z244">
            <v>35582</v>
          </cell>
          <cell r="AA244">
            <v>35674</v>
          </cell>
          <cell r="AC244">
            <v>35400</v>
          </cell>
          <cell r="AD244" t="str">
            <v xml:space="preserve">  3/97</v>
          </cell>
          <cell r="AE244" t="str">
            <v xml:space="preserve"> 6/97</v>
          </cell>
          <cell r="AF244" t="str">
            <v xml:space="preserve"> 9/97</v>
          </cell>
          <cell r="AH244" t="str">
            <v xml:space="preserve"> 12/97</v>
          </cell>
          <cell r="AI244" t="str">
            <v xml:space="preserve"> 3/98</v>
          </cell>
          <cell r="AJ244" t="str">
            <v xml:space="preserve"> 6/98</v>
          </cell>
          <cell r="AK244" t="str">
            <v xml:space="preserve"> 9/98</v>
          </cell>
          <cell r="AM244" t="str">
            <v xml:space="preserve"> 12/97</v>
          </cell>
          <cell r="AN244" t="str">
            <v xml:space="preserve"> 3/98</v>
          </cell>
          <cell r="AO244" t="str">
            <v xml:space="preserve"> 6/98</v>
          </cell>
          <cell r="AP244" t="str">
            <v xml:space="preserve"> 9/98</v>
          </cell>
          <cell r="AR244" t="str">
            <v xml:space="preserve"> 12/97</v>
          </cell>
          <cell r="AS244" t="str">
            <v xml:space="preserve"> 3/98</v>
          </cell>
          <cell r="AT244" t="str">
            <v xml:space="preserve"> 6/98</v>
          </cell>
          <cell r="AU244" t="str">
            <v xml:space="preserve"> 9/98</v>
          </cell>
          <cell r="AW244" t="str">
            <v xml:space="preserve"> 12/98</v>
          </cell>
          <cell r="AX244" t="str">
            <v xml:space="preserve"> 3/99</v>
          </cell>
          <cell r="AY244" t="str">
            <v xml:space="preserve"> 6/99</v>
          </cell>
          <cell r="AZ244" t="str">
            <v xml:space="preserve"> 9/99</v>
          </cell>
          <cell r="BB244" t="str">
            <v xml:space="preserve"> 12/99</v>
          </cell>
          <cell r="BC244" t="str">
            <v xml:space="preserve"> 3/00</v>
          </cell>
          <cell r="BD244" t="str">
            <v xml:space="preserve"> 6/00E</v>
          </cell>
          <cell r="BE244" t="str">
            <v xml:space="preserve"> 9/00E</v>
          </cell>
          <cell r="BG244" t="str">
            <v xml:space="preserve"> 12/98</v>
          </cell>
          <cell r="BH244" t="str">
            <v xml:space="preserve"> 3/99</v>
          </cell>
          <cell r="BI244" t="str">
            <v xml:space="preserve"> 6/99</v>
          </cell>
          <cell r="BJ244" t="str">
            <v xml:space="preserve"> 9/99</v>
          </cell>
          <cell r="BL244" t="str">
            <v xml:space="preserve"> 12/99</v>
          </cell>
          <cell r="BM244" t="str">
            <v xml:space="preserve"> 3/00</v>
          </cell>
          <cell r="BN244" t="str">
            <v xml:space="preserve"> 6/00E</v>
          </cell>
          <cell r="BO244" t="str">
            <v xml:space="preserve"> 9/00E</v>
          </cell>
          <cell r="BQ244" t="str">
            <v xml:space="preserve"> 12/97</v>
          </cell>
          <cell r="BR244" t="str">
            <v xml:space="preserve"> 3/98</v>
          </cell>
          <cell r="BS244" t="str">
            <v xml:space="preserve"> 6/98</v>
          </cell>
          <cell r="BT244" t="str">
            <v xml:space="preserve"> 9/98</v>
          </cell>
          <cell r="BV244" t="str">
            <v xml:space="preserve"> 12/98</v>
          </cell>
          <cell r="BW244" t="str">
            <v xml:space="preserve"> 3/99</v>
          </cell>
          <cell r="BX244" t="str">
            <v xml:space="preserve"> 6/99</v>
          </cell>
          <cell r="BY244" t="str">
            <v xml:space="preserve"> 9/99</v>
          </cell>
          <cell r="CA244" t="str">
            <v xml:space="preserve"> 12/99</v>
          </cell>
          <cell r="CB244" t="str">
            <v xml:space="preserve"> 3/00</v>
          </cell>
          <cell r="CC244" t="str">
            <v xml:space="preserve"> 6/00</v>
          </cell>
          <cell r="CD244" t="str">
            <v xml:space="preserve"> 9/00</v>
          </cell>
          <cell r="CF244" t="str">
            <v xml:space="preserve"> 12/00</v>
          </cell>
          <cell r="CH244" t="str">
            <v xml:space="preserve"> 12/98</v>
          </cell>
          <cell r="CI244" t="str">
            <v xml:space="preserve"> 3/99</v>
          </cell>
          <cell r="CJ244" t="str">
            <v xml:space="preserve"> 6/99</v>
          </cell>
          <cell r="CK244" t="str">
            <v xml:space="preserve"> 9/99</v>
          </cell>
          <cell r="CM244" t="str">
            <v xml:space="preserve"> 12/99</v>
          </cell>
          <cell r="CN244" t="str">
            <v xml:space="preserve"> 3/00</v>
          </cell>
          <cell r="CO244" t="str">
            <v xml:space="preserve"> 6/00</v>
          </cell>
          <cell r="CP244" t="str">
            <v xml:space="preserve"> 9/00</v>
          </cell>
          <cell r="CR244">
            <v>36861</v>
          </cell>
          <cell r="CS244" t="str">
            <v xml:space="preserve"> 3/01</v>
          </cell>
          <cell r="CT244" t="str">
            <v xml:space="preserve"> 6/01</v>
          </cell>
          <cell r="CU244" t="str">
            <v xml:space="preserve"> 9/01</v>
          </cell>
          <cell r="CW244">
            <v>36861</v>
          </cell>
          <cell r="CX244" t="str">
            <v xml:space="preserve"> 3/01</v>
          </cell>
          <cell r="CY244" t="str">
            <v xml:space="preserve"> 6/01</v>
          </cell>
          <cell r="CZ244" t="str">
            <v xml:space="preserve"> 9/01</v>
          </cell>
          <cell r="DB244" t="str">
            <v xml:space="preserve"> 12/01</v>
          </cell>
          <cell r="DC244" t="str">
            <v xml:space="preserve"> 3/02</v>
          </cell>
          <cell r="DD244" t="str">
            <v xml:space="preserve"> 6/02</v>
          </cell>
          <cell r="DE244" t="str">
            <v xml:space="preserve"> 9/02E</v>
          </cell>
          <cell r="DG244" t="str">
            <v xml:space="preserve"> 12/02E</v>
          </cell>
          <cell r="DH244" t="str">
            <v xml:space="preserve"> 3/03E</v>
          </cell>
          <cell r="DI244" t="str">
            <v xml:space="preserve"> 6/03E</v>
          </cell>
          <cell r="DJ244" t="str">
            <v xml:space="preserve"> 9/03E</v>
          </cell>
          <cell r="DL244" t="str">
            <v xml:space="preserve"> 12/03E</v>
          </cell>
          <cell r="DM244" t="str">
            <v xml:space="preserve"> 3/04E</v>
          </cell>
          <cell r="DN244" t="str">
            <v xml:space="preserve"> 6/04E</v>
          </cell>
          <cell r="DO244" t="str">
            <v xml:space="preserve"> 9/04E</v>
          </cell>
          <cell r="DQ244" t="str">
            <v>F1991</v>
          </cell>
          <cell r="DR244" t="str">
            <v>F1992</v>
          </cell>
          <cell r="DS244" t="str">
            <v>F1993</v>
          </cell>
          <cell r="DT244" t="str">
            <v>F1994</v>
          </cell>
          <cell r="DU244" t="str">
            <v>F1995</v>
          </cell>
          <cell r="DV244" t="str">
            <v>F1996</v>
          </cell>
          <cell r="DW244" t="str">
            <v>F1997</v>
          </cell>
          <cell r="DX244" t="str">
            <v>F1996</v>
          </cell>
          <cell r="DY244" t="str">
            <v>F1997</v>
          </cell>
          <cell r="DZ244" t="str">
            <v>F1998</v>
          </cell>
          <cell r="EA244" t="str">
            <v>F1998</v>
          </cell>
          <cell r="EB244" t="str">
            <v>F1997</v>
          </cell>
          <cell r="EC244" t="str">
            <v>F1998</v>
          </cell>
          <cell r="EE244" t="str">
            <v>F1999</v>
          </cell>
          <cell r="EF244" t="str">
            <v>F2000E</v>
          </cell>
          <cell r="EH244" t="str">
            <v>F1998</v>
          </cell>
          <cell r="EI244" t="str">
            <v>F1999</v>
          </cell>
          <cell r="EK244" t="str">
            <v>F1997</v>
          </cell>
          <cell r="EL244" t="str">
            <v>F1998</v>
          </cell>
          <cell r="EM244" t="str">
            <v>F1999</v>
          </cell>
          <cell r="EN244" t="str">
            <v>F2000</v>
          </cell>
          <cell r="EP244" t="str">
            <v>F1998</v>
          </cell>
          <cell r="EQ244" t="str">
            <v>F1999</v>
          </cell>
          <cell r="ER244" t="str">
            <v>F2000</v>
          </cell>
          <cell r="ES244" t="str">
            <v>F2001</v>
          </cell>
          <cell r="ET244" t="str">
            <v>F2001</v>
          </cell>
          <cell r="EU244" t="str">
            <v>F2002E</v>
          </cell>
          <cell r="EV244" t="str">
            <v>F2003E</v>
          </cell>
          <cell r="EW244" t="str">
            <v>F2004E</v>
          </cell>
          <cell r="EY244" t="str">
            <v>C1999</v>
          </cell>
          <cell r="EZ244" t="str">
            <v>C2000</v>
          </cell>
          <cell r="FA244" t="str">
            <v>C2001</v>
          </cell>
          <cell r="FC244" t="str">
            <v>C2002</v>
          </cell>
        </row>
        <row r="246">
          <cell r="A246" t="str">
            <v>% Revenues</v>
          </cell>
          <cell r="DW246" t="str">
            <v xml:space="preserve"> </v>
          </cell>
          <cell r="DZ246" t="str">
            <v xml:space="preserve"> </v>
          </cell>
          <cell r="EC246" t="str">
            <v xml:space="preserve"> </v>
          </cell>
        </row>
        <row r="247">
          <cell r="A247" t="str">
            <v>Cisco Systems</v>
          </cell>
          <cell r="AW247" t="str">
            <v>10-15%</v>
          </cell>
          <cell r="AX247" t="str">
            <v>10-15%</v>
          </cell>
          <cell r="AY247" t="str">
            <v>10-15%</v>
          </cell>
          <cell r="AZ247" t="str">
            <v>10-15%</v>
          </cell>
          <cell r="BB247" t="str">
            <v>&gt;10%</v>
          </cell>
          <cell r="BC247" t="str">
            <v>&gt;10%</v>
          </cell>
          <cell r="CR247" t="str">
            <v xml:space="preserve"> --</v>
          </cell>
          <cell r="CS247" t="str">
            <v xml:space="preserve"> --</v>
          </cell>
          <cell r="CT247" t="str">
            <v>??</v>
          </cell>
          <cell r="CU247" t="str">
            <v>?</v>
          </cell>
          <cell r="DQ247" t="str">
            <v xml:space="preserve"> -- </v>
          </cell>
          <cell r="DR247" t="str">
            <v xml:space="preserve"> -- </v>
          </cell>
          <cell r="DS247" t="str">
            <v xml:space="preserve"> -- </v>
          </cell>
          <cell r="DT247" t="str">
            <v xml:space="preserve"> -- </v>
          </cell>
          <cell r="DU247" t="str">
            <v xml:space="preserve"> -- </v>
          </cell>
          <cell r="DV247" t="str">
            <v xml:space="preserve"> -- </v>
          </cell>
          <cell r="DW247" t="str">
            <v xml:space="preserve"> -- </v>
          </cell>
          <cell r="DX247" t="str">
            <v xml:space="preserve"> -- </v>
          </cell>
          <cell r="DY247" t="str">
            <v xml:space="preserve"> -- </v>
          </cell>
          <cell r="DZ247">
            <v>0.182</v>
          </cell>
          <cell r="EA247" t="str">
            <v xml:space="preserve"> -- </v>
          </cell>
          <cell r="EB247" t="str">
            <v xml:space="preserve"> -- </v>
          </cell>
          <cell r="EC247">
            <v>0.14799999999999999</v>
          </cell>
          <cell r="EE247">
            <v>0.14199999999999999</v>
          </cell>
          <cell r="EL247" t="str">
            <v xml:space="preserve"> -- </v>
          </cell>
          <cell r="EM247" t="str">
            <v>&gt;10%</v>
          </cell>
          <cell r="ER247" t="str">
            <v xml:space="preserve"> --</v>
          </cell>
          <cell r="ES247" t="str">
            <v xml:space="preserve"> --</v>
          </cell>
        </row>
        <row r="248">
          <cell r="A248" t="str">
            <v>Nortel Networks</v>
          </cell>
          <cell r="AW248" t="str">
            <v xml:space="preserve"> </v>
          </cell>
          <cell r="BB248" t="str">
            <v>&gt;10%</v>
          </cell>
          <cell r="BC248" t="str">
            <v>&gt;10%</v>
          </cell>
          <cell r="CA248">
            <v>0.14199999999999999</v>
          </cell>
          <cell r="CB248" t="str">
            <v xml:space="preserve"> --</v>
          </cell>
          <cell r="CC248" t="str">
            <v>&gt;10%</v>
          </cell>
          <cell r="CD248" t="str">
            <v>&gt;10%</v>
          </cell>
          <cell r="CF248">
            <v>0.115</v>
          </cell>
          <cell r="CR248" t="str">
            <v xml:space="preserve"> --</v>
          </cell>
          <cell r="CS248" t="str">
            <v xml:space="preserve"> --</v>
          </cell>
          <cell r="CT248" t="str">
            <v>??</v>
          </cell>
          <cell r="DQ248" t="str">
            <v xml:space="preserve"> -- </v>
          </cell>
          <cell r="DR248" t="str">
            <v xml:space="preserve"> -- </v>
          </cell>
          <cell r="DS248" t="str">
            <v xml:space="preserve"> -- </v>
          </cell>
          <cell r="DT248" t="str">
            <v xml:space="preserve"> -- </v>
          </cell>
          <cell r="DU248" t="str">
            <v xml:space="preserve"> -- </v>
          </cell>
          <cell r="DV248" t="str">
            <v xml:space="preserve"> -- </v>
          </cell>
          <cell r="DW248" t="str">
            <v xml:space="preserve"> -- </v>
          </cell>
          <cell r="DX248" t="str">
            <v xml:space="preserve"> -- </v>
          </cell>
          <cell r="DY248" t="str">
            <v xml:space="preserve"> -- </v>
          </cell>
          <cell r="DZ248" t="str">
            <v xml:space="preserve"> -- </v>
          </cell>
          <cell r="EA248" t="str">
            <v xml:space="preserve"> -- </v>
          </cell>
          <cell r="EB248" t="str">
            <v xml:space="preserve"> -- </v>
          </cell>
          <cell r="EC248" t="str">
            <v xml:space="preserve"> -- </v>
          </cell>
          <cell r="EE248" t="str">
            <v xml:space="preserve"> -- </v>
          </cell>
          <cell r="EL248" t="str">
            <v xml:space="preserve"> -- </v>
          </cell>
          <cell r="ER248" t="str">
            <v xml:space="preserve">&gt;10% </v>
          </cell>
          <cell r="ES248" t="str">
            <v xml:space="preserve"> --</v>
          </cell>
        </row>
        <row r="249">
          <cell r="A249" t="str">
            <v>DSC Communications</v>
          </cell>
          <cell r="DQ249">
            <v>0.10299999999999999</v>
          </cell>
          <cell r="DR249">
            <v>5.7000000000000002E-2</v>
          </cell>
          <cell r="DS249">
            <v>0.23300000000000001</v>
          </cell>
          <cell r="DT249">
            <v>0.28799999999999998</v>
          </cell>
          <cell r="DU249">
            <v>0.219</v>
          </cell>
          <cell r="DV249">
            <v>0.252</v>
          </cell>
          <cell r="DW249">
            <v>0.22900000000000001</v>
          </cell>
          <cell r="DX249">
            <v>0.20300000000000001</v>
          </cell>
          <cell r="DY249">
            <v>0.17699999999999999</v>
          </cell>
          <cell r="DZ249">
            <v>0.13200000000000001</v>
          </cell>
          <cell r="EA249" t="str">
            <v xml:space="preserve"> -- </v>
          </cell>
          <cell r="EB249" t="str">
            <v xml:space="preserve"> -- </v>
          </cell>
          <cell r="EC249">
            <v>0.13900000000000001</v>
          </cell>
          <cell r="EE249" t="str">
            <v xml:space="preserve"> -- </v>
          </cell>
          <cell r="EL249" t="str">
            <v xml:space="preserve"> -- </v>
          </cell>
          <cell r="ER249" t="str">
            <v xml:space="preserve"> --</v>
          </cell>
          <cell r="ES249" t="str">
            <v xml:space="preserve"> --</v>
          </cell>
        </row>
        <row r="250">
          <cell r="A250" t="str">
            <v>Alcatel</v>
          </cell>
          <cell r="DQ250" t="str">
            <v xml:space="preserve"> -- </v>
          </cell>
          <cell r="DR250" t="str">
            <v xml:space="preserve"> -- </v>
          </cell>
          <cell r="DS250" t="str">
            <v xml:space="preserve"> -- </v>
          </cell>
          <cell r="DT250" t="str">
            <v xml:space="preserve"> -- </v>
          </cell>
          <cell r="DU250">
            <v>0.13200000000000001</v>
          </cell>
          <cell r="DV250">
            <v>0.13200000000000001</v>
          </cell>
          <cell r="DW250" t="str">
            <v xml:space="preserve"> -- </v>
          </cell>
          <cell r="DX250" t="str">
            <v xml:space="preserve"> -- </v>
          </cell>
          <cell r="DY250" t="str">
            <v xml:space="preserve"> -- </v>
          </cell>
          <cell r="DZ250" t="str">
            <v xml:space="preserve"> -- </v>
          </cell>
          <cell r="EA250" t="str">
            <v xml:space="preserve"> -- </v>
          </cell>
          <cell r="EB250" t="str">
            <v xml:space="preserve"> -- </v>
          </cell>
          <cell r="EC250" t="str">
            <v xml:space="preserve"> -- </v>
          </cell>
          <cell r="EE250" t="str">
            <v xml:space="preserve"> -- </v>
          </cell>
          <cell r="EL250" t="str">
            <v xml:space="preserve"> -- </v>
          </cell>
          <cell r="ER250" t="str">
            <v xml:space="preserve"> --</v>
          </cell>
          <cell r="ES250" t="str">
            <v xml:space="preserve"> --</v>
          </cell>
        </row>
        <row r="251">
          <cell r="A251" t="str">
            <v>Bay Networks</v>
          </cell>
          <cell r="DQ251">
            <v>0.10100000000000001</v>
          </cell>
          <cell r="DR251">
            <v>0.14099999999999999</v>
          </cell>
          <cell r="DS251">
            <v>0.17699999999999999</v>
          </cell>
          <cell r="DT251">
            <v>0.109</v>
          </cell>
          <cell r="DU251" t="str">
            <v xml:space="preserve"> -- </v>
          </cell>
          <cell r="DV251" t="str">
            <v xml:space="preserve"> -- </v>
          </cell>
          <cell r="DW251" t="str">
            <v xml:space="preserve"> -- </v>
          </cell>
          <cell r="DX251" t="str">
            <v xml:space="preserve"> -- </v>
          </cell>
          <cell r="DY251" t="str">
            <v xml:space="preserve"> -- </v>
          </cell>
          <cell r="DZ251" t="str">
            <v xml:space="preserve"> -- </v>
          </cell>
          <cell r="EA251" t="str">
            <v xml:space="preserve"> -- </v>
          </cell>
          <cell r="EB251" t="str">
            <v xml:space="preserve"> -- </v>
          </cell>
          <cell r="EC251" t="str">
            <v xml:space="preserve"> -- </v>
          </cell>
          <cell r="EE251" t="str">
            <v xml:space="preserve"> -- </v>
          </cell>
          <cell r="EL251" t="str">
            <v xml:space="preserve"> -- </v>
          </cell>
          <cell r="ER251" t="str">
            <v xml:space="preserve"> --</v>
          </cell>
          <cell r="ES251" t="str">
            <v xml:space="preserve"> --</v>
          </cell>
        </row>
        <row r="252">
          <cell r="A252" t="str">
            <v>Cabletron Systems</v>
          </cell>
          <cell r="DQ252">
            <v>0.126</v>
          </cell>
          <cell r="DR252">
            <v>8.4000000000000005E-2</v>
          </cell>
          <cell r="DS252">
            <v>5.1999999999999998E-2</v>
          </cell>
          <cell r="DT252" t="str">
            <v xml:space="preserve"> -- </v>
          </cell>
          <cell r="DU252" t="str">
            <v xml:space="preserve"> -- </v>
          </cell>
          <cell r="DV252" t="str">
            <v xml:space="preserve"> -- </v>
          </cell>
          <cell r="DW252" t="str">
            <v xml:space="preserve"> -- </v>
          </cell>
          <cell r="DX252" t="str">
            <v xml:space="preserve"> -- </v>
          </cell>
          <cell r="DY252" t="str">
            <v xml:space="preserve"> -- </v>
          </cell>
          <cell r="DZ252" t="str">
            <v xml:space="preserve"> -- </v>
          </cell>
          <cell r="EA252" t="str">
            <v xml:space="preserve"> -- </v>
          </cell>
          <cell r="EB252" t="str">
            <v xml:space="preserve"> -- </v>
          </cell>
          <cell r="EC252" t="str">
            <v xml:space="preserve"> -- </v>
          </cell>
          <cell r="EE252" t="str">
            <v xml:space="preserve"> -- </v>
          </cell>
          <cell r="EL252" t="str">
            <v xml:space="preserve"> -- </v>
          </cell>
          <cell r="ER252" t="str">
            <v xml:space="preserve"> --</v>
          </cell>
          <cell r="ES252" t="str">
            <v xml:space="preserve"> --</v>
          </cell>
        </row>
        <row r="253">
          <cell r="A253" t="str">
            <v>Xerox Corp.</v>
          </cell>
          <cell r="DQ253">
            <v>0.10100000000000001</v>
          </cell>
          <cell r="DR253">
            <v>0.108</v>
          </cell>
          <cell r="DS253">
            <v>0.05</v>
          </cell>
          <cell r="DT253">
            <v>3.6999999999999998E-2</v>
          </cell>
          <cell r="DU253" t="str">
            <v xml:space="preserve"> -- </v>
          </cell>
          <cell r="DV253" t="str">
            <v xml:space="preserve"> -- </v>
          </cell>
          <cell r="DW253" t="str">
            <v xml:space="preserve"> -- </v>
          </cell>
          <cell r="DX253" t="str">
            <v xml:space="preserve"> -- </v>
          </cell>
          <cell r="DY253" t="str">
            <v xml:space="preserve"> -- </v>
          </cell>
          <cell r="DZ253" t="str">
            <v xml:space="preserve"> -- </v>
          </cell>
          <cell r="EA253" t="str">
            <v xml:space="preserve"> -- </v>
          </cell>
          <cell r="EB253" t="str">
            <v xml:space="preserve"> -- </v>
          </cell>
          <cell r="EC253" t="str">
            <v xml:space="preserve"> -- </v>
          </cell>
          <cell r="EE253" t="str">
            <v xml:space="preserve"> -- </v>
          </cell>
          <cell r="EL253" t="str">
            <v xml:space="preserve"> -- </v>
          </cell>
          <cell r="ER253" t="str">
            <v xml:space="preserve"> --</v>
          </cell>
          <cell r="ES253" t="str">
            <v xml:space="preserve"> --</v>
          </cell>
        </row>
        <row r="256">
          <cell r="A256" t="str">
            <v>Sanmina-SCI Corp.</v>
          </cell>
        </row>
        <row r="257">
          <cell r="A257" t="str">
            <v>Revenue by Region</v>
          </cell>
          <cell r="BP257" t="str">
            <v xml:space="preserve"> </v>
          </cell>
        </row>
        <row r="258">
          <cell r="A258" t="str">
            <v>($ Millions Except EPS)</v>
          </cell>
          <cell r="EC258" t="str">
            <v xml:space="preserve"> </v>
          </cell>
        </row>
        <row r="259">
          <cell r="AD259" t="str">
            <v>F1997</v>
          </cell>
          <cell r="AN259" t="str">
            <v>F1998</v>
          </cell>
          <cell r="AS259" t="str">
            <v>F1998</v>
          </cell>
          <cell r="BG259" t="str">
            <v>F1999</v>
          </cell>
          <cell r="BL259" t="str">
            <v>F2000E</v>
          </cell>
          <cell r="BQ259" t="str">
            <v>F1998</v>
          </cell>
          <cell r="BV259" t="str">
            <v>F1999</v>
          </cell>
          <cell r="CA259" t="str">
            <v>F2000</v>
          </cell>
          <cell r="CF259" t="str">
            <v>Sanmina Only</v>
          </cell>
          <cell r="CH259" t="str">
            <v>F1999</v>
          </cell>
          <cell r="CM259" t="str">
            <v>F2000</v>
          </cell>
          <cell r="CW259" t="str">
            <v>F2001</v>
          </cell>
          <cell r="DX259" t="str">
            <v xml:space="preserve"> </v>
          </cell>
          <cell r="EA259" t="str">
            <v>Proforma</v>
          </cell>
          <cell r="EB259" t="str">
            <v>Proforma for Altron</v>
          </cell>
          <cell r="EE259" t="str">
            <v xml:space="preserve"> </v>
          </cell>
          <cell r="EN259" t="str">
            <v>SANM</v>
          </cell>
          <cell r="EP259">
            <v>2.0000507812499997</v>
          </cell>
          <cell r="EQ259">
            <v>48.000062499999999</v>
          </cell>
          <cell r="ER259" t="str">
            <v xml:space="preserve"> </v>
          </cell>
          <cell r="ES259">
            <v>215.63794046986104</v>
          </cell>
          <cell r="ET259" t="str">
            <v>Proforma</v>
          </cell>
        </row>
        <row r="260">
          <cell r="D260" t="str">
            <v>F1993</v>
          </cell>
          <cell r="I260" t="str">
            <v>F1994</v>
          </cell>
          <cell r="N260" t="str">
            <v>F1995</v>
          </cell>
          <cell r="S260" t="str">
            <v>F1996</v>
          </cell>
          <cell r="X260" t="str">
            <v>F1997</v>
          </cell>
          <cell r="AD260" t="str">
            <v xml:space="preserve"> Proforma for Elexsys Acquisition</v>
          </cell>
          <cell r="AH260" t="str">
            <v>F1998</v>
          </cell>
          <cell r="AM260" t="str">
            <v xml:space="preserve"> Pro forma for Altron</v>
          </cell>
          <cell r="AR260" t="str">
            <v xml:space="preserve"> Pro forma for Manu-Tronics / Altron</v>
          </cell>
          <cell r="AW260" t="str">
            <v>F1999</v>
          </cell>
          <cell r="BB260" t="str">
            <v>F2000E</v>
          </cell>
          <cell r="BG260" t="str">
            <v xml:space="preserve"> Pro forma for Hadco</v>
          </cell>
          <cell r="BL260" t="str">
            <v xml:space="preserve"> Pro forma for Hadco</v>
          </cell>
          <cell r="BQ260" t="str">
            <v xml:space="preserve"> Pro forma for Hadco / Essex</v>
          </cell>
          <cell r="BV260" t="str">
            <v xml:space="preserve"> Pro forma for Hadco / Essex</v>
          </cell>
          <cell r="CA260" t="str">
            <v xml:space="preserve"> Pro forma for Hadco / Essex</v>
          </cell>
          <cell r="CF260" t="str">
            <v>F2001</v>
          </cell>
          <cell r="CH260" t="str">
            <v xml:space="preserve"> Pro forma for Segerstrom</v>
          </cell>
          <cell r="CM260" t="str">
            <v xml:space="preserve"> Pro forma for Segerstrom</v>
          </cell>
          <cell r="CR260" t="str">
            <v>F2001</v>
          </cell>
          <cell r="CW260" t="str">
            <v xml:space="preserve"> Pro forma for SCI Systems</v>
          </cell>
          <cell r="DC260" t="str">
            <v>F2002E</v>
          </cell>
          <cell r="DH260" t="str">
            <v>F2003E</v>
          </cell>
          <cell r="DM260" t="str">
            <v>F2004E</v>
          </cell>
          <cell r="DT260" t="str">
            <v xml:space="preserve"> </v>
          </cell>
          <cell r="DU260" t="str">
            <v xml:space="preserve"> </v>
          </cell>
          <cell r="DX260" t="str">
            <v>Proforma for Elexsys</v>
          </cell>
          <cell r="DZ260" t="str">
            <v xml:space="preserve"> </v>
          </cell>
          <cell r="EA260" t="str">
            <v>Altron</v>
          </cell>
          <cell r="EB260" t="str">
            <v xml:space="preserve">   and Manu-Tronics</v>
          </cell>
          <cell r="EE260" t="str">
            <v xml:space="preserve">                SANM ONLY</v>
          </cell>
          <cell r="EH260" t="str">
            <v xml:space="preserve"> Proforma for Hadco</v>
          </cell>
          <cell r="EJ260" t="str">
            <v xml:space="preserve"> </v>
          </cell>
          <cell r="EK260" t="str">
            <v>Proforma for Hadco / Essex</v>
          </cell>
          <cell r="EN260" t="str">
            <v>Only</v>
          </cell>
          <cell r="EP260" t="str">
            <v>Proforma for Segerstrom</v>
          </cell>
          <cell r="ET260" t="str">
            <v>for SCI</v>
          </cell>
          <cell r="FA260" t="str">
            <v>Unrestated</v>
          </cell>
        </row>
        <row r="261">
          <cell r="D261">
            <v>33939</v>
          </cell>
          <cell r="E261">
            <v>34029</v>
          </cell>
          <cell r="F261" t="str">
            <v xml:space="preserve"> 6/93</v>
          </cell>
          <cell r="G261">
            <v>34213</v>
          </cell>
          <cell r="I261">
            <v>34304</v>
          </cell>
          <cell r="J261">
            <v>34394</v>
          </cell>
          <cell r="K261">
            <v>34486</v>
          </cell>
          <cell r="L261">
            <v>34578</v>
          </cell>
          <cell r="N261">
            <v>34669</v>
          </cell>
          <cell r="O261">
            <v>34759</v>
          </cell>
          <cell r="P261">
            <v>34851</v>
          </cell>
          <cell r="Q261">
            <v>34943</v>
          </cell>
          <cell r="S261">
            <v>35034</v>
          </cell>
          <cell r="T261">
            <v>35125</v>
          </cell>
          <cell r="U261">
            <v>35217</v>
          </cell>
          <cell r="V261">
            <v>35309</v>
          </cell>
          <cell r="X261">
            <v>35400</v>
          </cell>
          <cell r="Y261">
            <v>35490</v>
          </cell>
          <cell r="Z261">
            <v>35582</v>
          </cell>
          <cell r="AA261">
            <v>35674</v>
          </cell>
          <cell r="AC261">
            <v>35400</v>
          </cell>
          <cell r="AD261" t="str">
            <v xml:space="preserve">  3/97</v>
          </cell>
          <cell r="AE261" t="str">
            <v xml:space="preserve"> 6/97</v>
          </cell>
          <cell r="AF261" t="str">
            <v xml:space="preserve"> 9/97</v>
          </cell>
          <cell r="AH261" t="str">
            <v xml:space="preserve"> 12/97</v>
          </cell>
          <cell r="AI261" t="str">
            <v xml:space="preserve"> 3/98</v>
          </cell>
          <cell r="AJ261" t="str">
            <v xml:space="preserve"> 6/98</v>
          </cell>
          <cell r="AK261" t="str">
            <v xml:space="preserve"> 9/98</v>
          </cell>
          <cell r="AM261" t="str">
            <v xml:space="preserve"> 12/97</v>
          </cell>
          <cell r="AN261" t="str">
            <v xml:space="preserve"> 3/98</v>
          </cell>
          <cell r="AO261" t="str">
            <v xml:space="preserve"> 6/98</v>
          </cell>
          <cell r="AP261" t="str">
            <v xml:space="preserve"> 9/98</v>
          </cell>
          <cell r="AR261" t="str">
            <v xml:space="preserve"> 12/97</v>
          </cell>
          <cell r="AS261" t="str">
            <v xml:space="preserve"> 3/98</v>
          </cell>
          <cell r="AT261" t="str">
            <v xml:space="preserve"> 6/98</v>
          </cell>
          <cell r="AU261" t="str">
            <v xml:space="preserve"> 9/98</v>
          </cell>
          <cell r="AW261" t="str">
            <v xml:space="preserve"> 12/98</v>
          </cell>
          <cell r="AX261" t="str">
            <v xml:space="preserve"> 3/99</v>
          </cell>
          <cell r="AY261" t="str">
            <v xml:space="preserve"> 6/99</v>
          </cell>
          <cell r="AZ261" t="str">
            <v xml:space="preserve"> 9/99</v>
          </cell>
          <cell r="BB261" t="str">
            <v xml:space="preserve"> 12/99</v>
          </cell>
          <cell r="BC261" t="str">
            <v xml:space="preserve"> 3/00</v>
          </cell>
          <cell r="BD261" t="str">
            <v xml:space="preserve"> 6/00E</v>
          </cell>
          <cell r="BE261" t="str">
            <v xml:space="preserve"> 9/00E</v>
          </cell>
          <cell r="BG261" t="str">
            <v xml:space="preserve"> 12/98</v>
          </cell>
          <cell r="BH261" t="str">
            <v xml:space="preserve"> 3/99</v>
          </cell>
          <cell r="BI261" t="str">
            <v xml:space="preserve"> 6/99</v>
          </cell>
          <cell r="BJ261" t="str">
            <v xml:space="preserve"> 9/99</v>
          </cell>
          <cell r="BL261" t="str">
            <v xml:space="preserve"> 12/99</v>
          </cell>
          <cell r="BM261" t="str">
            <v xml:space="preserve"> 3/00</v>
          </cell>
          <cell r="BN261" t="str">
            <v xml:space="preserve"> 6/00E</v>
          </cell>
          <cell r="BO261" t="str">
            <v xml:space="preserve"> 9/00E</v>
          </cell>
          <cell r="BQ261" t="str">
            <v xml:space="preserve"> 12/97</v>
          </cell>
          <cell r="BR261" t="str">
            <v xml:space="preserve"> 3/98</v>
          </cell>
          <cell r="BS261" t="str">
            <v xml:space="preserve"> 6/98</v>
          </cell>
          <cell r="BT261" t="str">
            <v xml:space="preserve"> 9/98</v>
          </cell>
          <cell r="BV261" t="str">
            <v xml:space="preserve"> 12/98</v>
          </cell>
          <cell r="BW261" t="str">
            <v xml:space="preserve"> 3/99</v>
          </cell>
          <cell r="BX261" t="str">
            <v xml:space="preserve"> 6/99</v>
          </cell>
          <cell r="BY261" t="str">
            <v xml:space="preserve"> 9/99</v>
          </cell>
          <cell r="CA261" t="str">
            <v xml:space="preserve"> 12/99</v>
          </cell>
          <cell r="CB261" t="str">
            <v xml:space="preserve"> 3/00</v>
          </cell>
          <cell r="CC261" t="str">
            <v xml:space="preserve"> 6/00</v>
          </cell>
          <cell r="CD261" t="str">
            <v xml:space="preserve"> 9/00</v>
          </cell>
          <cell r="CF261" t="str">
            <v xml:space="preserve"> 12/00</v>
          </cell>
          <cell r="CH261" t="str">
            <v xml:space="preserve"> 12/98</v>
          </cell>
          <cell r="CI261" t="str">
            <v xml:space="preserve"> 3/99</v>
          </cell>
          <cell r="CJ261" t="str">
            <v xml:space="preserve"> 6/99</v>
          </cell>
          <cell r="CK261" t="str">
            <v xml:space="preserve"> 9/99</v>
          </cell>
          <cell r="CM261" t="str">
            <v xml:space="preserve"> 12/99</v>
          </cell>
          <cell r="CN261" t="str">
            <v xml:space="preserve"> 3/00</v>
          </cell>
          <cell r="CO261" t="str">
            <v xml:space="preserve"> 6/00</v>
          </cell>
          <cell r="CP261" t="str">
            <v xml:space="preserve"> 9/00</v>
          </cell>
          <cell r="CR261">
            <v>36861</v>
          </cell>
          <cell r="CS261" t="str">
            <v xml:space="preserve"> 3/01</v>
          </cell>
          <cell r="CT261" t="str">
            <v xml:space="preserve"> 6/01</v>
          </cell>
          <cell r="CU261" t="str">
            <v xml:space="preserve"> 9/01</v>
          </cell>
          <cell r="CW261">
            <v>36861</v>
          </cell>
          <cell r="CX261" t="str">
            <v xml:space="preserve"> 3/01</v>
          </cell>
          <cell r="CY261" t="str">
            <v xml:space="preserve"> 6/01</v>
          </cell>
          <cell r="CZ261" t="str">
            <v xml:space="preserve"> 9/01</v>
          </cell>
          <cell r="DB261" t="str">
            <v xml:space="preserve"> 12/01</v>
          </cell>
          <cell r="DC261" t="str">
            <v xml:space="preserve"> 3/02</v>
          </cell>
          <cell r="DD261" t="str">
            <v xml:space="preserve"> 6/02</v>
          </cell>
          <cell r="DE261" t="str">
            <v xml:space="preserve"> 9/02E</v>
          </cell>
          <cell r="DG261" t="str">
            <v xml:space="preserve"> 12/02E</v>
          </cell>
          <cell r="DH261" t="str">
            <v xml:space="preserve"> 3/03E</v>
          </cell>
          <cell r="DI261" t="str">
            <v xml:space="preserve"> 6/03E</v>
          </cell>
          <cell r="DJ261" t="str">
            <v xml:space="preserve"> 9/03E</v>
          </cell>
          <cell r="DL261" t="str">
            <v xml:space="preserve"> 12/03E</v>
          </cell>
          <cell r="DM261" t="str">
            <v xml:space="preserve"> 3/04E</v>
          </cell>
          <cell r="DN261" t="str">
            <v xml:space="preserve"> 6/04E</v>
          </cell>
          <cell r="DO261" t="str">
            <v xml:space="preserve"> 9/04E</v>
          </cell>
          <cell r="DQ261" t="str">
            <v>F1991</v>
          </cell>
          <cell r="DR261" t="str">
            <v>F1992</v>
          </cell>
          <cell r="DS261" t="str">
            <v>F1993</v>
          </cell>
          <cell r="DT261" t="str">
            <v>F1994</v>
          </cell>
          <cell r="DU261" t="str">
            <v>F1995</v>
          </cell>
          <cell r="DV261" t="str">
            <v>F1996</v>
          </cell>
          <cell r="DW261" t="str">
            <v>F1997</v>
          </cell>
          <cell r="DX261" t="str">
            <v>F1996</v>
          </cell>
          <cell r="DY261" t="str">
            <v>F1997</v>
          </cell>
          <cell r="DZ261" t="str">
            <v>F1998</v>
          </cell>
          <cell r="EA261" t="str">
            <v>F1998</v>
          </cell>
          <cell r="EB261" t="str">
            <v>F1997</v>
          </cell>
          <cell r="EC261" t="str">
            <v>F1998</v>
          </cell>
          <cell r="EE261" t="str">
            <v>F1999</v>
          </cell>
          <cell r="EF261" t="str">
            <v>F2000E</v>
          </cell>
          <cell r="EH261" t="str">
            <v>F1998</v>
          </cell>
          <cell r="EI261" t="str">
            <v>F1999</v>
          </cell>
          <cell r="EK261" t="str">
            <v>F1997</v>
          </cell>
          <cell r="EL261" t="str">
            <v>F1998</v>
          </cell>
          <cell r="EM261" t="str">
            <v>F1999</v>
          </cell>
          <cell r="EN261" t="str">
            <v>F2000</v>
          </cell>
          <cell r="EP261" t="str">
            <v>F1998</v>
          </cell>
          <cell r="EQ261" t="str">
            <v>F1999</v>
          </cell>
          <cell r="ER261" t="str">
            <v>F2000</v>
          </cell>
          <cell r="ES261" t="str">
            <v>F2001</v>
          </cell>
          <cell r="ET261" t="str">
            <v>F2001</v>
          </cell>
          <cell r="EU261" t="str">
            <v>F2002E</v>
          </cell>
          <cell r="EV261" t="str">
            <v>F2003E</v>
          </cell>
          <cell r="EW261" t="str">
            <v>F2004E</v>
          </cell>
          <cell r="EY261" t="str">
            <v>C1999</v>
          </cell>
          <cell r="EZ261" t="str">
            <v>C2000</v>
          </cell>
          <cell r="FA261" t="str">
            <v>C2001</v>
          </cell>
          <cell r="FC261" t="str">
            <v>C2002</v>
          </cell>
        </row>
        <row r="263">
          <cell r="A263" t="str">
            <v>Revenues</v>
          </cell>
          <cell r="CA263">
            <v>763.70100000000002</v>
          </cell>
          <cell r="CF263">
            <v>1390.3430000000001</v>
          </cell>
          <cell r="CT263">
            <v>776.60199999999998</v>
          </cell>
          <cell r="EL263">
            <v>1941.4540000000002</v>
          </cell>
          <cell r="EM263">
            <v>2393.9829999999997</v>
          </cell>
          <cell r="EN263">
            <v>3911.5590000000002</v>
          </cell>
          <cell r="ER263">
            <v>4239.1019999999999</v>
          </cell>
          <cell r="ES263">
            <v>4054.0479999999998</v>
          </cell>
        </row>
        <row r="264">
          <cell r="A264" t="str">
            <v xml:space="preserve">  US</v>
          </cell>
          <cell r="CA264">
            <v>607.86599999999999</v>
          </cell>
          <cell r="CF264">
            <v>1150.6189999999999</v>
          </cell>
          <cell r="CT264">
            <v>560.495</v>
          </cell>
          <cell r="EL264">
            <v>1769.365</v>
          </cell>
          <cell r="EM264">
            <v>2136.5250000000001</v>
          </cell>
          <cell r="EN264">
            <v>3181.9490000000001</v>
          </cell>
          <cell r="ER264">
            <v>3181.9490000000001</v>
          </cell>
          <cell r="ES264">
            <v>3182.9490000000001</v>
          </cell>
        </row>
        <row r="265">
          <cell r="A265" t="str">
            <v xml:space="preserve">  International</v>
          </cell>
          <cell r="CA265">
            <v>155.83500000000004</v>
          </cell>
          <cell r="CF265">
            <v>239.72400000000016</v>
          </cell>
          <cell r="CT265">
            <v>222.619</v>
          </cell>
          <cell r="EL265">
            <v>172.08900000000017</v>
          </cell>
          <cell r="EM265">
            <v>257.45799999999963</v>
          </cell>
          <cell r="EN265">
            <v>729.61000000000013</v>
          </cell>
          <cell r="ER265">
            <v>1057.1529999999998</v>
          </cell>
          <cell r="ES265">
            <v>871.09899999999971</v>
          </cell>
        </row>
        <row r="266">
          <cell r="A266" t="str">
            <v xml:space="preserve">  Intersegment</v>
          </cell>
          <cell r="CT266">
            <v>-6.5119999999999996</v>
          </cell>
        </row>
        <row r="268">
          <cell r="A268" t="str">
            <v>% of sales</v>
          </cell>
        </row>
        <row r="269">
          <cell r="A269" t="str">
            <v xml:space="preserve">  US</v>
          </cell>
          <cell r="CA269">
            <v>0.79594762871856917</v>
          </cell>
          <cell r="CF269">
            <v>0.82757923764135888</v>
          </cell>
          <cell r="CT269">
            <v>0.7217274743047275</v>
          </cell>
          <cell r="EL269">
            <v>0.91136076363385377</v>
          </cell>
          <cell r="EM269">
            <v>0.89245621209507353</v>
          </cell>
          <cell r="EN269">
            <v>0.81347334911732128</v>
          </cell>
          <cell r="ER269">
            <v>0.75061864517532251</v>
          </cell>
          <cell r="ES269">
            <v>0.78512859245869815</v>
          </cell>
        </row>
        <row r="270">
          <cell r="A270" t="str">
            <v xml:space="preserve">  International</v>
          </cell>
          <cell r="CA270">
            <v>0.20405237128143086</v>
          </cell>
          <cell r="CF270">
            <v>0.17242076235864109</v>
          </cell>
          <cell r="CT270">
            <v>0.28665777322231983</v>
          </cell>
          <cell r="EL270">
            <v>8.8639236366146276E-2</v>
          </cell>
          <cell r="EM270">
            <v>0.1075437879049265</v>
          </cell>
          <cell r="EN270">
            <v>0.18652665088267878</v>
          </cell>
          <cell r="ER270">
            <v>0.24938135482467744</v>
          </cell>
          <cell r="ES270">
            <v>0.21487140754130188</v>
          </cell>
        </row>
        <row r="272">
          <cell r="A272" t="str">
            <v>Operating Income</v>
          </cell>
          <cell r="CA272">
            <v>72.009000000000043</v>
          </cell>
          <cell r="CF272">
            <v>170.71100000000007</v>
          </cell>
          <cell r="EL272">
            <v>183.06900000000002</v>
          </cell>
          <cell r="EM272">
            <v>254.71700000000004</v>
          </cell>
          <cell r="EN272">
            <v>421.44600000000003</v>
          </cell>
        </row>
        <row r="273">
          <cell r="A273" t="str">
            <v xml:space="preserve">  US</v>
          </cell>
          <cell r="CA273">
            <v>61.587000000000003</v>
          </cell>
          <cell r="CF273">
            <v>151.36799999999999</v>
          </cell>
          <cell r="EL273">
            <v>187.06900000000002</v>
          </cell>
          <cell r="EM273">
            <v>251.74400000000003</v>
          </cell>
          <cell r="EN273">
            <v>391.50700000000001</v>
          </cell>
        </row>
        <row r="274">
          <cell r="A274" t="str">
            <v xml:space="preserve">  International</v>
          </cell>
          <cell r="CA274">
            <v>10.42200000000004</v>
          </cell>
          <cell r="CF274">
            <v>19.343</v>
          </cell>
          <cell r="EL274">
            <v>-4</v>
          </cell>
          <cell r="EM274">
            <v>2.9729999999999999</v>
          </cell>
          <cell r="EN274">
            <v>29.939</v>
          </cell>
        </row>
        <row r="276">
          <cell r="A276" t="str">
            <v>Operating Profit Margin</v>
          </cell>
          <cell r="CA276">
            <v>9.4289519065707705E-2</v>
          </cell>
          <cell r="CF276">
            <v>0.12278337072218874</v>
          </cell>
          <cell r="EL276">
            <v>9.4294791429516231E-2</v>
          </cell>
          <cell r="EM276">
            <v>0.10639883407693375</v>
          </cell>
          <cell r="EN276">
            <v>0.10774374105056321</v>
          </cell>
        </row>
        <row r="277">
          <cell r="A277" t="str">
            <v xml:space="preserve">  US</v>
          </cell>
          <cell r="CA277">
            <v>0.10131673757045138</v>
          </cell>
          <cell r="CF277">
            <v>0.13155353770448777</v>
          </cell>
          <cell r="EL277">
            <v>0.10572663074040688</v>
          </cell>
          <cell r="EM277">
            <v>0.11782871719263759</v>
          </cell>
          <cell r="EN277">
            <v>0.12303999844120694</v>
          </cell>
        </row>
        <row r="278">
          <cell r="A278" t="str">
            <v xml:space="preserve">  International</v>
          </cell>
          <cell r="CA278">
            <v>6.6878429107710316E-2</v>
          </cell>
          <cell r="CF278">
            <v>8.0688625252373511E-2</v>
          </cell>
          <cell r="EL278" t="str">
            <v>NM</v>
          </cell>
          <cell r="EM278">
            <v>1.1547514546061899E-2</v>
          </cell>
          <cell r="EN278">
            <v>4.1034251175285419E-2</v>
          </cell>
        </row>
        <row r="281">
          <cell r="A281" t="str">
            <v>Sanmina-SCI Corp.</v>
          </cell>
        </row>
        <row r="282">
          <cell r="A282" t="str">
            <v>Acquisition Waterfall</v>
          </cell>
        </row>
        <row r="283">
          <cell r="A283" t="str">
            <v>($ Millions Except EPS)</v>
          </cell>
          <cell r="EB283" t="str">
            <v xml:space="preserve"> </v>
          </cell>
          <cell r="EC283" t="str">
            <v xml:space="preserve"> </v>
          </cell>
          <cell r="EE283" t="str">
            <v xml:space="preserve"> </v>
          </cell>
        </row>
        <row r="284">
          <cell r="AD284" t="str">
            <v>F1997</v>
          </cell>
          <cell r="AN284" t="str">
            <v>F1998</v>
          </cell>
          <cell r="AS284" t="str">
            <v>F1998</v>
          </cell>
          <cell r="BG284" t="str">
            <v>F1999</v>
          </cell>
          <cell r="BL284" t="str">
            <v>F2000E</v>
          </cell>
          <cell r="BQ284" t="str">
            <v>F1998</v>
          </cell>
          <cell r="BV284" t="str">
            <v>F1999</v>
          </cell>
          <cell r="CA284" t="str">
            <v>F2000</v>
          </cell>
          <cell r="CF284" t="str">
            <v>Sanmina Only</v>
          </cell>
          <cell r="CH284" t="str">
            <v>F1999</v>
          </cell>
          <cell r="CM284" t="str">
            <v>F2000</v>
          </cell>
          <cell r="CW284" t="str">
            <v>F2001</v>
          </cell>
          <cell r="DX284" t="str">
            <v xml:space="preserve"> </v>
          </cell>
          <cell r="EA284" t="str">
            <v>Proforma</v>
          </cell>
          <cell r="EB284" t="str">
            <v>Proforma for Altron</v>
          </cell>
          <cell r="EE284" t="str">
            <v xml:space="preserve"> </v>
          </cell>
          <cell r="EN284" t="str">
            <v>SANM</v>
          </cell>
          <cell r="ER284" t="str">
            <v xml:space="preserve"> </v>
          </cell>
          <cell r="ET284" t="str">
            <v>Proforma</v>
          </cell>
        </row>
        <row r="285">
          <cell r="D285" t="str">
            <v>F1993</v>
          </cell>
          <cell r="I285" t="str">
            <v>F1994</v>
          </cell>
          <cell r="N285" t="str">
            <v>F1995</v>
          </cell>
          <cell r="S285" t="str">
            <v>F1996</v>
          </cell>
          <cell r="X285" t="str">
            <v>F1997</v>
          </cell>
          <cell r="AD285" t="str">
            <v xml:space="preserve"> Proforma for Elexsys Acquisition</v>
          </cell>
          <cell r="AH285" t="str">
            <v>F1998</v>
          </cell>
          <cell r="AM285" t="str">
            <v xml:space="preserve"> Pro forma for Altron</v>
          </cell>
          <cell r="AR285" t="str">
            <v xml:space="preserve"> Pro forma for Manu-Tronics / Altron</v>
          </cell>
          <cell r="AW285" t="str">
            <v>F1999</v>
          </cell>
          <cell r="BB285" t="str">
            <v>F2000E</v>
          </cell>
          <cell r="BG285" t="str">
            <v xml:space="preserve"> Pro forma for Hadco</v>
          </cell>
          <cell r="BL285" t="str">
            <v xml:space="preserve"> Pro forma for Hadco</v>
          </cell>
          <cell r="BQ285" t="str">
            <v xml:space="preserve"> Pro forma for Hadco / Essex</v>
          </cell>
          <cell r="BV285" t="str">
            <v xml:space="preserve"> Pro forma for Hadco / Essex</v>
          </cell>
          <cell r="CA285" t="str">
            <v xml:space="preserve"> Pro forma for Hadco / Essex</v>
          </cell>
          <cell r="CF285" t="str">
            <v>F2001</v>
          </cell>
          <cell r="CH285" t="str">
            <v xml:space="preserve"> Pro forma for Segerstrom</v>
          </cell>
          <cell r="CM285" t="str">
            <v xml:space="preserve"> Pro forma for Segerstrom</v>
          </cell>
          <cell r="CR285" t="str">
            <v>F2001</v>
          </cell>
          <cell r="CW285" t="str">
            <v xml:space="preserve"> Pro forma for SCI Systems</v>
          </cell>
          <cell r="DC285" t="str">
            <v>F2002E</v>
          </cell>
          <cell r="DH285" t="str">
            <v>F2003E</v>
          </cell>
          <cell r="DM285" t="str">
            <v>F2004E</v>
          </cell>
          <cell r="DT285" t="str">
            <v xml:space="preserve"> </v>
          </cell>
          <cell r="DU285" t="str">
            <v xml:space="preserve"> </v>
          </cell>
          <cell r="DX285" t="str">
            <v>Proforma for Elexsys</v>
          </cell>
          <cell r="DZ285" t="str">
            <v xml:space="preserve"> </v>
          </cell>
          <cell r="EA285" t="str">
            <v>Altron</v>
          </cell>
          <cell r="EB285" t="str">
            <v xml:space="preserve">   and Manu-Tronics</v>
          </cell>
          <cell r="EE285" t="str">
            <v xml:space="preserve">                SANM ONLY</v>
          </cell>
          <cell r="EH285" t="str">
            <v xml:space="preserve"> Proforma for Hadco</v>
          </cell>
          <cell r="EJ285" t="str">
            <v xml:space="preserve"> </v>
          </cell>
          <cell r="EK285" t="str">
            <v>Proforma for Hadco / Essex</v>
          </cell>
          <cell r="EN285" t="str">
            <v>Only</v>
          </cell>
          <cell r="EP285" t="str">
            <v>Proforma for Segerstrom</v>
          </cell>
          <cell r="ET285" t="str">
            <v>for SCI</v>
          </cell>
          <cell r="FA285" t="str">
            <v>Unrestated</v>
          </cell>
        </row>
        <row r="286">
          <cell r="D286">
            <v>33939</v>
          </cell>
          <cell r="E286">
            <v>34029</v>
          </cell>
          <cell r="F286" t="str">
            <v xml:space="preserve"> 6/93</v>
          </cell>
          <cell r="G286">
            <v>34213</v>
          </cell>
          <cell r="I286">
            <v>34304</v>
          </cell>
          <cell r="J286">
            <v>34394</v>
          </cell>
          <cell r="K286">
            <v>34486</v>
          </cell>
          <cell r="L286">
            <v>34578</v>
          </cell>
          <cell r="N286">
            <v>34669</v>
          </cell>
          <cell r="O286">
            <v>34759</v>
          </cell>
          <cell r="P286">
            <v>34851</v>
          </cell>
          <cell r="Q286">
            <v>34943</v>
          </cell>
          <cell r="S286">
            <v>35034</v>
          </cell>
          <cell r="T286">
            <v>35125</v>
          </cell>
          <cell r="U286">
            <v>35217</v>
          </cell>
          <cell r="V286">
            <v>35309</v>
          </cell>
          <cell r="X286">
            <v>35400</v>
          </cell>
          <cell r="Y286">
            <v>35490</v>
          </cell>
          <cell r="Z286">
            <v>35582</v>
          </cell>
          <cell r="AA286">
            <v>35674</v>
          </cell>
          <cell r="AC286">
            <v>35400</v>
          </cell>
          <cell r="AD286" t="str">
            <v xml:space="preserve">  3/97</v>
          </cell>
          <cell r="AE286" t="str">
            <v xml:space="preserve"> 6/97</v>
          </cell>
          <cell r="AF286" t="str">
            <v xml:space="preserve"> 9/97</v>
          </cell>
          <cell r="AH286" t="str">
            <v xml:space="preserve"> 12/97</v>
          </cell>
          <cell r="AI286" t="str">
            <v xml:space="preserve"> 3/98</v>
          </cell>
          <cell r="AJ286" t="str">
            <v xml:space="preserve"> 6/98</v>
          </cell>
          <cell r="AK286" t="str">
            <v xml:space="preserve"> 9/98</v>
          </cell>
          <cell r="AM286" t="str">
            <v xml:space="preserve"> 12/97</v>
          </cell>
          <cell r="AN286" t="str">
            <v xml:space="preserve"> 3/98</v>
          </cell>
          <cell r="AO286" t="str">
            <v xml:space="preserve"> 6/98</v>
          </cell>
          <cell r="AP286" t="str">
            <v xml:space="preserve"> 9/98</v>
          </cell>
          <cell r="AR286" t="str">
            <v xml:space="preserve"> 12/97</v>
          </cell>
          <cell r="AS286" t="str">
            <v xml:space="preserve"> 3/98</v>
          </cell>
          <cell r="AT286" t="str">
            <v xml:space="preserve"> 6/98</v>
          </cell>
          <cell r="AU286" t="str">
            <v xml:space="preserve"> 9/98</v>
          </cell>
          <cell r="AW286" t="str">
            <v xml:space="preserve"> 12/98</v>
          </cell>
          <cell r="AX286" t="str">
            <v xml:space="preserve"> 3/99</v>
          </cell>
          <cell r="AY286" t="str">
            <v xml:space="preserve"> 6/99</v>
          </cell>
          <cell r="AZ286" t="str">
            <v xml:space="preserve"> 9/99</v>
          </cell>
          <cell r="BB286" t="str">
            <v xml:space="preserve"> 12/99</v>
          </cell>
          <cell r="BC286" t="str">
            <v xml:space="preserve"> 3/00</v>
          </cell>
          <cell r="BD286" t="str">
            <v xml:space="preserve"> 6/00E</v>
          </cell>
          <cell r="BE286" t="str">
            <v xml:space="preserve"> 9/00E</v>
          </cell>
          <cell r="BG286" t="str">
            <v xml:space="preserve"> 12/98</v>
          </cell>
          <cell r="BH286" t="str">
            <v xml:space="preserve"> 3/99</v>
          </cell>
          <cell r="BI286" t="str">
            <v xml:space="preserve"> 6/99</v>
          </cell>
          <cell r="BJ286" t="str">
            <v xml:space="preserve"> 9/99</v>
          </cell>
          <cell r="BL286" t="str">
            <v xml:space="preserve"> 12/99</v>
          </cell>
          <cell r="BM286" t="str">
            <v xml:space="preserve"> 3/00</v>
          </cell>
          <cell r="BN286" t="str">
            <v xml:space="preserve"> 6/00E</v>
          </cell>
          <cell r="BO286" t="str">
            <v xml:space="preserve"> 9/00E</v>
          </cell>
          <cell r="BQ286" t="str">
            <v xml:space="preserve"> 12/97</v>
          </cell>
          <cell r="BR286" t="str">
            <v xml:space="preserve"> 3/98</v>
          </cell>
          <cell r="BS286" t="str">
            <v xml:space="preserve"> 6/98</v>
          </cell>
          <cell r="BT286" t="str">
            <v xml:space="preserve"> 9/98</v>
          </cell>
          <cell r="BV286" t="str">
            <v xml:space="preserve"> 12/98</v>
          </cell>
          <cell r="BW286" t="str">
            <v xml:space="preserve"> 3/99</v>
          </cell>
          <cell r="BX286" t="str">
            <v xml:space="preserve"> 6/99</v>
          </cell>
          <cell r="BY286" t="str">
            <v xml:space="preserve"> 9/99</v>
          </cell>
          <cell r="CA286" t="str">
            <v xml:space="preserve"> 12/99</v>
          </cell>
          <cell r="CB286" t="str">
            <v xml:space="preserve"> 3/00</v>
          </cell>
          <cell r="CC286" t="str">
            <v xml:space="preserve"> 6/00</v>
          </cell>
          <cell r="CD286" t="str">
            <v xml:space="preserve"> 9/00</v>
          </cell>
          <cell r="CF286" t="str">
            <v xml:space="preserve"> 12/00</v>
          </cell>
          <cell r="CH286" t="str">
            <v xml:space="preserve"> 12/98</v>
          </cell>
          <cell r="CI286" t="str">
            <v xml:space="preserve"> 3/99</v>
          </cell>
          <cell r="CJ286" t="str">
            <v xml:space="preserve"> 6/99</v>
          </cell>
          <cell r="CK286" t="str">
            <v xml:space="preserve"> 9/99</v>
          </cell>
          <cell r="CM286" t="str">
            <v xml:space="preserve"> 12/99</v>
          </cell>
          <cell r="CN286" t="str">
            <v xml:space="preserve"> 3/00</v>
          </cell>
          <cell r="CO286" t="str">
            <v xml:space="preserve"> 6/00</v>
          </cell>
          <cell r="CP286" t="str">
            <v xml:space="preserve"> 9/00</v>
          </cell>
          <cell r="CR286">
            <v>36861</v>
          </cell>
          <cell r="CS286" t="str">
            <v xml:space="preserve"> 3/01</v>
          </cell>
          <cell r="CT286" t="str">
            <v xml:space="preserve"> 6/01</v>
          </cell>
          <cell r="CU286" t="str">
            <v xml:space="preserve"> 9/01</v>
          </cell>
          <cell r="CW286">
            <v>36861</v>
          </cell>
          <cell r="CX286" t="str">
            <v xml:space="preserve"> 3/01</v>
          </cell>
          <cell r="CY286" t="str">
            <v xml:space="preserve"> 6/01</v>
          </cell>
          <cell r="CZ286" t="str">
            <v xml:space="preserve"> 9/01</v>
          </cell>
          <cell r="DB286" t="str">
            <v xml:space="preserve"> 12/01</v>
          </cell>
          <cell r="DC286" t="str">
            <v xml:space="preserve"> 3/02</v>
          </cell>
          <cell r="DD286" t="str">
            <v xml:space="preserve"> 6/02</v>
          </cell>
          <cell r="DE286" t="str">
            <v xml:space="preserve"> 9/02E</v>
          </cell>
          <cell r="DG286" t="str">
            <v xml:space="preserve"> 12/02E</v>
          </cell>
          <cell r="DH286" t="str">
            <v xml:space="preserve"> 3/03E</v>
          </cell>
          <cell r="DI286" t="str">
            <v xml:space="preserve"> 6/03E</v>
          </cell>
          <cell r="DJ286" t="str">
            <v xml:space="preserve"> 9/03E</v>
          </cell>
          <cell r="DL286" t="str">
            <v xml:space="preserve"> 12/03E</v>
          </cell>
          <cell r="DM286" t="str">
            <v xml:space="preserve"> 3/04E</v>
          </cell>
          <cell r="DN286" t="str">
            <v xml:space="preserve"> 6/04E</v>
          </cell>
          <cell r="DO286" t="str">
            <v xml:space="preserve"> 9/04E</v>
          </cell>
          <cell r="DQ286" t="str">
            <v>F1991</v>
          </cell>
          <cell r="DR286" t="str">
            <v>F1992</v>
          </cell>
          <cell r="DS286" t="str">
            <v>F1993</v>
          </cell>
          <cell r="DT286" t="str">
            <v>F1994</v>
          </cell>
          <cell r="DU286" t="str">
            <v>F1995</v>
          </cell>
          <cell r="DV286" t="str">
            <v>F1996</v>
          </cell>
          <cell r="DW286" t="str">
            <v>F1997</v>
          </cell>
          <cell r="DX286" t="str">
            <v>F1996</v>
          </cell>
          <cell r="DY286" t="str">
            <v>F1997</v>
          </cell>
          <cell r="DZ286" t="str">
            <v>F1998</v>
          </cell>
          <cell r="EA286" t="str">
            <v>F1998</v>
          </cell>
          <cell r="EB286" t="str">
            <v>F1997</v>
          </cell>
          <cell r="EC286" t="str">
            <v>F1998</v>
          </cell>
          <cell r="EE286" t="str">
            <v>F1999</v>
          </cell>
          <cell r="EF286" t="str">
            <v>F2000E</v>
          </cell>
          <cell r="EH286" t="str">
            <v>F1998</v>
          </cell>
          <cell r="EI286" t="str">
            <v>F1999</v>
          </cell>
          <cell r="EK286" t="str">
            <v>F1997</v>
          </cell>
          <cell r="EL286" t="str">
            <v>F1998</v>
          </cell>
          <cell r="EM286" t="str">
            <v>F1999</v>
          </cell>
          <cell r="EN286" t="str">
            <v>F2000</v>
          </cell>
          <cell r="EP286" t="str">
            <v>F1998</v>
          </cell>
          <cell r="EQ286" t="str">
            <v>F1999</v>
          </cell>
          <cell r="ER286" t="str">
            <v>F2000</v>
          </cell>
          <cell r="ES286" t="str">
            <v>F2001</v>
          </cell>
          <cell r="ET286" t="str">
            <v>F2001</v>
          </cell>
          <cell r="EU286" t="str">
            <v>F2002E</v>
          </cell>
          <cell r="EV286" t="str">
            <v>F2003E</v>
          </cell>
          <cell r="EW286" t="str">
            <v>F2004E</v>
          </cell>
          <cell r="EY286" t="str">
            <v>C1999</v>
          </cell>
          <cell r="EZ286" t="str">
            <v>C2000</v>
          </cell>
          <cell r="FA286" t="str">
            <v>C2001</v>
          </cell>
          <cell r="FC286" t="str">
            <v>C2002</v>
          </cell>
        </row>
        <row r="288">
          <cell r="A288" t="str">
            <v>Revenue</v>
          </cell>
          <cell r="D288">
            <v>20.379000000000001</v>
          </cell>
          <cell r="E288">
            <v>21.321000000000002</v>
          </cell>
          <cell r="F288">
            <v>22.06</v>
          </cell>
          <cell r="G288">
            <v>24.713999999999999</v>
          </cell>
          <cell r="I288">
            <v>28.042000000000002</v>
          </cell>
          <cell r="J288">
            <v>27.885000000000002</v>
          </cell>
          <cell r="K288">
            <v>28.898</v>
          </cell>
          <cell r="L288">
            <v>30.3</v>
          </cell>
          <cell r="N288">
            <v>34.749000000000002</v>
          </cell>
          <cell r="O288">
            <v>39.344999999999999</v>
          </cell>
          <cell r="P288">
            <v>44.588999999999999</v>
          </cell>
          <cell r="Q288">
            <v>49.106000000000002</v>
          </cell>
          <cell r="S288">
            <v>52.17</v>
          </cell>
          <cell r="T288">
            <v>63.222000000000001</v>
          </cell>
          <cell r="U288">
            <v>71.182000000000002</v>
          </cell>
          <cell r="V288">
            <v>78.501999999999995</v>
          </cell>
          <cell r="X288">
            <v>88.867999999999995</v>
          </cell>
          <cell r="Y288">
            <v>96.7</v>
          </cell>
          <cell r="Z288">
            <v>105.40600000000001</v>
          </cell>
          <cell r="AA288">
            <v>114.238</v>
          </cell>
          <cell r="AC288">
            <v>125.17400000000001</v>
          </cell>
          <cell r="AD288">
            <v>133.82300000000001</v>
          </cell>
          <cell r="AE288">
            <v>150.19800000000001</v>
          </cell>
          <cell r="AF288">
            <v>160.59200000000001</v>
          </cell>
          <cell r="AH288">
            <v>159.107</v>
          </cell>
          <cell r="AI288">
            <v>172.14599999999999</v>
          </cell>
          <cell r="AJ288">
            <v>197.13900000000001</v>
          </cell>
          <cell r="AK288">
            <v>194.18899999999999</v>
          </cell>
          <cell r="AM288">
            <v>206.26599999999999</v>
          </cell>
          <cell r="AN288">
            <v>222.714</v>
          </cell>
          <cell r="AO288">
            <v>248.803</v>
          </cell>
          <cell r="AP288">
            <v>246.005</v>
          </cell>
          <cell r="AR288">
            <v>220.67099999999999</v>
          </cell>
          <cell r="AS288">
            <v>240.886</v>
          </cell>
          <cell r="AT288">
            <v>267.61700000000002</v>
          </cell>
          <cell r="AU288">
            <v>262.64699999999999</v>
          </cell>
          <cell r="AW288">
            <v>275.53300000000002</v>
          </cell>
          <cell r="AX288">
            <v>281.14</v>
          </cell>
          <cell r="AY288">
            <v>309.49599999999998</v>
          </cell>
          <cell r="AZ288">
            <v>348.57499999999999</v>
          </cell>
          <cell r="BB288">
            <v>459.685</v>
          </cell>
          <cell r="BC288">
            <v>555.31200000000001</v>
          </cell>
          <cell r="BD288">
            <v>585</v>
          </cell>
          <cell r="BE288">
            <v>610</v>
          </cell>
          <cell r="BG288">
            <v>511.04300000000001</v>
          </cell>
          <cell r="BH288">
            <v>535.36599999999999</v>
          </cell>
          <cell r="BI288">
            <v>561.01400000000001</v>
          </cell>
          <cell r="BJ288">
            <v>610.15099999999995</v>
          </cell>
          <cell r="BL288">
            <v>709.56200000000001</v>
          </cell>
          <cell r="BM288">
            <v>818.33699999999999</v>
          </cell>
          <cell r="BN288">
            <v>920</v>
          </cell>
          <cell r="BO288">
            <v>975</v>
          </cell>
          <cell r="BQ288">
            <v>435.79899999999998</v>
          </cell>
          <cell r="BR288">
            <v>483.01</v>
          </cell>
          <cell r="BS288">
            <v>499.48599999999999</v>
          </cell>
          <cell r="BT288">
            <v>523.15899999999999</v>
          </cell>
          <cell r="BV288">
            <v>548.73800000000006</v>
          </cell>
          <cell r="BW288">
            <v>576.33299999999997</v>
          </cell>
          <cell r="BX288">
            <v>604.62199999999996</v>
          </cell>
          <cell r="BY288">
            <v>664.29</v>
          </cell>
          <cell r="CA288">
            <v>763.70100000000002</v>
          </cell>
          <cell r="CB288">
            <v>875.24699999999996</v>
          </cell>
          <cell r="CC288">
            <v>1000.6319999999999</v>
          </cell>
          <cell r="CD288">
            <v>1271.979</v>
          </cell>
          <cell r="CF288">
            <v>1390.3430000000001</v>
          </cell>
          <cell r="CH288">
            <v>603.37900000000002</v>
          </cell>
          <cell r="CI288">
            <v>627.72299999999996</v>
          </cell>
          <cell r="CJ288">
            <v>658.48400000000004</v>
          </cell>
          <cell r="CK288">
            <v>730.99199999999996</v>
          </cell>
          <cell r="CM288">
            <v>837.35500000000002</v>
          </cell>
          <cell r="CN288">
            <v>948.35799999999995</v>
          </cell>
          <cell r="CO288">
            <v>1086.182</v>
          </cell>
          <cell r="CP288">
            <v>1367.2070000000001</v>
          </cell>
          <cell r="CR288">
            <v>1485.5709999999999</v>
          </cell>
          <cell r="CS288">
            <v>1191.1379999999999</v>
          </cell>
          <cell r="CT288">
            <v>776.60199999999998</v>
          </cell>
          <cell r="CU288">
            <v>600.73699999999997</v>
          </cell>
          <cell r="CW288">
            <v>4068.1660000000002</v>
          </cell>
          <cell r="CX288">
            <v>3197.67</v>
          </cell>
          <cell r="CY288">
            <v>2842</v>
          </cell>
          <cell r="CZ288">
            <v>2365.9749999999999</v>
          </cell>
          <cell r="DB288">
            <v>2406.2269999999999</v>
          </cell>
          <cell r="DC288">
            <v>2411.241</v>
          </cell>
          <cell r="DD288">
            <v>2617.6260000000002</v>
          </cell>
          <cell r="DE288">
            <v>2684.5710674000002</v>
          </cell>
          <cell r="DG288">
            <v>2691.5236299880003</v>
          </cell>
          <cell r="DH288">
            <v>2557.0720889691602</v>
          </cell>
          <cell r="DI288">
            <v>2592.3802551308127</v>
          </cell>
          <cell r="DJ288">
            <v>2656.6835724948942</v>
          </cell>
          <cell r="DL288">
            <v>3020.2177493777358</v>
          </cell>
          <cell r="DM288">
            <v>2841.7840501272372</v>
          </cell>
          <cell r="DN288">
            <v>2884.4787051282647</v>
          </cell>
          <cell r="DO288">
            <v>3024.5202500315872</v>
          </cell>
          <cell r="DS288">
            <v>88.474000000000004</v>
          </cell>
          <cell r="DT288">
            <v>115.125</v>
          </cell>
          <cell r="DU288">
            <v>167.78899999999999</v>
          </cell>
          <cell r="DV288">
            <v>265.07600000000002</v>
          </cell>
          <cell r="DW288">
            <v>405.21199999999999</v>
          </cell>
          <cell r="DX288">
            <v>391.98200000000003</v>
          </cell>
          <cell r="DY288">
            <v>569.78700000000003</v>
          </cell>
          <cell r="DZ288">
            <v>722.58100000000002</v>
          </cell>
          <cell r="EP288">
            <v>1889.5859999999998</v>
          </cell>
          <cell r="EQ288">
            <v>2620.5779999999995</v>
          </cell>
          <cell r="ER288">
            <v>4239.1019999999999</v>
          </cell>
          <cell r="ES288">
            <v>4054.0479999999998</v>
          </cell>
          <cell r="ET288">
            <v>12473.811</v>
          </cell>
          <cell r="EU288">
            <v>10119.665067400001</v>
          </cell>
          <cell r="EV288">
            <v>10497.659546582867</v>
          </cell>
          <cell r="EW288">
            <v>11771.000754664823</v>
          </cell>
          <cell r="EY288">
            <v>2854.5540000000001</v>
          </cell>
          <cell r="EZ288">
            <v>4887.3180000000002</v>
          </cell>
          <cell r="FA288">
            <v>4974.7039999999997</v>
          </cell>
          <cell r="FC288">
            <v>10404.961697388</v>
          </cell>
        </row>
        <row r="289">
          <cell r="A289" t="str">
            <v>Revenue Growth (Yr - Yr)</v>
          </cell>
          <cell r="D289" t="str">
            <v>--</v>
          </cell>
          <cell r="E289" t="str">
            <v>--</v>
          </cell>
          <cell r="F289" t="str">
            <v>--</v>
          </cell>
          <cell r="G289" t="str">
            <v>--</v>
          </cell>
          <cell r="I289">
            <v>0.37602433878011676</v>
          </cell>
          <cell r="J289">
            <v>0.30786548473336151</v>
          </cell>
          <cell r="K289">
            <v>0.30997280145058936</v>
          </cell>
          <cell r="L289">
            <v>0.22602573440155393</v>
          </cell>
          <cell r="N289">
            <v>0.23917694886242069</v>
          </cell>
          <cell r="O289">
            <v>0.41097364174287243</v>
          </cell>
          <cell r="P289">
            <v>0.54297875285486885</v>
          </cell>
          <cell r="Q289">
            <v>0.62066006600660062</v>
          </cell>
          <cell r="S289">
            <v>0.50133816800483455</v>
          </cell>
          <cell r="T289">
            <v>0.60686237133053766</v>
          </cell>
          <cell r="U289">
            <v>0.59640270021754249</v>
          </cell>
          <cell r="V289">
            <v>0.59862338614425914</v>
          </cell>
          <cell r="X289">
            <v>0.7034310906651331</v>
          </cell>
          <cell r="Y289">
            <v>0.52953085951092982</v>
          </cell>
          <cell r="Z289">
            <v>0.48079570677980388</v>
          </cell>
          <cell r="AA289">
            <v>0.45522407072431292</v>
          </cell>
          <cell r="AC289">
            <v>1.3993482844546676</v>
          </cell>
          <cell r="AD289">
            <v>1.1167157002309325</v>
          </cell>
          <cell r="AE289">
            <v>1.1100559130117165</v>
          </cell>
          <cell r="AF289">
            <v>1.045705841889379</v>
          </cell>
          <cell r="AH289">
            <v>0.27108664738683741</v>
          </cell>
          <cell r="AI289">
            <v>0.28637080322515551</v>
          </cell>
          <cell r="AJ289">
            <v>0.31252746374785279</v>
          </cell>
          <cell r="AK289">
            <v>0.20920718342134093</v>
          </cell>
          <cell r="AM289">
            <v>0.64783421477303582</v>
          </cell>
          <cell r="AN289">
            <v>0.66424306733521132</v>
          </cell>
          <cell r="AO289">
            <v>0.65650008655241732</v>
          </cell>
          <cell r="AP289">
            <v>0.53186335558433773</v>
          </cell>
          <cell r="AR289" t="str">
            <v>--</v>
          </cell>
          <cell r="AS289" t="str">
            <v>--</v>
          </cell>
          <cell r="AT289" t="str">
            <v>--</v>
          </cell>
          <cell r="AU289" t="str">
            <v>--</v>
          </cell>
          <cell r="AW289">
            <v>0.24861445319049635</v>
          </cell>
          <cell r="AX289">
            <v>0.16710809262472703</v>
          </cell>
          <cell r="AY289">
            <v>0.15648856388047072</v>
          </cell>
          <cell r="AZ289">
            <v>0.32716155143595782</v>
          </cell>
          <cell r="BB289">
            <v>0.66834825592578739</v>
          </cell>
          <cell r="BC289">
            <v>0.97521519527637479</v>
          </cell>
          <cell r="BD289" t="str">
            <v>--</v>
          </cell>
          <cell r="BE289" t="str">
            <v>--</v>
          </cell>
          <cell r="BG289" t="str">
            <v>--</v>
          </cell>
          <cell r="BH289" t="str">
            <v>--</v>
          </cell>
          <cell r="BI289" t="str">
            <v>--</v>
          </cell>
          <cell r="BJ289" t="str">
            <v>--</v>
          </cell>
          <cell r="BL289" t="str">
            <v>--</v>
          </cell>
          <cell r="BM289" t="str">
            <v>--</v>
          </cell>
          <cell r="BN289" t="str">
            <v>--</v>
          </cell>
          <cell r="BO289" t="str">
            <v>--</v>
          </cell>
          <cell r="BQ289" t="str">
            <v>--</v>
          </cell>
          <cell r="BR289" t="str">
            <v>--</v>
          </cell>
          <cell r="BS289" t="str">
            <v>--</v>
          </cell>
          <cell r="BT289" t="str">
            <v>--</v>
          </cell>
          <cell r="CH289" t="str">
            <v>--</v>
          </cell>
          <cell r="CI289" t="str">
            <v>--</v>
          </cell>
          <cell r="CJ289" t="str">
            <v>--</v>
          </cell>
          <cell r="CK289" t="str">
            <v>--</v>
          </cell>
          <cell r="CM289">
            <v>0.38777617384761487</v>
          </cell>
          <cell r="CN289">
            <v>0.51079058756808338</v>
          </cell>
          <cell r="CO289">
            <v>0.64951919864415841</v>
          </cell>
          <cell r="CP289">
            <v>0.87034468229474493</v>
          </cell>
          <cell r="CR289">
            <v>0.77412328104567352</v>
          </cell>
          <cell r="CS289">
            <v>0.25600037116785002</v>
          </cell>
          <cell r="CT289">
            <v>-0.2850166914936908</v>
          </cell>
          <cell r="CU289">
            <v>-0.56061006124164092</v>
          </cell>
          <cell r="DB289">
            <v>-0.40852290688236426</v>
          </cell>
          <cell r="DC289">
            <v>-0.2459381362054246</v>
          </cell>
          <cell r="DD289">
            <v>-7.8949331456720562E-2</v>
          </cell>
          <cell r="DE289">
            <v>0.13465741075032511</v>
          </cell>
          <cell r="DG289">
            <v>0.11856596654762841</v>
          </cell>
          <cell r="DH289">
            <v>6.0479682026458592E-2</v>
          </cell>
          <cell r="DI289">
            <v>-9.6445194497561948E-3</v>
          </cell>
          <cell r="DJ289">
            <v>-1.0388063569542583E-2</v>
          </cell>
          <cell r="DL289">
            <v>0.12212195194110231</v>
          </cell>
          <cell r="DM289">
            <v>0.11134295446197373</v>
          </cell>
          <cell r="DN289">
            <v>0.11267577332427736</v>
          </cell>
          <cell r="DO289">
            <v>0.13845709039080534</v>
          </cell>
        </row>
        <row r="291">
          <cell r="A291" t="str">
            <v>Incremental Acq. Rev (Yr-Yr)</v>
          </cell>
          <cell r="D291" t="str">
            <v>--</v>
          </cell>
          <cell r="E291" t="str">
            <v>--</v>
          </cell>
          <cell r="F291" t="str">
            <v>--</v>
          </cell>
          <cell r="G291" t="str">
            <v>--</v>
          </cell>
          <cell r="I291">
            <v>0</v>
          </cell>
          <cell r="J291">
            <v>0</v>
          </cell>
          <cell r="K291">
            <v>0</v>
          </cell>
          <cell r="L291">
            <v>0</v>
          </cell>
          <cell r="N291">
            <v>4</v>
          </cell>
          <cell r="O291">
            <v>6</v>
          </cell>
          <cell r="P291">
            <v>6</v>
          </cell>
          <cell r="Q291">
            <v>10</v>
          </cell>
          <cell r="S291">
            <v>6</v>
          </cell>
          <cell r="T291">
            <v>9</v>
          </cell>
          <cell r="U291">
            <v>11.5</v>
          </cell>
          <cell r="V291">
            <v>7.5</v>
          </cell>
          <cell r="X291">
            <v>12.333333333333332</v>
          </cell>
          <cell r="Y291">
            <v>17</v>
          </cell>
          <cell r="Z291">
            <v>14.5</v>
          </cell>
          <cell r="AA291">
            <v>14.5</v>
          </cell>
          <cell r="AC291">
            <v>12.333333333333332</v>
          </cell>
          <cell r="AD291">
            <v>17</v>
          </cell>
          <cell r="AE291">
            <v>14.5</v>
          </cell>
          <cell r="AF291">
            <v>14.5</v>
          </cell>
          <cell r="AH291">
            <v>10</v>
          </cell>
          <cell r="AI291">
            <v>2.333333333333333</v>
          </cell>
          <cell r="AJ291">
            <v>7</v>
          </cell>
          <cell r="AK291">
            <v>7</v>
          </cell>
          <cell r="AM291">
            <v>10</v>
          </cell>
          <cell r="AN291">
            <v>2.333333333333333</v>
          </cell>
          <cell r="AO291">
            <v>7</v>
          </cell>
          <cell r="AP291">
            <v>7</v>
          </cell>
          <cell r="AR291">
            <v>10</v>
          </cell>
          <cell r="AS291">
            <v>2.333333333333333</v>
          </cell>
          <cell r="AT291">
            <v>7</v>
          </cell>
          <cell r="AU291">
            <v>7</v>
          </cell>
          <cell r="AW291">
            <v>7.666666666666667</v>
          </cell>
          <cell r="AX291">
            <v>9.5</v>
          </cell>
          <cell r="AY291">
            <v>4.5</v>
          </cell>
          <cell r="AZ291">
            <v>4.5</v>
          </cell>
          <cell r="BB291" t="str">
            <v>--</v>
          </cell>
          <cell r="BC291" t="str">
            <v>--</v>
          </cell>
          <cell r="BD291" t="str">
            <v>--</v>
          </cell>
          <cell r="BE291" t="str">
            <v>--</v>
          </cell>
          <cell r="BG291">
            <v>7.666666666666667</v>
          </cell>
          <cell r="BH291">
            <v>9.5</v>
          </cell>
          <cell r="BI291">
            <v>4.5</v>
          </cell>
          <cell r="BJ291">
            <v>4.5</v>
          </cell>
          <cell r="BL291" t="str">
            <v>--</v>
          </cell>
          <cell r="BM291" t="str">
            <v>--</v>
          </cell>
          <cell r="BN291" t="str">
            <v>--</v>
          </cell>
          <cell r="BO291" t="str">
            <v>--</v>
          </cell>
          <cell r="BQ291">
            <v>10</v>
          </cell>
          <cell r="BR291">
            <v>2.333333333333333</v>
          </cell>
          <cell r="BS291">
            <v>7</v>
          </cell>
          <cell r="BT291">
            <v>7</v>
          </cell>
          <cell r="BV291">
            <v>7.666666666666667</v>
          </cell>
          <cell r="BW291">
            <v>9.5</v>
          </cell>
          <cell r="BX291">
            <v>4.5</v>
          </cell>
          <cell r="BY291">
            <v>4.5</v>
          </cell>
          <cell r="CA291">
            <v>66.333333333333329</v>
          </cell>
          <cell r="CB291">
            <v>85</v>
          </cell>
          <cell r="CC291">
            <v>109.16666666666667</v>
          </cell>
          <cell r="CD291">
            <v>145</v>
          </cell>
          <cell r="CF291">
            <v>107.5</v>
          </cell>
          <cell r="CH291">
            <v>7.666666666666667</v>
          </cell>
          <cell r="CI291">
            <v>9.5</v>
          </cell>
          <cell r="CJ291">
            <v>4.5</v>
          </cell>
          <cell r="CK291">
            <v>4.5</v>
          </cell>
          <cell r="CM291">
            <v>66.332999999999998</v>
          </cell>
          <cell r="CN291">
            <v>85</v>
          </cell>
          <cell r="CO291">
            <v>109.16666666666667</v>
          </cell>
          <cell r="CP291">
            <v>145</v>
          </cell>
          <cell r="CR291">
            <v>107.5</v>
          </cell>
          <cell r="CS291">
            <v>100</v>
          </cell>
          <cell r="CT291">
            <v>69</v>
          </cell>
          <cell r="CU291">
            <v>40</v>
          </cell>
          <cell r="DB291">
            <v>1949</v>
          </cell>
          <cell r="DC291">
            <v>1878</v>
          </cell>
          <cell r="DD291">
            <v>2195</v>
          </cell>
          <cell r="DE291">
            <v>2400</v>
          </cell>
          <cell r="DG291">
            <v>690</v>
          </cell>
          <cell r="DH291">
            <v>485</v>
          </cell>
          <cell r="DI291">
            <v>190</v>
          </cell>
          <cell r="DJ291">
            <v>0</v>
          </cell>
          <cell r="DL291">
            <v>0</v>
          </cell>
          <cell r="DM291">
            <v>0</v>
          </cell>
          <cell r="DN291">
            <v>0</v>
          </cell>
          <cell r="DO291">
            <v>0</v>
          </cell>
          <cell r="DT291">
            <v>0</v>
          </cell>
          <cell r="DU291">
            <v>26</v>
          </cell>
          <cell r="DV291">
            <v>34</v>
          </cell>
          <cell r="DW291">
            <v>58.333333333333329</v>
          </cell>
          <cell r="DZ291">
            <v>26.333333333333332</v>
          </cell>
          <cell r="EP291" t="str">
            <v>--</v>
          </cell>
          <cell r="EQ291">
            <v>15.666666666666666</v>
          </cell>
          <cell r="ER291">
            <v>401.99966666666671</v>
          </cell>
          <cell r="ES291">
            <v>316.5</v>
          </cell>
          <cell r="EU291">
            <v>8422</v>
          </cell>
          <cell r="EV291">
            <v>1365</v>
          </cell>
          <cell r="EW291">
            <v>0</v>
          </cell>
          <cell r="EY291">
            <v>70.832999999999998</v>
          </cell>
          <cell r="EZ291">
            <v>446.66666666666669</v>
          </cell>
          <cell r="FA291">
            <v>2158</v>
          </cell>
          <cell r="FC291">
            <v>7143</v>
          </cell>
        </row>
        <row r="292">
          <cell r="A292" t="str">
            <v>Organic Growth (Yr-Yr)</v>
          </cell>
          <cell r="D292" t="str">
            <v>--</v>
          </cell>
          <cell r="E292" t="str">
            <v>--</v>
          </cell>
          <cell r="F292" t="str">
            <v>--</v>
          </cell>
          <cell r="G292" t="str">
            <v>--</v>
          </cell>
          <cell r="I292">
            <v>0.37602433878011676</v>
          </cell>
          <cell r="J292">
            <v>0.30786548473336151</v>
          </cell>
          <cell r="K292">
            <v>0.30997280145058936</v>
          </cell>
          <cell r="L292">
            <v>0.22602573440155393</v>
          </cell>
          <cell r="N292">
            <v>9.6533770772412764E-2</v>
          </cell>
          <cell r="O292">
            <v>0.19580419580419561</v>
          </cell>
          <cell r="P292">
            <v>0.33535192746902887</v>
          </cell>
          <cell r="Q292">
            <v>0.29062706270627059</v>
          </cell>
          <cell r="S292">
            <v>0.32867132867132853</v>
          </cell>
          <cell r="T292">
            <v>0.37811666031261915</v>
          </cell>
          <cell r="U292">
            <v>0.33849155621341587</v>
          </cell>
          <cell r="V292">
            <v>0.44589255895409918</v>
          </cell>
          <cell r="X292">
            <v>0.46702447127979041</v>
          </cell>
          <cell r="Y292">
            <v>0.26063711998987693</v>
          </cell>
          <cell r="Z292">
            <v>0.27709252339074486</v>
          </cell>
          <cell r="AA292">
            <v>0.27051540088150627</v>
          </cell>
          <cell r="AC292">
            <v>0.46702447127979041</v>
          </cell>
          <cell r="AD292">
            <v>0.26063711998987693</v>
          </cell>
          <cell r="AE292">
            <v>0.27709252339074486</v>
          </cell>
          <cell r="AF292">
            <v>0.27051540088150627</v>
          </cell>
          <cell r="AH292">
            <v>0.19119785258919575</v>
          </cell>
          <cell r="AI292">
            <v>0.2689348368118083</v>
          </cell>
          <cell r="AJ292">
            <v>0.2659223158763766</v>
          </cell>
          <cell r="AK292">
            <v>0.16561846169174044</v>
          </cell>
          <cell r="AM292">
            <v>0.19119785258919575</v>
          </cell>
          <cell r="AN292">
            <v>0.2689348368118083</v>
          </cell>
          <cell r="AO292">
            <v>0.2659223158763766</v>
          </cell>
          <cell r="AP292">
            <v>0.16561846169174044</v>
          </cell>
          <cell r="AR292">
            <v>0.19119785258919575</v>
          </cell>
          <cell r="AS292">
            <v>0.2689348368118083</v>
          </cell>
          <cell r="AT292">
            <v>0.2659223158763766</v>
          </cell>
          <cell r="AU292">
            <v>0.16561846169174044</v>
          </cell>
          <cell r="AW292" t="str">
            <v>--</v>
          </cell>
          <cell r="AX292" t="str">
            <v>--</v>
          </cell>
          <cell r="AY292" t="str">
            <v>--</v>
          </cell>
          <cell r="AZ292" t="str">
            <v>--</v>
          </cell>
          <cell r="BB292" t="str">
            <v>--</v>
          </cell>
          <cell r="BC292" t="str">
            <v>--</v>
          </cell>
          <cell r="BD292" t="str">
            <v>--</v>
          </cell>
          <cell r="BE292" t="str">
            <v>--</v>
          </cell>
          <cell r="BG292" t="str">
            <v>--</v>
          </cell>
          <cell r="BH292" t="str">
            <v>--</v>
          </cell>
          <cell r="BI292" t="str">
            <v>--</v>
          </cell>
          <cell r="BJ292" t="str">
            <v>--</v>
          </cell>
          <cell r="BL292" t="str">
            <v>--</v>
          </cell>
          <cell r="BM292" t="str">
            <v>--</v>
          </cell>
          <cell r="BN292" t="str">
            <v>--</v>
          </cell>
          <cell r="BO292" t="str">
            <v>--</v>
          </cell>
          <cell r="BQ292" t="str">
            <v>--</v>
          </cell>
          <cell r="BR292" t="str">
            <v>--</v>
          </cell>
          <cell r="BS292" t="str">
            <v>--</v>
          </cell>
          <cell r="BT292" t="str">
            <v>--</v>
          </cell>
          <cell r="BV292">
            <v>0.2415616679554875</v>
          </cell>
          <cell r="BW292">
            <v>0.17354299082834723</v>
          </cell>
          <cell r="BX292">
            <v>0.20147912053591077</v>
          </cell>
          <cell r="BY292">
            <v>0.2611653436144652</v>
          </cell>
          <cell r="CA292">
            <v>0.27085725185182463</v>
          </cell>
          <cell r="CB292">
            <v>0.37116389309652575</v>
          </cell>
          <cell r="CC292">
            <v>0.47441762511673979</v>
          </cell>
          <cell r="CD292">
            <v>0.6965165816134522</v>
          </cell>
          <cell r="CF292">
            <v>0.46569254164824336</v>
          </cell>
          <cell r="CH292">
            <v>0.2415616679554875</v>
          </cell>
          <cell r="CI292">
            <v>0.17354299082834723</v>
          </cell>
          <cell r="CJ292">
            <v>0.20147912053591077</v>
          </cell>
          <cell r="CK292">
            <v>0.2611653436144652</v>
          </cell>
          <cell r="CM292">
            <v>0.27784029606598848</v>
          </cell>
          <cell r="CN292">
            <v>0.37538054205437743</v>
          </cell>
          <cell r="CO292">
            <v>0.48373435547915111</v>
          </cell>
          <cell r="CP292">
            <v>0.67198409832118577</v>
          </cell>
          <cell r="CR292">
            <v>0.64574284502988566</v>
          </cell>
          <cell r="CS292">
            <v>0.15055495920317008</v>
          </cell>
          <cell r="CT292">
            <v>-0.34854195705692048</v>
          </cell>
          <cell r="CU292">
            <v>-0.58986678681428639</v>
          </cell>
          <cell r="DB292">
            <v>-0.6922213748114362</v>
          </cell>
          <cell r="DC292">
            <v>-0.55232643069065046</v>
          </cell>
          <cell r="DD292">
            <v>-0.45580104094503981</v>
          </cell>
          <cell r="DE292">
            <v>-0.52629675315487445</v>
          </cell>
          <cell r="DG292">
            <v>-0.16819002114596815</v>
          </cell>
          <cell r="DH292">
            <v>-0.14066155603311314</v>
          </cell>
          <cell r="DI292">
            <v>-8.2229373053747001E-2</v>
          </cell>
          <cell r="DJ292">
            <v>-1.0388063569542583E-2</v>
          </cell>
          <cell r="DL292">
            <v>0.12212195194110231</v>
          </cell>
          <cell r="DM292">
            <v>0.11134295446197373</v>
          </cell>
          <cell r="DN292">
            <v>0.11267577332427736</v>
          </cell>
          <cell r="DO292">
            <v>0.13845709039080534</v>
          </cell>
          <cell r="DT292">
            <v>0.30122973981056567</v>
          </cell>
          <cell r="DU292">
            <v>0.23160912052117255</v>
          </cell>
          <cell r="DV292">
            <v>0.37718205603466282</v>
          </cell>
          <cell r="DW292">
            <v>0.30860080379463484</v>
          </cell>
          <cell r="DZ292">
            <v>0.22194375559053925</v>
          </cell>
          <cell r="EP292" t="str">
            <v>--</v>
          </cell>
          <cell r="EQ292">
            <v>0.37856193543629835</v>
          </cell>
          <cell r="ER292">
            <v>0.46421985277039424</v>
          </cell>
          <cell r="ES292">
            <v>-0.11831609619207084</v>
          </cell>
          <cell r="EU292">
            <v>-0.58124199136270682</v>
          </cell>
          <cell r="EV292">
            <v>-9.7533417780468201E-2</v>
          </cell>
          <cell r="EW292">
            <v>0.12129762852677439</v>
          </cell>
          <cell r="EY292" t="str">
            <v>--</v>
          </cell>
          <cell r="EZ292">
            <v>0.55563752983244785</v>
          </cell>
          <cell r="FA292">
            <v>-0.42367081495413239</v>
          </cell>
          <cell r="FC292">
            <v>-0.34429029397769184</v>
          </cell>
          <cell r="FD292">
            <v>-2.4373759249787685E-2</v>
          </cell>
          <cell r="FX292">
            <v>-0.34634986775722931</v>
          </cell>
          <cell r="FY292">
            <v>-0.4566567213321624</v>
          </cell>
        </row>
        <row r="294">
          <cell r="A294" t="str">
            <v>Incremental Acq. Rev (Seq.)</v>
          </cell>
          <cell r="CM294">
            <v>63</v>
          </cell>
          <cell r="CN294">
            <v>23</v>
          </cell>
          <cell r="CO294">
            <v>24</v>
          </cell>
          <cell r="CP294">
            <v>36</v>
          </cell>
          <cell r="CR294">
            <v>25</v>
          </cell>
          <cell r="CS294">
            <v>10</v>
          </cell>
          <cell r="CT294">
            <v>0</v>
          </cell>
          <cell r="CU294">
            <v>15</v>
          </cell>
          <cell r="DB294">
            <v>1949</v>
          </cell>
          <cell r="DC294">
            <v>200</v>
          </cell>
          <cell r="DD294">
            <v>300</v>
          </cell>
          <cell r="DE294">
            <v>185</v>
          </cell>
          <cell r="DG294">
            <v>80</v>
          </cell>
          <cell r="DH294">
            <v>0</v>
          </cell>
          <cell r="DI294">
            <v>0</v>
          </cell>
          <cell r="DJ294">
            <v>0</v>
          </cell>
          <cell r="DL294">
            <v>0</v>
          </cell>
          <cell r="DM294">
            <v>0</v>
          </cell>
          <cell r="DN294">
            <v>0</v>
          </cell>
          <cell r="DO294">
            <v>0</v>
          </cell>
          <cell r="EP294">
            <v>0</v>
          </cell>
          <cell r="EQ294">
            <v>0</v>
          </cell>
          <cell r="ER294">
            <v>0</v>
          </cell>
          <cell r="ES294">
            <v>63</v>
          </cell>
          <cell r="EU294">
            <v>110</v>
          </cell>
          <cell r="EV294">
            <v>146</v>
          </cell>
          <cell r="EW294">
            <v>83</v>
          </cell>
          <cell r="EY294">
            <v>71</v>
          </cell>
          <cell r="EZ294">
            <v>35</v>
          </cell>
          <cell r="FA294">
            <v>50</v>
          </cell>
          <cell r="FC294">
            <v>25</v>
          </cell>
          <cell r="FD294">
            <v>15</v>
          </cell>
          <cell r="FX294">
            <v>210</v>
          </cell>
          <cell r="FY294">
            <v>210</v>
          </cell>
        </row>
        <row r="295">
          <cell r="A295" t="str">
            <v>Organic Growth (Seq.)</v>
          </cell>
          <cell r="CM295">
            <v>5.9320758640313498E-2</v>
          </cell>
          <cell r="CN295">
            <v>0.10509640475067306</v>
          </cell>
          <cell r="CO295">
            <v>0.12002218571467749</v>
          </cell>
          <cell r="CP295">
            <v>0.22558374195116482</v>
          </cell>
          <cell r="CR295">
            <v>6.8288123159111924E-2</v>
          </cell>
          <cell r="CS295">
            <v>-0.20492659051637385</v>
          </cell>
          <cell r="CT295">
            <v>-0.34801677051693425</v>
          </cell>
          <cell r="CU295">
            <v>-0.24576939024107591</v>
          </cell>
          <cell r="DB295">
            <v>-0.23888989690996243</v>
          </cell>
          <cell r="DC295">
            <v>-8.1033917415106682E-2</v>
          </cell>
          <cell r="DD295">
            <v>-3.8824406187519145E-2</v>
          </cell>
          <cell r="DE295">
            <v>-4.5100000000000029E-2</v>
          </cell>
          <cell r="DG295">
            <v>-2.7210096353584734E-2</v>
          </cell>
          <cell r="DH295">
            <v>-4.9953691478250017E-2</v>
          </cell>
          <cell r="DI295">
            <v>1.3808044878346193E-2</v>
          </cell>
          <cell r="DJ295">
            <v>2.4804739673824017E-2</v>
          </cell>
          <cell r="DL295">
            <v>0.13683758978546567</v>
          </cell>
          <cell r="DM295">
            <v>-5.907974658027948E-2</v>
          </cell>
          <cell r="DN295">
            <v>1.5023891417476287E-2</v>
          </cell>
          <cell r="DO295">
            <v>4.8550035975077677E-2</v>
          </cell>
          <cell r="EP295">
            <v>0</v>
          </cell>
          <cell r="EQ295">
            <v>0</v>
          </cell>
          <cell r="ER295">
            <v>0</v>
          </cell>
          <cell r="ES295">
            <v>5.9320758640313498E-2</v>
          </cell>
          <cell r="EU295">
            <v>0.28443934910566404</v>
          </cell>
          <cell r="EV295">
            <v>0.51002309105682886</v>
          </cell>
          <cell r="EW295">
            <v>0.45070233241651536</v>
          </cell>
          <cell r="EY295">
            <v>8.894527459390289E-2</v>
          </cell>
          <cell r="EZ295">
            <v>-0.48465523787419618</v>
          </cell>
          <cell r="FA295">
            <v>-0.73042462811527209</v>
          </cell>
          <cell r="FC295">
            <v>-0.79871275127438401</v>
          </cell>
        </row>
        <row r="297">
          <cell r="A297" t="str">
            <v>Incremental Y/Y Revenue From Acquisitions:</v>
          </cell>
        </row>
        <row r="299">
          <cell r="A299" t="str">
            <v>Assets from Hewlett-Packard (6/02)</v>
          </cell>
          <cell r="DB299">
            <v>0</v>
          </cell>
          <cell r="DC299">
            <v>0</v>
          </cell>
          <cell r="DD299">
            <v>25</v>
          </cell>
          <cell r="DE299">
            <v>185</v>
          </cell>
          <cell r="DG299">
            <v>185</v>
          </cell>
          <cell r="DH299">
            <v>185</v>
          </cell>
          <cell r="DI299">
            <v>165</v>
          </cell>
          <cell r="EQ299">
            <v>0</v>
          </cell>
          <cell r="ER299">
            <v>0</v>
          </cell>
          <cell r="ES299">
            <v>0</v>
          </cell>
          <cell r="EU299">
            <v>210</v>
          </cell>
          <cell r="EV299">
            <v>535</v>
          </cell>
          <cell r="EW299">
            <v>0</v>
          </cell>
          <cell r="EY299">
            <v>0</v>
          </cell>
          <cell r="EZ299">
            <v>0</v>
          </cell>
          <cell r="FA299">
            <v>0</v>
          </cell>
          <cell r="FC299">
            <v>395</v>
          </cell>
        </row>
        <row r="300">
          <cell r="A300" t="str">
            <v>Assets from Alcatel (4/02, 5/02, F4Q02E)</v>
          </cell>
          <cell r="DB300">
            <v>0</v>
          </cell>
          <cell r="DC300">
            <v>0</v>
          </cell>
          <cell r="DD300">
            <v>50</v>
          </cell>
          <cell r="DE300">
            <v>75</v>
          </cell>
          <cell r="DG300">
            <v>75</v>
          </cell>
          <cell r="DH300">
            <v>75</v>
          </cell>
          <cell r="DI300">
            <v>25</v>
          </cell>
          <cell r="DJ300">
            <v>0</v>
          </cell>
          <cell r="EQ300">
            <v>0</v>
          </cell>
          <cell r="ER300">
            <v>0</v>
          </cell>
          <cell r="ES300">
            <v>0</v>
          </cell>
          <cell r="EU300">
            <v>125</v>
          </cell>
          <cell r="EV300">
            <v>175</v>
          </cell>
          <cell r="EW300">
            <v>0</v>
          </cell>
          <cell r="EY300">
            <v>0</v>
          </cell>
          <cell r="EZ300">
            <v>0</v>
          </cell>
          <cell r="FA300">
            <v>0</v>
          </cell>
          <cell r="FC300">
            <v>200</v>
          </cell>
        </row>
        <row r="301">
          <cell r="A301" t="str">
            <v>IBM Assets (2/02)</v>
          </cell>
          <cell r="DB301">
            <v>0</v>
          </cell>
          <cell r="DC301">
            <v>200</v>
          </cell>
          <cell r="DD301">
            <v>425</v>
          </cell>
          <cell r="DE301">
            <v>425</v>
          </cell>
          <cell r="DG301">
            <v>425</v>
          </cell>
          <cell r="DH301">
            <v>225</v>
          </cell>
          <cell r="DI301">
            <v>0</v>
          </cell>
          <cell r="DJ301">
            <v>0</v>
          </cell>
          <cell r="EQ301">
            <v>0</v>
          </cell>
          <cell r="ER301">
            <v>0</v>
          </cell>
          <cell r="ES301">
            <v>0</v>
          </cell>
          <cell r="EU301">
            <v>1050</v>
          </cell>
          <cell r="EV301">
            <v>650</v>
          </cell>
          <cell r="EW301">
            <v>0</v>
          </cell>
          <cell r="EY301">
            <v>0</v>
          </cell>
          <cell r="EZ301">
            <v>0</v>
          </cell>
          <cell r="FA301">
            <v>0</v>
          </cell>
          <cell r="FC301">
            <v>1475</v>
          </cell>
          <cell r="FD301">
            <v>225</v>
          </cell>
          <cell r="FX301">
            <v>350</v>
          </cell>
          <cell r="FY301">
            <v>350</v>
          </cell>
        </row>
        <row r="302">
          <cell r="A302" t="str">
            <v>Davos Group Ltd. (1/02)</v>
          </cell>
          <cell r="DB302">
            <v>0</v>
          </cell>
          <cell r="DC302">
            <v>5</v>
          </cell>
          <cell r="DD302">
            <v>5</v>
          </cell>
          <cell r="DE302">
            <v>5</v>
          </cell>
          <cell r="DG302">
            <v>5</v>
          </cell>
          <cell r="DH302">
            <v>0</v>
          </cell>
          <cell r="DI302">
            <v>0</v>
          </cell>
          <cell r="DJ302">
            <v>0</v>
          </cell>
          <cell r="EQ302">
            <v>0</v>
          </cell>
          <cell r="ER302">
            <v>0</v>
          </cell>
          <cell r="ES302">
            <v>0</v>
          </cell>
          <cell r="EU302">
            <v>15</v>
          </cell>
          <cell r="EV302">
            <v>5</v>
          </cell>
          <cell r="EW302">
            <v>0</v>
          </cell>
          <cell r="EY302">
            <v>0</v>
          </cell>
          <cell r="EZ302">
            <v>0</v>
          </cell>
          <cell r="FA302">
            <v>0</v>
          </cell>
          <cell r="FC302">
            <v>0</v>
          </cell>
        </row>
        <row r="303">
          <cell r="A303" t="str">
            <v>SCI incl. Assets from IBM Japan (12/01)</v>
          </cell>
          <cell r="CW303">
            <v>2595.364</v>
          </cell>
          <cell r="CX303">
            <v>2016.569</v>
          </cell>
          <cell r="CY303">
            <v>2074.0169999999998</v>
          </cell>
          <cell r="CZ303">
            <v>1772.664</v>
          </cell>
          <cell r="DB303">
            <v>1900</v>
          </cell>
          <cell r="DC303">
            <v>1610</v>
          </cell>
          <cell r="DD303">
            <v>1600</v>
          </cell>
          <cell r="DE303">
            <v>1600</v>
          </cell>
          <cell r="DG303">
            <v>0</v>
          </cell>
          <cell r="DH303">
            <v>0</v>
          </cell>
          <cell r="DI303">
            <v>0</v>
          </cell>
          <cell r="DJ303">
            <v>0</v>
          </cell>
          <cell r="EQ303">
            <v>0</v>
          </cell>
          <cell r="ER303">
            <v>0</v>
          </cell>
          <cell r="ES303">
            <v>0</v>
          </cell>
          <cell r="ET303">
            <v>8458.6139999999996</v>
          </cell>
          <cell r="EU303">
            <v>6710</v>
          </cell>
          <cell r="EV303">
            <v>0</v>
          </cell>
          <cell r="EW303">
            <v>0</v>
          </cell>
          <cell r="EY303">
            <v>0</v>
          </cell>
          <cell r="EZ303">
            <v>0</v>
          </cell>
          <cell r="FA303">
            <v>1900</v>
          </cell>
          <cell r="FC303">
            <v>4810</v>
          </cell>
        </row>
        <row r="304">
          <cell r="A304" t="str">
            <v>EM Solutions (10/01)</v>
          </cell>
          <cell r="DB304">
            <v>27</v>
          </cell>
          <cell r="DC304">
            <v>33</v>
          </cell>
          <cell r="DD304">
            <v>45</v>
          </cell>
          <cell r="DE304">
            <v>55</v>
          </cell>
          <cell r="DG304">
            <v>0</v>
          </cell>
          <cell r="DH304">
            <v>0</v>
          </cell>
          <cell r="DI304">
            <v>0</v>
          </cell>
          <cell r="DJ304">
            <v>0</v>
          </cell>
          <cell r="EQ304">
            <v>0</v>
          </cell>
          <cell r="ER304">
            <v>0</v>
          </cell>
          <cell r="ES304">
            <v>0</v>
          </cell>
          <cell r="EU304">
            <v>160</v>
          </cell>
          <cell r="EV304">
            <v>0</v>
          </cell>
          <cell r="EW304">
            <v>0</v>
          </cell>
          <cell r="EY304">
            <v>0</v>
          </cell>
          <cell r="EZ304">
            <v>0</v>
          </cell>
          <cell r="FA304">
            <v>27</v>
          </cell>
          <cell r="FC304">
            <v>133</v>
          </cell>
        </row>
        <row r="305">
          <cell r="A305" t="str">
            <v>Assets from Alcatel (8/01)</v>
          </cell>
          <cell r="CU305">
            <v>15</v>
          </cell>
          <cell r="DB305">
            <v>22</v>
          </cell>
          <cell r="DC305">
            <v>30</v>
          </cell>
          <cell r="DD305">
            <v>45</v>
          </cell>
          <cell r="DE305">
            <v>55</v>
          </cell>
          <cell r="DG305">
            <v>0</v>
          </cell>
          <cell r="DH305">
            <v>0</v>
          </cell>
          <cell r="DI305">
            <v>0</v>
          </cell>
          <cell r="DJ305">
            <v>0</v>
          </cell>
          <cell r="EQ305">
            <v>0</v>
          </cell>
          <cell r="ER305">
            <v>0</v>
          </cell>
          <cell r="ES305">
            <v>15</v>
          </cell>
          <cell r="EU305">
            <v>152</v>
          </cell>
          <cell r="EV305">
            <v>0</v>
          </cell>
          <cell r="EW305">
            <v>0</v>
          </cell>
          <cell r="EY305">
            <v>0</v>
          </cell>
          <cell r="EZ305">
            <v>0</v>
          </cell>
          <cell r="FA305">
            <v>37</v>
          </cell>
          <cell r="FC305">
            <v>130</v>
          </cell>
        </row>
        <row r="306">
          <cell r="A306" t="str">
            <v>INBOARD division of Siemens (12/00)</v>
          </cell>
          <cell r="CS306" t="str">
            <v xml:space="preserve"> --</v>
          </cell>
          <cell r="CT306" t="str">
            <v xml:space="preserve"> --</v>
          </cell>
          <cell r="CU306" t="str">
            <v xml:space="preserve"> --</v>
          </cell>
          <cell r="EQ306">
            <v>0</v>
          </cell>
          <cell r="ER306">
            <v>0</v>
          </cell>
          <cell r="ES306">
            <v>0</v>
          </cell>
          <cell r="EU306">
            <v>0</v>
          </cell>
          <cell r="EV306">
            <v>0</v>
          </cell>
          <cell r="EW306">
            <v>0</v>
          </cell>
          <cell r="EY306">
            <v>0</v>
          </cell>
          <cell r="EZ306">
            <v>0</v>
          </cell>
          <cell r="FA306">
            <v>0</v>
          </cell>
          <cell r="FC306">
            <v>0</v>
          </cell>
        </row>
        <row r="307">
          <cell r="A307" t="str">
            <v>Assets from Avaya/Lucent (10/00)</v>
          </cell>
          <cell r="CF307">
            <v>25</v>
          </cell>
          <cell r="CR307">
            <v>25</v>
          </cell>
          <cell r="CS307">
            <v>35</v>
          </cell>
          <cell r="CT307">
            <v>35</v>
          </cell>
          <cell r="CU307">
            <v>25</v>
          </cell>
          <cell r="EQ307">
            <v>0</v>
          </cell>
          <cell r="ER307">
            <v>0</v>
          </cell>
          <cell r="ES307">
            <v>120</v>
          </cell>
          <cell r="EU307">
            <v>0</v>
          </cell>
          <cell r="EV307">
            <v>0</v>
          </cell>
          <cell r="EW307">
            <v>0</v>
          </cell>
          <cell r="EY307">
            <v>0</v>
          </cell>
          <cell r="EZ307">
            <v>25</v>
          </cell>
          <cell r="FA307">
            <v>95</v>
          </cell>
          <cell r="FC307">
            <v>0</v>
          </cell>
        </row>
        <row r="308">
          <cell r="A308" t="str">
            <v>Assets from Nortel (8/00)</v>
          </cell>
          <cell r="CS308" t="str">
            <v xml:space="preserve"> --</v>
          </cell>
          <cell r="CT308" t="str">
            <v xml:space="preserve"> --</v>
          </cell>
          <cell r="EQ308">
            <v>0</v>
          </cell>
          <cell r="ER308">
            <v>0</v>
          </cell>
          <cell r="ES308">
            <v>0</v>
          </cell>
          <cell r="EU308">
            <v>0</v>
          </cell>
          <cell r="EV308">
            <v>0</v>
          </cell>
          <cell r="EW308">
            <v>0</v>
          </cell>
          <cell r="EY308">
            <v>0</v>
          </cell>
          <cell r="EZ308">
            <v>0</v>
          </cell>
          <cell r="FA308">
            <v>0</v>
          </cell>
          <cell r="FC308">
            <v>0</v>
          </cell>
          <cell r="FD308">
            <v>0</v>
          </cell>
        </row>
        <row r="309">
          <cell r="A309" t="str">
            <v>Ocean Manufacturing (7/00)</v>
          </cell>
          <cell r="CD309">
            <v>27.5</v>
          </cell>
          <cell r="CF309">
            <v>27.5</v>
          </cell>
          <cell r="CP309">
            <v>27.5</v>
          </cell>
          <cell r="CR309">
            <v>27.5</v>
          </cell>
          <cell r="CS309">
            <v>27.5</v>
          </cell>
          <cell r="CT309">
            <v>25</v>
          </cell>
          <cell r="EQ309">
            <v>0</v>
          </cell>
          <cell r="ER309">
            <v>27.5</v>
          </cell>
          <cell r="ES309">
            <v>80</v>
          </cell>
          <cell r="EU309">
            <v>0</v>
          </cell>
          <cell r="EV309">
            <v>0</v>
          </cell>
          <cell r="EW309">
            <v>0</v>
          </cell>
          <cell r="EY309">
            <v>0</v>
          </cell>
          <cell r="EZ309">
            <v>55</v>
          </cell>
          <cell r="FA309">
            <v>52.5</v>
          </cell>
          <cell r="FC309">
            <v>0</v>
          </cell>
        </row>
        <row r="310">
          <cell r="A310" t="str">
            <v>InterWorks (6/00)</v>
          </cell>
          <cell r="CC310">
            <v>4.166666666666667</v>
          </cell>
          <cell r="CD310">
            <v>12.5</v>
          </cell>
          <cell r="CF310">
            <v>12.5</v>
          </cell>
          <cell r="CO310">
            <v>4.166666666666667</v>
          </cell>
          <cell r="CP310">
            <v>12.5</v>
          </cell>
          <cell r="CR310">
            <v>12.5</v>
          </cell>
          <cell r="CS310">
            <v>12.5</v>
          </cell>
          <cell r="CT310">
            <v>9</v>
          </cell>
          <cell r="EQ310">
            <v>0</v>
          </cell>
          <cell r="ER310">
            <v>16.666666666666668</v>
          </cell>
          <cell r="ES310">
            <v>34</v>
          </cell>
          <cell r="EU310">
            <v>0</v>
          </cell>
          <cell r="EV310">
            <v>0</v>
          </cell>
          <cell r="EW310">
            <v>0</v>
          </cell>
          <cell r="EY310">
            <v>0</v>
          </cell>
          <cell r="EZ310">
            <v>29.166666666666668</v>
          </cell>
          <cell r="FA310">
            <v>21.5</v>
          </cell>
          <cell r="FC310">
            <v>0</v>
          </cell>
        </row>
        <row r="311">
          <cell r="A311" t="str">
            <v>Alcatel assets (3/00)</v>
          </cell>
          <cell r="BC311">
            <v>7.5</v>
          </cell>
          <cell r="CB311">
            <v>7.5</v>
          </cell>
          <cell r="CC311">
            <v>22.5</v>
          </cell>
          <cell r="CD311">
            <v>22.5</v>
          </cell>
          <cell r="CF311">
            <v>22.5</v>
          </cell>
          <cell r="CN311">
            <v>7.5</v>
          </cell>
          <cell r="CO311">
            <v>22.5</v>
          </cell>
          <cell r="CP311">
            <v>22.5</v>
          </cell>
          <cell r="CR311">
            <v>22.5</v>
          </cell>
          <cell r="CS311">
            <v>15</v>
          </cell>
          <cell r="EQ311">
            <v>0</v>
          </cell>
          <cell r="ER311">
            <v>52.5</v>
          </cell>
          <cell r="ES311">
            <v>37.5</v>
          </cell>
          <cell r="EU311">
            <v>0</v>
          </cell>
          <cell r="EV311">
            <v>0</v>
          </cell>
          <cell r="EW311">
            <v>0</v>
          </cell>
          <cell r="EY311">
            <v>0</v>
          </cell>
          <cell r="EZ311">
            <v>75</v>
          </cell>
          <cell r="FA311">
            <v>15</v>
          </cell>
          <cell r="FC311">
            <v>0</v>
          </cell>
        </row>
        <row r="312">
          <cell r="A312" t="str">
            <v>Harris assets (2/00)</v>
          </cell>
          <cell r="BC312">
            <v>10</v>
          </cell>
          <cell r="CB312">
            <v>10</v>
          </cell>
          <cell r="CC312">
            <v>15</v>
          </cell>
          <cell r="CD312">
            <v>15</v>
          </cell>
          <cell r="CF312">
            <v>15</v>
          </cell>
          <cell r="CN312">
            <v>10</v>
          </cell>
          <cell r="CO312">
            <v>15</v>
          </cell>
          <cell r="CP312">
            <v>15</v>
          </cell>
          <cell r="CR312">
            <v>15</v>
          </cell>
          <cell r="CS312">
            <v>5</v>
          </cell>
          <cell r="EQ312">
            <v>0</v>
          </cell>
          <cell r="ER312">
            <v>40</v>
          </cell>
          <cell r="ES312">
            <v>20</v>
          </cell>
          <cell r="EU312">
            <v>0</v>
          </cell>
          <cell r="EV312">
            <v>0</v>
          </cell>
          <cell r="EW312">
            <v>0</v>
          </cell>
          <cell r="EY312">
            <v>0</v>
          </cell>
          <cell r="EZ312">
            <v>55</v>
          </cell>
          <cell r="FA312">
            <v>5</v>
          </cell>
          <cell r="FC312">
            <v>0</v>
          </cell>
        </row>
        <row r="313">
          <cell r="A313" t="str">
            <v>Nortel's Wireless EMSS assets - France - (11/99)</v>
          </cell>
          <cell r="BB313">
            <v>10</v>
          </cell>
          <cell r="BC313">
            <v>15</v>
          </cell>
          <cell r="CA313">
            <v>10</v>
          </cell>
          <cell r="CB313">
            <v>15</v>
          </cell>
          <cell r="CC313">
            <v>15</v>
          </cell>
          <cell r="CD313">
            <v>15</v>
          </cell>
          <cell r="CF313">
            <v>5</v>
          </cell>
          <cell r="CM313">
            <v>10</v>
          </cell>
          <cell r="CN313">
            <v>15</v>
          </cell>
          <cell r="CO313">
            <v>15</v>
          </cell>
          <cell r="CP313">
            <v>15</v>
          </cell>
          <cell r="CR313">
            <v>5</v>
          </cell>
          <cell r="CS313">
            <v>5</v>
          </cell>
          <cell r="EQ313">
            <v>0</v>
          </cell>
          <cell r="ER313">
            <v>55</v>
          </cell>
          <cell r="ES313">
            <v>10</v>
          </cell>
          <cell r="EU313">
            <v>0</v>
          </cell>
          <cell r="EV313">
            <v>0</v>
          </cell>
          <cell r="EW313">
            <v>0</v>
          </cell>
          <cell r="EY313">
            <v>10</v>
          </cell>
          <cell r="EZ313">
            <v>50</v>
          </cell>
          <cell r="FA313">
            <v>5</v>
          </cell>
          <cell r="FC313">
            <v>0</v>
          </cell>
        </row>
        <row r="314">
          <cell r="A314" t="str">
            <v>Devtek Elec. Packaging Systems (10/99)</v>
          </cell>
          <cell r="BB314">
            <v>17.5</v>
          </cell>
          <cell r="BC314">
            <v>17.5</v>
          </cell>
          <cell r="CA314">
            <v>17.5</v>
          </cell>
          <cell r="CB314">
            <v>17.5</v>
          </cell>
          <cell r="CC314">
            <v>17.5</v>
          </cell>
          <cell r="CD314">
            <v>17.5</v>
          </cell>
          <cell r="CM314">
            <v>17.5</v>
          </cell>
          <cell r="CN314">
            <v>17.5</v>
          </cell>
          <cell r="CO314">
            <v>17.5</v>
          </cell>
          <cell r="CP314">
            <v>17.5</v>
          </cell>
          <cell r="EQ314">
            <v>0</v>
          </cell>
          <cell r="ER314">
            <v>70</v>
          </cell>
          <cell r="ES314">
            <v>0</v>
          </cell>
          <cell r="EU314">
            <v>0</v>
          </cell>
          <cell r="EV314">
            <v>0</v>
          </cell>
          <cell r="EW314">
            <v>0</v>
          </cell>
          <cell r="EY314">
            <v>17.5</v>
          </cell>
          <cell r="EZ314">
            <v>52.5</v>
          </cell>
          <cell r="FA314">
            <v>0</v>
          </cell>
          <cell r="FC314">
            <v>0</v>
          </cell>
          <cell r="FD314">
            <v>0</v>
          </cell>
        </row>
        <row r="315">
          <cell r="A315" t="str">
            <v>Nortel's Wireless EMSS assets - Canada - (10/99)</v>
          </cell>
          <cell r="BB315">
            <v>35</v>
          </cell>
          <cell r="BC315">
            <v>35</v>
          </cell>
          <cell r="CA315">
            <v>35</v>
          </cell>
          <cell r="CB315">
            <v>35</v>
          </cell>
          <cell r="CC315">
            <v>35</v>
          </cell>
          <cell r="CD315">
            <v>35</v>
          </cell>
          <cell r="CM315">
            <v>35</v>
          </cell>
          <cell r="CN315">
            <v>35</v>
          </cell>
          <cell r="CO315">
            <v>35</v>
          </cell>
          <cell r="CP315">
            <v>35</v>
          </cell>
          <cell r="EQ315">
            <v>0</v>
          </cell>
          <cell r="ER315">
            <v>140</v>
          </cell>
          <cell r="ES315">
            <v>0</v>
          </cell>
          <cell r="EU315">
            <v>0</v>
          </cell>
          <cell r="EV315">
            <v>0</v>
          </cell>
          <cell r="EW315">
            <v>0</v>
          </cell>
          <cell r="EY315">
            <v>35</v>
          </cell>
          <cell r="EZ315">
            <v>105</v>
          </cell>
          <cell r="FA315">
            <v>0</v>
          </cell>
          <cell r="FC315">
            <v>0</v>
          </cell>
        </row>
        <row r="316">
          <cell r="A316" t="str">
            <v>Accurate Metal (2/99)</v>
          </cell>
          <cell r="EQ316">
            <v>0</v>
          </cell>
          <cell r="ER316">
            <v>0</v>
          </cell>
          <cell r="ES316">
            <v>0</v>
          </cell>
          <cell r="EU316">
            <v>0</v>
          </cell>
          <cell r="EV316">
            <v>0</v>
          </cell>
          <cell r="EW316">
            <v>0</v>
          </cell>
          <cell r="EY316">
            <v>0</v>
          </cell>
          <cell r="EZ316">
            <v>0</v>
          </cell>
          <cell r="FA316">
            <v>0</v>
          </cell>
          <cell r="FC316">
            <v>0</v>
          </cell>
        </row>
        <row r="317">
          <cell r="A317" t="str">
            <v>Randcor &amp; Aero Turnkey (12/98)</v>
          </cell>
          <cell r="AX317">
            <v>3.5</v>
          </cell>
          <cell r="AY317">
            <v>3.5</v>
          </cell>
          <cell r="AZ317">
            <v>3.5</v>
          </cell>
          <cell r="BB317">
            <v>3.5</v>
          </cell>
          <cell r="BH317">
            <v>3.5</v>
          </cell>
          <cell r="BI317">
            <v>3.5</v>
          </cell>
          <cell r="BJ317">
            <v>3.5</v>
          </cell>
          <cell r="BL317">
            <v>3.5</v>
          </cell>
          <cell r="BW317">
            <v>3.5</v>
          </cell>
          <cell r="BX317">
            <v>3.5</v>
          </cell>
          <cell r="BY317">
            <v>3.5</v>
          </cell>
          <cell r="CA317">
            <v>3.5</v>
          </cell>
          <cell r="CI317">
            <v>3.5</v>
          </cell>
          <cell r="CJ317">
            <v>3.5</v>
          </cell>
          <cell r="CK317">
            <v>3.5</v>
          </cell>
          <cell r="CM317">
            <v>3.5</v>
          </cell>
        </row>
        <row r="318">
          <cell r="A318" t="str">
            <v>Harris assets (11/98)</v>
          </cell>
          <cell r="AW318">
            <v>0.66666666666666663</v>
          </cell>
          <cell r="AX318">
            <v>1</v>
          </cell>
          <cell r="AY318">
            <v>1</v>
          </cell>
          <cell r="AZ318">
            <v>1</v>
          </cell>
          <cell r="BB318">
            <v>0.33333333333333331</v>
          </cell>
          <cell r="BG318">
            <v>0.66666666666666663</v>
          </cell>
          <cell r="BH318">
            <v>1</v>
          </cell>
          <cell r="BI318">
            <v>1</v>
          </cell>
          <cell r="BJ318">
            <v>1</v>
          </cell>
          <cell r="BV318">
            <v>0.66666666666666663</v>
          </cell>
          <cell r="BW318">
            <v>1</v>
          </cell>
          <cell r="BX318">
            <v>1</v>
          </cell>
          <cell r="BY318">
            <v>1</v>
          </cell>
          <cell r="CA318">
            <v>0.33333333333333331</v>
          </cell>
          <cell r="CH318">
            <v>0.66666666666666663</v>
          </cell>
          <cell r="CI318">
            <v>1</v>
          </cell>
          <cell r="CJ318">
            <v>1</v>
          </cell>
          <cell r="CK318">
            <v>1</v>
          </cell>
          <cell r="CM318">
            <v>0.33300000000000002</v>
          </cell>
          <cell r="EQ318">
            <v>3.6666666666666665</v>
          </cell>
          <cell r="ER318">
            <v>0.33300000000000002</v>
          </cell>
          <cell r="ES318">
            <v>0</v>
          </cell>
          <cell r="EU318">
            <v>0</v>
          </cell>
          <cell r="EV318">
            <v>0</v>
          </cell>
          <cell r="EW318">
            <v>0</v>
          </cell>
          <cell r="EY318">
            <v>3.3330000000000002</v>
          </cell>
          <cell r="EZ318">
            <v>0</v>
          </cell>
          <cell r="FA318">
            <v>0</v>
          </cell>
          <cell r="FC318">
            <v>0</v>
          </cell>
        </row>
        <row r="319">
          <cell r="A319" t="str">
            <v>Pragmatech (2/98)</v>
          </cell>
          <cell r="AI319">
            <v>2.333333333333333</v>
          </cell>
          <cell r="AJ319">
            <v>7</v>
          </cell>
          <cell r="AK319">
            <v>7</v>
          </cell>
          <cell r="AN319">
            <v>2.333333333333333</v>
          </cell>
          <cell r="AO319">
            <v>7</v>
          </cell>
          <cell r="AP319">
            <v>7</v>
          </cell>
          <cell r="AS319">
            <v>2.333333333333333</v>
          </cell>
          <cell r="AT319">
            <v>7</v>
          </cell>
          <cell r="AU319">
            <v>7</v>
          </cell>
          <cell r="AW319">
            <v>7</v>
          </cell>
          <cell r="AX319">
            <v>5</v>
          </cell>
          <cell r="BG319">
            <v>7</v>
          </cell>
          <cell r="BH319">
            <v>5</v>
          </cell>
          <cell r="BR319">
            <v>2.333333333333333</v>
          </cell>
          <cell r="BS319">
            <v>7</v>
          </cell>
          <cell r="BT319">
            <v>7</v>
          </cell>
          <cell r="BV319">
            <v>7</v>
          </cell>
          <cell r="BW319">
            <v>5</v>
          </cell>
          <cell r="CH319">
            <v>7</v>
          </cell>
          <cell r="CI319">
            <v>5</v>
          </cell>
          <cell r="EQ319">
            <v>12</v>
          </cell>
          <cell r="ER319">
            <v>0</v>
          </cell>
          <cell r="ES319">
            <v>0</v>
          </cell>
          <cell r="EU319">
            <v>0</v>
          </cell>
          <cell r="EV319">
            <v>0</v>
          </cell>
          <cell r="EW319">
            <v>0</v>
          </cell>
          <cell r="EY319">
            <v>5</v>
          </cell>
          <cell r="EZ319">
            <v>0</v>
          </cell>
          <cell r="FA319">
            <v>0</v>
          </cell>
          <cell r="FC319">
            <v>0</v>
          </cell>
        </row>
        <row r="320">
          <cell r="A320" t="str">
            <v>Comptronix (11/96)</v>
          </cell>
          <cell r="X320">
            <v>2.333333333333333</v>
          </cell>
          <cell r="Y320">
            <v>7</v>
          </cell>
          <cell r="Z320">
            <v>7</v>
          </cell>
          <cell r="AA320">
            <v>7</v>
          </cell>
          <cell r="AC320">
            <v>2.333333333333333</v>
          </cell>
          <cell r="AD320">
            <v>7</v>
          </cell>
          <cell r="AE320">
            <v>7</v>
          </cell>
          <cell r="AF320">
            <v>7</v>
          </cell>
          <cell r="AH320">
            <v>5</v>
          </cell>
          <cell r="AM320">
            <v>5</v>
          </cell>
          <cell r="AR320">
            <v>5</v>
          </cell>
          <cell r="BQ320">
            <v>5</v>
          </cell>
        </row>
        <row r="321">
          <cell r="A321" t="str">
            <v>Assets from Lucent (11/96)</v>
          </cell>
          <cell r="X321">
            <v>2.5</v>
          </cell>
          <cell r="Y321">
            <v>7.5</v>
          </cell>
          <cell r="Z321">
            <v>7.5</v>
          </cell>
          <cell r="AA321">
            <v>7.5</v>
          </cell>
          <cell r="AC321">
            <v>2.5</v>
          </cell>
          <cell r="AD321">
            <v>7.5</v>
          </cell>
          <cell r="AE321">
            <v>7.5</v>
          </cell>
          <cell r="AF321">
            <v>7.5</v>
          </cell>
          <cell r="AH321">
            <v>5</v>
          </cell>
          <cell r="AM321">
            <v>5</v>
          </cell>
          <cell r="AR321">
            <v>5</v>
          </cell>
          <cell r="BQ321">
            <v>5</v>
          </cell>
        </row>
        <row r="322">
          <cell r="A322" t="str">
            <v>Golden Eagle Systems (1/96)</v>
          </cell>
          <cell r="T322">
            <v>5</v>
          </cell>
          <cell r="U322">
            <v>7.5</v>
          </cell>
          <cell r="V322">
            <v>7.5</v>
          </cell>
          <cell r="X322">
            <v>7.5</v>
          </cell>
          <cell r="Y322">
            <v>2.5</v>
          </cell>
          <cell r="AC322">
            <v>7.5</v>
          </cell>
          <cell r="AD322">
            <v>2.5</v>
          </cell>
        </row>
        <row r="323">
          <cell r="A323" t="str">
            <v>Assembly Solutions (6/95)</v>
          </cell>
          <cell r="Q323">
            <v>4</v>
          </cell>
          <cell r="S323">
            <v>4</v>
          </cell>
          <cell r="T323">
            <v>4</v>
          </cell>
          <cell r="U323">
            <v>4</v>
          </cell>
        </row>
        <row r="324">
          <cell r="A324" t="str">
            <v>Assets from Comptronix (10/94)</v>
          </cell>
          <cell r="N324">
            <v>4</v>
          </cell>
          <cell r="O324">
            <v>6</v>
          </cell>
          <cell r="P324">
            <v>6</v>
          </cell>
          <cell r="Q324">
            <v>6</v>
          </cell>
          <cell r="S324">
            <v>2</v>
          </cell>
        </row>
        <row r="326">
          <cell r="A326" t="str">
            <v>Pooling Acquisitions:</v>
          </cell>
        </row>
        <row r="327">
          <cell r="A327" t="str">
            <v>Total (not applicable for all quarters)</v>
          </cell>
          <cell r="AC327">
            <v>36.306000000000012</v>
          </cell>
          <cell r="AD327">
            <v>37.123000000000005</v>
          </cell>
          <cell r="AE327">
            <v>44.792000000000002</v>
          </cell>
          <cell r="AF327">
            <v>46.354000000000013</v>
          </cell>
          <cell r="AM327">
            <v>93.513000000000005</v>
          </cell>
          <cell r="AN327">
            <v>50.568000000000012</v>
          </cell>
          <cell r="AO327">
            <v>51.663999999999987</v>
          </cell>
          <cell r="AP327">
            <v>51.816000000000003</v>
          </cell>
          <cell r="AR327">
            <v>107.91800000000001</v>
          </cell>
          <cell r="AS327">
            <v>68.740000000000009</v>
          </cell>
          <cell r="AT327">
            <v>70.478000000000009</v>
          </cell>
          <cell r="AU327">
            <v>68.457999999999998</v>
          </cell>
          <cell r="BG327">
            <v>235.51</v>
          </cell>
          <cell r="BH327">
            <v>254.226</v>
          </cell>
          <cell r="BI327">
            <v>251.51800000000003</v>
          </cell>
          <cell r="BJ327">
            <v>261.57599999999996</v>
          </cell>
          <cell r="BL327">
            <v>249.87700000000001</v>
          </cell>
          <cell r="BM327">
            <v>263.02499999999998</v>
          </cell>
          <cell r="BN327">
            <v>335</v>
          </cell>
          <cell r="BQ327">
            <v>276.69200000000001</v>
          </cell>
          <cell r="BR327">
            <v>310.86400000000003</v>
          </cell>
          <cell r="BS327">
            <v>302.34699999999998</v>
          </cell>
          <cell r="BT327">
            <v>328.97</v>
          </cell>
          <cell r="BV327">
            <v>273.20500000000004</v>
          </cell>
          <cell r="BW327">
            <v>295.19299999999998</v>
          </cell>
          <cell r="BX327">
            <v>295.12599999999998</v>
          </cell>
          <cell r="BY327">
            <v>315.71499999999997</v>
          </cell>
          <cell r="CA327">
            <v>54.13900000000001</v>
          </cell>
          <cell r="CB327">
            <v>56.91</v>
          </cell>
          <cell r="CC327">
            <v>80.631999999999948</v>
          </cell>
          <cell r="CD327">
            <v>0</v>
          </cell>
          <cell r="CH327">
            <v>54.640999999999963</v>
          </cell>
          <cell r="CI327">
            <v>51.39</v>
          </cell>
          <cell r="CJ327">
            <v>53.86200000000008</v>
          </cell>
          <cell r="CK327">
            <v>66.701999999999998</v>
          </cell>
          <cell r="CM327">
            <v>73.653999999999996</v>
          </cell>
          <cell r="CN327">
            <v>73.11099999999999</v>
          </cell>
          <cell r="CO327">
            <v>85.550000000000068</v>
          </cell>
          <cell r="CP327">
            <v>95.228000000000065</v>
          </cell>
          <cell r="CR327">
            <v>96</v>
          </cell>
          <cell r="CS327">
            <v>78</v>
          </cell>
          <cell r="CT327">
            <v>50</v>
          </cell>
          <cell r="CU327">
            <v>40</v>
          </cell>
        </row>
        <row r="328">
          <cell r="A328" t="str">
            <v>Segerstrom &amp; Svensson (2/01)</v>
          </cell>
          <cell r="BQ328" t="str">
            <v>Hadco &amp; Essex</v>
          </cell>
          <cell r="CH328">
            <v>54.640999999999963</v>
          </cell>
          <cell r="CI328">
            <v>51.39</v>
          </cell>
          <cell r="CJ328">
            <v>53.86200000000008</v>
          </cell>
          <cell r="CK328">
            <v>66.701999999999998</v>
          </cell>
          <cell r="CM328">
            <v>73.653999999999996</v>
          </cell>
          <cell r="CN328">
            <v>73.11099999999999</v>
          </cell>
          <cell r="CO328">
            <v>85.550000000000068</v>
          </cell>
          <cell r="CP328">
            <v>95.228000000000065</v>
          </cell>
          <cell r="CR328">
            <v>96</v>
          </cell>
          <cell r="CS328">
            <v>78</v>
          </cell>
          <cell r="CT328">
            <v>50</v>
          </cell>
          <cell r="CU328">
            <v>40</v>
          </cell>
          <cell r="EQ328">
            <v>226.59500000000003</v>
          </cell>
          <cell r="ER328">
            <v>327.54300000000012</v>
          </cell>
          <cell r="ES328">
            <v>168</v>
          </cell>
        </row>
        <row r="329">
          <cell r="A329" t="str">
            <v>Hadco (6/00)</v>
          </cell>
          <cell r="BG329">
            <v>235.51</v>
          </cell>
          <cell r="BH329">
            <v>254.226</v>
          </cell>
          <cell r="BI329">
            <v>251.51800000000003</v>
          </cell>
          <cell r="BJ329">
            <v>261.57599999999996</v>
          </cell>
          <cell r="BL329">
            <v>249.87700000000001</v>
          </cell>
          <cell r="BM329">
            <v>263.02499999999998</v>
          </cell>
          <cell r="BN329">
            <v>335</v>
          </cell>
          <cell r="BQ329">
            <v>215.12799999999999</v>
          </cell>
          <cell r="BR329">
            <v>242.124</v>
          </cell>
          <cell r="BS329">
            <v>231.86899999999997</v>
          </cell>
          <cell r="BT329">
            <v>260.512</v>
          </cell>
          <cell r="BV329">
            <v>235.51</v>
          </cell>
          <cell r="BW329">
            <v>254.226</v>
          </cell>
          <cell r="BX329">
            <v>251.51800000000003</v>
          </cell>
          <cell r="BY329">
            <v>261.57599999999996</v>
          </cell>
          <cell r="EQ329">
            <v>0</v>
          </cell>
          <cell r="ER329">
            <v>0</v>
          </cell>
        </row>
        <row r="330">
          <cell r="A330" t="str">
            <v>Essex AB (6/00)</v>
          </cell>
          <cell r="BV330">
            <v>37.69500000000005</v>
          </cell>
          <cell r="BW330">
            <v>40.966999999999985</v>
          </cell>
          <cell r="BX330">
            <v>43.607999999999947</v>
          </cell>
          <cell r="BY330">
            <v>54.13900000000001</v>
          </cell>
          <cell r="CA330">
            <v>54.13900000000001</v>
          </cell>
          <cell r="CB330">
            <v>56.91</v>
          </cell>
          <cell r="CC330">
            <v>80.631999999999948</v>
          </cell>
          <cell r="EQ330">
            <v>0</v>
          </cell>
          <cell r="ER330">
            <v>0</v>
          </cell>
        </row>
        <row r="331">
          <cell r="A331" t="str">
            <v>Manu-Tronics (3/99)</v>
          </cell>
          <cell r="AR331">
            <v>14.404999999999999</v>
          </cell>
          <cell r="AS331">
            <v>18.171999999999997</v>
          </cell>
          <cell r="AT331">
            <v>18.814000000000021</v>
          </cell>
          <cell r="AU331">
            <v>16.641999999999996</v>
          </cell>
          <cell r="BQ331">
            <v>14.404999999999999</v>
          </cell>
          <cell r="BR331">
            <v>18.171999999999997</v>
          </cell>
          <cell r="BS331">
            <v>18.814000000000021</v>
          </cell>
          <cell r="BT331">
            <v>16.641999999999996</v>
          </cell>
          <cell r="EB331">
            <v>60.84899999999999</v>
          </cell>
          <cell r="EC331">
            <v>68.032999999999902</v>
          </cell>
        </row>
        <row r="332">
          <cell r="A332" t="str">
            <v>Telo Electronics (12/98)</v>
          </cell>
          <cell r="EQ332">
            <v>0</v>
          </cell>
          <cell r="ER332">
            <v>0</v>
          </cell>
        </row>
        <row r="333">
          <cell r="A333" t="str">
            <v>Altron (11/98)</v>
          </cell>
          <cell r="AM333">
            <v>47.158999999999992</v>
          </cell>
          <cell r="AN333">
            <v>50.568000000000012</v>
          </cell>
          <cell r="AO333">
            <v>51.663999999999987</v>
          </cell>
          <cell r="AP333">
            <v>51.816000000000003</v>
          </cell>
          <cell r="AR333">
            <v>47.158999999999992</v>
          </cell>
          <cell r="AS333">
            <v>50.568000000000012</v>
          </cell>
          <cell r="AT333">
            <v>51.663999999999987</v>
          </cell>
          <cell r="AU333">
            <v>51.816000000000003</v>
          </cell>
          <cell r="BQ333">
            <v>47.158999999999992</v>
          </cell>
          <cell r="BR333">
            <v>50.568000000000012</v>
          </cell>
          <cell r="BS333">
            <v>51.663999999999987</v>
          </cell>
          <cell r="BT333">
            <v>51.816000000000003</v>
          </cell>
          <cell r="EB333">
            <v>172.428</v>
          </cell>
          <cell r="EC333">
            <v>201.20699999999999</v>
          </cell>
        </row>
        <row r="334">
          <cell r="A334" t="str">
            <v>Elexsys (11/97)</v>
          </cell>
          <cell r="AC334">
            <v>36.306000000000012</v>
          </cell>
          <cell r="AD334">
            <v>37.123000000000005</v>
          </cell>
          <cell r="AE334">
            <v>44.792000000000002</v>
          </cell>
          <cell r="AF334">
            <v>46.354000000000013</v>
          </cell>
          <cell r="AM334">
            <v>46.354000000000013</v>
          </cell>
          <cell r="AR334">
            <v>46.354000000000013</v>
          </cell>
          <cell r="EB334">
            <v>164.57499999999999</v>
          </cell>
          <cell r="EC334" t="str">
            <v xml:space="preserve"> -- </v>
          </cell>
        </row>
        <row r="337">
          <cell r="A337" t="str">
            <v>Sanmina-SCI Corp.</v>
          </cell>
        </row>
        <row r="338">
          <cell r="A338" t="str">
            <v>Balance Sheet</v>
          </cell>
        </row>
        <row r="339">
          <cell r="CZ339" t="str">
            <v>F2001</v>
          </cell>
          <cell r="EC339" t="str">
            <v xml:space="preserve"> </v>
          </cell>
        </row>
        <row r="340">
          <cell r="AD340" t="str">
            <v>F1997</v>
          </cell>
          <cell r="AN340" t="str">
            <v>F1998</v>
          </cell>
          <cell r="AS340" t="str">
            <v>F1998</v>
          </cell>
          <cell r="BG340" t="str">
            <v>F1999</v>
          </cell>
          <cell r="BL340" t="str">
            <v>F2000E</v>
          </cell>
          <cell r="BQ340" t="str">
            <v>F1998</v>
          </cell>
          <cell r="BV340" t="str">
            <v>F1999</v>
          </cell>
          <cell r="CA340" t="str">
            <v>F2000</v>
          </cell>
          <cell r="CF340" t="str">
            <v>Sanmina Only</v>
          </cell>
          <cell r="CH340" t="str">
            <v>F1999</v>
          </cell>
          <cell r="CM340" t="str">
            <v>F2000</v>
          </cell>
          <cell r="CZ340" t="str">
            <v>Pro forma</v>
          </cell>
          <cell r="DX340" t="str">
            <v xml:space="preserve"> </v>
          </cell>
          <cell r="EA340" t="str">
            <v>Proforma</v>
          </cell>
          <cell r="EB340" t="str">
            <v>Proforma for Altron</v>
          </cell>
          <cell r="EE340" t="str">
            <v xml:space="preserve"> </v>
          </cell>
          <cell r="EN340" t="str">
            <v>SANM</v>
          </cell>
          <cell r="ER340" t="str">
            <v xml:space="preserve"> </v>
          </cell>
          <cell r="ET340" t="str">
            <v>Proforma</v>
          </cell>
        </row>
        <row r="341">
          <cell r="D341" t="str">
            <v>F1993</v>
          </cell>
          <cell r="I341" t="str">
            <v>F1994</v>
          </cell>
          <cell r="N341" t="str">
            <v>F1995</v>
          </cell>
          <cell r="S341" t="str">
            <v>F1996</v>
          </cell>
          <cell r="X341" t="str">
            <v>F1997</v>
          </cell>
          <cell r="AD341" t="str">
            <v xml:space="preserve"> Proforma for Elexsys Acquisition</v>
          </cell>
          <cell r="AH341" t="str">
            <v>F1998</v>
          </cell>
          <cell r="AM341" t="str">
            <v xml:space="preserve"> Pro forma for Altron</v>
          </cell>
          <cell r="AR341" t="str">
            <v xml:space="preserve"> Pro forma for Manu-Tronics / Altron</v>
          </cell>
          <cell r="AW341" t="str">
            <v>F1999</v>
          </cell>
          <cell r="BB341" t="str">
            <v>F2000E</v>
          </cell>
          <cell r="BG341" t="str">
            <v xml:space="preserve"> Pro forma for Hadco</v>
          </cell>
          <cell r="BL341" t="str">
            <v xml:space="preserve"> Pro forma for Hadco</v>
          </cell>
          <cell r="BQ341" t="str">
            <v xml:space="preserve"> Pro forma for Hadco / Essex</v>
          </cell>
          <cell r="BV341" t="str">
            <v xml:space="preserve"> Pro forma for Hadco / Essex</v>
          </cell>
          <cell r="CA341" t="str">
            <v xml:space="preserve"> Pro forma for Hadco / Essex</v>
          </cell>
          <cell r="CF341" t="str">
            <v>F2001</v>
          </cell>
          <cell r="CH341" t="str">
            <v xml:space="preserve"> Pro forma for Segerstrom</v>
          </cell>
          <cell r="CM341" t="str">
            <v xml:space="preserve"> Pro forma for Segerstrom</v>
          </cell>
          <cell r="CR341" t="str">
            <v>F2001</v>
          </cell>
          <cell r="CW341" t="str">
            <v xml:space="preserve">  for SCI Systems</v>
          </cell>
          <cell r="CZ341" t="str">
            <v>SCI Systems</v>
          </cell>
          <cell r="DC341" t="str">
            <v>F2002E</v>
          </cell>
          <cell r="DH341" t="str">
            <v>F2003E</v>
          </cell>
          <cell r="DM341" t="str">
            <v>F2004E</v>
          </cell>
          <cell r="DT341" t="str">
            <v xml:space="preserve"> </v>
          </cell>
          <cell r="DU341" t="str">
            <v xml:space="preserve"> </v>
          </cell>
          <cell r="DX341" t="str">
            <v>Proforma for Elexsys</v>
          </cell>
          <cell r="DZ341" t="str">
            <v xml:space="preserve"> </v>
          </cell>
          <cell r="EA341" t="str">
            <v>Altron</v>
          </cell>
          <cell r="EB341" t="str">
            <v xml:space="preserve">   and Manu-Tronics</v>
          </cell>
          <cell r="EE341" t="str">
            <v xml:space="preserve">                SANM ONLY</v>
          </cell>
          <cell r="EH341" t="str">
            <v xml:space="preserve"> Proforma for Hadco</v>
          </cell>
          <cell r="EJ341" t="str">
            <v xml:space="preserve"> </v>
          </cell>
          <cell r="EK341" t="str">
            <v>Proforma for Hadco / Essex</v>
          </cell>
          <cell r="EN341" t="str">
            <v>Only</v>
          </cell>
          <cell r="EP341" t="str">
            <v>Proforma for Segerstrom</v>
          </cell>
          <cell r="ET341" t="str">
            <v>for SCI</v>
          </cell>
          <cell r="FA341" t="str">
            <v>Unrestated</v>
          </cell>
        </row>
        <row r="342">
          <cell r="D342">
            <v>33939</v>
          </cell>
          <cell r="E342">
            <v>34029</v>
          </cell>
          <cell r="F342" t="str">
            <v xml:space="preserve"> 6/93</v>
          </cell>
          <cell r="G342">
            <v>34213</v>
          </cell>
          <cell r="I342">
            <v>34304</v>
          </cell>
          <cell r="J342">
            <v>34394</v>
          </cell>
          <cell r="K342">
            <v>34486</v>
          </cell>
          <cell r="L342">
            <v>34578</v>
          </cell>
          <cell r="N342">
            <v>34669</v>
          </cell>
          <cell r="O342">
            <v>34759</v>
          </cell>
          <cell r="P342">
            <v>34851</v>
          </cell>
          <cell r="Q342">
            <v>34943</v>
          </cell>
          <cell r="S342">
            <v>35034</v>
          </cell>
          <cell r="T342">
            <v>35125</v>
          </cell>
          <cell r="U342">
            <v>35217</v>
          </cell>
          <cell r="V342">
            <v>35309</v>
          </cell>
          <cell r="X342">
            <v>35400</v>
          </cell>
          <cell r="Y342">
            <v>35490</v>
          </cell>
          <cell r="Z342">
            <v>35582</v>
          </cell>
          <cell r="AA342">
            <v>35674</v>
          </cell>
          <cell r="AC342">
            <v>35400</v>
          </cell>
          <cell r="AD342" t="str">
            <v xml:space="preserve">  3/97</v>
          </cell>
          <cell r="AE342" t="str">
            <v xml:space="preserve"> 6/97</v>
          </cell>
          <cell r="AF342" t="str">
            <v xml:space="preserve"> 9/97</v>
          </cell>
          <cell r="AH342" t="str">
            <v xml:space="preserve"> 12/97</v>
          </cell>
          <cell r="AI342" t="str">
            <v xml:space="preserve"> 3/98</v>
          </cell>
          <cell r="AJ342" t="str">
            <v xml:space="preserve"> 6/98</v>
          </cell>
          <cell r="AK342" t="str">
            <v xml:space="preserve"> 9/98</v>
          </cell>
          <cell r="AM342" t="str">
            <v xml:space="preserve"> 12/97</v>
          </cell>
          <cell r="AN342" t="str">
            <v xml:space="preserve"> 3/98</v>
          </cell>
          <cell r="AO342" t="str">
            <v xml:space="preserve"> 6/98</v>
          </cell>
          <cell r="AP342" t="str">
            <v xml:space="preserve"> 9/98</v>
          </cell>
          <cell r="AR342" t="str">
            <v xml:space="preserve"> 12/97</v>
          </cell>
          <cell r="AS342" t="str">
            <v xml:space="preserve"> 3/98</v>
          </cell>
          <cell r="AT342" t="str">
            <v xml:space="preserve"> 6/98</v>
          </cell>
          <cell r="AU342" t="str">
            <v xml:space="preserve"> 9/98</v>
          </cell>
          <cell r="AW342" t="str">
            <v xml:space="preserve"> 12/98</v>
          </cell>
          <cell r="AX342" t="str">
            <v xml:space="preserve"> 3/99</v>
          </cell>
          <cell r="AY342" t="str">
            <v xml:space="preserve"> 6/99</v>
          </cell>
          <cell r="AZ342" t="str">
            <v xml:space="preserve"> 9/99</v>
          </cell>
          <cell r="BB342" t="str">
            <v xml:space="preserve"> 12/99</v>
          </cell>
          <cell r="BC342" t="str">
            <v xml:space="preserve"> 3/00</v>
          </cell>
          <cell r="BD342" t="str">
            <v xml:space="preserve"> 6/00E</v>
          </cell>
          <cell r="BE342" t="str">
            <v xml:space="preserve"> 9/00E</v>
          </cell>
          <cell r="BG342" t="str">
            <v xml:space="preserve"> 12/98</v>
          </cell>
          <cell r="BH342" t="str">
            <v xml:space="preserve"> 3/99</v>
          </cell>
          <cell r="BI342" t="str">
            <v xml:space="preserve"> 6/99</v>
          </cell>
          <cell r="BJ342" t="str">
            <v xml:space="preserve"> 9/99</v>
          </cell>
          <cell r="BL342" t="str">
            <v xml:space="preserve"> 12/99</v>
          </cell>
          <cell r="BM342" t="str">
            <v xml:space="preserve"> 3/00</v>
          </cell>
          <cell r="BN342" t="str">
            <v xml:space="preserve"> 6/00E</v>
          </cell>
          <cell r="BO342" t="str">
            <v xml:space="preserve"> 9/00E</v>
          </cell>
          <cell r="BQ342" t="str">
            <v xml:space="preserve"> 12/97</v>
          </cell>
          <cell r="BR342" t="str">
            <v xml:space="preserve"> 3/98</v>
          </cell>
          <cell r="BS342" t="str">
            <v xml:space="preserve"> 6/98</v>
          </cell>
          <cell r="BT342" t="str">
            <v xml:space="preserve"> 9/98</v>
          </cell>
          <cell r="BV342" t="str">
            <v xml:space="preserve"> 12/98</v>
          </cell>
          <cell r="BW342" t="str">
            <v xml:space="preserve"> 3/99</v>
          </cell>
          <cell r="BX342" t="str">
            <v xml:space="preserve"> 6/99</v>
          </cell>
          <cell r="BY342" t="str">
            <v xml:space="preserve"> 9/99</v>
          </cell>
          <cell r="CA342" t="str">
            <v xml:space="preserve"> 12/99</v>
          </cell>
          <cell r="CB342" t="str">
            <v xml:space="preserve"> 3/00</v>
          </cell>
          <cell r="CC342" t="str">
            <v xml:space="preserve"> 6/00</v>
          </cell>
          <cell r="CD342" t="str">
            <v xml:space="preserve"> 9/00</v>
          </cell>
          <cell r="CF342" t="str">
            <v xml:space="preserve"> 12/00</v>
          </cell>
          <cell r="CH342" t="str">
            <v xml:space="preserve"> 12/98</v>
          </cell>
          <cell r="CI342" t="str">
            <v xml:space="preserve"> 3/99</v>
          </cell>
          <cell r="CJ342" t="str">
            <v xml:space="preserve"> 6/99</v>
          </cell>
          <cell r="CK342" t="str">
            <v xml:space="preserve"> 9/99</v>
          </cell>
          <cell r="CM342" t="str">
            <v xml:space="preserve"> 12/99</v>
          </cell>
          <cell r="CN342" t="str">
            <v xml:space="preserve"> 3/00</v>
          </cell>
          <cell r="CO342" t="str">
            <v xml:space="preserve"> 6/00</v>
          </cell>
          <cell r="CP342" t="str">
            <v xml:space="preserve"> 9/00</v>
          </cell>
          <cell r="CR342">
            <v>36861</v>
          </cell>
          <cell r="CS342" t="str">
            <v xml:space="preserve"> 3/01</v>
          </cell>
          <cell r="CT342" t="str">
            <v xml:space="preserve"> 6/01</v>
          </cell>
          <cell r="CU342" t="str">
            <v xml:space="preserve"> 9/01</v>
          </cell>
          <cell r="CW342">
            <v>36861</v>
          </cell>
          <cell r="CX342" t="str">
            <v xml:space="preserve"> 3/01</v>
          </cell>
          <cell r="CY342" t="str">
            <v xml:space="preserve"> 6/01</v>
          </cell>
          <cell r="CZ342" t="str">
            <v xml:space="preserve"> 9/01</v>
          </cell>
          <cell r="DB342" t="str">
            <v xml:space="preserve"> 12/01</v>
          </cell>
          <cell r="DC342" t="str">
            <v xml:space="preserve"> 3/02</v>
          </cell>
          <cell r="DD342" t="str">
            <v xml:space="preserve"> 6/02</v>
          </cell>
          <cell r="DE342" t="str">
            <v xml:space="preserve"> 9/02E</v>
          </cell>
          <cell r="DG342" t="str">
            <v xml:space="preserve"> 12/02E</v>
          </cell>
          <cell r="DH342" t="str">
            <v xml:space="preserve"> 3/03E</v>
          </cell>
          <cell r="DI342" t="str">
            <v xml:space="preserve"> 6/03E</v>
          </cell>
          <cell r="DJ342" t="str">
            <v xml:space="preserve"> 9/03E</v>
          </cell>
          <cell r="DL342" t="str">
            <v xml:space="preserve"> 12/03E</v>
          </cell>
          <cell r="DM342" t="str">
            <v xml:space="preserve"> 3/04E</v>
          </cell>
          <cell r="DN342" t="str">
            <v xml:space="preserve"> 6/04E</v>
          </cell>
          <cell r="DO342" t="str">
            <v xml:space="preserve"> 9/04E</v>
          </cell>
          <cell r="DQ342" t="str">
            <v>F1991</v>
          </cell>
          <cell r="DR342" t="str">
            <v>F1992</v>
          </cell>
          <cell r="DS342" t="str">
            <v>F1993</v>
          </cell>
          <cell r="DT342" t="str">
            <v>F1994</v>
          </cell>
          <cell r="DU342" t="str">
            <v>F1995</v>
          </cell>
          <cell r="DV342" t="str">
            <v>F1996</v>
          </cell>
          <cell r="DW342" t="str">
            <v>F1997</v>
          </cell>
          <cell r="DX342" t="str">
            <v>F1996</v>
          </cell>
          <cell r="DY342" t="str">
            <v>F1997</v>
          </cell>
          <cell r="DZ342" t="str">
            <v>F1998</v>
          </cell>
          <cell r="EA342" t="str">
            <v>F1998</v>
          </cell>
          <cell r="EB342" t="str">
            <v>F1997</v>
          </cell>
          <cell r="EC342" t="str">
            <v>F1998</v>
          </cell>
          <cell r="EE342" t="str">
            <v>F1999</v>
          </cell>
          <cell r="EF342" t="str">
            <v>F2000E</v>
          </cell>
          <cell r="EH342" t="str">
            <v>F1998</v>
          </cell>
          <cell r="EI342" t="str">
            <v>F1999</v>
          </cell>
          <cell r="EK342" t="str">
            <v>F1997</v>
          </cell>
          <cell r="EL342" t="str">
            <v>F1998</v>
          </cell>
          <cell r="EM342" t="str">
            <v>F1999</v>
          </cell>
          <cell r="EN342" t="str">
            <v>F2000</v>
          </cell>
          <cell r="EP342" t="str">
            <v>F1998</v>
          </cell>
          <cell r="EQ342" t="str">
            <v>F1999</v>
          </cell>
          <cell r="ER342" t="str">
            <v>F2000</v>
          </cell>
          <cell r="ES342" t="str">
            <v>F2001</v>
          </cell>
          <cell r="ET342" t="str">
            <v>F2001</v>
          </cell>
          <cell r="EU342" t="str">
            <v>F2002E</v>
          </cell>
          <cell r="EV342" t="str">
            <v>F2003E</v>
          </cell>
          <cell r="EW342" t="str">
            <v>F2004E</v>
          </cell>
          <cell r="EY342" t="str">
            <v>C1999</v>
          </cell>
          <cell r="EZ342" t="str">
            <v>C2000</v>
          </cell>
          <cell r="FA342" t="str">
            <v>C2001</v>
          </cell>
          <cell r="FC342" t="str">
            <v>C2002</v>
          </cell>
        </row>
        <row r="344">
          <cell r="A344" t="str">
            <v>Total Assets</v>
          </cell>
          <cell r="B344" t="str">
            <v>ta</v>
          </cell>
          <cell r="E344">
            <v>47.695</v>
          </cell>
          <cell r="F344">
            <v>43.003999999999998</v>
          </cell>
          <cell r="G344">
            <v>45.552999999999997</v>
          </cell>
          <cell r="I344">
            <v>64.933999999999997</v>
          </cell>
          <cell r="J344">
            <v>68.225999999999985</v>
          </cell>
          <cell r="K344">
            <v>71.85199999999999</v>
          </cell>
          <cell r="L344">
            <v>64.466999999999999</v>
          </cell>
          <cell r="N344">
            <v>70.734999999999999</v>
          </cell>
          <cell r="O344">
            <v>77.483000000000004</v>
          </cell>
          <cell r="P344">
            <v>89.265999999999991</v>
          </cell>
          <cell r="Q344">
            <v>188.10600000000002</v>
          </cell>
          <cell r="S344">
            <v>194.16800000000003</v>
          </cell>
          <cell r="T344">
            <v>214.23699999999997</v>
          </cell>
          <cell r="U344">
            <v>225.03200000000001</v>
          </cell>
          <cell r="V344">
            <v>230.541</v>
          </cell>
          <cell r="X344">
            <v>255.92000000000002</v>
          </cell>
          <cell r="Y344">
            <v>261.28199999999998</v>
          </cell>
          <cell r="Z344">
            <v>281.30500000000001</v>
          </cell>
          <cell r="AA344">
            <v>303.017</v>
          </cell>
          <cell r="AC344">
            <v>324.11199999999997</v>
          </cell>
          <cell r="AD344">
            <v>339.29</v>
          </cell>
          <cell r="AE344">
            <v>362.23099999999999</v>
          </cell>
          <cell r="AF344">
            <v>381.92700000000002</v>
          </cell>
          <cell r="AH344">
            <v>383.51200000000006</v>
          </cell>
          <cell r="AI344">
            <v>423.58000000000004</v>
          </cell>
          <cell r="AJ344">
            <v>443.36300000000006</v>
          </cell>
          <cell r="AK344">
            <v>467.58</v>
          </cell>
          <cell r="AU344">
            <v>658.36699999999996</v>
          </cell>
          <cell r="AW344">
            <v>650.38499999999999</v>
          </cell>
          <cell r="AX344">
            <v>712.34499999999991</v>
          </cell>
          <cell r="AY344">
            <v>1101.1799999999998</v>
          </cell>
          <cell r="AZ344">
            <v>1201.7129999999997</v>
          </cell>
          <cell r="BB344">
            <v>1298.9389999999999</v>
          </cell>
          <cell r="BC344">
            <v>1933.9349999999999</v>
          </cell>
          <cell r="BL344">
            <v>2012.0529999999999</v>
          </cell>
          <cell r="BM344">
            <v>2664.8110000000001</v>
          </cell>
          <cell r="BQ344">
            <v>1121.4269999999999</v>
          </cell>
          <cell r="BR344">
            <v>1413.152</v>
          </cell>
          <cell r="BS344">
            <v>1433.5070000000001</v>
          </cell>
          <cell r="BT344">
            <v>1472.509</v>
          </cell>
          <cell r="BV344">
            <v>1493.9439999999997</v>
          </cell>
          <cell r="BW344">
            <v>1517.7160000000001</v>
          </cell>
          <cell r="BX344">
            <v>1910.8040000000001</v>
          </cell>
          <cell r="BY344">
            <v>2007.441</v>
          </cell>
          <cell r="CA344">
            <v>2092.9580000000001</v>
          </cell>
          <cell r="CB344">
            <v>2756.34</v>
          </cell>
          <cell r="CC344">
            <v>2786.1970000000001</v>
          </cell>
          <cell r="CD344">
            <v>3623.2009999999996</v>
          </cell>
          <cell r="CF344">
            <v>3767.5699999999997</v>
          </cell>
          <cell r="CH344">
            <v>1616.779</v>
          </cell>
          <cell r="CI344">
            <v>1629.9639999999999</v>
          </cell>
          <cell r="CJ344">
            <v>2023.4599999999998</v>
          </cell>
          <cell r="CK344">
            <v>2124.8310000000001</v>
          </cell>
          <cell r="CM344">
            <v>2233.7619999999997</v>
          </cell>
          <cell r="CN344">
            <v>2892.72</v>
          </cell>
          <cell r="CO344">
            <v>2968.4589999999998</v>
          </cell>
          <cell r="CP344">
            <v>3835.6</v>
          </cell>
          <cell r="CR344">
            <v>3963.701</v>
          </cell>
          <cell r="CS344">
            <v>3901.587</v>
          </cell>
          <cell r="CT344">
            <v>3772.1420000000003</v>
          </cell>
          <cell r="CU344">
            <v>3640.3309999999997</v>
          </cell>
          <cell r="CZ344">
            <v>10688.941000000001</v>
          </cell>
          <cell r="DB344">
            <v>10105.833999999999</v>
          </cell>
          <cell r="DC344">
            <v>10404.542000000001</v>
          </cell>
          <cell r="DD344">
            <v>10581.559000000001</v>
          </cell>
          <cell r="DE344">
            <v>10451.331672703656</v>
          </cell>
          <cell r="DG344">
            <v>10531.653964277544</v>
          </cell>
          <cell r="DH344">
            <v>10507.84371182155</v>
          </cell>
          <cell r="DI344">
            <v>10611.539048521214</v>
          </cell>
          <cell r="DJ344">
            <v>10749.4616158997</v>
          </cell>
          <cell r="DL344">
            <v>11079.59063237483</v>
          </cell>
          <cell r="DM344">
            <v>11068.383137125804</v>
          </cell>
          <cell r="DN344">
            <v>10862.754230266351</v>
          </cell>
          <cell r="DO344">
            <v>11081.331350514434</v>
          </cell>
          <cell r="DR344">
            <v>45.768000000000001</v>
          </cell>
          <cell r="DS344">
            <v>45.552999999999997</v>
          </cell>
          <cell r="DT344">
            <v>64.466999999999999</v>
          </cell>
          <cell r="DU344">
            <v>188.10600000000002</v>
          </cell>
          <cell r="DV344">
            <v>230.541</v>
          </cell>
          <cell r="DW344">
            <v>303.017</v>
          </cell>
          <cell r="DX344">
            <v>292.64600000000002</v>
          </cell>
          <cell r="DY344">
            <v>381.92700000000002</v>
          </cell>
          <cell r="DZ344">
            <v>467.58</v>
          </cell>
          <cell r="EC344">
            <v>658.36699999999996</v>
          </cell>
          <cell r="EE344">
            <v>1201.7129999999997</v>
          </cell>
          <cell r="EL344">
            <v>1472.509</v>
          </cell>
          <cell r="EM344">
            <v>2007.441</v>
          </cell>
          <cell r="EN344">
            <v>3623.2009999999996</v>
          </cell>
          <cell r="EP344">
            <v>1601.3400000000001</v>
          </cell>
          <cell r="EQ344">
            <v>2124.83</v>
          </cell>
          <cell r="ER344">
            <v>3835.6</v>
          </cell>
          <cell r="ES344">
            <v>3640.3309999999997</v>
          </cell>
          <cell r="ET344">
            <v>10688.941000000001</v>
          </cell>
          <cell r="EU344">
            <v>10451.331672703656</v>
          </cell>
          <cell r="EV344">
            <v>10749.4616158997</v>
          </cell>
          <cell r="EW344">
            <v>11081.331350514434</v>
          </cell>
        </row>
        <row r="346">
          <cell r="A346" t="str">
            <v>Current Assets</v>
          </cell>
          <cell r="B346" t="str">
            <v>ca</v>
          </cell>
          <cell r="E346">
            <v>24.252999999999997</v>
          </cell>
          <cell r="F346">
            <v>20.108000000000001</v>
          </cell>
          <cell r="G346">
            <v>23.385999999999999</v>
          </cell>
          <cell r="I346">
            <v>42.314999999999998</v>
          </cell>
          <cell r="J346">
            <v>45.727999999999994</v>
          </cell>
          <cell r="K346">
            <v>49.718999999999994</v>
          </cell>
          <cell r="L346">
            <v>55.784000000000006</v>
          </cell>
          <cell r="N346">
            <v>59.670999999999999</v>
          </cell>
          <cell r="O346">
            <v>66.445000000000007</v>
          </cell>
          <cell r="P346">
            <v>69.143000000000001</v>
          </cell>
          <cell r="Q346">
            <v>162.52300000000002</v>
          </cell>
          <cell r="S346">
            <v>165.15800000000002</v>
          </cell>
          <cell r="T346">
            <v>173.53899999999999</v>
          </cell>
          <cell r="U346">
            <v>180.88200000000001</v>
          </cell>
          <cell r="V346">
            <v>185.32300000000001</v>
          </cell>
          <cell r="X346">
            <v>195.60400000000001</v>
          </cell>
          <cell r="Y346">
            <v>197.48599999999999</v>
          </cell>
          <cell r="Z346">
            <v>212.51300000000001</v>
          </cell>
          <cell r="AA346">
            <v>234.30900000000003</v>
          </cell>
          <cell r="AC346">
            <v>231.154</v>
          </cell>
          <cell r="AD346">
            <v>241.19200000000001</v>
          </cell>
          <cell r="AE346">
            <v>256.87</v>
          </cell>
          <cell r="AF346">
            <v>278.15200000000004</v>
          </cell>
          <cell r="AH346">
            <v>285.41000000000003</v>
          </cell>
          <cell r="AI346">
            <v>295.39800000000002</v>
          </cell>
          <cell r="AJ346">
            <v>313.32500000000005</v>
          </cell>
          <cell r="AK346">
            <v>342.32600000000002</v>
          </cell>
          <cell r="AU346">
            <v>445.06300000000005</v>
          </cell>
          <cell r="AW346">
            <v>416.52699999999999</v>
          </cell>
          <cell r="AX346">
            <v>449.68800000000005</v>
          </cell>
          <cell r="AY346">
            <v>826.07299999999998</v>
          </cell>
          <cell r="AZ346">
            <v>885.17</v>
          </cell>
          <cell r="BB346">
            <v>946.13499999999988</v>
          </cell>
          <cell r="BC346">
            <v>1533.933</v>
          </cell>
          <cell r="BL346">
            <v>1152.6489999999999</v>
          </cell>
          <cell r="BM346">
            <v>1766.8610000000001</v>
          </cell>
          <cell r="BQ346">
            <v>591.81299999999999</v>
          </cell>
          <cell r="BR346">
            <v>668.77200000000005</v>
          </cell>
          <cell r="BS346">
            <v>671.76199999999994</v>
          </cell>
          <cell r="BT346">
            <v>714.15599999999995</v>
          </cell>
          <cell r="BV346">
            <v>705.19099999999992</v>
          </cell>
          <cell r="BW346">
            <v>722.077</v>
          </cell>
          <cell r="BX346">
            <v>1110.5360000000001</v>
          </cell>
          <cell r="BY346">
            <v>1156.133</v>
          </cell>
          <cell r="CA346">
            <v>1214.8599999999999</v>
          </cell>
          <cell r="CB346">
            <v>1840.1060000000002</v>
          </cell>
          <cell r="CC346">
            <v>1834.9450000000002</v>
          </cell>
          <cell r="CD346">
            <v>2568.9959999999996</v>
          </cell>
          <cell r="CF346">
            <v>2684.3780000000002</v>
          </cell>
          <cell r="CH346">
            <v>782.32900000000006</v>
          </cell>
          <cell r="CI346">
            <v>790.851</v>
          </cell>
          <cell r="CJ346">
            <v>1177.634</v>
          </cell>
          <cell r="CK346">
            <v>1230.3969999999999</v>
          </cell>
          <cell r="CM346">
            <v>1311.2049999999999</v>
          </cell>
          <cell r="CN346">
            <v>1933.3309999999999</v>
          </cell>
          <cell r="CO346">
            <v>1944.752</v>
          </cell>
          <cell r="CP346">
            <v>2703.7570000000001</v>
          </cell>
          <cell r="CR346">
            <v>2802.8710000000001</v>
          </cell>
          <cell r="CS346">
            <v>2733.5709999999999</v>
          </cell>
          <cell r="CT346">
            <v>2619.7710000000002</v>
          </cell>
          <cell r="CU346">
            <v>2583.2929999999997</v>
          </cell>
          <cell r="CZ346">
            <v>5127.67</v>
          </cell>
          <cell r="DB346">
            <v>4260.6639999999998</v>
          </cell>
          <cell r="DC346">
            <v>4375.7860000000001</v>
          </cell>
          <cell r="DD346">
            <v>4433.7649999999994</v>
          </cell>
          <cell r="DE346">
            <v>4223.1924081274547</v>
          </cell>
          <cell r="DG346">
            <v>4269.0064530438958</v>
          </cell>
          <cell r="DH346">
            <v>4203.8171831523341</v>
          </cell>
          <cell r="DI346">
            <v>4253.4881960152707</v>
          </cell>
          <cell r="DJ346">
            <v>4323.4189200402479</v>
          </cell>
          <cell r="DL346">
            <v>4570.2744954362552</v>
          </cell>
          <cell r="DM346">
            <v>4492.5504013170294</v>
          </cell>
          <cell r="DN346">
            <v>4206.332571017565</v>
          </cell>
          <cell r="DO346">
            <v>4337.5964265676002</v>
          </cell>
          <cell r="DR346">
            <v>21.487000000000002</v>
          </cell>
          <cell r="DS346">
            <v>23.385999999999999</v>
          </cell>
          <cell r="DT346">
            <v>55.784000000000006</v>
          </cell>
          <cell r="DU346">
            <v>162.52300000000002</v>
          </cell>
          <cell r="DV346">
            <v>185.32300000000001</v>
          </cell>
          <cell r="DW346">
            <v>234.30900000000003</v>
          </cell>
          <cell r="DX346">
            <v>218.99800000000002</v>
          </cell>
          <cell r="DY346">
            <v>278.15200000000004</v>
          </cell>
          <cell r="DZ346">
            <v>342.32600000000002</v>
          </cell>
          <cell r="EC346">
            <v>445.06300000000005</v>
          </cell>
          <cell r="EE346">
            <v>885.17</v>
          </cell>
          <cell r="EL346">
            <v>714.15599999999995</v>
          </cell>
          <cell r="EM346">
            <v>1156.133</v>
          </cell>
          <cell r="EN346">
            <v>2568.9959999999996</v>
          </cell>
          <cell r="EP346">
            <v>796.24099999999999</v>
          </cell>
          <cell r="EQ346">
            <v>1230.3969999999999</v>
          </cell>
          <cell r="ER346">
            <v>2703.7570000000001</v>
          </cell>
          <cell r="ES346">
            <v>2583.2929999999997</v>
          </cell>
          <cell r="ET346">
            <v>5127.67</v>
          </cell>
          <cell r="EU346">
            <v>4223.1924081274547</v>
          </cell>
          <cell r="EV346">
            <v>4323.4189200402479</v>
          </cell>
          <cell r="EW346">
            <v>4337.5964265676002</v>
          </cell>
        </row>
        <row r="347">
          <cell r="A347" t="str">
            <v>Cash &amp; equivalents</v>
          </cell>
          <cell r="B347" t="str">
            <v>cash</v>
          </cell>
          <cell r="E347">
            <v>6.3019999999999996</v>
          </cell>
          <cell r="F347">
            <v>0.66100000000000003</v>
          </cell>
          <cell r="G347">
            <v>0.60899999999999999</v>
          </cell>
          <cell r="I347">
            <v>18.109000000000002</v>
          </cell>
          <cell r="J347">
            <v>19.554000000000002</v>
          </cell>
          <cell r="K347">
            <v>21.805</v>
          </cell>
          <cell r="L347">
            <v>25.85</v>
          </cell>
          <cell r="N347">
            <v>23.834</v>
          </cell>
          <cell r="O347">
            <v>27.773000000000003</v>
          </cell>
          <cell r="P347">
            <v>29.651</v>
          </cell>
          <cell r="Q347">
            <v>114.107</v>
          </cell>
          <cell r="S347">
            <v>112.16800000000001</v>
          </cell>
          <cell r="T347">
            <v>105.402</v>
          </cell>
          <cell r="U347">
            <v>108.774</v>
          </cell>
          <cell r="V347">
            <v>114.94199999999999</v>
          </cell>
          <cell r="X347">
            <v>92.811000000000007</v>
          </cell>
          <cell r="Y347">
            <v>97.867000000000004</v>
          </cell>
          <cell r="Z347">
            <v>102.80800000000001</v>
          </cell>
          <cell r="AA347">
            <v>122.251</v>
          </cell>
          <cell r="AC347">
            <v>93.131</v>
          </cell>
          <cell r="AD347">
            <v>98.510999999999996</v>
          </cell>
          <cell r="AE347">
            <v>103.87100000000001</v>
          </cell>
          <cell r="AF347">
            <v>123.149</v>
          </cell>
          <cell r="AH347">
            <v>129.81200000000001</v>
          </cell>
          <cell r="AI347">
            <v>119.60599999999999</v>
          </cell>
          <cell r="AJ347">
            <v>134.87899999999999</v>
          </cell>
          <cell r="AK347">
            <v>152.62200000000001</v>
          </cell>
          <cell r="AU347">
            <v>181.50399999999999</v>
          </cell>
          <cell r="AW347">
            <v>129.767</v>
          </cell>
          <cell r="AX347">
            <v>130.03100000000001</v>
          </cell>
          <cell r="AY347">
            <v>482.94200000000001</v>
          </cell>
          <cell r="AZ347">
            <v>454.60199999999998</v>
          </cell>
          <cell r="BB347">
            <v>354.315</v>
          </cell>
          <cell r="BC347">
            <v>856.28599999999994</v>
          </cell>
          <cell r="BL347">
            <v>360.27</v>
          </cell>
          <cell r="BM347">
            <v>869.02300000000002</v>
          </cell>
          <cell r="BQ347">
            <v>170.69300000000001</v>
          </cell>
          <cell r="BR347">
            <v>149.57599999999999</v>
          </cell>
          <cell r="BS347">
            <v>167.68199999999999</v>
          </cell>
          <cell r="BT347">
            <v>189.95099999999999</v>
          </cell>
          <cell r="BV347">
            <v>140.90600000000001</v>
          </cell>
          <cell r="BW347">
            <v>132.488</v>
          </cell>
          <cell r="BX347">
            <v>495.911</v>
          </cell>
          <cell r="BY347">
            <v>467.21100000000001</v>
          </cell>
          <cell r="CA347">
            <v>363.80099999999999</v>
          </cell>
          <cell r="CB347">
            <v>872.02200000000005</v>
          </cell>
          <cell r="CC347">
            <v>740.22699999999998</v>
          </cell>
          <cell r="CD347">
            <v>1258.1500000000001</v>
          </cell>
          <cell r="CF347">
            <v>1219.2429999999999</v>
          </cell>
          <cell r="CH347">
            <v>144.61699999999999</v>
          </cell>
          <cell r="CI347">
            <v>136.23099999999999</v>
          </cell>
          <cell r="CJ347">
            <v>496.47300000000001</v>
          </cell>
          <cell r="CK347">
            <v>467.738</v>
          </cell>
          <cell r="CM347">
            <v>364.65699999999998</v>
          </cell>
          <cell r="CN347">
            <v>873.56899999999996</v>
          </cell>
          <cell r="CO347">
            <v>742.96100000000001</v>
          </cell>
          <cell r="CP347">
            <v>1263.55</v>
          </cell>
          <cell r="CR347">
            <v>1224.643</v>
          </cell>
          <cell r="CS347">
            <v>1293.8969999999999</v>
          </cell>
          <cell r="CT347">
            <v>1395.319</v>
          </cell>
          <cell r="CU347">
            <v>1388.3910000000001</v>
          </cell>
          <cell r="CZ347">
            <v>1441.894</v>
          </cell>
          <cell r="DB347">
            <v>1065.2239999999999</v>
          </cell>
          <cell r="DC347">
            <v>928.48</v>
          </cell>
          <cell r="DD347">
            <v>1081.4690000000001</v>
          </cell>
          <cell r="DE347">
            <v>924.76374940673895</v>
          </cell>
          <cell r="DG347">
            <v>1043.9824379370798</v>
          </cell>
          <cell r="DH347">
            <v>1142.468924150679</v>
          </cell>
          <cell r="DI347">
            <v>1184.7047534479582</v>
          </cell>
          <cell r="DJ347">
            <v>1227.1291877087406</v>
          </cell>
          <cell r="DL347">
            <v>1118.8304450254832</v>
          </cell>
          <cell r="DM347">
            <v>1214.7812844438506</v>
          </cell>
          <cell r="DN347">
            <v>910.00836810116971</v>
          </cell>
          <cell r="DO347">
            <v>897.4643126461865</v>
          </cell>
          <cell r="DR347">
            <v>3.835</v>
          </cell>
          <cell r="DS347">
            <v>0.60899999999999999</v>
          </cell>
          <cell r="DT347">
            <v>25.85</v>
          </cell>
          <cell r="DU347">
            <v>114.107</v>
          </cell>
          <cell r="DV347">
            <v>114.94199999999999</v>
          </cell>
          <cell r="DW347">
            <v>122.251</v>
          </cell>
          <cell r="DX347">
            <v>116.017</v>
          </cell>
          <cell r="DY347">
            <v>123.149</v>
          </cell>
          <cell r="DZ347">
            <v>152.62200000000001</v>
          </cell>
          <cell r="EC347">
            <v>181.50399999999999</v>
          </cell>
          <cell r="EE347">
            <v>454.60199999999998</v>
          </cell>
          <cell r="EL347">
            <v>189.95099999999999</v>
          </cell>
          <cell r="EM347">
            <v>467.21100000000001</v>
          </cell>
          <cell r="EN347">
            <v>1258.1500000000001</v>
          </cell>
          <cell r="EP347">
            <v>194.226</v>
          </cell>
          <cell r="EQ347">
            <v>467.738</v>
          </cell>
          <cell r="ER347">
            <v>1263.55</v>
          </cell>
          <cell r="ES347">
            <v>1388.3910000000001</v>
          </cell>
          <cell r="ET347">
            <v>1441.894</v>
          </cell>
          <cell r="EU347">
            <v>924.76374940673895</v>
          </cell>
          <cell r="EV347">
            <v>1227.1291877087406</v>
          </cell>
          <cell r="EW347">
            <v>897.4643126461865</v>
          </cell>
        </row>
        <row r="348">
          <cell r="A348" t="str">
            <v>Accounts receivable</v>
          </cell>
          <cell r="B348" t="str">
            <v>ar</v>
          </cell>
          <cell r="E348">
            <v>10.644</v>
          </cell>
          <cell r="F348">
            <v>10.119999999999999</v>
          </cell>
          <cell r="G348">
            <v>11.204000000000001</v>
          </cell>
          <cell r="I348">
            <v>11.326000000000001</v>
          </cell>
          <cell r="J348">
            <v>13.026</v>
          </cell>
          <cell r="K348">
            <v>14.388</v>
          </cell>
          <cell r="L348">
            <v>16.899000000000001</v>
          </cell>
          <cell r="N348">
            <v>18.236000000000001</v>
          </cell>
          <cell r="O348">
            <v>18.283999999999999</v>
          </cell>
          <cell r="P348">
            <v>19.893000000000001</v>
          </cell>
          <cell r="Q348">
            <v>23.847000000000001</v>
          </cell>
          <cell r="S348">
            <v>25.763999999999999</v>
          </cell>
          <cell r="T348">
            <v>31</v>
          </cell>
          <cell r="U348">
            <v>32.222000000000001</v>
          </cell>
          <cell r="V348">
            <v>30.420999999999999</v>
          </cell>
          <cell r="X348">
            <v>49.828000000000003</v>
          </cell>
          <cell r="Y348">
            <v>45.335999999999999</v>
          </cell>
          <cell r="Z348">
            <v>51.484000000000002</v>
          </cell>
          <cell r="AA348">
            <v>51.329000000000001</v>
          </cell>
          <cell r="AC348">
            <v>70.248999999999995</v>
          </cell>
          <cell r="AD348">
            <v>69.150000000000006</v>
          </cell>
          <cell r="AE348">
            <v>76.296999999999997</v>
          </cell>
          <cell r="AF348">
            <v>77.334000000000003</v>
          </cell>
          <cell r="AH348">
            <v>77.876999999999995</v>
          </cell>
          <cell r="AI348">
            <v>87.203000000000003</v>
          </cell>
          <cell r="AJ348">
            <v>95.058000000000007</v>
          </cell>
          <cell r="AK348">
            <v>96.93</v>
          </cell>
          <cell r="AU348">
            <v>133.01</v>
          </cell>
          <cell r="AW348">
            <v>151.01400000000001</v>
          </cell>
          <cell r="AX348">
            <v>160.66499999999999</v>
          </cell>
          <cell r="AY348">
            <v>165.66</v>
          </cell>
          <cell r="AZ348">
            <v>191.12</v>
          </cell>
          <cell r="BB348">
            <v>277.726</v>
          </cell>
          <cell r="BC348">
            <v>332.17200000000003</v>
          </cell>
          <cell r="BL348">
            <v>383.84899999999999</v>
          </cell>
          <cell r="BM348">
            <v>460.28500000000003</v>
          </cell>
          <cell r="BQ348">
            <v>220.072</v>
          </cell>
          <cell r="BR348">
            <v>260.11</v>
          </cell>
          <cell r="BS348">
            <v>256.22800000000001</v>
          </cell>
          <cell r="BT348">
            <v>262.06599999999997</v>
          </cell>
          <cell r="BV348">
            <v>297.97699999999998</v>
          </cell>
          <cell r="BW348">
            <v>312.51100000000002</v>
          </cell>
          <cell r="BX348">
            <v>319.78199999999998</v>
          </cell>
          <cell r="BY348">
            <v>335.28800000000001</v>
          </cell>
          <cell r="CA348">
            <v>411.43599999999998</v>
          </cell>
          <cell r="CB348">
            <v>499.03899999999999</v>
          </cell>
          <cell r="CC348">
            <v>542.48099999999999</v>
          </cell>
          <cell r="CD348">
            <v>644.23599999999999</v>
          </cell>
          <cell r="CF348">
            <v>752.95299999999997</v>
          </cell>
          <cell r="CH348">
            <v>334.67700000000002</v>
          </cell>
          <cell r="CI348">
            <v>344.21699999999998</v>
          </cell>
          <cell r="CJ348">
            <v>352.041</v>
          </cell>
          <cell r="CK348">
            <v>377.36</v>
          </cell>
          <cell r="CM348">
            <v>472.37599999999998</v>
          </cell>
          <cell r="CN348">
            <v>556.47699999999998</v>
          </cell>
          <cell r="CO348">
            <v>610.64800000000002</v>
          </cell>
          <cell r="CP348">
            <v>714.50900000000001</v>
          </cell>
          <cell r="CR348">
            <v>823.226</v>
          </cell>
          <cell r="CS348">
            <v>727.53700000000003</v>
          </cell>
          <cell r="CT348">
            <v>553.95399999999995</v>
          </cell>
          <cell r="CU348">
            <v>409.84500000000003</v>
          </cell>
          <cell r="CZ348">
            <v>1298.6569999999999</v>
          </cell>
          <cell r="DB348">
            <v>1209.9390000000001</v>
          </cell>
          <cell r="DC348">
            <v>1494.623</v>
          </cell>
          <cell r="DD348">
            <v>1436.5029999999999</v>
          </cell>
          <cell r="DE348">
            <v>1431.7712359466668</v>
          </cell>
          <cell r="DG348">
            <v>1405.5734512159556</v>
          </cell>
          <cell r="DH348">
            <v>1306.9479565842375</v>
          </cell>
          <cell r="DI348">
            <v>1324.9943526224154</v>
          </cell>
          <cell r="DJ348">
            <v>1328.3417862474471</v>
          </cell>
          <cell r="DL348">
            <v>1476.5508996957819</v>
          </cell>
          <cell r="DM348">
            <v>1389.3166467288715</v>
          </cell>
          <cell r="DN348">
            <v>1410.1895891738181</v>
          </cell>
          <cell r="DO348">
            <v>1478.6543444598869</v>
          </cell>
          <cell r="DR348">
            <v>9.7919999999999998</v>
          </cell>
          <cell r="DS348">
            <v>11.204000000000001</v>
          </cell>
          <cell r="DT348">
            <v>16.899000000000001</v>
          </cell>
          <cell r="DU348">
            <v>23.847000000000001</v>
          </cell>
          <cell r="DV348">
            <v>30.420999999999999</v>
          </cell>
          <cell r="DW348">
            <v>51.329000000000001</v>
          </cell>
          <cell r="DX348">
            <v>50.884</v>
          </cell>
          <cell r="DY348">
            <v>77.334000000000003</v>
          </cell>
          <cell r="DZ348">
            <v>96.93</v>
          </cell>
          <cell r="EC348">
            <v>133.01</v>
          </cell>
          <cell r="EE348">
            <v>191.12</v>
          </cell>
          <cell r="EL348">
            <v>262.06599999999997</v>
          </cell>
          <cell r="EM348">
            <v>335.28800000000001</v>
          </cell>
          <cell r="EN348">
            <v>644.23599999999999</v>
          </cell>
          <cell r="EP348">
            <v>303.18299999999999</v>
          </cell>
          <cell r="EQ348">
            <v>377.36</v>
          </cell>
          <cell r="ER348">
            <v>714.50900000000001</v>
          </cell>
          <cell r="ES348">
            <v>409.84500000000003</v>
          </cell>
          <cell r="ET348">
            <v>1298.6569999999999</v>
          </cell>
          <cell r="EU348">
            <v>1431.7712359466668</v>
          </cell>
          <cell r="EV348">
            <v>1328.3417862474471</v>
          </cell>
          <cell r="EW348">
            <v>1478.6543444598869</v>
          </cell>
        </row>
        <row r="349">
          <cell r="A349" t="str">
            <v>Inventories</v>
          </cell>
          <cell r="B349" t="str">
            <v>inv</v>
          </cell>
          <cell r="E349">
            <v>5.0869999999999997</v>
          </cell>
          <cell r="F349">
            <v>7.6520000000000001</v>
          </cell>
          <cell r="G349">
            <v>9.7249999999999996</v>
          </cell>
          <cell r="I349">
            <v>11.048</v>
          </cell>
          <cell r="J349">
            <v>11.22</v>
          </cell>
          <cell r="K349">
            <v>11.787000000000001</v>
          </cell>
          <cell r="L349">
            <v>10.288</v>
          </cell>
          <cell r="N349">
            <v>14.922000000000001</v>
          </cell>
          <cell r="O349">
            <v>17.600000000000001</v>
          </cell>
          <cell r="P349">
            <v>16.922999999999998</v>
          </cell>
          <cell r="Q349">
            <v>19.477</v>
          </cell>
          <cell r="S349">
            <v>22.088000000000001</v>
          </cell>
          <cell r="T349">
            <v>31.99</v>
          </cell>
          <cell r="U349">
            <v>34.887999999999998</v>
          </cell>
          <cell r="V349">
            <v>32.109000000000002</v>
          </cell>
          <cell r="X349">
            <v>45.027999999999999</v>
          </cell>
          <cell r="Y349">
            <v>45.997999999999998</v>
          </cell>
          <cell r="Z349">
            <v>50.466000000000001</v>
          </cell>
          <cell r="AA349">
            <v>49.508000000000003</v>
          </cell>
          <cell r="AC349">
            <v>58.387</v>
          </cell>
          <cell r="AD349">
            <v>63.381</v>
          </cell>
          <cell r="AE349">
            <v>67.203000000000003</v>
          </cell>
          <cell r="AF349">
            <v>61.960999999999999</v>
          </cell>
          <cell r="AH349">
            <v>63.399000000000001</v>
          </cell>
          <cell r="AI349">
            <v>75.620999999999995</v>
          </cell>
          <cell r="AJ349">
            <v>70.873999999999995</v>
          </cell>
          <cell r="AK349">
            <v>68.953000000000003</v>
          </cell>
          <cell r="AU349">
            <v>102.94</v>
          </cell>
          <cell r="AW349">
            <v>102.851</v>
          </cell>
          <cell r="AX349">
            <v>126.03700000000001</v>
          </cell>
          <cell r="AY349">
            <v>142.00399999999999</v>
          </cell>
          <cell r="AZ349">
            <v>206.31899999999999</v>
          </cell>
          <cell r="BB349">
            <v>279.84899999999999</v>
          </cell>
          <cell r="BC349">
            <v>309.27199999999999</v>
          </cell>
          <cell r="BL349">
            <v>347.41199999999998</v>
          </cell>
          <cell r="BM349">
            <v>374.55700000000002</v>
          </cell>
          <cell r="BQ349">
            <v>167.34200000000001</v>
          </cell>
          <cell r="BR349">
            <v>213.346</v>
          </cell>
          <cell r="BS349">
            <v>198.78</v>
          </cell>
          <cell r="BT349">
            <v>196.779</v>
          </cell>
          <cell r="BV349">
            <v>205.71</v>
          </cell>
          <cell r="BW349">
            <v>220.346</v>
          </cell>
          <cell r="BX349">
            <v>236.68899999999999</v>
          </cell>
          <cell r="BY349">
            <v>299.26100000000002</v>
          </cell>
          <cell r="CA349">
            <v>376.428</v>
          </cell>
          <cell r="CB349">
            <v>404.96199999999999</v>
          </cell>
          <cell r="CC349">
            <v>480.49599999999998</v>
          </cell>
          <cell r="CD349">
            <v>572.10199999999998</v>
          </cell>
          <cell r="CF349">
            <v>600.54600000000005</v>
          </cell>
          <cell r="CH349">
            <v>234.55099999999999</v>
          </cell>
          <cell r="CI349">
            <v>246.452</v>
          </cell>
          <cell r="CJ349">
            <v>259.43900000000002</v>
          </cell>
          <cell r="CK349">
            <v>322.42500000000001</v>
          </cell>
          <cell r="CM349">
            <v>381.36399999999998</v>
          </cell>
          <cell r="CN349">
            <v>431.89800000000002</v>
          </cell>
          <cell r="CO349">
            <v>512.58699999999999</v>
          </cell>
          <cell r="CP349">
            <v>608.43399999999997</v>
          </cell>
          <cell r="CR349">
            <v>636.87800000000004</v>
          </cell>
          <cell r="CS349">
            <v>592.53200000000004</v>
          </cell>
          <cell r="CT349">
            <v>550.53499999999997</v>
          </cell>
          <cell r="CU349">
            <v>503.822</v>
          </cell>
          <cell r="CZ349">
            <v>1970.585</v>
          </cell>
          <cell r="DB349">
            <v>1479.92</v>
          </cell>
          <cell r="DC349">
            <v>1302.979</v>
          </cell>
          <cell r="DD349">
            <v>1273.4000000000001</v>
          </cell>
          <cell r="DE349">
            <v>1253.236347074049</v>
          </cell>
          <cell r="DG349">
            <v>1222.7207347659771</v>
          </cell>
          <cell r="DH349">
            <v>1187.4793310725076</v>
          </cell>
          <cell r="DI349">
            <v>1169.0400483851809</v>
          </cell>
          <cell r="DJ349">
            <v>1178.9424041706757</v>
          </cell>
          <cell r="DL349">
            <v>1305.2895100758954</v>
          </cell>
          <cell r="DM349">
            <v>1258.4088429034027</v>
          </cell>
          <cell r="DN349">
            <v>1246.6252794577333</v>
          </cell>
          <cell r="DO349">
            <v>1290.9202339907552</v>
          </cell>
          <cell r="DR349">
            <v>5.8440000000000003</v>
          </cell>
          <cell r="DS349">
            <v>9.7249999999999996</v>
          </cell>
          <cell r="DT349">
            <v>10.288</v>
          </cell>
          <cell r="DU349">
            <v>19.477</v>
          </cell>
          <cell r="DV349">
            <v>32.109000000000002</v>
          </cell>
          <cell r="DW349">
            <v>49.508000000000003</v>
          </cell>
          <cell r="DX349">
            <v>42.798999999999999</v>
          </cell>
          <cell r="DY349">
            <v>61.960999999999999</v>
          </cell>
          <cell r="DZ349">
            <v>68.953000000000003</v>
          </cell>
          <cell r="EC349">
            <v>102.94</v>
          </cell>
          <cell r="EE349">
            <v>206.31899999999999</v>
          </cell>
          <cell r="EL349">
            <v>196.779</v>
          </cell>
          <cell r="EM349">
            <v>299.26100000000002</v>
          </cell>
          <cell r="EN349">
            <v>572.10199999999998</v>
          </cell>
          <cell r="EP349">
            <v>227.55600000000001</v>
          </cell>
          <cell r="EQ349">
            <v>322.42500000000001</v>
          </cell>
          <cell r="ER349">
            <v>608.43399999999997</v>
          </cell>
          <cell r="ES349">
            <v>503.822</v>
          </cell>
          <cell r="ET349">
            <v>1970.585</v>
          </cell>
          <cell r="EU349">
            <v>1253.236347074049</v>
          </cell>
          <cell r="EV349">
            <v>1178.9424041706757</v>
          </cell>
          <cell r="EW349">
            <v>1290.9202339907552</v>
          </cell>
        </row>
        <row r="350">
          <cell r="A350" t="str">
            <v>Raw materials</v>
          </cell>
          <cell r="B350" t="str">
            <v>rm</v>
          </cell>
          <cell r="CD350">
            <v>343.73399999999998</v>
          </cell>
          <cell r="CF350">
            <v>395.05200000000002</v>
          </cell>
          <cell r="CP350">
            <v>371.38400000000001</v>
          </cell>
          <cell r="CR350" t="str">
            <v xml:space="preserve"> --</v>
          </cell>
          <cell r="CS350" t="str">
            <v xml:space="preserve"> --</v>
          </cell>
          <cell r="CT350">
            <v>343.68599999999998</v>
          </cell>
          <cell r="CU350">
            <v>356.93900000000002</v>
          </cell>
          <cell r="CZ350" t="str">
            <v xml:space="preserve"> --</v>
          </cell>
          <cell r="DB350">
            <v>1068.6949999999999</v>
          </cell>
          <cell r="DC350">
            <v>818.32399999999996</v>
          </cell>
          <cell r="DD350">
            <v>806.56700000000001</v>
          </cell>
          <cell r="DE350">
            <v>0</v>
          </cell>
          <cell r="DG350">
            <v>0</v>
          </cell>
          <cell r="DH350">
            <v>0</v>
          </cell>
          <cell r="DI350">
            <v>0</v>
          </cell>
          <cell r="DJ350">
            <v>0</v>
          </cell>
          <cell r="DL350">
            <v>0</v>
          </cell>
          <cell r="DM350">
            <v>0</v>
          </cell>
          <cell r="DN350">
            <v>0</v>
          </cell>
          <cell r="DO350">
            <v>0</v>
          </cell>
          <cell r="EP350">
            <v>0</v>
          </cell>
          <cell r="EQ350">
            <v>187.65299999999999</v>
          </cell>
          <cell r="ER350">
            <v>371.38400000000001</v>
          </cell>
          <cell r="ES350">
            <v>356.93900000000002</v>
          </cell>
          <cell r="ET350" t="str">
            <v xml:space="preserve"> --</v>
          </cell>
          <cell r="EU350">
            <v>0</v>
          </cell>
          <cell r="EV350">
            <v>0</v>
          </cell>
          <cell r="EW350">
            <v>0</v>
          </cell>
        </row>
        <row r="351">
          <cell r="A351" t="str">
            <v>Work in progress</v>
          </cell>
          <cell r="B351" t="str">
            <v>wip</v>
          </cell>
          <cell r="CD351">
            <v>145.483</v>
          </cell>
          <cell r="CF351">
            <v>138.56</v>
          </cell>
          <cell r="CP351">
            <v>148.404</v>
          </cell>
          <cell r="CR351" t="str">
            <v xml:space="preserve"> --</v>
          </cell>
          <cell r="CS351" t="str">
            <v xml:space="preserve"> --</v>
          </cell>
          <cell r="CT351">
            <v>71.647000000000006</v>
          </cell>
          <cell r="CU351">
            <v>57.886000000000003</v>
          </cell>
          <cell r="CZ351" t="str">
            <v xml:space="preserve"> --</v>
          </cell>
          <cell r="DB351">
            <v>283.37599999999998</v>
          </cell>
          <cell r="DC351">
            <v>313.54000000000002</v>
          </cell>
          <cell r="DD351">
            <v>273.70400000000001</v>
          </cell>
          <cell r="DE351">
            <v>0</v>
          </cell>
          <cell r="DG351">
            <v>0</v>
          </cell>
          <cell r="DH351">
            <v>0</v>
          </cell>
          <cell r="DI351">
            <v>0</v>
          </cell>
          <cell r="DJ351">
            <v>0</v>
          </cell>
          <cell r="DL351">
            <v>0</v>
          </cell>
          <cell r="DM351">
            <v>0</v>
          </cell>
          <cell r="DN351">
            <v>0</v>
          </cell>
          <cell r="DO351">
            <v>0</v>
          </cell>
          <cell r="EP351">
            <v>0</v>
          </cell>
          <cell r="EQ351">
            <v>87.6</v>
          </cell>
          <cell r="ER351">
            <v>148.404</v>
          </cell>
          <cell r="ES351">
            <v>57.886000000000003</v>
          </cell>
          <cell r="ET351" t="str">
            <v xml:space="preserve"> --</v>
          </cell>
          <cell r="EU351">
            <v>0</v>
          </cell>
          <cell r="EV351">
            <v>0</v>
          </cell>
          <cell r="EW351">
            <v>0</v>
          </cell>
        </row>
        <row r="352">
          <cell r="A352" t="str">
            <v>Finished goods</v>
          </cell>
          <cell r="B352" t="str">
            <v>fg</v>
          </cell>
          <cell r="CD352">
            <v>82.885000000000005</v>
          </cell>
          <cell r="CF352">
            <v>66.933999999999997</v>
          </cell>
          <cell r="CP352">
            <v>88.646000000000001</v>
          </cell>
          <cell r="CR352" t="str">
            <v xml:space="preserve"> --</v>
          </cell>
          <cell r="CS352" t="str">
            <v xml:space="preserve"> --</v>
          </cell>
          <cell r="CT352">
            <v>135.202</v>
          </cell>
          <cell r="CU352">
            <v>88.997</v>
          </cell>
          <cell r="CZ352" t="str">
            <v xml:space="preserve"> --</v>
          </cell>
          <cell r="DB352">
            <v>127.849</v>
          </cell>
          <cell r="DC352">
            <v>171.11500000000001</v>
          </cell>
          <cell r="DD352">
            <v>193.12899999999999</v>
          </cell>
          <cell r="DE352">
            <v>0</v>
          </cell>
          <cell r="DG352">
            <v>0</v>
          </cell>
          <cell r="DH352">
            <v>0</v>
          </cell>
          <cell r="DI352">
            <v>0</v>
          </cell>
          <cell r="DJ352">
            <v>0</v>
          </cell>
          <cell r="DL352">
            <v>0</v>
          </cell>
          <cell r="DM352">
            <v>0</v>
          </cell>
          <cell r="DN352">
            <v>0</v>
          </cell>
          <cell r="DO352">
            <v>0</v>
          </cell>
          <cell r="EP352">
            <v>0</v>
          </cell>
          <cell r="EQ352">
            <v>47.171999999999997</v>
          </cell>
          <cell r="ER352">
            <v>88.646000000000001</v>
          </cell>
          <cell r="ES352">
            <v>88.997</v>
          </cell>
          <cell r="ET352" t="str">
            <v xml:space="preserve"> --</v>
          </cell>
          <cell r="EU352">
            <v>0</v>
          </cell>
          <cell r="EV352">
            <v>0</v>
          </cell>
          <cell r="EW352">
            <v>0</v>
          </cell>
        </row>
        <row r="353">
          <cell r="A353" t="str">
            <v>Deferred income taxes</v>
          </cell>
          <cell r="B353" t="str">
            <v>definctx</v>
          </cell>
          <cell r="E353">
            <v>1.4830000000000001</v>
          </cell>
          <cell r="F353">
            <v>1.4830000000000001</v>
          </cell>
          <cell r="G353">
            <v>1.4830000000000001</v>
          </cell>
          <cell r="I353">
            <v>1.4830000000000001</v>
          </cell>
          <cell r="J353">
            <v>1.48</v>
          </cell>
          <cell r="K353">
            <v>1.4830000000000001</v>
          </cell>
          <cell r="L353">
            <v>2.3210000000000002</v>
          </cell>
          <cell r="N353">
            <v>2.3210000000000002</v>
          </cell>
          <cell r="O353">
            <v>2.3210000000000002</v>
          </cell>
          <cell r="P353" t="str">
            <v xml:space="preserve"> -- </v>
          </cell>
          <cell r="Q353" t="str">
            <v xml:space="preserve"> -- </v>
          </cell>
          <cell r="S353" t="str">
            <v xml:space="preserve"> -- </v>
          </cell>
          <cell r="T353" t="str">
            <v xml:space="preserve"> -- </v>
          </cell>
          <cell r="U353" t="str">
            <v xml:space="preserve"> -- </v>
          </cell>
          <cell r="V353" t="str">
            <v xml:space="preserve"> -- </v>
          </cell>
          <cell r="X353" t="str">
            <v xml:space="preserve"> -- </v>
          </cell>
          <cell r="Y353" t="str">
            <v xml:space="preserve"> -- </v>
          </cell>
          <cell r="Z353" t="str">
            <v xml:space="preserve"> -- </v>
          </cell>
          <cell r="AA353" t="str">
            <v xml:space="preserve"> -- </v>
          </cell>
          <cell r="AC353">
            <v>6.8520000000000003</v>
          </cell>
          <cell r="AD353">
            <v>6.8520000000000003</v>
          </cell>
          <cell r="AE353">
            <v>6.8520000000000003</v>
          </cell>
          <cell r="AF353">
            <v>9.1150000000000002</v>
          </cell>
          <cell r="AH353" t="str">
            <v xml:space="preserve"> -- </v>
          </cell>
          <cell r="AI353" t="str">
            <v xml:space="preserve"> -- </v>
          </cell>
          <cell r="AJ353" t="str">
            <v xml:space="preserve"> -- </v>
          </cell>
          <cell r="AK353" t="str">
            <v xml:space="preserve"> -- </v>
          </cell>
          <cell r="AU353">
            <v>19.388999999999999</v>
          </cell>
          <cell r="AW353" t="str">
            <v xml:space="preserve"> -- </v>
          </cell>
          <cell r="AX353" t="str">
            <v xml:space="preserve"> -- </v>
          </cell>
          <cell r="AY353" t="str">
            <v xml:space="preserve"> -- </v>
          </cell>
          <cell r="AZ353">
            <v>22.934000000000001</v>
          </cell>
          <cell r="BB353">
            <v>22.934000000000001</v>
          </cell>
          <cell r="BC353">
            <v>36.203000000000003</v>
          </cell>
          <cell r="BL353">
            <v>61.118000000000002</v>
          </cell>
          <cell r="BM353">
            <v>62.996000000000002</v>
          </cell>
          <cell r="BQ353" t="str">
            <v xml:space="preserve">-- </v>
          </cell>
          <cell r="BR353" t="str">
            <v xml:space="preserve">-- </v>
          </cell>
          <cell r="BS353" t="str">
            <v xml:space="preserve">-- </v>
          </cell>
          <cell r="BT353" t="str">
            <v xml:space="preserve">-- </v>
          </cell>
          <cell r="BV353" t="str">
            <v xml:space="preserve">-- </v>
          </cell>
          <cell r="BW353" t="str">
            <v xml:space="preserve">-- </v>
          </cell>
          <cell r="BX353" t="str">
            <v xml:space="preserve">-- </v>
          </cell>
          <cell r="BY353">
            <v>34.414000000000001</v>
          </cell>
          <cell r="CA353" t="str">
            <v xml:space="preserve">-- </v>
          </cell>
          <cell r="CB353" t="str">
            <v xml:space="preserve">-- </v>
          </cell>
          <cell r="CC353">
            <v>40.722999999999999</v>
          </cell>
          <cell r="CD353">
            <v>69.158000000000001</v>
          </cell>
          <cell r="CF353">
            <v>85.427000000000007</v>
          </cell>
          <cell r="CH353" t="str">
            <v xml:space="preserve"> -- </v>
          </cell>
          <cell r="CI353" t="str">
            <v xml:space="preserve"> -- </v>
          </cell>
          <cell r="CJ353" t="str">
            <v xml:space="preserve"> -- </v>
          </cell>
          <cell r="CK353" t="str">
            <v xml:space="preserve"> -- </v>
          </cell>
          <cell r="CM353" t="str">
            <v xml:space="preserve"> -- </v>
          </cell>
          <cell r="CN353" t="str">
            <v xml:space="preserve"> -- </v>
          </cell>
          <cell r="CO353" t="str">
            <v xml:space="preserve"> -- </v>
          </cell>
          <cell r="CP353">
            <v>87.186999999999998</v>
          </cell>
          <cell r="CR353" t="str">
            <v xml:space="preserve"> -- </v>
          </cell>
          <cell r="CS353" t="str">
            <v xml:space="preserve"> --</v>
          </cell>
          <cell r="CT353">
            <v>90.281999999999996</v>
          </cell>
          <cell r="CU353">
            <v>159.899</v>
          </cell>
          <cell r="CZ353">
            <v>201.56700000000001</v>
          </cell>
          <cell r="DB353">
            <v>290.38499999999999</v>
          </cell>
          <cell r="DC353">
            <v>452.54899999999998</v>
          </cell>
          <cell r="DD353">
            <v>448.827</v>
          </cell>
          <cell r="DE353">
            <v>428.58490230000001</v>
          </cell>
          <cell r="DG353">
            <v>416.92306581272533</v>
          </cell>
          <cell r="DH353">
            <v>396.09621961295034</v>
          </cell>
          <cell r="DI353">
            <v>401.56553398950922</v>
          </cell>
          <cell r="DJ353">
            <v>411.5262625220991</v>
          </cell>
          <cell r="DL353">
            <v>467.83852441904395</v>
          </cell>
          <cell r="DM353">
            <v>440.19874295587493</v>
          </cell>
          <cell r="DN353">
            <v>446.81224107215354</v>
          </cell>
          <cell r="DO353">
            <v>468.50499145031165</v>
          </cell>
          <cell r="DR353">
            <v>1.5649999999999999</v>
          </cell>
          <cell r="DS353">
            <v>1.4830000000000001</v>
          </cell>
          <cell r="DT353">
            <v>2.3210000000000002</v>
          </cell>
          <cell r="DU353" t="str">
            <v xml:space="preserve"> -- </v>
          </cell>
          <cell r="DV353" t="str">
            <v xml:space="preserve"> -- </v>
          </cell>
          <cell r="DW353" t="str">
            <v xml:space="preserve"> -- </v>
          </cell>
          <cell r="DX353">
            <v>6.8520000000000003</v>
          </cell>
          <cell r="DY353">
            <v>9.1150000000000002</v>
          </cell>
          <cell r="DZ353" t="str">
            <v xml:space="preserve"> -- </v>
          </cell>
          <cell r="EC353">
            <v>19.388999999999999</v>
          </cell>
          <cell r="EE353">
            <v>22.934000000000001</v>
          </cell>
          <cell r="EL353">
            <v>36.545000000000002</v>
          </cell>
          <cell r="EM353">
            <v>34.414000000000001</v>
          </cell>
          <cell r="EN353">
            <v>69.158000000000001</v>
          </cell>
          <cell r="EP353" t="str">
            <v xml:space="preserve"> -- </v>
          </cell>
          <cell r="EQ353">
            <v>37.069000000000003</v>
          </cell>
          <cell r="ER353">
            <v>87.186999999999998</v>
          </cell>
          <cell r="ES353">
            <v>159.899</v>
          </cell>
          <cell r="ET353">
            <v>201.56700000000001</v>
          </cell>
          <cell r="EU353">
            <v>428.58490230000001</v>
          </cell>
          <cell r="EV353">
            <v>411.5262625220991</v>
          </cell>
          <cell r="EW353">
            <v>468.50499145031165</v>
          </cell>
        </row>
        <row r="354">
          <cell r="A354" t="str">
            <v>Prepaid/Other Current Assets</v>
          </cell>
          <cell r="E354">
            <v>0.73699999999999999</v>
          </cell>
          <cell r="F354">
            <v>0.192</v>
          </cell>
          <cell r="G354">
            <v>0.36499999999999999</v>
          </cell>
          <cell r="I354">
            <v>0.34899999999999998</v>
          </cell>
          <cell r="J354">
            <v>0.44800000000000001</v>
          </cell>
          <cell r="K354">
            <v>0.25600000000000001</v>
          </cell>
          <cell r="L354">
            <v>0.42599999999999999</v>
          </cell>
          <cell r="N354">
            <v>0.35799999999999998</v>
          </cell>
          <cell r="O354">
            <v>0.46700000000000003</v>
          </cell>
          <cell r="P354">
            <v>2.6760000000000002</v>
          </cell>
          <cell r="Q354">
            <v>5.0919999999999996</v>
          </cell>
          <cell r="S354">
            <v>5.1379999999999999</v>
          </cell>
          <cell r="T354">
            <v>5.1470000000000002</v>
          </cell>
          <cell r="U354">
            <v>4.9980000000000002</v>
          </cell>
          <cell r="V354">
            <v>7.851</v>
          </cell>
          <cell r="X354">
            <v>7.9370000000000003</v>
          </cell>
          <cell r="Y354">
            <v>8.2850000000000001</v>
          </cell>
          <cell r="Z354">
            <v>7.7549999999999999</v>
          </cell>
          <cell r="AA354">
            <v>11.221</v>
          </cell>
          <cell r="AC354">
            <v>2.5350000000000001</v>
          </cell>
          <cell r="AD354">
            <v>3.298</v>
          </cell>
          <cell r="AE354">
            <v>2.6469999999999998</v>
          </cell>
          <cell r="AF354">
            <v>6.593</v>
          </cell>
          <cell r="AH354">
            <v>14.321999999999999</v>
          </cell>
          <cell r="AI354">
            <v>12.968</v>
          </cell>
          <cell r="AJ354">
            <v>12.513999999999999</v>
          </cell>
          <cell r="AK354">
            <v>23.821000000000002</v>
          </cell>
          <cell r="AU354">
            <v>8.2200000000000006</v>
          </cell>
          <cell r="AW354">
            <v>32.895000000000003</v>
          </cell>
          <cell r="AX354">
            <v>32.954999999999998</v>
          </cell>
          <cell r="AY354">
            <v>35.466999999999999</v>
          </cell>
          <cell r="AZ354">
            <v>10.195</v>
          </cell>
          <cell r="BB354">
            <v>11.311</v>
          </cell>
          <cell r="BC354" t="str">
            <v xml:space="preserve"> -- </v>
          </cell>
          <cell r="BQ354">
            <v>33.706000000000003</v>
          </cell>
          <cell r="BR354">
            <v>45.74</v>
          </cell>
          <cell r="BS354">
            <v>49.072000000000003</v>
          </cell>
          <cell r="BT354">
            <v>65.36</v>
          </cell>
          <cell r="BV354">
            <v>60.597999999999999</v>
          </cell>
          <cell r="BW354">
            <v>56.731999999999999</v>
          </cell>
          <cell r="BX354">
            <v>58.154000000000003</v>
          </cell>
          <cell r="BY354">
            <v>19.959</v>
          </cell>
          <cell r="CA354">
            <v>63.195</v>
          </cell>
          <cell r="CB354">
            <v>64.082999999999998</v>
          </cell>
          <cell r="CC354">
            <v>31.018000000000001</v>
          </cell>
          <cell r="CD354">
            <v>25.35</v>
          </cell>
          <cell r="CF354">
            <v>26.209</v>
          </cell>
          <cell r="CH354">
            <v>68.483999999999995</v>
          </cell>
          <cell r="CI354">
            <v>63.951000000000001</v>
          </cell>
          <cell r="CJ354">
            <v>69.680999999999997</v>
          </cell>
          <cell r="CK354">
            <v>62.874000000000002</v>
          </cell>
          <cell r="CM354">
            <v>92.808000000000007</v>
          </cell>
          <cell r="CN354">
            <v>71.387</v>
          </cell>
          <cell r="CO354">
            <v>78.555999999999997</v>
          </cell>
          <cell r="CP354">
            <v>30.077000000000002</v>
          </cell>
          <cell r="CR354">
            <v>118.124</v>
          </cell>
          <cell r="CS354">
            <v>119.60499999999999</v>
          </cell>
          <cell r="CT354">
            <v>29.681000000000001</v>
          </cell>
          <cell r="CU354">
            <v>121.336</v>
          </cell>
          <cell r="CZ354">
            <v>214.96700000000001</v>
          </cell>
          <cell r="DB354">
            <v>215.196</v>
          </cell>
          <cell r="DC354">
            <v>197.155</v>
          </cell>
          <cell r="DD354">
            <v>193.566</v>
          </cell>
          <cell r="DE354">
            <v>184.83617340000001</v>
          </cell>
          <cell r="DG354">
            <v>179.80676331215813</v>
          </cell>
          <cell r="DH354">
            <v>170.82475173195985</v>
          </cell>
          <cell r="DI354">
            <v>173.1835075702071</v>
          </cell>
          <cell r="DJ354">
            <v>177.47927939128581</v>
          </cell>
          <cell r="DL354">
            <v>201.76511622005063</v>
          </cell>
          <cell r="DM354">
            <v>189.84488428502939</v>
          </cell>
          <cell r="DN354">
            <v>192.69709321269102</v>
          </cell>
          <cell r="DO354">
            <v>202.05254402046006</v>
          </cell>
          <cell r="DR354">
            <v>0.45100000000000001</v>
          </cell>
          <cell r="DS354">
            <v>0.36499999999999999</v>
          </cell>
          <cell r="DT354">
            <v>0.42599999999999999</v>
          </cell>
          <cell r="DU354">
            <v>5.0919999999999996</v>
          </cell>
          <cell r="DV354">
            <v>7.851</v>
          </cell>
          <cell r="DW354">
            <v>11.221</v>
          </cell>
          <cell r="DX354">
            <v>2.4460000000000002</v>
          </cell>
          <cell r="DY354">
            <v>6.593</v>
          </cell>
          <cell r="DZ354">
            <v>23.821000000000002</v>
          </cell>
          <cell r="EC354">
            <v>8.2200000000000006</v>
          </cell>
          <cell r="EE354">
            <v>10.195</v>
          </cell>
          <cell r="EL354">
            <v>28.815000000000001</v>
          </cell>
          <cell r="EM354">
            <v>19.959</v>
          </cell>
          <cell r="EN354">
            <v>25.35</v>
          </cell>
          <cell r="EP354">
            <v>71.275999999999996</v>
          </cell>
          <cell r="EQ354">
            <v>25.805</v>
          </cell>
          <cell r="ER354">
            <v>30.077000000000002</v>
          </cell>
          <cell r="ES354">
            <v>121.336</v>
          </cell>
          <cell r="ET354">
            <v>214.96700000000001</v>
          </cell>
          <cell r="EU354">
            <v>184.83617340000001</v>
          </cell>
          <cell r="EV354">
            <v>177.47927939128581</v>
          </cell>
          <cell r="EW354">
            <v>202.05254402046006</v>
          </cell>
        </row>
        <row r="355">
          <cell r="A355" t="str">
            <v>Prepaid expenses</v>
          </cell>
          <cell r="B355" t="str">
            <v>preexp</v>
          </cell>
          <cell r="E355">
            <v>0.73699999999999999</v>
          </cell>
          <cell r="F355">
            <v>0.192</v>
          </cell>
          <cell r="G355">
            <v>0.36499999999999999</v>
          </cell>
          <cell r="I355">
            <v>0.34899999999999998</v>
          </cell>
          <cell r="J355">
            <v>0.44800000000000001</v>
          </cell>
          <cell r="K355">
            <v>0.25600000000000001</v>
          </cell>
          <cell r="L355">
            <v>0.42599999999999999</v>
          </cell>
          <cell r="N355">
            <v>0.35799999999999998</v>
          </cell>
          <cell r="O355">
            <v>0.46700000000000003</v>
          </cell>
          <cell r="P355">
            <v>2.6760000000000002</v>
          </cell>
          <cell r="Q355">
            <v>5.0919999999999996</v>
          </cell>
          <cell r="S355">
            <v>5.1379999999999999</v>
          </cell>
          <cell r="T355">
            <v>5.1470000000000002</v>
          </cell>
          <cell r="U355">
            <v>4.9980000000000002</v>
          </cell>
          <cell r="V355">
            <v>7.851</v>
          </cell>
          <cell r="X355">
            <v>7.9370000000000003</v>
          </cell>
          <cell r="Y355">
            <v>8.2850000000000001</v>
          </cell>
          <cell r="Z355">
            <v>7.7549999999999999</v>
          </cell>
          <cell r="AA355">
            <v>11.221</v>
          </cell>
          <cell r="AC355">
            <v>2.5350000000000001</v>
          </cell>
          <cell r="AD355">
            <v>3.298</v>
          </cell>
          <cell r="AE355">
            <v>2.6469999999999998</v>
          </cell>
          <cell r="AF355">
            <v>6.593</v>
          </cell>
          <cell r="AH355">
            <v>14.321999999999999</v>
          </cell>
          <cell r="AI355">
            <v>12.968</v>
          </cell>
          <cell r="AJ355">
            <v>12.513999999999999</v>
          </cell>
          <cell r="AK355">
            <v>23.821000000000002</v>
          </cell>
          <cell r="AU355">
            <v>8.2200000000000006</v>
          </cell>
          <cell r="AW355">
            <v>32.895000000000003</v>
          </cell>
          <cell r="AX355">
            <v>32.954999999999998</v>
          </cell>
          <cell r="AY355">
            <v>35.466999999999999</v>
          </cell>
          <cell r="AZ355">
            <v>10.195</v>
          </cell>
          <cell r="BB355">
            <v>11.311</v>
          </cell>
          <cell r="BC355" t="str">
            <v xml:space="preserve"> -- </v>
          </cell>
          <cell r="BL355" t="str">
            <v xml:space="preserve"> -- </v>
          </cell>
          <cell r="BM355" t="str">
            <v xml:space="preserve"> -- </v>
          </cell>
          <cell r="BQ355" t="str">
            <v xml:space="preserve">-- </v>
          </cell>
          <cell r="BR355" t="str">
            <v xml:space="preserve">-- </v>
          </cell>
          <cell r="BS355" t="str">
            <v xml:space="preserve">-- </v>
          </cell>
          <cell r="BT355" t="str">
            <v xml:space="preserve">-- </v>
          </cell>
          <cell r="BV355" t="str">
            <v xml:space="preserve">-- </v>
          </cell>
          <cell r="BW355" t="str">
            <v xml:space="preserve">-- </v>
          </cell>
          <cell r="BX355" t="str">
            <v xml:space="preserve">-- </v>
          </cell>
          <cell r="BY355" t="str">
            <v xml:space="preserve">-- </v>
          </cell>
          <cell r="CA355" t="str">
            <v xml:space="preserve">-- </v>
          </cell>
          <cell r="CB355" t="str">
            <v xml:space="preserve">-- </v>
          </cell>
          <cell r="CC355">
            <v>31.018000000000001</v>
          </cell>
          <cell r="CD355">
            <v>25.35</v>
          </cell>
          <cell r="CF355">
            <v>26.209</v>
          </cell>
          <cell r="CH355" t="str">
            <v xml:space="preserve"> -- </v>
          </cell>
          <cell r="CI355" t="str">
            <v xml:space="preserve"> -- </v>
          </cell>
          <cell r="CJ355" t="str">
            <v xml:space="preserve"> -- </v>
          </cell>
          <cell r="CK355" t="str">
            <v xml:space="preserve"> -- </v>
          </cell>
          <cell r="CM355" t="str">
            <v xml:space="preserve"> -- </v>
          </cell>
          <cell r="CN355" t="str">
            <v xml:space="preserve"> -- </v>
          </cell>
          <cell r="CO355" t="str">
            <v xml:space="preserve"> -- </v>
          </cell>
          <cell r="CP355">
            <v>30.077000000000002</v>
          </cell>
          <cell r="CR355" t="str">
            <v xml:space="preserve"> -- </v>
          </cell>
          <cell r="CS355">
            <v>119.60499999999999</v>
          </cell>
          <cell r="CT355">
            <v>29.681000000000001</v>
          </cell>
          <cell r="CU355">
            <v>28.228999999999999</v>
          </cell>
          <cell r="CZ355" t="str">
            <v>--</v>
          </cell>
          <cell r="DB355">
            <v>215.196</v>
          </cell>
          <cell r="DC355">
            <v>197.155</v>
          </cell>
          <cell r="DD355">
            <v>193.566</v>
          </cell>
          <cell r="DE355">
            <v>184.83617340000001</v>
          </cell>
          <cell r="DG355">
            <v>179.80676331215813</v>
          </cell>
          <cell r="DH355">
            <v>170.82475173195985</v>
          </cell>
          <cell r="DI355">
            <v>173.1835075702071</v>
          </cell>
          <cell r="DJ355">
            <v>177.47927939128581</v>
          </cell>
          <cell r="DL355">
            <v>201.76511622005063</v>
          </cell>
          <cell r="DM355">
            <v>189.84488428502939</v>
          </cell>
          <cell r="DN355">
            <v>192.69709321269102</v>
          </cell>
          <cell r="DO355">
            <v>202.05254402046006</v>
          </cell>
          <cell r="DR355">
            <v>0.45100000000000001</v>
          </cell>
          <cell r="DS355">
            <v>0.36499999999999999</v>
          </cell>
          <cell r="DT355">
            <v>0.42599999999999999</v>
          </cell>
          <cell r="DU355">
            <v>5.0919999999999996</v>
          </cell>
          <cell r="DV355">
            <v>7.851</v>
          </cell>
          <cell r="DW355">
            <v>11.221</v>
          </cell>
          <cell r="DX355">
            <v>2.4460000000000002</v>
          </cell>
          <cell r="DY355">
            <v>6.593</v>
          </cell>
          <cell r="DZ355">
            <v>23.821000000000002</v>
          </cell>
          <cell r="EC355">
            <v>8.2200000000000006</v>
          </cell>
          <cell r="EE355">
            <v>10.195</v>
          </cell>
          <cell r="EL355">
            <v>28.815000000000001</v>
          </cell>
          <cell r="EM355">
            <v>19.959</v>
          </cell>
          <cell r="EN355">
            <v>25.35</v>
          </cell>
          <cell r="EP355" t="str">
            <v xml:space="preserve"> -- </v>
          </cell>
          <cell r="EQ355">
            <v>25.805</v>
          </cell>
          <cell r="ER355">
            <v>30.077000000000002</v>
          </cell>
          <cell r="ES355">
            <v>28.228999999999999</v>
          </cell>
          <cell r="ET355" t="str">
            <v>--</v>
          </cell>
          <cell r="EU355">
            <v>184.83617340000001</v>
          </cell>
          <cell r="EV355">
            <v>177.47927939128581</v>
          </cell>
          <cell r="EW355">
            <v>202.05254402046006</v>
          </cell>
        </row>
        <row r="356">
          <cell r="A356" t="str">
            <v>Other current assets</v>
          </cell>
          <cell r="B356" t="str">
            <v>oca</v>
          </cell>
          <cell r="BQ356">
            <v>33.706000000000003</v>
          </cell>
          <cell r="BR356">
            <v>45.74</v>
          </cell>
          <cell r="BS356">
            <v>49.072000000000003</v>
          </cell>
          <cell r="BT356">
            <v>65.36</v>
          </cell>
          <cell r="BV356">
            <v>60.597999999999999</v>
          </cell>
          <cell r="BW356">
            <v>56.731999999999999</v>
          </cell>
          <cell r="BX356">
            <v>58.154000000000003</v>
          </cell>
          <cell r="BY356">
            <v>19.959</v>
          </cell>
          <cell r="CA356">
            <v>63.195</v>
          </cell>
          <cell r="CB356">
            <v>64.082999999999998</v>
          </cell>
          <cell r="CC356" t="str">
            <v xml:space="preserve"> -- </v>
          </cell>
          <cell r="CD356" t="str">
            <v xml:space="preserve"> -- </v>
          </cell>
          <cell r="CF356" t="str">
            <v xml:space="preserve"> --</v>
          </cell>
          <cell r="CH356">
            <v>68.483999999999995</v>
          </cell>
          <cell r="CI356">
            <v>63.951000000000001</v>
          </cell>
          <cell r="CJ356">
            <v>69.680999999999997</v>
          </cell>
          <cell r="CK356">
            <v>62.874000000000002</v>
          </cell>
          <cell r="CM356">
            <v>92.808000000000007</v>
          </cell>
          <cell r="CN356">
            <v>71.387</v>
          </cell>
          <cell r="CO356">
            <v>78.555999999999997</v>
          </cell>
          <cell r="CP356" t="str">
            <v xml:space="preserve"> --</v>
          </cell>
          <cell r="CR356">
            <v>118.124</v>
          </cell>
          <cell r="CS356" t="str">
            <v xml:space="preserve"> --</v>
          </cell>
          <cell r="CT356" t="str">
            <v xml:space="preserve"> --</v>
          </cell>
          <cell r="CU356">
            <v>93.106999999999999</v>
          </cell>
          <cell r="CZ356" t="str">
            <v>--</v>
          </cell>
          <cell r="DB356" t="str">
            <v xml:space="preserve"> --</v>
          </cell>
          <cell r="EL356" t="str">
            <v xml:space="preserve">-- </v>
          </cell>
          <cell r="EM356" t="str">
            <v xml:space="preserve">-- </v>
          </cell>
          <cell r="EN356" t="str">
            <v xml:space="preserve"> -- </v>
          </cell>
          <cell r="EP356">
            <v>71.275999999999996</v>
          </cell>
          <cell r="EQ356" t="str">
            <v xml:space="preserve"> --</v>
          </cell>
          <cell r="ER356" t="str">
            <v xml:space="preserve"> --</v>
          </cell>
          <cell r="ES356">
            <v>93.106999999999999</v>
          </cell>
          <cell r="ET356" t="str">
            <v>--</v>
          </cell>
          <cell r="EU356">
            <v>0</v>
          </cell>
          <cell r="EV356">
            <v>0</v>
          </cell>
          <cell r="EW356">
            <v>0</v>
          </cell>
        </row>
        <row r="357">
          <cell r="EN357" t="str">
            <v xml:space="preserve"> </v>
          </cell>
        </row>
        <row r="358">
          <cell r="A358" t="str">
            <v>Gross PP&amp;E</v>
          </cell>
          <cell r="B358" t="str">
            <v>gppe</v>
          </cell>
          <cell r="CM358" t="str">
            <v xml:space="preserve"> --</v>
          </cell>
          <cell r="CN358" t="str">
            <v xml:space="preserve"> --</v>
          </cell>
          <cell r="CO358" t="str">
            <v xml:space="preserve"> --</v>
          </cell>
          <cell r="CP358" t="str">
            <v xml:space="preserve"> --</v>
          </cell>
          <cell r="CR358" t="str">
            <v xml:space="preserve"> --</v>
          </cell>
          <cell r="CS358" t="str">
            <v xml:space="preserve"> --</v>
          </cell>
          <cell r="CT358" t="str">
            <v xml:space="preserve"> --</v>
          </cell>
          <cell r="CU358" t="str">
            <v xml:space="preserve"> --</v>
          </cell>
          <cell r="CZ358" t="str">
            <v xml:space="preserve"> --</v>
          </cell>
          <cell r="DB358" t="str">
            <v xml:space="preserve"> --</v>
          </cell>
          <cell r="DC358">
            <v>0</v>
          </cell>
          <cell r="DD358">
            <v>0</v>
          </cell>
          <cell r="DE358">
            <v>0</v>
          </cell>
          <cell r="DG358">
            <v>0</v>
          </cell>
          <cell r="DH358">
            <v>0</v>
          </cell>
          <cell r="DI358">
            <v>0</v>
          </cell>
          <cell r="DJ358">
            <v>0</v>
          </cell>
          <cell r="DL358">
            <v>0</v>
          </cell>
          <cell r="DM358">
            <v>0</v>
          </cell>
          <cell r="DN358">
            <v>0</v>
          </cell>
          <cell r="DO358">
            <v>0</v>
          </cell>
          <cell r="EL358">
            <v>1019.7919999999999</v>
          </cell>
          <cell r="EM358">
            <v>1148.2089999999998</v>
          </cell>
          <cell r="EN358">
            <v>1407.0989999999999</v>
          </cell>
          <cell r="EQ358">
            <v>1181.4280000000001</v>
          </cell>
          <cell r="ER358">
            <v>1364.4110000000001</v>
          </cell>
          <cell r="ES358">
            <v>1528.136</v>
          </cell>
          <cell r="ET358" t="str">
            <v xml:space="preserve"> --</v>
          </cell>
          <cell r="EU358">
            <v>0</v>
          </cell>
          <cell r="EV358">
            <v>0</v>
          </cell>
          <cell r="EW358">
            <v>0</v>
          </cell>
        </row>
        <row r="359">
          <cell r="A359" t="str">
            <v>Accumulated Depreciation</v>
          </cell>
          <cell r="B359" t="str">
            <v>ad</v>
          </cell>
          <cell r="CM359" t="str">
            <v xml:space="preserve"> --</v>
          </cell>
          <cell r="CN359" t="str">
            <v xml:space="preserve"> --</v>
          </cell>
          <cell r="CO359" t="str">
            <v xml:space="preserve"> --</v>
          </cell>
          <cell r="CP359" t="str">
            <v xml:space="preserve"> --</v>
          </cell>
          <cell r="CR359" t="str">
            <v xml:space="preserve"> --</v>
          </cell>
          <cell r="CS359" t="str">
            <v xml:space="preserve"> --</v>
          </cell>
          <cell r="CT359" t="str">
            <v xml:space="preserve"> --</v>
          </cell>
          <cell r="CU359" t="str">
            <v xml:space="preserve"> --</v>
          </cell>
          <cell r="CZ359" t="str">
            <v xml:space="preserve"> --</v>
          </cell>
          <cell r="DB359" t="str">
            <v xml:space="preserve"> --</v>
          </cell>
          <cell r="DC359">
            <v>0</v>
          </cell>
          <cell r="DD359">
            <v>0</v>
          </cell>
          <cell r="DE359">
            <v>0</v>
          </cell>
          <cell r="DG359">
            <v>0</v>
          </cell>
          <cell r="DH359">
            <v>0</v>
          </cell>
          <cell r="DI359">
            <v>0</v>
          </cell>
          <cell r="DJ359">
            <v>0</v>
          </cell>
          <cell r="DL359">
            <v>0</v>
          </cell>
          <cell r="DM359">
            <v>0</v>
          </cell>
          <cell r="DN359">
            <v>0</v>
          </cell>
          <cell r="DO359">
            <v>0</v>
          </cell>
          <cell r="EL359">
            <v>-487.685</v>
          </cell>
          <cell r="EM359">
            <v>-598.77499999999998</v>
          </cell>
          <cell r="EN359">
            <v>-751.15700000000004</v>
          </cell>
          <cell r="EQ359">
            <v>-627.48500000000001</v>
          </cell>
          <cell r="ER359">
            <v>-786.69399999999996</v>
          </cell>
          <cell r="ES359">
            <v>-895.54600000000005</v>
          </cell>
          <cell r="ET359" t="str">
            <v xml:space="preserve"> --</v>
          </cell>
          <cell r="EU359">
            <v>0</v>
          </cell>
          <cell r="EV359">
            <v>0</v>
          </cell>
          <cell r="EW359">
            <v>0</v>
          </cell>
        </row>
        <row r="360">
          <cell r="A360" t="str">
            <v>PP&amp;E, net</v>
          </cell>
          <cell r="B360" t="str">
            <v>ppe</v>
          </cell>
          <cell r="E360">
            <v>8.9730000000000008</v>
          </cell>
          <cell r="F360">
            <v>8.8019999999999996</v>
          </cell>
          <cell r="G360">
            <v>8.2360000000000007</v>
          </cell>
          <cell r="I360">
            <v>8.8550000000000004</v>
          </cell>
          <cell r="J360">
            <v>8.9009999999999998</v>
          </cell>
          <cell r="K360">
            <v>8.702</v>
          </cell>
          <cell r="L360">
            <v>8.5830000000000002</v>
          </cell>
          <cell r="N360">
            <v>10.904</v>
          </cell>
          <cell r="O360">
            <v>10.878</v>
          </cell>
          <cell r="P360">
            <v>15.612</v>
          </cell>
          <cell r="Q360">
            <v>18.798999999999999</v>
          </cell>
          <cell r="S360">
            <v>22.509</v>
          </cell>
          <cell r="T360">
            <v>29.082000000000001</v>
          </cell>
          <cell r="U360">
            <v>33.097999999999999</v>
          </cell>
          <cell r="V360">
            <v>34.868000000000002</v>
          </cell>
          <cell r="X360">
            <v>49.905000000000001</v>
          </cell>
          <cell r="Y360">
            <v>54.625</v>
          </cell>
          <cell r="Z360">
            <v>60.215000000000003</v>
          </cell>
          <cell r="AA360">
            <v>61.152000000000001</v>
          </cell>
          <cell r="AC360">
            <v>79.289000000000001</v>
          </cell>
          <cell r="AD360">
            <v>85.653000000000006</v>
          </cell>
          <cell r="AE360">
            <v>92.741</v>
          </cell>
          <cell r="AF360">
            <v>92.707999999999998</v>
          </cell>
          <cell r="AH360">
            <v>89.165000000000006</v>
          </cell>
          <cell r="AI360">
            <v>106.767</v>
          </cell>
          <cell r="AJ360">
            <v>111.111</v>
          </cell>
          <cell r="AK360">
            <v>107.881</v>
          </cell>
          <cell r="AU360">
            <v>191.762</v>
          </cell>
          <cell r="AW360">
            <v>168.73500000000001</v>
          </cell>
          <cell r="AX360">
            <v>187.947</v>
          </cell>
          <cell r="AY360">
            <v>194.87799999999999</v>
          </cell>
          <cell r="AZ360">
            <v>206.804</v>
          </cell>
          <cell r="BB360">
            <v>219.89</v>
          </cell>
          <cell r="BC360">
            <v>262.464</v>
          </cell>
          <cell r="BL360">
            <v>540.86699999999996</v>
          </cell>
          <cell r="BM360">
            <v>578.20000000000005</v>
          </cell>
          <cell r="BQ360">
            <v>411.10300000000001</v>
          </cell>
          <cell r="BR360">
            <v>515.096</v>
          </cell>
          <cell r="BS360">
            <v>529.25</v>
          </cell>
          <cell r="BT360">
            <v>532.10699999999997</v>
          </cell>
          <cell r="BV360">
            <v>519.78099999999995</v>
          </cell>
          <cell r="BW360">
            <v>522.00599999999997</v>
          </cell>
          <cell r="BX360">
            <v>524.38800000000003</v>
          </cell>
          <cell r="BY360">
            <v>549.43399999999997</v>
          </cell>
          <cell r="CA360">
            <v>555.31600000000003</v>
          </cell>
          <cell r="CB360">
            <v>592.28399999999999</v>
          </cell>
          <cell r="CC360">
            <v>604.52499999999998</v>
          </cell>
          <cell r="CD360">
            <v>655.94200000000001</v>
          </cell>
          <cell r="CF360">
            <v>683.31200000000001</v>
          </cell>
          <cell r="CH360">
            <v>563.03899999999999</v>
          </cell>
          <cell r="CI360">
            <v>563.28700000000003</v>
          </cell>
          <cell r="CJ360">
            <v>567.86099999999999</v>
          </cell>
          <cell r="CK360">
            <v>590.702</v>
          </cell>
          <cell r="CM360">
            <v>595.30700000000002</v>
          </cell>
          <cell r="CN360">
            <v>631.66300000000001</v>
          </cell>
          <cell r="CO360">
            <v>644.52700000000004</v>
          </cell>
          <cell r="CP360">
            <v>700.71799999999996</v>
          </cell>
          <cell r="CR360">
            <v>728.08799999999997</v>
          </cell>
          <cell r="CS360">
            <v>743.029</v>
          </cell>
          <cell r="CT360">
            <v>723.88099999999997</v>
          </cell>
          <cell r="CU360">
            <v>632.59</v>
          </cell>
          <cell r="CZ360">
            <v>1325.1079999999999</v>
          </cell>
          <cell r="DB360">
            <v>1183.7539999999999</v>
          </cell>
          <cell r="DC360">
            <v>1136.2550000000001</v>
          </cell>
          <cell r="DD360">
            <v>1190.4749999999999</v>
          </cell>
          <cell r="DE360">
            <v>1275.3744238761999</v>
          </cell>
          <cell r="DG360">
            <v>1313.055754696032</v>
          </cell>
          <cell r="DH360">
            <v>1359.0830522974768</v>
          </cell>
          <cell r="DI360">
            <v>1413.5230376552238</v>
          </cell>
          <cell r="DJ360">
            <v>1481.2076064477537</v>
          </cell>
          <cell r="DL360">
            <v>1556.7130501821971</v>
          </cell>
          <cell r="DM360">
            <v>1628.9745363346774</v>
          </cell>
          <cell r="DN360">
            <v>1709.7949539753172</v>
          </cell>
          <cell r="DO360">
            <v>1794.9125629450571</v>
          </cell>
          <cell r="DR360">
            <v>9.0169999999999995</v>
          </cell>
          <cell r="DS360">
            <v>8.2360000000000007</v>
          </cell>
          <cell r="DT360">
            <v>8.5830000000000002</v>
          </cell>
          <cell r="DU360">
            <v>18.798999999999999</v>
          </cell>
          <cell r="DV360">
            <v>34.868000000000002</v>
          </cell>
          <cell r="DW360">
            <v>61.152000000000001</v>
          </cell>
          <cell r="DX360">
            <v>59.686</v>
          </cell>
          <cell r="DY360">
            <v>92.707999999999998</v>
          </cell>
          <cell r="DZ360">
            <v>107.881</v>
          </cell>
          <cell r="EC360">
            <v>191.762</v>
          </cell>
          <cell r="EE360">
            <v>206.804</v>
          </cell>
          <cell r="EL360">
            <v>532.10699999999997</v>
          </cell>
          <cell r="EM360">
            <v>549.43399999999997</v>
          </cell>
          <cell r="EN360">
            <v>655.94200000000001</v>
          </cell>
          <cell r="EP360">
            <v>576.11</v>
          </cell>
          <cell r="EQ360">
            <v>590.702</v>
          </cell>
          <cell r="ER360">
            <v>700.71799999999996</v>
          </cell>
          <cell r="ES360">
            <v>632.59</v>
          </cell>
          <cell r="ET360">
            <v>1325.1079999999999</v>
          </cell>
          <cell r="EU360">
            <v>1275.3744238761999</v>
          </cell>
          <cell r="EV360">
            <v>1481.2076064477537</v>
          </cell>
          <cell r="EW360">
            <v>1794.9125629450571</v>
          </cell>
        </row>
        <row r="361">
          <cell r="A361" t="str">
            <v>Goodwill</v>
          </cell>
          <cell r="B361" t="str">
            <v>gw</v>
          </cell>
          <cell r="E361">
            <v>14.162000000000001</v>
          </cell>
          <cell r="F361">
            <v>13.996</v>
          </cell>
          <cell r="G361">
            <v>13.83</v>
          </cell>
          <cell r="I361">
            <v>13.664</v>
          </cell>
          <cell r="J361">
            <v>13.497</v>
          </cell>
          <cell r="K361">
            <v>13.331</v>
          </cell>
          <cell r="L361" t="str">
            <v xml:space="preserve"> -- </v>
          </cell>
          <cell r="N361" t="str">
            <v xml:space="preserve"> -- </v>
          </cell>
          <cell r="O361" t="str">
            <v xml:space="preserve"> -- </v>
          </cell>
          <cell r="P361" t="str">
            <v xml:space="preserve"> -- </v>
          </cell>
          <cell r="Q361" t="str">
            <v xml:space="preserve"> -- </v>
          </cell>
          <cell r="S361" t="str">
            <v xml:space="preserve"> -- </v>
          </cell>
          <cell r="T361" t="str">
            <v xml:space="preserve"> -- </v>
          </cell>
          <cell r="U361" t="str">
            <v xml:space="preserve"> -- </v>
          </cell>
          <cell r="V361" t="str">
            <v xml:space="preserve"> -- </v>
          </cell>
          <cell r="AH361" t="str">
            <v xml:space="preserve"> -- </v>
          </cell>
          <cell r="AI361" t="str">
            <v xml:space="preserve"> -- </v>
          </cell>
          <cell r="AJ361" t="str">
            <v xml:space="preserve"> -- </v>
          </cell>
          <cell r="AK361" t="str">
            <v xml:space="preserve"> -- </v>
          </cell>
          <cell r="AU361">
            <v>19.03</v>
          </cell>
          <cell r="AW361" t="str">
            <v xml:space="preserve"> -- </v>
          </cell>
          <cell r="AX361" t="str">
            <v xml:space="preserve"> -- </v>
          </cell>
          <cell r="AY361" t="str">
            <v xml:space="preserve"> -- </v>
          </cell>
          <cell r="AZ361">
            <v>45.712000000000003</v>
          </cell>
          <cell r="BB361" t="str">
            <v xml:space="preserve"> -- </v>
          </cell>
          <cell r="BC361" t="str">
            <v xml:space="preserve"> -- </v>
          </cell>
          <cell r="BL361" t="str">
            <v xml:space="preserve"> -- </v>
          </cell>
          <cell r="BM361" t="str">
            <v xml:space="preserve"> -- </v>
          </cell>
          <cell r="BV361" t="str">
            <v xml:space="preserve"> -- </v>
          </cell>
          <cell r="BW361" t="str">
            <v xml:space="preserve"> -- </v>
          </cell>
          <cell r="BX361" t="str">
            <v xml:space="preserve"> -- </v>
          </cell>
          <cell r="BY361">
            <v>229.07</v>
          </cell>
          <cell r="CA361" t="str">
            <v xml:space="preserve"> -- </v>
          </cell>
          <cell r="CB361" t="str">
            <v xml:space="preserve"> -- </v>
          </cell>
          <cell r="CC361">
            <v>279.49900000000002</v>
          </cell>
          <cell r="CD361">
            <v>318.512</v>
          </cell>
          <cell r="CF361">
            <v>310.52199999999999</v>
          </cell>
          <cell r="CH361" t="str">
            <v xml:space="preserve"> -- </v>
          </cell>
          <cell r="CI361" t="str">
            <v xml:space="preserve"> -- </v>
          </cell>
          <cell r="CJ361" t="str">
            <v xml:space="preserve"> -- </v>
          </cell>
          <cell r="CK361" t="str">
            <v xml:space="preserve"> -- </v>
          </cell>
          <cell r="CM361" t="str">
            <v xml:space="preserve"> -- </v>
          </cell>
          <cell r="CN361" t="str">
            <v xml:space="preserve"> -- </v>
          </cell>
          <cell r="CO361" t="str">
            <v xml:space="preserve"> -- </v>
          </cell>
          <cell r="CP361">
            <v>347.01799999999997</v>
          </cell>
          <cell r="CR361" t="str">
            <v xml:space="preserve"> -- </v>
          </cell>
          <cell r="CS361">
            <v>331.77600000000001</v>
          </cell>
          <cell r="CT361">
            <v>323.97399999999999</v>
          </cell>
          <cell r="CU361">
            <v>294.39699999999999</v>
          </cell>
          <cell r="CZ361">
            <v>4047.5140000000001</v>
          </cell>
          <cell r="DB361">
            <v>4501.0540000000001</v>
          </cell>
          <cell r="DC361">
            <v>4730.9530000000004</v>
          </cell>
          <cell r="DD361">
            <v>4790.8860000000004</v>
          </cell>
          <cell r="DE361">
            <v>4789.59</v>
          </cell>
          <cell r="DG361">
            <v>4788.2939999999999</v>
          </cell>
          <cell r="DH361">
            <v>4786.9979999999996</v>
          </cell>
          <cell r="DI361">
            <v>4785.7019999999993</v>
          </cell>
          <cell r="DJ361">
            <v>4784.405999999999</v>
          </cell>
          <cell r="DL361">
            <v>4783.1099999999988</v>
          </cell>
          <cell r="DM361">
            <v>4781.8139999999985</v>
          </cell>
          <cell r="DN361">
            <v>4780.5179999999982</v>
          </cell>
          <cell r="DO361">
            <v>4779.2219999999979</v>
          </cell>
          <cell r="DR361">
            <v>14.494999999999999</v>
          </cell>
          <cell r="DS361">
            <v>13.83</v>
          </cell>
          <cell r="DT361" t="str">
            <v xml:space="preserve"> -- </v>
          </cell>
          <cell r="DU361" t="str">
            <v xml:space="preserve"> -- </v>
          </cell>
          <cell r="DV361" t="str">
            <v xml:space="preserve"> -- </v>
          </cell>
          <cell r="DW361" t="str">
            <v xml:space="preserve"> -- </v>
          </cell>
          <cell r="DX361" t="str">
            <v xml:space="preserve"> -- </v>
          </cell>
          <cell r="DY361" t="str">
            <v xml:space="preserve"> -- </v>
          </cell>
          <cell r="DZ361" t="str">
            <v xml:space="preserve"> -- </v>
          </cell>
          <cell r="EC361">
            <v>19.03</v>
          </cell>
          <cell r="EE361">
            <v>45.712000000000003</v>
          </cell>
          <cell r="EL361">
            <v>215.102</v>
          </cell>
          <cell r="EM361">
            <v>229.07</v>
          </cell>
          <cell r="EN361">
            <v>318.512</v>
          </cell>
          <cell r="EP361" t="str">
            <v xml:space="preserve"> -- </v>
          </cell>
          <cell r="EQ361">
            <v>230.83500000000001</v>
          </cell>
          <cell r="ER361">
            <v>347.01799999999997</v>
          </cell>
          <cell r="ES361">
            <v>294.39699999999999</v>
          </cell>
          <cell r="ET361">
            <v>4047.5140000000001</v>
          </cell>
          <cell r="EU361">
            <v>4789.59</v>
          </cell>
          <cell r="EV361">
            <v>4784.405999999999</v>
          </cell>
          <cell r="EW361">
            <v>4779.2219999999979</v>
          </cell>
        </row>
        <row r="362">
          <cell r="A362" t="str">
            <v>Deposits and Other</v>
          </cell>
          <cell r="B362" t="str">
            <v>oa</v>
          </cell>
          <cell r="E362">
            <v>0.307</v>
          </cell>
          <cell r="F362">
            <v>9.8000000000000004E-2</v>
          </cell>
          <cell r="G362">
            <v>0.10100000000000001</v>
          </cell>
          <cell r="I362">
            <v>0.1</v>
          </cell>
          <cell r="J362">
            <v>0.1</v>
          </cell>
          <cell r="K362">
            <v>0.1</v>
          </cell>
          <cell r="L362">
            <v>0.1</v>
          </cell>
          <cell r="N362">
            <v>0.16</v>
          </cell>
          <cell r="O362">
            <v>0.16</v>
          </cell>
          <cell r="P362">
            <v>4.5110000000000001</v>
          </cell>
          <cell r="Q362">
            <v>6.7839999999999998</v>
          </cell>
          <cell r="S362">
            <v>6.5010000000000003</v>
          </cell>
          <cell r="T362">
            <v>11.616</v>
          </cell>
          <cell r="U362">
            <v>11.052</v>
          </cell>
          <cell r="V362">
            <v>10.35</v>
          </cell>
          <cell r="X362">
            <v>10.411</v>
          </cell>
          <cell r="Y362">
            <v>9.1709999999999994</v>
          </cell>
          <cell r="Z362">
            <v>8.577</v>
          </cell>
          <cell r="AA362">
            <v>7.556</v>
          </cell>
          <cell r="AC362">
            <v>13.669</v>
          </cell>
          <cell r="AD362">
            <v>12.445</v>
          </cell>
          <cell r="AE362">
            <v>12.62</v>
          </cell>
          <cell r="AF362">
            <v>11.067</v>
          </cell>
          <cell r="AH362">
            <v>8.9369999999999994</v>
          </cell>
          <cell r="AI362">
            <v>21.414999999999999</v>
          </cell>
          <cell r="AJ362">
            <v>18.927</v>
          </cell>
          <cell r="AK362">
            <v>17.373000000000001</v>
          </cell>
          <cell r="AU362">
            <v>2.512</v>
          </cell>
          <cell r="AW362">
            <v>12.273</v>
          </cell>
          <cell r="AX362">
            <v>21.81</v>
          </cell>
          <cell r="AY362">
            <v>27.379000000000001</v>
          </cell>
          <cell r="AZ362">
            <v>11.177</v>
          </cell>
          <cell r="BB362">
            <v>80.063999999999993</v>
          </cell>
          <cell r="BC362">
            <v>84.688000000000002</v>
          </cell>
          <cell r="BL362">
            <v>318.53699999999998</v>
          </cell>
          <cell r="BM362">
            <v>319.75</v>
          </cell>
          <cell r="BQ362">
            <v>118.511</v>
          </cell>
          <cell r="BR362">
            <v>229.28399999999999</v>
          </cell>
          <cell r="BS362">
            <v>232.495</v>
          </cell>
          <cell r="BT362">
            <v>226.24600000000001</v>
          </cell>
          <cell r="BV362">
            <v>268.97199999999998</v>
          </cell>
          <cell r="BW362">
            <v>273.63299999999998</v>
          </cell>
          <cell r="BX362">
            <v>275.88</v>
          </cell>
          <cell r="BY362">
            <v>19.748000000000001</v>
          </cell>
          <cell r="CA362">
            <v>322.78199999999998</v>
          </cell>
          <cell r="CB362">
            <v>323.95</v>
          </cell>
          <cell r="CC362">
            <v>14.12</v>
          </cell>
          <cell r="CD362">
            <v>23.901</v>
          </cell>
          <cell r="CF362">
            <v>66.519000000000005</v>
          </cell>
          <cell r="CH362">
            <v>271.411</v>
          </cell>
          <cell r="CI362">
            <v>275.82600000000002</v>
          </cell>
          <cell r="CJ362">
            <v>277.96499999999997</v>
          </cell>
          <cell r="CK362">
            <v>303.73200000000003</v>
          </cell>
          <cell r="CM362">
            <v>327.25</v>
          </cell>
          <cell r="CN362">
            <v>327.726</v>
          </cell>
          <cell r="CO362">
            <v>379.18</v>
          </cell>
          <cell r="CP362">
            <v>28.19</v>
          </cell>
          <cell r="CR362">
            <v>432.74200000000002</v>
          </cell>
          <cell r="CS362">
            <v>25.911000000000001</v>
          </cell>
          <cell r="CT362">
            <v>25.562000000000001</v>
          </cell>
          <cell r="CU362">
            <v>31.536999999999999</v>
          </cell>
          <cell r="CZ362">
            <v>90.135000000000005</v>
          </cell>
          <cell r="DB362">
            <v>64.825999999999993</v>
          </cell>
          <cell r="DC362">
            <v>63.503999999999998</v>
          </cell>
          <cell r="DD362">
            <v>72.242999999999995</v>
          </cell>
          <cell r="DE362">
            <v>68.984840699999992</v>
          </cell>
          <cell r="DG362">
            <v>67.107756537616297</v>
          </cell>
          <cell r="DH362">
            <v>63.755476371738695</v>
          </cell>
          <cell r="DI362">
            <v>64.63581485072001</v>
          </cell>
          <cell r="DJ362">
            <v>66.239089411697606</v>
          </cell>
          <cell r="DL362">
            <v>75.303086756378264</v>
          </cell>
          <cell r="DM362">
            <v>70.854199474098635</v>
          </cell>
          <cell r="DN362">
            <v>71.918705273469698</v>
          </cell>
          <cell r="DO362">
            <v>75.410361001777659</v>
          </cell>
          <cell r="DR362">
            <v>0.76900000000000002</v>
          </cell>
          <cell r="DS362">
            <v>0.10100000000000001</v>
          </cell>
          <cell r="DT362">
            <v>0.1</v>
          </cell>
          <cell r="DU362">
            <v>6.7839999999999998</v>
          </cell>
          <cell r="DV362">
            <v>10.35</v>
          </cell>
          <cell r="DW362">
            <v>7.556</v>
          </cell>
          <cell r="DX362">
            <v>13.962</v>
          </cell>
          <cell r="DY362">
            <v>11.067</v>
          </cell>
          <cell r="DZ362">
            <v>17.373000000000001</v>
          </cell>
          <cell r="EC362">
            <v>2.512</v>
          </cell>
          <cell r="EE362">
            <v>11.177</v>
          </cell>
          <cell r="EL362">
            <v>10.927</v>
          </cell>
          <cell r="EM362">
            <v>19.748000000000001</v>
          </cell>
          <cell r="EN362">
            <v>23.901</v>
          </cell>
          <cell r="EP362">
            <v>228.989</v>
          </cell>
          <cell r="EQ362">
            <v>19.792999999999999</v>
          </cell>
          <cell r="ER362">
            <v>28.19</v>
          </cell>
          <cell r="ES362">
            <v>31.536999999999999</v>
          </cell>
          <cell r="ET362">
            <v>90.135000000000005</v>
          </cell>
          <cell r="EU362">
            <v>68.984840699999992</v>
          </cell>
          <cell r="EV362">
            <v>66.239089411697606</v>
          </cell>
          <cell r="EW362">
            <v>75.410361001777659</v>
          </cell>
        </row>
        <row r="363">
          <cell r="A363" t="str">
            <v>Long Term Investments</v>
          </cell>
          <cell r="B363" t="str">
            <v>ltinv</v>
          </cell>
          <cell r="AH363" t="str">
            <v xml:space="preserve"> -- </v>
          </cell>
          <cell r="AI363" t="str">
            <v xml:space="preserve"> -- </v>
          </cell>
          <cell r="AJ363" t="str">
            <v xml:space="preserve"> -- </v>
          </cell>
          <cell r="AK363" t="str">
            <v xml:space="preserve"> -- </v>
          </cell>
          <cell r="AU363" t="str">
            <v xml:space="preserve"> -- </v>
          </cell>
          <cell r="AW363">
            <v>52.85</v>
          </cell>
          <cell r="AX363">
            <v>52.9</v>
          </cell>
          <cell r="AY363">
            <v>52.85</v>
          </cell>
          <cell r="AZ363">
            <v>52.85</v>
          </cell>
          <cell r="BB363">
            <v>52.85</v>
          </cell>
          <cell r="BC363">
            <v>52.85</v>
          </cell>
          <cell r="BL363" t="str">
            <v xml:space="preserve"> -- </v>
          </cell>
          <cell r="BM363" t="str">
            <v xml:space="preserve"> -- </v>
          </cell>
          <cell r="BV363" t="str">
            <v xml:space="preserve"> -- </v>
          </cell>
          <cell r="BW363" t="str">
            <v xml:space="preserve"> -- </v>
          </cell>
          <cell r="BX363" t="str">
            <v xml:space="preserve"> -- </v>
          </cell>
          <cell r="BY363">
            <v>53.055999999999997</v>
          </cell>
          <cell r="CA363" t="str">
            <v xml:space="preserve"> -- </v>
          </cell>
          <cell r="CB363" t="str">
            <v xml:space="preserve"> -- </v>
          </cell>
          <cell r="CC363">
            <v>53.107999999999997</v>
          </cell>
          <cell r="CD363">
            <v>55.85</v>
          </cell>
          <cell r="CF363">
            <v>22.838999999999999</v>
          </cell>
          <cell r="CH363" t="str">
            <v xml:space="preserve"> -- </v>
          </cell>
          <cell r="CI363" t="str">
            <v xml:space="preserve"> -- </v>
          </cell>
          <cell r="CJ363" t="str">
            <v xml:space="preserve"> -- </v>
          </cell>
          <cell r="CK363" t="str">
            <v xml:space="preserve"> -- </v>
          </cell>
          <cell r="CM363" t="str">
            <v xml:space="preserve"> -- </v>
          </cell>
          <cell r="CN363" t="str">
            <v xml:space="preserve"> -- </v>
          </cell>
          <cell r="CO363" t="str">
            <v xml:space="preserve"> -- </v>
          </cell>
          <cell r="CP363">
            <v>55.917000000000002</v>
          </cell>
          <cell r="CR363" t="str">
            <v xml:space="preserve"> -- </v>
          </cell>
          <cell r="CS363">
            <v>67.3</v>
          </cell>
          <cell r="CT363">
            <v>78.953999999999994</v>
          </cell>
          <cell r="CU363">
            <v>98.513999999999996</v>
          </cell>
          <cell r="CZ363">
            <v>98.513999999999996</v>
          </cell>
          <cell r="DB363">
            <v>95.536000000000001</v>
          </cell>
          <cell r="DC363">
            <v>98.043999999999997</v>
          </cell>
          <cell r="DD363">
            <v>94.19</v>
          </cell>
          <cell r="DE363">
            <v>94.19</v>
          </cell>
          <cell r="DG363">
            <v>94.19</v>
          </cell>
          <cell r="DH363">
            <v>94.19</v>
          </cell>
          <cell r="DI363">
            <v>94.19</v>
          </cell>
          <cell r="DJ363">
            <v>94.19</v>
          </cell>
          <cell r="DL363">
            <v>94.19</v>
          </cell>
          <cell r="DM363">
            <v>94.19</v>
          </cell>
          <cell r="DN363">
            <v>94.19</v>
          </cell>
          <cell r="DO363">
            <v>94.19</v>
          </cell>
          <cell r="DR363" t="str">
            <v xml:space="preserve"> -- </v>
          </cell>
          <cell r="DS363" t="str">
            <v xml:space="preserve"> -- </v>
          </cell>
          <cell r="DT363" t="str">
            <v xml:space="preserve"> -- </v>
          </cell>
          <cell r="DU363" t="str">
            <v xml:space="preserve"> -- </v>
          </cell>
          <cell r="DV363" t="str">
            <v xml:space="preserve"> -- </v>
          </cell>
          <cell r="DW363" t="str">
            <v xml:space="preserve"> -- </v>
          </cell>
          <cell r="DX363" t="str">
            <v xml:space="preserve"> -- </v>
          </cell>
          <cell r="DY363" t="str">
            <v xml:space="preserve"> -- </v>
          </cell>
          <cell r="DZ363" t="str">
            <v xml:space="preserve"> -- </v>
          </cell>
          <cell r="EC363" t="str">
            <v xml:space="preserve"> -- </v>
          </cell>
          <cell r="EE363">
            <v>52.85</v>
          </cell>
          <cell r="EL363">
            <v>0.217</v>
          </cell>
          <cell r="EM363">
            <v>53.055999999999997</v>
          </cell>
          <cell r="EN363">
            <v>55.85</v>
          </cell>
          <cell r="EP363" t="str">
            <v xml:space="preserve"> -- </v>
          </cell>
          <cell r="EQ363">
            <v>53.103000000000002</v>
          </cell>
          <cell r="ER363">
            <v>55.917000000000002</v>
          </cell>
          <cell r="ES363">
            <v>98.513999999999996</v>
          </cell>
          <cell r="ET363">
            <v>98.513999999999996</v>
          </cell>
          <cell r="EU363">
            <v>94.19</v>
          </cell>
          <cell r="EV363">
            <v>94.19</v>
          </cell>
          <cell r="EW363">
            <v>94.19</v>
          </cell>
        </row>
        <row r="365">
          <cell r="A365" t="str">
            <v>Total Liabilities</v>
          </cell>
          <cell r="B365" t="str">
            <v>tl</v>
          </cell>
          <cell r="E365">
            <v>46.561</v>
          </cell>
          <cell r="F365">
            <v>19.401</v>
          </cell>
          <cell r="G365">
            <v>19.43</v>
          </cell>
          <cell r="I365">
            <v>15.489000000000001</v>
          </cell>
          <cell r="J365">
            <v>15.477</v>
          </cell>
          <cell r="K365">
            <v>16.231999999999999</v>
          </cell>
          <cell r="L365">
            <v>17.728999999999999</v>
          </cell>
          <cell r="N365">
            <v>20.543999999999997</v>
          </cell>
          <cell r="O365">
            <v>22.497999999999998</v>
          </cell>
          <cell r="P365">
            <v>29.599</v>
          </cell>
          <cell r="Q365">
            <v>120.925</v>
          </cell>
          <cell r="S365">
            <v>121.099</v>
          </cell>
          <cell r="T365">
            <v>129.52600000000001</v>
          </cell>
          <cell r="U365">
            <v>132.35399999999998</v>
          </cell>
          <cell r="V365">
            <v>126.95599999999999</v>
          </cell>
          <cell r="X365">
            <v>142.57300000000001</v>
          </cell>
          <cell r="Y365">
            <v>137.17000000000002</v>
          </cell>
          <cell r="Z365">
            <v>143.833</v>
          </cell>
          <cell r="AA365">
            <v>147.13400000000001</v>
          </cell>
          <cell r="AC365">
            <v>183.124</v>
          </cell>
          <cell r="AD365">
            <v>186.71</v>
          </cell>
          <cell r="AE365">
            <v>193.22499999999997</v>
          </cell>
          <cell r="AF365">
            <v>210.15</v>
          </cell>
          <cell r="AH365">
            <v>200.46799999999999</v>
          </cell>
          <cell r="AI365">
            <v>221.501</v>
          </cell>
          <cell r="AJ365">
            <v>215.84399999999999</v>
          </cell>
          <cell r="AK365">
            <v>123.488</v>
          </cell>
          <cell r="AU365">
            <v>176.38200000000001</v>
          </cell>
          <cell r="AW365">
            <v>173.69200000000001</v>
          </cell>
          <cell r="AX365">
            <v>187.10899999999998</v>
          </cell>
          <cell r="AY365">
            <v>534.69899999999996</v>
          </cell>
          <cell r="AZ365">
            <v>575.36599999999999</v>
          </cell>
          <cell r="BB365">
            <v>632.24800000000005</v>
          </cell>
          <cell r="BC365">
            <v>673.40599999999995</v>
          </cell>
          <cell r="BL365">
            <v>757.75300000000004</v>
          </cell>
          <cell r="BM365">
            <v>805.8649999999999</v>
          </cell>
          <cell r="BQ365">
            <v>549.61800000000005</v>
          </cell>
          <cell r="BR365">
            <v>869.39700000000005</v>
          </cell>
          <cell r="BS365">
            <v>867.57400000000007</v>
          </cell>
          <cell r="BT365">
            <v>784.11199999999997</v>
          </cell>
          <cell r="BV365">
            <v>796.12299999999993</v>
          </cell>
          <cell r="BW365">
            <v>774.67700000000002</v>
          </cell>
          <cell r="BX365">
            <v>1116.8360000000002</v>
          </cell>
          <cell r="BY365">
            <v>1143.347</v>
          </cell>
          <cell r="CA365">
            <v>1187.953</v>
          </cell>
          <cell r="CB365">
            <v>1242.2860000000001</v>
          </cell>
          <cell r="CC365">
            <v>1246.0709999999999</v>
          </cell>
          <cell r="CD365">
            <v>1921.7190000000001</v>
          </cell>
          <cell r="CF365">
            <v>1942.451</v>
          </cell>
          <cell r="CH365">
            <v>884.25599999999997</v>
          </cell>
          <cell r="CI365">
            <v>866.66199999999992</v>
          </cell>
          <cell r="CJ365">
            <v>1208.578</v>
          </cell>
          <cell r="CK365">
            <v>1238.375</v>
          </cell>
          <cell r="CM365">
            <v>1303.6770000000001</v>
          </cell>
          <cell r="CN365">
            <v>1351.107</v>
          </cell>
          <cell r="CO365">
            <v>1397.375</v>
          </cell>
          <cell r="CP365">
            <v>2076.8069999999998</v>
          </cell>
          <cell r="CR365">
            <v>2081.27</v>
          </cell>
          <cell r="CS365">
            <v>1930.32</v>
          </cell>
          <cell r="CT365">
            <v>1766.2840000000001</v>
          </cell>
          <cell r="CU365">
            <v>1799.3509999999999</v>
          </cell>
          <cell r="CZ365">
            <v>4487.6460000000006</v>
          </cell>
          <cell r="DB365">
            <v>4002.8920000000003</v>
          </cell>
          <cell r="DC365">
            <v>4322.3020000000006</v>
          </cell>
          <cell r="DD365">
            <v>4534.1499999999996</v>
          </cell>
          <cell r="DE365">
            <v>4533.656341767587</v>
          </cell>
          <cell r="DG365">
            <v>4251.5827930745754</v>
          </cell>
          <cell r="DH365">
            <v>4154.8711888142079</v>
          </cell>
          <cell r="DI365">
            <v>4172.9210163512726</v>
          </cell>
          <cell r="DJ365">
            <v>4212.2630476730465</v>
          </cell>
          <cell r="DL365">
            <v>4428.4679341648925</v>
          </cell>
          <cell r="DM365">
            <v>4308.1500495520995</v>
          </cell>
          <cell r="DN365">
            <v>4335.8581566490211</v>
          </cell>
          <cell r="DO365">
            <v>4429.8911126273388</v>
          </cell>
          <cell r="DR365">
            <v>45.682000000000002</v>
          </cell>
          <cell r="DS365">
            <v>19.43</v>
          </cell>
          <cell r="DT365">
            <v>17.728999999999999</v>
          </cell>
          <cell r="DU365">
            <v>120.925</v>
          </cell>
          <cell r="DV365">
            <v>126.95599999999999</v>
          </cell>
          <cell r="DW365">
            <v>147.13400000000001</v>
          </cell>
          <cell r="DX365">
            <v>164.40900000000002</v>
          </cell>
          <cell r="DY365">
            <v>210.15</v>
          </cell>
          <cell r="DZ365">
            <v>123.488</v>
          </cell>
          <cell r="EC365">
            <v>176.38200000000001</v>
          </cell>
          <cell r="EE365">
            <v>575.36599999999999</v>
          </cell>
          <cell r="EL365">
            <v>784.11199999999997</v>
          </cell>
          <cell r="EM365">
            <v>1143.347</v>
          </cell>
          <cell r="EN365">
            <v>1921.7190000000001</v>
          </cell>
          <cell r="EP365">
            <v>874.45500000000004</v>
          </cell>
          <cell r="EQ365">
            <v>1238.354</v>
          </cell>
          <cell r="ER365">
            <v>2076.8069999999998</v>
          </cell>
          <cell r="ES365">
            <v>1799.3509999999999</v>
          </cell>
          <cell r="ET365">
            <v>4487.6460000000006</v>
          </cell>
          <cell r="EU365">
            <v>4533.656341767587</v>
          </cell>
          <cell r="EV365">
            <v>4212.2630476730465</v>
          </cell>
          <cell r="EW365">
            <v>4429.8911126273388</v>
          </cell>
        </row>
        <row r="367">
          <cell r="A367" t="str">
            <v>Current Liabilities</v>
          </cell>
          <cell r="B367" t="str">
            <v>cl</v>
          </cell>
          <cell r="E367">
            <v>17.192</v>
          </cell>
          <cell r="F367">
            <v>14.263</v>
          </cell>
          <cell r="G367">
            <v>14.991999999999999</v>
          </cell>
          <cell r="I367">
            <v>15.489000000000001</v>
          </cell>
          <cell r="J367">
            <v>15.477</v>
          </cell>
          <cell r="K367">
            <v>16.231999999999999</v>
          </cell>
          <cell r="L367">
            <v>17.728999999999999</v>
          </cell>
          <cell r="N367">
            <v>20.543999999999997</v>
          </cell>
          <cell r="O367">
            <v>22.497999999999998</v>
          </cell>
          <cell r="P367">
            <v>28.491</v>
          </cell>
          <cell r="Q367">
            <v>33.619</v>
          </cell>
          <cell r="S367">
            <v>33.899000000000001</v>
          </cell>
          <cell r="T367">
            <v>42.341999999999999</v>
          </cell>
          <cell r="U367">
            <v>45.506</v>
          </cell>
          <cell r="V367">
            <v>40.013999999999996</v>
          </cell>
          <cell r="W367" t="str">
            <v xml:space="preserve"> </v>
          </cell>
          <cell r="X367">
            <v>55.731000000000002</v>
          </cell>
          <cell r="Y367">
            <v>50.405999999999999</v>
          </cell>
          <cell r="Z367">
            <v>57.332999999999998</v>
          </cell>
          <cell r="AA367">
            <v>60.332000000000001</v>
          </cell>
          <cell r="AC367">
            <v>81.186999999999998</v>
          </cell>
          <cell r="AD367">
            <v>79.941000000000003</v>
          </cell>
          <cell r="AE367">
            <v>82.570999999999984</v>
          </cell>
          <cell r="AF367">
            <v>101.21599999999999</v>
          </cell>
          <cell r="AH367">
            <v>98.626999999999995</v>
          </cell>
          <cell r="AI367">
            <v>122.503</v>
          </cell>
          <cell r="AJ367">
            <v>117.27600000000001</v>
          </cell>
          <cell r="AK367">
            <v>114.846</v>
          </cell>
          <cell r="AU367">
            <v>144.726</v>
          </cell>
          <cell r="AW367">
            <v>148.709</v>
          </cell>
          <cell r="AX367">
            <v>166.38</v>
          </cell>
          <cell r="AY367">
            <v>166.57400000000001</v>
          </cell>
          <cell r="AZ367">
            <v>217.38600000000002</v>
          </cell>
          <cell r="BB367">
            <v>274.358</v>
          </cell>
          <cell r="BC367">
            <v>316.137</v>
          </cell>
          <cell r="BL367">
            <v>406.27100000000002</v>
          </cell>
          <cell r="BM367">
            <v>463.291</v>
          </cell>
          <cell r="BQ367">
            <v>262.31700000000001</v>
          </cell>
          <cell r="BR367">
            <v>313.798</v>
          </cell>
          <cell r="BS367">
            <v>302.17</v>
          </cell>
          <cell r="BT367">
            <v>301.74700000000001</v>
          </cell>
          <cell r="BV367">
            <v>311.52999999999997</v>
          </cell>
          <cell r="BW367">
            <v>329.16500000000002</v>
          </cell>
          <cell r="BX367">
            <v>339.65800000000002</v>
          </cell>
          <cell r="BY367">
            <v>413.78300000000002</v>
          </cell>
          <cell r="CA367">
            <v>441.697</v>
          </cell>
          <cell r="CB367">
            <v>508.26299999999998</v>
          </cell>
          <cell r="CC367">
            <v>585.07600000000002</v>
          </cell>
          <cell r="CD367">
            <v>693.32600000000002</v>
          </cell>
          <cell r="CF367">
            <v>712.31299999999999</v>
          </cell>
          <cell r="CH367">
            <v>358.66699999999997</v>
          </cell>
          <cell r="CI367">
            <v>370.67700000000002</v>
          </cell>
          <cell r="CJ367">
            <v>380.85599999999999</v>
          </cell>
          <cell r="CK367">
            <v>465.52</v>
          </cell>
          <cell r="CM367">
            <v>504.83300000000003</v>
          </cell>
          <cell r="CN367">
            <v>562.58399999999995</v>
          </cell>
          <cell r="CO367">
            <v>686.63400000000001</v>
          </cell>
          <cell r="CP367">
            <v>790.1400000000001</v>
          </cell>
          <cell r="CR367">
            <v>789.95799999999997</v>
          </cell>
          <cell r="CS367">
            <v>637.00099999999998</v>
          </cell>
          <cell r="CT367">
            <v>476.39499999999998</v>
          </cell>
          <cell r="CU367">
            <v>492.33699999999999</v>
          </cell>
          <cell r="CZ367">
            <v>2234.1220000000003</v>
          </cell>
          <cell r="DB367">
            <v>1722.2460000000001</v>
          </cell>
          <cell r="DC367">
            <v>1990.8220000000001</v>
          </cell>
          <cell r="DD367">
            <v>2166.2659999999996</v>
          </cell>
          <cell r="DE367">
            <v>2165.772341767587</v>
          </cell>
          <cell r="DG367">
            <v>1883.6987930745754</v>
          </cell>
          <cell r="DH367">
            <v>1786.9871888142075</v>
          </cell>
          <cell r="DI367">
            <v>1805.0370163512719</v>
          </cell>
          <cell r="DJ367">
            <v>1844.3790476730471</v>
          </cell>
          <cell r="DL367">
            <v>2060.5839341648925</v>
          </cell>
          <cell r="DM367">
            <v>1940.266049552099</v>
          </cell>
          <cell r="DN367">
            <v>1967.9741566490216</v>
          </cell>
          <cell r="DO367">
            <v>2062.0071126273388</v>
          </cell>
          <cell r="DR367">
            <v>14.519000000000002</v>
          </cell>
          <cell r="DS367">
            <v>14.991999999999999</v>
          </cell>
          <cell r="DT367">
            <v>17.728999999999999</v>
          </cell>
          <cell r="DU367">
            <v>33.619</v>
          </cell>
          <cell r="DV367">
            <v>40.013999999999996</v>
          </cell>
          <cell r="DW367">
            <v>60.332000000000001</v>
          </cell>
          <cell r="DX367">
            <v>63.119</v>
          </cell>
          <cell r="DY367">
            <v>101.21599999999999</v>
          </cell>
          <cell r="DZ367">
            <v>114.846</v>
          </cell>
          <cell r="EC367">
            <v>144.726</v>
          </cell>
          <cell r="EE367">
            <v>217.38600000000002</v>
          </cell>
          <cell r="EL367">
            <v>301.74700000000001</v>
          </cell>
          <cell r="EM367">
            <v>413.78300000000002</v>
          </cell>
          <cell r="EN367">
            <v>693.32600000000002</v>
          </cell>
          <cell r="EP367">
            <v>351.93299999999999</v>
          </cell>
          <cell r="EQ367">
            <v>465.49900000000002</v>
          </cell>
          <cell r="ER367">
            <v>790.1400000000001</v>
          </cell>
          <cell r="ES367">
            <v>492.33699999999999</v>
          </cell>
          <cell r="ET367">
            <v>2234.1220000000003</v>
          </cell>
          <cell r="EU367">
            <v>2165.772341767587</v>
          </cell>
          <cell r="EV367">
            <v>1844.3790476730471</v>
          </cell>
          <cell r="EW367">
            <v>2062.0071126273388</v>
          </cell>
        </row>
        <row r="368">
          <cell r="A368" t="str">
            <v>Current long term debt</v>
          </cell>
          <cell r="E368">
            <v>3.8690000000000002</v>
          </cell>
          <cell r="F368" t="str">
            <v xml:space="preserve"> -- </v>
          </cell>
          <cell r="G368" t="str">
            <v xml:space="preserve"> -- </v>
          </cell>
          <cell r="I368" t="str">
            <v xml:space="preserve"> -- </v>
          </cell>
          <cell r="J368" t="str">
            <v xml:space="preserve"> -- </v>
          </cell>
          <cell r="K368" t="str">
            <v xml:space="preserve"> -- </v>
          </cell>
          <cell r="L368" t="str">
            <v xml:space="preserve"> -- </v>
          </cell>
          <cell r="N368" t="str">
            <v xml:space="preserve"> -- </v>
          </cell>
          <cell r="O368" t="str">
            <v xml:space="preserve"> -- </v>
          </cell>
          <cell r="P368" t="str">
            <v xml:space="preserve"> -- </v>
          </cell>
          <cell r="Q368" t="str">
            <v xml:space="preserve"> -- </v>
          </cell>
          <cell r="S368" t="str">
            <v xml:space="preserve"> -- </v>
          </cell>
          <cell r="T368" t="str">
            <v xml:space="preserve"> -- </v>
          </cell>
          <cell r="U368" t="str">
            <v xml:space="preserve"> -- </v>
          </cell>
          <cell r="V368" t="str">
            <v xml:space="preserve"> -- </v>
          </cell>
          <cell r="X368" t="str">
            <v xml:space="preserve"> -- </v>
          </cell>
          <cell r="Y368" t="str">
            <v xml:space="preserve"> -- </v>
          </cell>
          <cell r="Z368" t="str">
            <v xml:space="preserve"> -- </v>
          </cell>
          <cell r="AA368" t="str">
            <v xml:space="preserve"> -- </v>
          </cell>
          <cell r="AC368">
            <v>6.1040000000000001</v>
          </cell>
          <cell r="AD368">
            <v>8.5960000000000001</v>
          </cell>
          <cell r="AE368">
            <v>5.516</v>
          </cell>
          <cell r="AF368">
            <v>8.7880000000000003</v>
          </cell>
          <cell r="AH368" t="str">
            <v xml:space="preserve"> -- </v>
          </cell>
          <cell r="AI368" t="str">
            <v xml:space="preserve"> -- </v>
          </cell>
          <cell r="AJ368" t="str">
            <v xml:space="preserve"> -- </v>
          </cell>
          <cell r="AK368" t="str">
            <v xml:space="preserve"> -- </v>
          </cell>
          <cell r="AL368" t="str">
            <v xml:space="preserve"> </v>
          </cell>
          <cell r="AU368">
            <v>5.8650000000000002</v>
          </cell>
          <cell r="AW368" t="str">
            <v xml:space="preserve"> -- </v>
          </cell>
          <cell r="AX368" t="str">
            <v xml:space="preserve"> -- </v>
          </cell>
          <cell r="AY368" t="str">
            <v xml:space="preserve"> -- </v>
          </cell>
          <cell r="AZ368">
            <v>1.556</v>
          </cell>
          <cell r="BB368" t="str">
            <v xml:space="preserve"> -- </v>
          </cell>
          <cell r="BC368" t="str">
            <v xml:space="preserve"> -- </v>
          </cell>
          <cell r="BL368">
            <v>61.118000000000002</v>
          </cell>
          <cell r="BM368">
            <v>62.996000000000002</v>
          </cell>
          <cell r="BQ368" t="str">
            <v xml:space="preserve">-- </v>
          </cell>
          <cell r="BR368" t="str">
            <v xml:space="preserve">-- </v>
          </cell>
          <cell r="BS368" t="str">
            <v xml:space="preserve">-- </v>
          </cell>
          <cell r="BT368" t="str">
            <v xml:space="preserve">-- </v>
          </cell>
          <cell r="BV368" t="str">
            <v xml:space="preserve">-- </v>
          </cell>
          <cell r="BW368" t="str">
            <v xml:space="preserve">-- </v>
          </cell>
          <cell r="BX368" t="str">
            <v xml:space="preserve">-- </v>
          </cell>
          <cell r="BY368" t="str">
            <v xml:space="preserve">-- </v>
          </cell>
          <cell r="CA368" t="str">
            <v xml:space="preserve">-- </v>
          </cell>
          <cell r="CB368" t="str">
            <v xml:space="preserve">-- </v>
          </cell>
          <cell r="CC368" t="str">
            <v xml:space="preserve"> -- </v>
          </cell>
          <cell r="CD368" t="str">
            <v xml:space="preserve"> -- </v>
          </cell>
          <cell r="CF368" t="str">
            <v xml:space="preserve"> --</v>
          </cell>
          <cell r="CH368" t="str">
            <v xml:space="preserve"> --</v>
          </cell>
          <cell r="CI368" t="str">
            <v xml:space="preserve"> --</v>
          </cell>
          <cell r="CJ368" t="str">
            <v xml:space="preserve"> --</v>
          </cell>
          <cell r="CK368" t="str">
            <v xml:space="preserve"> --</v>
          </cell>
          <cell r="CM368" t="str">
            <v xml:space="preserve"> --</v>
          </cell>
          <cell r="CN368" t="str">
            <v xml:space="preserve"> --</v>
          </cell>
          <cell r="CO368" t="str">
            <v xml:space="preserve"> --</v>
          </cell>
          <cell r="CP368" t="str">
            <v xml:space="preserve"> --</v>
          </cell>
          <cell r="CR368" t="str">
            <v xml:space="preserve"> --</v>
          </cell>
          <cell r="CS368" t="str">
            <v xml:space="preserve"> --</v>
          </cell>
          <cell r="CT368" t="str">
            <v xml:space="preserve"> --</v>
          </cell>
          <cell r="CU368">
            <v>15.8</v>
          </cell>
          <cell r="CZ368" t="str">
            <v>--</v>
          </cell>
          <cell r="DB368">
            <v>0</v>
          </cell>
          <cell r="DC368">
            <v>260.09100000000001</v>
          </cell>
          <cell r="DD368">
            <v>265.36700000000002</v>
          </cell>
          <cell r="DE368">
            <v>265.36700000000002</v>
          </cell>
          <cell r="DG368">
            <v>0</v>
          </cell>
          <cell r="DH368">
            <v>0</v>
          </cell>
          <cell r="DI368">
            <v>0</v>
          </cell>
          <cell r="DJ368">
            <v>0</v>
          </cell>
          <cell r="DL368">
            <v>0</v>
          </cell>
          <cell r="DM368">
            <v>0</v>
          </cell>
          <cell r="DN368">
            <v>0</v>
          </cell>
          <cell r="DO368">
            <v>0</v>
          </cell>
          <cell r="DR368">
            <v>3.9820000000000002</v>
          </cell>
          <cell r="DS368" t="str">
            <v xml:space="preserve"> -- </v>
          </cell>
          <cell r="DT368" t="str">
            <v xml:space="preserve"> -- </v>
          </cell>
          <cell r="DU368" t="str">
            <v xml:space="preserve"> -- </v>
          </cell>
          <cell r="DV368" t="str">
            <v xml:space="preserve"> -- </v>
          </cell>
          <cell r="DW368" t="str">
            <v xml:space="preserve"> -- </v>
          </cell>
          <cell r="DX368">
            <v>6.5849999999999991</v>
          </cell>
          <cell r="DY368">
            <v>8.7880000000000003</v>
          </cell>
          <cell r="DZ368" t="str">
            <v xml:space="preserve"> -- </v>
          </cell>
          <cell r="EC368">
            <v>5.8650000000000002</v>
          </cell>
          <cell r="EE368">
            <v>1.556</v>
          </cell>
          <cell r="EL368">
            <v>10.242000000000001</v>
          </cell>
          <cell r="EM368">
            <v>0</v>
          </cell>
          <cell r="EN368" t="str">
            <v xml:space="preserve"> -- </v>
          </cell>
          <cell r="EP368" t="str">
            <v xml:space="preserve"> --</v>
          </cell>
          <cell r="EQ368">
            <v>9.173</v>
          </cell>
          <cell r="ER368">
            <v>16.940999999999999</v>
          </cell>
          <cell r="ES368">
            <v>15.8</v>
          </cell>
          <cell r="ET368" t="str">
            <v>--</v>
          </cell>
          <cell r="EU368">
            <v>265.36700000000002</v>
          </cell>
          <cell r="EV368">
            <v>0</v>
          </cell>
          <cell r="EW368">
            <v>0</v>
          </cell>
        </row>
        <row r="369">
          <cell r="A369" t="str">
            <v>Accounts payable</v>
          </cell>
          <cell r="B369" t="str">
            <v>ap</v>
          </cell>
          <cell r="E369">
            <v>8.7989999999999995</v>
          </cell>
          <cell r="F369">
            <v>8.9510000000000005</v>
          </cell>
          <cell r="G369">
            <v>9.1549999999999994</v>
          </cell>
          <cell r="I369">
            <v>8.8849999999999998</v>
          </cell>
          <cell r="J369">
            <v>9.8089999999999993</v>
          </cell>
          <cell r="K369">
            <v>10.337</v>
          </cell>
          <cell r="L369">
            <v>10.624000000000001</v>
          </cell>
          <cell r="N369">
            <v>12.648999999999999</v>
          </cell>
          <cell r="O369">
            <v>15.430999999999999</v>
          </cell>
          <cell r="P369">
            <v>19.640999999999998</v>
          </cell>
          <cell r="Q369">
            <v>21.920999999999999</v>
          </cell>
          <cell r="S369">
            <v>23.657</v>
          </cell>
          <cell r="T369">
            <v>29.837</v>
          </cell>
          <cell r="U369">
            <v>27.501000000000001</v>
          </cell>
          <cell r="V369">
            <v>24.401</v>
          </cell>
          <cell r="X369">
            <v>36.133000000000003</v>
          </cell>
          <cell r="Y369">
            <v>34.103999999999999</v>
          </cell>
          <cell r="Z369">
            <v>39.011000000000003</v>
          </cell>
          <cell r="AA369">
            <v>42.649000000000001</v>
          </cell>
          <cell r="AC369">
            <v>50.63</v>
          </cell>
          <cell r="AD369">
            <v>51.192999999999998</v>
          </cell>
          <cell r="AE369">
            <v>53.454999999999998</v>
          </cell>
          <cell r="AF369">
            <v>56.329000000000001</v>
          </cell>
          <cell r="AH369">
            <v>55.707999999999998</v>
          </cell>
          <cell r="AI369">
            <v>73.856999999999999</v>
          </cell>
          <cell r="AJ369">
            <v>73.510000000000005</v>
          </cell>
          <cell r="AK369">
            <v>68.814999999999998</v>
          </cell>
          <cell r="AU369">
            <v>89.03</v>
          </cell>
          <cell r="AW369">
            <v>88.052000000000007</v>
          </cell>
          <cell r="AX369">
            <v>108.46</v>
          </cell>
          <cell r="AY369">
            <v>94.578000000000003</v>
          </cell>
          <cell r="AZ369">
            <v>154.827</v>
          </cell>
          <cell r="BB369">
            <v>191.38</v>
          </cell>
          <cell r="BC369">
            <v>232.886</v>
          </cell>
          <cell r="BL369">
            <v>61.118000000000002</v>
          </cell>
          <cell r="BM369">
            <v>62.996000000000002</v>
          </cell>
          <cell r="BQ369">
            <v>178.08493277394189</v>
          </cell>
          <cell r="BR369">
            <v>213.03497575299127</v>
          </cell>
          <cell r="BS369">
            <v>205.14081868998969</v>
          </cell>
          <cell r="BT369">
            <v>204.85364734172259</v>
          </cell>
          <cell r="BV369">
            <v>211.49524852398474</v>
          </cell>
          <cell r="BW369">
            <v>223.46751028920954</v>
          </cell>
          <cell r="BX369">
            <v>230.59112484563164</v>
          </cell>
          <cell r="BY369">
            <v>280.91399999999999</v>
          </cell>
          <cell r="CA369" t="str">
            <v xml:space="preserve">-- </v>
          </cell>
          <cell r="CB369" t="str">
            <v xml:space="preserve">-- </v>
          </cell>
          <cell r="CC369">
            <v>409.43</v>
          </cell>
          <cell r="CD369">
            <v>488.80599999999998</v>
          </cell>
          <cell r="CF369">
            <v>458.27100000000002</v>
          </cell>
          <cell r="CH369" t="str">
            <v xml:space="preserve"> --</v>
          </cell>
          <cell r="CI369" t="str">
            <v xml:space="preserve"> --</v>
          </cell>
          <cell r="CJ369" t="str">
            <v xml:space="preserve"> --</v>
          </cell>
          <cell r="CK369" t="str">
            <v xml:space="preserve"> --</v>
          </cell>
          <cell r="CM369" t="str">
            <v xml:space="preserve"> --</v>
          </cell>
          <cell r="CN369" t="str">
            <v xml:space="preserve"> --</v>
          </cell>
          <cell r="CO369" t="str">
            <v xml:space="preserve"> --</v>
          </cell>
          <cell r="CP369">
            <v>541.26800000000003</v>
          </cell>
          <cell r="CR369" t="str">
            <v xml:space="preserve"> --</v>
          </cell>
          <cell r="CS369">
            <v>473.03399999999999</v>
          </cell>
          <cell r="CT369">
            <v>363.17500000000001</v>
          </cell>
          <cell r="CU369">
            <v>332.471</v>
          </cell>
          <cell r="CZ369">
            <v>1042.72</v>
          </cell>
          <cell r="DB369">
            <v>882.23599999999999</v>
          </cell>
          <cell r="DC369">
            <v>1178.329</v>
          </cell>
          <cell r="DD369">
            <v>1285.8689999999999</v>
          </cell>
          <cell r="DE369">
            <v>1313.1131947675869</v>
          </cell>
          <cell r="DG369">
            <v>1312.386921982149</v>
          </cell>
          <cell r="DH369">
            <v>1244.2144546681939</v>
          </cell>
          <cell r="DI369">
            <v>1254.7696519334274</v>
          </cell>
          <cell r="DJ369">
            <v>1280.4624445298168</v>
          </cell>
          <cell r="DL369">
            <v>1419.5023422075358</v>
          </cell>
          <cell r="DM369">
            <v>1337.0593955848651</v>
          </cell>
          <cell r="DN369">
            <v>1355.7049914102845</v>
          </cell>
          <cell r="DO369">
            <v>1420.0122573898302</v>
          </cell>
          <cell r="DR369">
            <v>7.2080000000000002</v>
          </cell>
          <cell r="DS369">
            <v>9.1549999999999994</v>
          </cell>
          <cell r="DT369">
            <v>10.624000000000001</v>
          </cell>
          <cell r="DU369">
            <v>21.920999999999999</v>
          </cell>
          <cell r="DV369">
            <v>24.401</v>
          </cell>
          <cell r="DW369">
            <v>42.649000000000001</v>
          </cell>
          <cell r="DX369">
            <v>37.03</v>
          </cell>
          <cell r="DY369">
            <v>56.329000000000001</v>
          </cell>
          <cell r="DZ369">
            <v>68.814999999999998</v>
          </cell>
          <cell r="EC369">
            <v>89.03</v>
          </cell>
          <cell r="EE369">
            <v>154.827</v>
          </cell>
          <cell r="EL369">
            <v>185.33199999999999</v>
          </cell>
          <cell r="EM369">
            <v>280.91399999999999</v>
          </cell>
          <cell r="EN369">
            <v>488.80599999999998</v>
          </cell>
          <cell r="EP369" t="str">
            <v xml:space="preserve"> --</v>
          </cell>
          <cell r="EQ369">
            <v>311.47500000000002</v>
          </cell>
          <cell r="ER369">
            <v>541.26800000000003</v>
          </cell>
          <cell r="ES369">
            <v>332.471</v>
          </cell>
          <cell r="ET369">
            <v>1042.72</v>
          </cell>
          <cell r="EU369">
            <v>1313.1131947675869</v>
          </cell>
          <cell r="EV369">
            <v>1280.4624445298168</v>
          </cell>
          <cell r="EW369">
            <v>1420.0122573898302</v>
          </cell>
        </row>
        <row r="370">
          <cell r="A370" t="str">
            <v>Accrued liabilities</v>
          </cell>
          <cell r="B370" t="str">
            <v>al</v>
          </cell>
          <cell r="E370">
            <v>3.8119999999999998</v>
          </cell>
          <cell r="F370">
            <v>4.1420000000000003</v>
          </cell>
          <cell r="G370">
            <v>1.8560000000000001</v>
          </cell>
          <cell r="I370">
            <v>3.8940000000000001</v>
          </cell>
          <cell r="J370">
            <v>3.7810000000000001</v>
          </cell>
          <cell r="K370">
            <v>4.1449999999999996</v>
          </cell>
          <cell r="L370">
            <v>2.7469999999999999</v>
          </cell>
          <cell r="N370">
            <v>4.5880000000000001</v>
          </cell>
          <cell r="O370">
            <v>4.5709999999999997</v>
          </cell>
          <cell r="P370">
            <v>8.85</v>
          </cell>
          <cell r="Q370">
            <v>11.698</v>
          </cell>
          <cell r="S370">
            <v>10.242000000000001</v>
          </cell>
          <cell r="T370">
            <v>12.505000000000001</v>
          </cell>
          <cell r="U370">
            <v>18.004999999999999</v>
          </cell>
          <cell r="V370">
            <v>15.613</v>
          </cell>
          <cell r="X370">
            <v>19.597999999999999</v>
          </cell>
          <cell r="Y370">
            <v>16.302</v>
          </cell>
          <cell r="Z370">
            <v>18.321999999999999</v>
          </cell>
          <cell r="AA370">
            <v>17.683</v>
          </cell>
          <cell r="AC370">
            <v>17.463000000000001</v>
          </cell>
          <cell r="AD370">
            <v>16.361000000000001</v>
          </cell>
          <cell r="AE370">
            <v>20.884</v>
          </cell>
          <cell r="AF370">
            <v>19.440000000000001</v>
          </cell>
          <cell r="AH370">
            <v>42.918999999999997</v>
          </cell>
          <cell r="AI370">
            <v>48.646000000000001</v>
          </cell>
          <cell r="AJ370">
            <v>43.765999999999998</v>
          </cell>
          <cell r="AK370">
            <v>46.030999999999999</v>
          </cell>
          <cell r="AU370">
            <v>38.314</v>
          </cell>
          <cell r="AW370">
            <v>60.656999999999996</v>
          </cell>
          <cell r="AX370">
            <v>57.92</v>
          </cell>
          <cell r="AY370">
            <v>71.995999999999995</v>
          </cell>
          <cell r="AZ370">
            <v>51.887999999999998</v>
          </cell>
          <cell r="BB370">
            <v>82.977999999999994</v>
          </cell>
          <cell r="BC370">
            <v>83.251000000000005</v>
          </cell>
          <cell r="BL370">
            <v>61.118000000000002</v>
          </cell>
          <cell r="BM370">
            <v>62.996000000000002</v>
          </cell>
          <cell r="BQ370">
            <v>77.836797492888792</v>
          </cell>
          <cell r="BR370">
            <v>93.112651409071916</v>
          </cell>
          <cell r="BS370">
            <v>89.662298281949731</v>
          </cell>
          <cell r="BT370">
            <v>89.536782340018817</v>
          </cell>
          <cell r="BV370">
            <v>92.439672316165712</v>
          </cell>
          <cell r="BW370">
            <v>97.672470509904954</v>
          </cell>
          <cell r="BX370">
            <v>100.78603736257895</v>
          </cell>
          <cell r="BY370">
            <v>122.78100000000001</v>
          </cell>
          <cell r="CA370" t="str">
            <v xml:space="preserve">-- </v>
          </cell>
          <cell r="CB370" t="str">
            <v xml:space="preserve">-- </v>
          </cell>
          <cell r="CC370">
            <v>163.58500000000001</v>
          </cell>
          <cell r="CD370">
            <v>204.52</v>
          </cell>
          <cell r="CF370">
            <v>254.042</v>
          </cell>
          <cell r="CH370" t="str">
            <v xml:space="preserve"> --</v>
          </cell>
          <cell r="CI370" t="str">
            <v xml:space="preserve"> --</v>
          </cell>
          <cell r="CJ370" t="str">
            <v xml:space="preserve"> --</v>
          </cell>
          <cell r="CK370" t="str">
            <v xml:space="preserve"> --</v>
          </cell>
          <cell r="CM370" t="str">
            <v xml:space="preserve"> --</v>
          </cell>
          <cell r="CN370" t="str">
            <v xml:space="preserve"> --</v>
          </cell>
          <cell r="CO370" t="str">
            <v xml:space="preserve"> --</v>
          </cell>
          <cell r="CP370">
            <v>248.87200000000001</v>
          </cell>
          <cell r="CR370" t="str">
            <v xml:space="preserve"> --</v>
          </cell>
          <cell r="CS370">
            <v>163.96700000000001</v>
          </cell>
          <cell r="CT370">
            <v>113.22</v>
          </cell>
          <cell r="CU370">
            <v>144.066</v>
          </cell>
          <cell r="CZ370">
            <v>1191.402</v>
          </cell>
          <cell r="DB370">
            <v>840.01</v>
          </cell>
          <cell r="DC370">
            <v>552.40200000000004</v>
          </cell>
          <cell r="DD370">
            <v>615.03</v>
          </cell>
          <cell r="DE370">
            <v>587.292147</v>
          </cell>
          <cell r="DG370">
            <v>571.31187109242637</v>
          </cell>
          <cell r="DH370">
            <v>542.77273414601359</v>
          </cell>
          <cell r="DI370">
            <v>550.26736441784442</v>
          </cell>
          <cell r="DJ370">
            <v>563.9166031432303</v>
          </cell>
          <cell r="DL370">
            <v>641.08159195735686</v>
          </cell>
          <cell r="DM370">
            <v>603.20665396723405</v>
          </cell>
          <cell r="DN370">
            <v>612.26916523873695</v>
          </cell>
          <cell r="DO370">
            <v>641.99485523750843</v>
          </cell>
          <cell r="DR370">
            <v>1.43</v>
          </cell>
          <cell r="DS370">
            <v>1.8560000000000001</v>
          </cell>
          <cell r="DT370">
            <v>2.7469999999999999</v>
          </cell>
          <cell r="DU370">
            <v>11.698</v>
          </cell>
          <cell r="DV370">
            <v>15.613</v>
          </cell>
          <cell r="DW370">
            <v>17.683</v>
          </cell>
          <cell r="DX370">
            <v>14.1</v>
          </cell>
          <cell r="DY370">
            <v>19.440000000000001</v>
          </cell>
          <cell r="DZ370">
            <v>46.030999999999999</v>
          </cell>
          <cell r="EC370">
            <v>38.314</v>
          </cell>
          <cell r="EE370">
            <v>51.887999999999998</v>
          </cell>
          <cell r="EL370">
            <v>93.347000000000008</v>
          </cell>
          <cell r="EM370">
            <v>122.78100000000001</v>
          </cell>
          <cell r="EN370">
            <v>204.52</v>
          </cell>
          <cell r="EP370" t="str">
            <v xml:space="preserve"> --</v>
          </cell>
          <cell r="EQ370">
            <v>134.41899999999998</v>
          </cell>
          <cell r="ER370">
            <v>184.10500000000002</v>
          </cell>
          <cell r="ES370">
            <v>144.066</v>
          </cell>
          <cell r="ET370">
            <v>1191.402</v>
          </cell>
          <cell r="EU370">
            <v>587.292147</v>
          </cell>
          <cell r="EV370">
            <v>563.9166031432303</v>
          </cell>
          <cell r="EW370">
            <v>641.99485523750843</v>
          </cell>
        </row>
        <row r="371">
          <cell r="A371" t="str">
            <v>Accrued plant closings</v>
          </cell>
          <cell r="E371" t="str">
            <v xml:space="preserve"> -- </v>
          </cell>
          <cell r="F371" t="str">
            <v xml:space="preserve"> -- </v>
          </cell>
          <cell r="G371">
            <v>0.20599999999999999</v>
          </cell>
          <cell r="I371" t="str">
            <v xml:space="preserve"> -- </v>
          </cell>
          <cell r="J371" t="str">
            <v xml:space="preserve"> -- </v>
          </cell>
          <cell r="K371" t="str">
            <v xml:space="preserve"> -- </v>
          </cell>
          <cell r="L371">
            <v>1.702</v>
          </cell>
          <cell r="N371" t="str">
            <v xml:space="preserve"> -- </v>
          </cell>
          <cell r="O371" t="str">
            <v xml:space="preserve"> -- </v>
          </cell>
          <cell r="P371" t="str">
            <v xml:space="preserve"> -- </v>
          </cell>
          <cell r="Q371" t="str">
            <v xml:space="preserve"> -- </v>
          </cell>
          <cell r="S371" t="str">
            <v xml:space="preserve"> -- </v>
          </cell>
          <cell r="T371" t="str">
            <v xml:space="preserve"> -- </v>
          </cell>
          <cell r="U371" t="str">
            <v xml:space="preserve"> -- </v>
          </cell>
          <cell r="V371" t="str">
            <v xml:space="preserve"> -- </v>
          </cell>
          <cell r="X371" t="str">
            <v xml:space="preserve"> -- </v>
          </cell>
          <cell r="Y371" t="str">
            <v xml:space="preserve"> -- </v>
          </cell>
          <cell r="Z371" t="str">
            <v xml:space="preserve"> -- </v>
          </cell>
          <cell r="AA371" t="str">
            <v xml:space="preserve"> -- </v>
          </cell>
          <cell r="AC371" t="str">
            <v xml:space="preserve"> -- </v>
          </cell>
          <cell r="AD371" t="str">
            <v xml:space="preserve"> -- </v>
          </cell>
          <cell r="AE371" t="str">
            <v xml:space="preserve"> -- </v>
          </cell>
          <cell r="AF371">
            <v>14.442</v>
          </cell>
          <cell r="AH371" t="str">
            <v xml:space="preserve"> -- </v>
          </cell>
          <cell r="AI371" t="str">
            <v xml:space="preserve"> -- </v>
          </cell>
          <cell r="AJ371" t="str">
            <v xml:space="preserve"> -- </v>
          </cell>
          <cell r="AK371" t="str">
            <v xml:space="preserve"> -- </v>
          </cell>
          <cell r="AU371" t="str">
            <v xml:space="preserve"> -- </v>
          </cell>
          <cell r="AW371" t="str">
            <v xml:space="preserve"> -- </v>
          </cell>
          <cell r="AX371" t="str">
            <v xml:space="preserve"> -- </v>
          </cell>
          <cell r="AY371" t="str">
            <v xml:space="preserve"> -- </v>
          </cell>
          <cell r="AZ371" t="str">
            <v xml:space="preserve"> -- </v>
          </cell>
          <cell r="BB371" t="str">
            <v xml:space="preserve"> -- </v>
          </cell>
          <cell r="BC371" t="str">
            <v xml:space="preserve"> -- </v>
          </cell>
          <cell r="BL371">
            <v>61.118000000000002</v>
          </cell>
          <cell r="BM371">
            <v>62.996000000000002</v>
          </cell>
          <cell r="BQ371" t="str">
            <v xml:space="preserve">-- </v>
          </cell>
          <cell r="BR371" t="str">
            <v xml:space="preserve">-- </v>
          </cell>
          <cell r="BS371" t="str">
            <v xml:space="preserve">-- </v>
          </cell>
          <cell r="BT371" t="str">
            <v xml:space="preserve">-- </v>
          </cell>
          <cell r="BV371" t="str">
            <v xml:space="preserve">-- </v>
          </cell>
          <cell r="BW371" t="str">
            <v xml:space="preserve">-- </v>
          </cell>
          <cell r="BX371" t="str">
            <v xml:space="preserve">-- </v>
          </cell>
          <cell r="BY371" t="str">
            <v xml:space="preserve">-- </v>
          </cell>
          <cell r="CA371" t="str">
            <v xml:space="preserve">-- </v>
          </cell>
          <cell r="CB371" t="str">
            <v xml:space="preserve">-- </v>
          </cell>
          <cell r="CC371" t="str">
            <v xml:space="preserve">-- </v>
          </cell>
          <cell r="CD371" t="str">
            <v xml:space="preserve">-- </v>
          </cell>
          <cell r="CF371" t="str">
            <v xml:space="preserve">-- </v>
          </cell>
          <cell r="CH371" t="str">
            <v xml:space="preserve"> --</v>
          </cell>
          <cell r="CI371" t="str">
            <v xml:space="preserve"> --</v>
          </cell>
          <cell r="CJ371" t="str">
            <v xml:space="preserve"> --</v>
          </cell>
          <cell r="CK371" t="str">
            <v xml:space="preserve"> --</v>
          </cell>
          <cell r="CM371" t="str">
            <v xml:space="preserve"> --</v>
          </cell>
          <cell r="CN371" t="str">
            <v xml:space="preserve"> --</v>
          </cell>
          <cell r="CO371" t="str">
            <v xml:space="preserve"> --</v>
          </cell>
          <cell r="CP371" t="str">
            <v xml:space="preserve"> --</v>
          </cell>
          <cell r="CR371" t="str">
            <v xml:space="preserve"> --</v>
          </cell>
          <cell r="CS371" t="str">
            <v xml:space="preserve"> --</v>
          </cell>
          <cell r="CT371" t="str">
            <v xml:space="preserve"> --</v>
          </cell>
          <cell r="CU371" t="str">
            <v xml:space="preserve"> --</v>
          </cell>
          <cell r="CZ371" t="str">
            <v xml:space="preserve"> --</v>
          </cell>
          <cell r="DB371" t="str">
            <v xml:space="preserve"> --</v>
          </cell>
          <cell r="DC371" t="str">
            <v xml:space="preserve"> --</v>
          </cell>
          <cell r="DD371" t="str">
            <v xml:space="preserve"> --</v>
          </cell>
          <cell r="DE371" t="str">
            <v xml:space="preserve"> --</v>
          </cell>
          <cell r="DG371" t="str">
            <v xml:space="preserve"> --</v>
          </cell>
          <cell r="DH371" t="str">
            <v xml:space="preserve"> --</v>
          </cell>
          <cell r="DI371" t="str">
            <v xml:space="preserve"> --</v>
          </cell>
          <cell r="DJ371" t="str">
            <v xml:space="preserve"> --</v>
          </cell>
          <cell r="DL371" t="str">
            <v xml:space="preserve"> --</v>
          </cell>
          <cell r="DM371" t="str">
            <v xml:space="preserve"> --</v>
          </cell>
          <cell r="DN371" t="str">
            <v xml:space="preserve"> --</v>
          </cell>
          <cell r="DO371" t="str">
            <v xml:space="preserve"> --</v>
          </cell>
          <cell r="DR371">
            <v>0.95199999999999996</v>
          </cell>
          <cell r="DS371">
            <v>0.20599999999999999</v>
          </cell>
          <cell r="DT371">
            <v>1.702</v>
          </cell>
          <cell r="DU371" t="str">
            <v xml:space="preserve"> -- </v>
          </cell>
          <cell r="DV371" t="str">
            <v xml:space="preserve"> -- </v>
          </cell>
          <cell r="DW371" t="str">
            <v xml:space="preserve"> -- </v>
          </cell>
          <cell r="DX371" t="str">
            <v xml:space="preserve"> -- </v>
          </cell>
          <cell r="DY371">
            <v>14.442</v>
          </cell>
          <cell r="DZ371" t="str">
            <v xml:space="preserve"> -- </v>
          </cell>
          <cell r="EC371" t="str">
            <v xml:space="preserve"> -- </v>
          </cell>
          <cell r="EE371" t="str">
            <v xml:space="preserve"> -- </v>
          </cell>
          <cell r="EM371" t="str">
            <v xml:space="preserve">-- </v>
          </cell>
          <cell r="EP371" t="str">
            <v xml:space="preserve"> --</v>
          </cell>
          <cell r="EQ371" t="str">
            <v xml:space="preserve"> --</v>
          </cell>
          <cell r="ER371">
            <v>0</v>
          </cell>
          <cell r="ES371" t="str">
            <v xml:space="preserve"> --</v>
          </cell>
          <cell r="ET371" t="str">
            <v xml:space="preserve"> --</v>
          </cell>
          <cell r="EU371" t="str">
            <v xml:space="preserve"> --</v>
          </cell>
          <cell r="EV371" t="str">
            <v xml:space="preserve"> --</v>
          </cell>
          <cell r="EW371" t="str">
            <v xml:space="preserve"> --</v>
          </cell>
        </row>
        <row r="372">
          <cell r="A372" t="str">
            <v>Other liabilities</v>
          </cell>
          <cell r="E372" t="str">
            <v xml:space="preserve"> -- </v>
          </cell>
          <cell r="F372" t="str">
            <v xml:space="preserve"> -- </v>
          </cell>
          <cell r="G372">
            <v>1.4490000000000001</v>
          </cell>
          <cell r="I372" t="str">
            <v xml:space="preserve"> -- </v>
          </cell>
          <cell r="J372" t="str">
            <v xml:space="preserve"> -- </v>
          </cell>
          <cell r="K372" t="str">
            <v xml:space="preserve"> -- </v>
          </cell>
          <cell r="L372">
            <v>1.115</v>
          </cell>
          <cell r="N372" t="str">
            <v xml:space="preserve"> -- </v>
          </cell>
          <cell r="O372" t="str">
            <v xml:space="preserve"> -- </v>
          </cell>
          <cell r="P372" t="str">
            <v xml:space="preserve"> -- </v>
          </cell>
          <cell r="Q372" t="str">
            <v xml:space="preserve"> -- </v>
          </cell>
          <cell r="S372" t="str">
            <v xml:space="preserve"> -- </v>
          </cell>
          <cell r="T372" t="str">
            <v xml:space="preserve"> -- </v>
          </cell>
          <cell r="U372" t="str">
            <v xml:space="preserve"> -- </v>
          </cell>
          <cell r="V372" t="str">
            <v xml:space="preserve"> -- </v>
          </cell>
          <cell r="X372" t="str">
            <v xml:space="preserve"> -- </v>
          </cell>
          <cell r="Y372" t="str">
            <v xml:space="preserve"> -- </v>
          </cell>
          <cell r="Z372" t="str">
            <v xml:space="preserve"> -- </v>
          </cell>
          <cell r="AA372" t="str">
            <v xml:space="preserve"> -- </v>
          </cell>
          <cell r="AC372" t="str">
            <v xml:space="preserve"> -- </v>
          </cell>
          <cell r="AD372" t="str">
            <v xml:space="preserve"> -- </v>
          </cell>
          <cell r="AE372" t="str">
            <v xml:space="preserve"> -- </v>
          </cell>
          <cell r="AF372" t="str">
            <v xml:space="preserve"> -- </v>
          </cell>
          <cell r="AH372" t="str">
            <v xml:space="preserve"> -- </v>
          </cell>
          <cell r="AI372" t="str">
            <v xml:space="preserve"> -- </v>
          </cell>
          <cell r="AJ372" t="str">
            <v xml:space="preserve"> -- </v>
          </cell>
          <cell r="AK372" t="str">
            <v xml:space="preserve"> -- </v>
          </cell>
          <cell r="AU372" t="str">
            <v xml:space="preserve"> -- </v>
          </cell>
          <cell r="AW372" t="str">
            <v xml:space="preserve"> -- </v>
          </cell>
          <cell r="AX372" t="str">
            <v xml:space="preserve"> -- </v>
          </cell>
          <cell r="AY372" t="str">
            <v xml:space="preserve"> -- </v>
          </cell>
          <cell r="AZ372" t="str">
            <v xml:space="preserve"> -- </v>
          </cell>
          <cell r="BB372" t="str">
            <v xml:space="preserve"> -- </v>
          </cell>
          <cell r="BC372" t="str">
            <v xml:space="preserve"> -- </v>
          </cell>
          <cell r="BL372">
            <v>61.118000000000002</v>
          </cell>
          <cell r="BM372">
            <v>62.996000000000002</v>
          </cell>
          <cell r="BQ372" t="str">
            <v xml:space="preserve">-- </v>
          </cell>
          <cell r="BR372" t="str">
            <v xml:space="preserve">-- </v>
          </cell>
          <cell r="BS372" t="str">
            <v xml:space="preserve">-- </v>
          </cell>
          <cell r="BT372" t="str">
            <v xml:space="preserve">-- </v>
          </cell>
          <cell r="BV372" t="str">
            <v xml:space="preserve">-- </v>
          </cell>
          <cell r="BW372" t="str">
            <v xml:space="preserve">-- </v>
          </cell>
          <cell r="BX372" t="str">
            <v xml:space="preserve">-- </v>
          </cell>
          <cell r="BY372" t="str">
            <v xml:space="preserve">-- </v>
          </cell>
          <cell r="CA372" t="str">
            <v xml:space="preserve">-- </v>
          </cell>
          <cell r="CB372" t="str">
            <v xml:space="preserve">-- </v>
          </cell>
          <cell r="CC372" t="str">
            <v xml:space="preserve">-- </v>
          </cell>
          <cell r="CD372" t="str">
            <v xml:space="preserve">-- </v>
          </cell>
          <cell r="CF372" t="str">
            <v xml:space="preserve">-- </v>
          </cell>
          <cell r="CH372" t="str">
            <v xml:space="preserve"> --</v>
          </cell>
          <cell r="CI372" t="str">
            <v xml:space="preserve"> --</v>
          </cell>
          <cell r="CJ372" t="str">
            <v xml:space="preserve"> --</v>
          </cell>
          <cell r="CK372" t="str">
            <v xml:space="preserve"> --</v>
          </cell>
          <cell r="CM372" t="str">
            <v xml:space="preserve"> --</v>
          </cell>
          <cell r="CN372" t="str">
            <v xml:space="preserve"> --</v>
          </cell>
          <cell r="CO372" t="str">
            <v xml:space="preserve"> --</v>
          </cell>
          <cell r="CP372" t="str">
            <v xml:space="preserve"> --</v>
          </cell>
          <cell r="CR372" t="str">
            <v xml:space="preserve"> --</v>
          </cell>
          <cell r="CS372" t="str">
            <v xml:space="preserve"> --</v>
          </cell>
          <cell r="CT372" t="str">
            <v xml:space="preserve"> --</v>
          </cell>
          <cell r="CU372" t="str">
            <v xml:space="preserve"> --</v>
          </cell>
          <cell r="CZ372" t="str">
            <v xml:space="preserve"> --</v>
          </cell>
          <cell r="DB372" t="str">
            <v xml:space="preserve"> --</v>
          </cell>
          <cell r="DC372" t="str">
            <v xml:space="preserve"> --</v>
          </cell>
          <cell r="DD372" t="str">
            <v xml:space="preserve"> --</v>
          </cell>
          <cell r="DE372" t="str">
            <v xml:space="preserve"> --</v>
          </cell>
          <cell r="DG372" t="str">
            <v xml:space="preserve"> --</v>
          </cell>
          <cell r="DH372" t="str">
            <v xml:space="preserve"> --</v>
          </cell>
          <cell r="DI372" t="str">
            <v xml:space="preserve"> --</v>
          </cell>
          <cell r="DJ372" t="str">
            <v xml:space="preserve"> --</v>
          </cell>
          <cell r="DL372" t="str">
            <v xml:space="preserve"> --</v>
          </cell>
          <cell r="DM372" t="str">
            <v xml:space="preserve"> --</v>
          </cell>
          <cell r="DN372" t="str">
            <v xml:space="preserve"> --</v>
          </cell>
          <cell r="DO372" t="str">
            <v xml:space="preserve"> --</v>
          </cell>
          <cell r="DR372">
            <v>0.92500000000000004</v>
          </cell>
          <cell r="DS372">
            <v>1.4490000000000001</v>
          </cell>
          <cell r="DT372">
            <v>1.115</v>
          </cell>
          <cell r="DU372" t="str">
            <v xml:space="preserve"> -- </v>
          </cell>
          <cell r="DV372" t="str">
            <v xml:space="preserve"> -- </v>
          </cell>
          <cell r="DW372" t="str">
            <v xml:space="preserve"> -- </v>
          </cell>
          <cell r="DX372" t="str">
            <v xml:space="preserve"> -- </v>
          </cell>
          <cell r="DY372" t="str">
            <v xml:space="preserve"> -- </v>
          </cell>
          <cell r="DZ372" t="str">
            <v xml:space="preserve"> -- </v>
          </cell>
          <cell r="EC372" t="str">
            <v xml:space="preserve"> -- </v>
          </cell>
          <cell r="EE372" t="str">
            <v xml:space="preserve"> -- </v>
          </cell>
          <cell r="EM372" t="str">
            <v xml:space="preserve">-- </v>
          </cell>
          <cell r="EP372" t="str">
            <v xml:space="preserve"> --</v>
          </cell>
          <cell r="EQ372" t="str">
            <v xml:space="preserve"> --</v>
          </cell>
          <cell r="ER372">
            <v>0</v>
          </cell>
          <cell r="ES372" t="str">
            <v xml:space="preserve"> --</v>
          </cell>
          <cell r="ET372" t="str">
            <v xml:space="preserve"> --</v>
          </cell>
          <cell r="EU372" t="str">
            <v xml:space="preserve"> --</v>
          </cell>
          <cell r="EV372" t="str">
            <v xml:space="preserve"> --</v>
          </cell>
          <cell r="EW372" t="str">
            <v xml:space="preserve"> --</v>
          </cell>
        </row>
        <row r="373">
          <cell r="A373" t="str">
            <v>Income taxes payable</v>
          </cell>
          <cell r="E373">
            <v>0.71199999999999997</v>
          </cell>
          <cell r="F373">
            <v>1.17</v>
          </cell>
          <cell r="G373">
            <v>2.3260000000000001</v>
          </cell>
          <cell r="I373">
            <v>2.71</v>
          </cell>
          <cell r="J373">
            <v>1.887</v>
          </cell>
          <cell r="K373">
            <v>1.75</v>
          </cell>
          <cell r="L373">
            <v>1.5409999999999999</v>
          </cell>
          <cell r="N373">
            <v>3.3069999999999999</v>
          </cell>
          <cell r="O373">
            <v>2.496</v>
          </cell>
          <cell r="P373" t="str">
            <v xml:space="preserve"> -- </v>
          </cell>
          <cell r="Q373" t="str">
            <v xml:space="preserve"> -- </v>
          </cell>
          <cell r="S373" t="str">
            <v xml:space="preserve"> -- </v>
          </cell>
          <cell r="T373" t="str">
            <v xml:space="preserve"> -- </v>
          </cell>
          <cell r="U373" t="str">
            <v xml:space="preserve"> -- </v>
          </cell>
          <cell r="V373" t="str">
            <v xml:space="preserve"> -- </v>
          </cell>
          <cell r="X373" t="str">
            <v xml:space="preserve"> -- </v>
          </cell>
          <cell r="Y373" t="str">
            <v xml:space="preserve"> -- </v>
          </cell>
          <cell r="Z373" t="str">
            <v xml:space="preserve"> -- </v>
          </cell>
          <cell r="AA373" t="str">
            <v xml:space="preserve"> -- </v>
          </cell>
          <cell r="AC373">
            <v>6.99</v>
          </cell>
          <cell r="AD373">
            <v>3.7909999999999999</v>
          </cell>
          <cell r="AE373">
            <v>2.7160000000000002</v>
          </cell>
          <cell r="AF373">
            <v>2.2170000000000001</v>
          </cell>
          <cell r="AH373" t="str">
            <v xml:space="preserve"> -- </v>
          </cell>
          <cell r="AI373" t="str">
            <v xml:space="preserve"> -- </v>
          </cell>
          <cell r="AJ373" t="str">
            <v xml:space="preserve"> -- </v>
          </cell>
          <cell r="AK373" t="str">
            <v xml:space="preserve"> -- </v>
          </cell>
          <cell r="AU373">
            <v>11.516999999999999</v>
          </cell>
          <cell r="AW373" t="str">
            <v xml:space="preserve"> -- </v>
          </cell>
          <cell r="AX373" t="str">
            <v xml:space="preserve"> -- </v>
          </cell>
          <cell r="AY373" t="str">
            <v xml:space="preserve"> -- </v>
          </cell>
          <cell r="AZ373">
            <v>9.1150000000000002</v>
          </cell>
          <cell r="BB373" t="str">
            <v xml:space="preserve"> -- </v>
          </cell>
          <cell r="BC373" t="str">
            <v xml:space="preserve"> -- </v>
          </cell>
          <cell r="BL373">
            <v>61.118000000000002</v>
          </cell>
          <cell r="BM373">
            <v>62.996000000000002</v>
          </cell>
          <cell r="BQ373">
            <v>6.3952697331693162</v>
          </cell>
          <cell r="BR373">
            <v>7.650372837936791</v>
          </cell>
          <cell r="BS373">
            <v>7.3668830280605997</v>
          </cell>
          <cell r="BT373">
            <v>7.3565703182586031</v>
          </cell>
          <cell r="BV373">
            <v>7.5950791598494831</v>
          </cell>
          <cell r="BW373">
            <v>8.0250192008854864</v>
          </cell>
          <cell r="BX373">
            <v>8.2808377917894145</v>
          </cell>
          <cell r="BY373">
            <v>10.087999999999999</v>
          </cell>
          <cell r="CA373" t="str">
            <v xml:space="preserve">-- </v>
          </cell>
          <cell r="CB373" t="str">
            <v xml:space="preserve">-- </v>
          </cell>
          <cell r="CC373">
            <v>12.061</v>
          </cell>
          <cell r="CD373" t="str">
            <v xml:space="preserve">-- </v>
          </cell>
          <cell r="CF373" t="str">
            <v xml:space="preserve"> --</v>
          </cell>
          <cell r="CH373" t="str">
            <v xml:space="preserve"> --</v>
          </cell>
          <cell r="CI373" t="str">
            <v xml:space="preserve"> --</v>
          </cell>
          <cell r="CJ373" t="str">
            <v xml:space="preserve"> --</v>
          </cell>
          <cell r="CK373" t="str">
            <v xml:space="preserve"> --</v>
          </cell>
          <cell r="CM373" t="str">
            <v xml:space="preserve"> --</v>
          </cell>
          <cell r="CN373" t="str">
            <v xml:space="preserve"> --</v>
          </cell>
          <cell r="CO373" t="str">
            <v xml:space="preserve"> --</v>
          </cell>
          <cell r="CP373" t="str">
            <v xml:space="preserve"> --</v>
          </cell>
          <cell r="CR373" t="str">
            <v xml:space="preserve"> --</v>
          </cell>
          <cell r="CS373" t="str">
            <v xml:space="preserve"> --</v>
          </cell>
          <cell r="CT373" t="str">
            <v xml:space="preserve"> --</v>
          </cell>
          <cell r="CU373" t="str">
            <v xml:space="preserve"> --</v>
          </cell>
          <cell r="CZ373" t="str">
            <v xml:space="preserve"> --</v>
          </cell>
          <cell r="DB373" t="str">
            <v xml:space="preserve"> --</v>
          </cell>
          <cell r="DC373" t="str">
            <v xml:space="preserve"> --</v>
          </cell>
          <cell r="DD373" t="str">
            <v xml:space="preserve"> --</v>
          </cell>
          <cell r="DE373" t="str">
            <v xml:space="preserve"> --</v>
          </cell>
          <cell r="DG373" t="str">
            <v xml:space="preserve"> --</v>
          </cell>
          <cell r="DH373" t="str">
            <v xml:space="preserve"> --</v>
          </cell>
          <cell r="DI373" t="str">
            <v xml:space="preserve"> --</v>
          </cell>
          <cell r="DJ373" t="str">
            <v xml:space="preserve"> --</v>
          </cell>
          <cell r="DL373" t="str">
            <v xml:space="preserve"> --</v>
          </cell>
          <cell r="DM373" t="str">
            <v xml:space="preserve"> --</v>
          </cell>
          <cell r="DN373" t="str">
            <v xml:space="preserve"> --</v>
          </cell>
          <cell r="DO373" t="str">
            <v xml:space="preserve"> --</v>
          </cell>
          <cell r="DR373">
            <v>2.1999999999999999E-2</v>
          </cell>
          <cell r="DS373">
            <v>2.3260000000000001</v>
          </cell>
          <cell r="DT373">
            <v>1.5409999999999999</v>
          </cell>
          <cell r="DU373" t="str">
            <v xml:space="preserve"> -- </v>
          </cell>
          <cell r="DV373" t="str">
            <v xml:space="preserve"> -- </v>
          </cell>
          <cell r="DW373" t="str">
            <v xml:space="preserve"> -- </v>
          </cell>
          <cell r="DX373">
            <v>5.4039999999999999</v>
          </cell>
          <cell r="DY373">
            <v>2.2170000000000001</v>
          </cell>
          <cell r="DZ373" t="str">
            <v xml:space="preserve"> -- </v>
          </cell>
          <cell r="EC373">
            <v>11.516999999999999</v>
          </cell>
          <cell r="EE373">
            <v>9.1150000000000002</v>
          </cell>
          <cell r="EL373">
            <v>12.826000000000001</v>
          </cell>
          <cell r="EM373">
            <v>10.087999999999999</v>
          </cell>
          <cell r="EN373" t="str">
            <v xml:space="preserve">-- </v>
          </cell>
          <cell r="EP373" t="str">
            <v xml:space="preserve"> --</v>
          </cell>
          <cell r="EQ373">
            <v>10.432</v>
          </cell>
          <cell r="ER373">
            <v>47.826000000000001</v>
          </cell>
          <cell r="ES373" t="str">
            <v xml:space="preserve"> --</v>
          </cell>
          <cell r="ET373" t="str">
            <v xml:space="preserve"> --</v>
          </cell>
          <cell r="EU373" t="str">
            <v xml:space="preserve"> --</v>
          </cell>
          <cell r="EV373" t="str">
            <v xml:space="preserve"> --</v>
          </cell>
          <cell r="EW373" t="str">
            <v xml:space="preserve"> --</v>
          </cell>
        </row>
        <row r="375">
          <cell r="A375" t="str">
            <v>Long term debt</v>
          </cell>
          <cell r="B375" t="str">
            <v>ltdbt</v>
          </cell>
          <cell r="E375">
            <v>29.369</v>
          </cell>
          <cell r="F375">
            <v>5.1379999999999999</v>
          </cell>
          <cell r="G375">
            <v>4.4379999999999997</v>
          </cell>
          <cell r="I375" t="str">
            <v xml:space="preserve"> -- </v>
          </cell>
          <cell r="J375" t="str">
            <v xml:space="preserve"> -- </v>
          </cell>
          <cell r="K375" t="str">
            <v xml:space="preserve"> -- </v>
          </cell>
          <cell r="L375" t="str">
            <v xml:space="preserve"> -- </v>
          </cell>
          <cell r="N375" t="str">
            <v xml:space="preserve"> -- </v>
          </cell>
          <cell r="O375" t="str">
            <v xml:space="preserve"> -- </v>
          </cell>
          <cell r="P375">
            <v>1.1080000000000001</v>
          </cell>
          <cell r="Q375">
            <v>1.056</v>
          </cell>
          <cell r="S375">
            <v>0.95</v>
          </cell>
          <cell r="T375">
            <v>0.93400000000000005</v>
          </cell>
          <cell r="U375">
            <v>0.59799999999999998</v>
          </cell>
          <cell r="V375">
            <v>0.69199999999999995</v>
          </cell>
          <cell r="X375">
            <v>0.59199999999999997</v>
          </cell>
          <cell r="Y375">
            <v>0.51400000000000001</v>
          </cell>
          <cell r="Z375">
            <v>0.25</v>
          </cell>
          <cell r="AA375">
            <v>0.55200000000000005</v>
          </cell>
          <cell r="AC375">
            <v>3.0950000000000002</v>
          </cell>
          <cell r="AD375">
            <v>8.0050000000000008</v>
          </cell>
          <cell r="AE375">
            <v>12.154</v>
          </cell>
          <cell r="AF375">
            <v>10.132</v>
          </cell>
          <cell r="AH375">
            <v>3.5910000000000002</v>
          </cell>
          <cell r="AI375">
            <v>3.391</v>
          </cell>
          <cell r="AJ375">
            <v>2.9609999999999999</v>
          </cell>
          <cell r="AK375">
            <v>2.875</v>
          </cell>
          <cell r="AU375" t="str">
            <v xml:space="preserve"> -- </v>
          </cell>
          <cell r="AW375">
            <v>19.346</v>
          </cell>
          <cell r="AX375">
            <v>15.082000000000001</v>
          </cell>
          <cell r="AY375">
            <v>12.523</v>
          </cell>
          <cell r="AZ375">
            <v>2.7210000000000001</v>
          </cell>
          <cell r="BB375">
            <v>2.6760000000000002</v>
          </cell>
          <cell r="BC375">
            <v>2.2490000000000001</v>
          </cell>
          <cell r="BL375">
            <v>290.36399999999998</v>
          </cell>
          <cell r="BM375">
            <v>279.57799999999997</v>
          </cell>
          <cell r="BQ375">
            <v>232.95400000000001</v>
          </cell>
          <cell r="BR375">
            <v>479.10500000000002</v>
          </cell>
          <cell r="BS375">
            <v>490.02800000000002</v>
          </cell>
          <cell r="BT375">
            <v>402.09399999999999</v>
          </cell>
          <cell r="BV375">
            <v>402.75599999999997</v>
          </cell>
          <cell r="BW375">
            <v>374.69499999999999</v>
          </cell>
          <cell r="BX375">
            <v>706.30700000000002</v>
          </cell>
          <cell r="BY375">
            <v>374.30500000000001</v>
          </cell>
          <cell r="CA375">
            <v>670.56600000000003</v>
          </cell>
          <cell r="CB375">
            <v>660.101</v>
          </cell>
          <cell r="CC375">
            <v>306.02999999999997</v>
          </cell>
          <cell r="CD375">
            <v>122.123</v>
          </cell>
          <cell r="CF375">
            <v>82.506</v>
          </cell>
          <cell r="CH375">
            <v>437.32</v>
          </cell>
          <cell r="CI375">
            <v>409.65199999999999</v>
          </cell>
          <cell r="CJ375">
            <v>740.84299999999996</v>
          </cell>
          <cell r="CK375">
            <v>696.38599999999997</v>
          </cell>
          <cell r="CM375">
            <v>715.72199999999998</v>
          </cell>
          <cell r="CN375">
            <v>708.02700000000004</v>
          </cell>
          <cell r="CO375">
            <v>707.30700000000002</v>
          </cell>
          <cell r="CP375">
            <v>177.69399999999999</v>
          </cell>
          <cell r="CR375">
            <v>1204.454</v>
          </cell>
          <cell r="CS375">
            <v>170.32400000000001</v>
          </cell>
          <cell r="CT375">
            <v>160.715</v>
          </cell>
          <cell r="CU375">
            <v>83.588999999999942</v>
          </cell>
          <cell r="CZ375">
            <v>552.85699999999997</v>
          </cell>
          <cell r="DB375">
            <v>574.76</v>
          </cell>
          <cell r="DC375">
            <v>417.38</v>
          </cell>
          <cell r="DD375">
            <v>644.28800000000001</v>
          </cell>
          <cell r="DE375">
            <v>644.28800000000001</v>
          </cell>
          <cell r="DG375">
            <v>644.28800000000001</v>
          </cell>
          <cell r="DH375">
            <v>644.28800000000001</v>
          </cell>
          <cell r="DI375">
            <v>644.28800000000001</v>
          </cell>
          <cell r="DJ375">
            <v>644.28800000000001</v>
          </cell>
          <cell r="DL375">
            <v>644.28800000000001</v>
          </cell>
          <cell r="DM375">
            <v>644.28800000000001</v>
          </cell>
          <cell r="DN375">
            <v>644.28800000000001</v>
          </cell>
          <cell r="DO375">
            <v>644.28800000000001</v>
          </cell>
          <cell r="DR375">
            <v>31.163</v>
          </cell>
          <cell r="DS375">
            <v>4.4379999999999997</v>
          </cell>
          <cell r="DT375" t="str">
            <v xml:space="preserve"> -- </v>
          </cell>
          <cell r="DU375">
            <v>1.056</v>
          </cell>
          <cell r="DV375">
            <v>0.69199999999999995</v>
          </cell>
          <cell r="DW375">
            <v>0.55200000000000005</v>
          </cell>
          <cell r="DX375">
            <v>2.448</v>
          </cell>
          <cell r="DY375">
            <v>10.132</v>
          </cell>
          <cell r="DZ375">
            <v>2.875</v>
          </cell>
          <cell r="EC375" t="str">
            <v xml:space="preserve"> -- </v>
          </cell>
          <cell r="EE375">
            <v>2.7210000000000001</v>
          </cell>
          <cell r="EL375">
            <v>402.09399999999999</v>
          </cell>
          <cell r="EM375">
            <v>374.30500000000001</v>
          </cell>
          <cell r="EN375">
            <v>122.123</v>
          </cell>
          <cell r="EP375">
            <v>434.38200000000001</v>
          </cell>
          <cell r="EQ375">
            <v>696.38599999999997</v>
          </cell>
          <cell r="ER375">
            <v>177.69399999999999</v>
          </cell>
          <cell r="ES375">
            <v>83.588999999999942</v>
          </cell>
          <cell r="ET375">
            <v>552.85699999999997</v>
          </cell>
          <cell r="EU375">
            <v>644.28800000000001</v>
          </cell>
          <cell r="EV375">
            <v>644.28800000000001</v>
          </cell>
          <cell r="EW375">
            <v>644.28800000000001</v>
          </cell>
        </row>
        <row r="376">
          <cell r="A376" t="str">
            <v>Convertible sub. notes</v>
          </cell>
          <cell r="B376" t="str">
            <v>convert</v>
          </cell>
          <cell r="E376" t="str">
            <v xml:space="preserve"> -- </v>
          </cell>
          <cell r="F376" t="str">
            <v xml:space="preserve"> -- </v>
          </cell>
          <cell r="G376" t="str">
            <v xml:space="preserve"> -- </v>
          </cell>
          <cell r="H376" t="str">
            <v xml:space="preserve"> </v>
          </cell>
          <cell r="I376" t="str">
            <v xml:space="preserve"> -- </v>
          </cell>
          <cell r="J376" t="str">
            <v xml:space="preserve"> -- </v>
          </cell>
          <cell r="K376" t="str">
            <v xml:space="preserve"> -- </v>
          </cell>
          <cell r="L376" t="str">
            <v xml:space="preserve"> -- </v>
          </cell>
          <cell r="M376" t="str">
            <v xml:space="preserve"> </v>
          </cell>
          <cell r="N376" t="str">
            <v xml:space="preserve"> -- </v>
          </cell>
          <cell r="O376" t="str">
            <v xml:space="preserve"> -- </v>
          </cell>
          <cell r="P376" t="str">
            <v xml:space="preserve">-- </v>
          </cell>
          <cell r="Q376">
            <v>86.25</v>
          </cell>
          <cell r="S376">
            <v>86.25</v>
          </cell>
          <cell r="T376">
            <v>86.25</v>
          </cell>
          <cell r="U376">
            <v>86.25</v>
          </cell>
          <cell r="V376">
            <v>86.25</v>
          </cell>
          <cell r="X376">
            <v>86.25</v>
          </cell>
          <cell r="Y376">
            <v>86.25</v>
          </cell>
          <cell r="Z376">
            <v>86.25</v>
          </cell>
          <cell r="AA376">
            <v>86.25</v>
          </cell>
          <cell r="AC376">
            <v>98.25</v>
          </cell>
          <cell r="AD376">
            <v>98.25</v>
          </cell>
          <cell r="AE376">
            <v>98.25</v>
          </cell>
          <cell r="AF376">
            <v>98.25</v>
          </cell>
          <cell r="AH376">
            <v>98.25</v>
          </cell>
          <cell r="AI376">
            <v>95.606999999999999</v>
          </cell>
          <cell r="AJ376">
            <v>95.606999999999999</v>
          </cell>
          <cell r="AK376">
            <v>5.7670000000000003</v>
          </cell>
          <cell r="AU376">
            <v>5.7670000000000003</v>
          </cell>
          <cell r="AW376">
            <v>5.6369999999999996</v>
          </cell>
          <cell r="AX376">
            <v>5.6470000000000002</v>
          </cell>
          <cell r="AY376">
            <v>355.60199999999998</v>
          </cell>
          <cell r="AZ376">
            <v>355.25900000000001</v>
          </cell>
          <cell r="BB376">
            <v>355.214</v>
          </cell>
          <cell r="BC376">
            <v>355.02</v>
          </cell>
          <cell r="BL376">
            <v>61.118000000000002</v>
          </cell>
          <cell r="BM376">
            <v>62.996000000000002</v>
          </cell>
          <cell r="BQ376" t="str">
            <v xml:space="preserve">-- </v>
          </cell>
          <cell r="BR376" t="str">
            <v xml:space="preserve">-- </v>
          </cell>
          <cell r="BS376" t="str">
            <v xml:space="preserve">-- </v>
          </cell>
          <cell r="BT376" t="str">
            <v xml:space="preserve">-- </v>
          </cell>
          <cell r="BV376" t="str">
            <v xml:space="preserve">-- </v>
          </cell>
          <cell r="BW376" t="str">
            <v xml:space="preserve">-- </v>
          </cell>
          <cell r="BX376" t="str">
            <v xml:space="preserve">-- </v>
          </cell>
          <cell r="BY376">
            <v>355.25900000000001</v>
          </cell>
          <cell r="CA376" t="str">
            <v xml:space="preserve">-- </v>
          </cell>
          <cell r="CB376" t="str">
            <v xml:space="preserve">-- </v>
          </cell>
          <cell r="CC376">
            <v>354.96499999999997</v>
          </cell>
          <cell r="CD376">
            <v>1106.27</v>
          </cell>
          <cell r="CF376">
            <v>1147.6320000000001</v>
          </cell>
          <cell r="CH376" t="str">
            <v xml:space="preserve"> --</v>
          </cell>
          <cell r="CI376" t="str">
            <v xml:space="preserve"> --</v>
          </cell>
          <cell r="CJ376" t="str">
            <v xml:space="preserve"> --</v>
          </cell>
          <cell r="CK376" t="str">
            <v xml:space="preserve"> --</v>
          </cell>
          <cell r="CM376" t="str">
            <v xml:space="preserve"> --</v>
          </cell>
          <cell r="CN376" t="str">
            <v xml:space="preserve"> --</v>
          </cell>
          <cell r="CO376" t="str">
            <v xml:space="preserve"> --</v>
          </cell>
          <cell r="CP376">
            <v>1108.973</v>
          </cell>
          <cell r="CR376" t="str">
            <v xml:space="preserve"> --</v>
          </cell>
          <cell r="CS376">
            <v>1122.9949999999999</v>
          </cell>
          <cell r="CT376">
            <v>1129.174</v>
          </cell>
          <cell r="CU376">
            <v>1135.019</v>
          </cell>
          <cell r="CZ376">
            <v>1700.6669999999999</v>
          </cell>
          <cell r="DB376">
            <v>1705.886</v>
          </cell>
          <cell r="DC376">
            <v>1715.1479999999999</v>
          </cell>
          <cell r="DD376">
            <v>1723.596</v>
          </cell>
          <cell r="DE376">
            <v>1723.596</v>
          </cell>
          <cell r="DG376">
            <v>1723.596</v>
          </cell>
          <cell r="DH376">
            <v>1723.596</v>
          </cell>
          <cell r="DI376">
            <v>1723.596</v>
          </cell>
          <cell r="DJ376">
            <v>1723.596</v>
          </cell>
          <cell r="DL376">
            <v>1723.596</v>
          </cell>
          <cell r="DM376">
            <v>1723.596</v>
          </cell>
          <cell r="DN376">
            <v>1723.596</v>
          </cell>
          <cell r="DO376">
            <v>1723.596</v>
          </cell>
          <cell r="DR376" t="str">
            <v xml:space="preserve"> -- </v>
          </cell>
          <cell r="DS376" t="str">
            <v xml:space="preserve"> -- </v>
          </cell>
          <cell r="DT376" t="str">
            <v xml:space="preserve"> -- </v>
          </cell>
          <cell r="DU376">
            <v>86.25</v>
          </cell>
          <cell r="DV376">
            <v>86.25</v>
          </cell>
          <cell r="DW376">
            <v>86.25</v>
          </cell>
          <cell r="DX376">
            <v>98.25</v>
          </cell>
          <cell r="DY376">
            <v>98.25</v>
          </cell>
          <cell r="DZ376">
            <v>5.7670000000000003</v>
          </cell>
          <cell r="EC376">
            <v>5.7670000000000003</v>
          </cell>
          <cell r="EE376">
            <v>355.25900000000001</v>
          </cell>
          <cell r="EL376">
            <v>0</v>
          </cell>
          <cell r="EM376">
            <v>355.25900000000001</v>
          </cell>
          <cell r="EN376">
            <v>1106.27</v>
          </cell>
          <cell r="EP376" t="str">
            <v xml:space="preserve"> --</v>
          </cell>
          <cell r="EQ376" t="str">
            <v xml:space="preserve"> --</v>
          </cell>
          <cell r="ER376">
            <v>1108.973</v>
          </cell>
          <cell r="ES376">
            <v>1135.019</v>
          </cell>
          <cell r="ET376">
            <v>1700.6669999999999</v>
          </cell>
          <cell r="EU376">
            <v>1723.596</v>
          </cell>
          <cell r="EV376">
            <v>1723.596</v>
          </cell>
          <cell r="EW376">
            <v>1723.596</v>
          </cell>
        </row>
        <row r="377">
          <cell r="A377" t="str">
            <v>Other</v>
          </cell>
          <cell r="B377" t="str">
            <v>ol</v>
          </cell>
          <cell r="E377" t="str">
            <v xml:space="preserve"> -- </v>
          </cell>
          <cell r="F377" t="str">
            <v xml:space="preserve"> -- </v>
          </cell>
          <cell r="G377" t="str">
            <v xml:space="preserve"> -- </v>
          </cell>
          <cell r="I377" t="str">
            <v xml:space="preserve"> -- </v>
          </cell>
          <cell r="J377" t="str">
            <v xml:space="preserve"> -- </v>
          </cell>
          <cell r="K377" t="str">
            <v xml:space="preserve"> -- </v>
          </cell>
          <cell r="L377" t="str">
            <v xml:space="preserve"> -- </v>
          </cell>
          <cell r="N377" t="str">
            <v xml:space="preserve"> -- </v>
          </cell>
          <cell r="O377" t="str">
            <v xml:space="preserve"> -- </v>
          </cell>
          <cell r="P377" t="str">
            <v xml:space="preserve"> -- </v>
          </cell>
          <cell r="Q377" t="str">
            <v xml:space="preserve"> -- </v>
          </cell>
          <cell r="S377" t="str">
            <v xml:space="preserve"> -- </v>
          </cell>
          <cell r="T377" t="str">
            <v xml:space="preserve"> -- </v>
          </cell>
          <cell r="U377" t="str">
            <v xml:space="preserve"> -- </v>
          </cell>
          <cell r="V377" t="str">
            <v xml:space="preserve"> -- </v>
          </cell>
          <cell r="X377" t="str">
            <v xml:space="preserve"> -- </v>
          </cell>
          <cell r="Y377" t="str">
            <v xml:space="preserve"> -- </v>
          </cell>
          <cell r="Z377" t="str">
            <v xml:space="preserve"> -- </v>
          </cell>
          <cell r="AA377" t="str">
            <v xml:space="preserve"> -- </v>
          </cell>
          <cell r="AC377">
            <v>0.59199999999999997</v>
          </cell>
          <cell r="AD377">
            <v>0.51400000000000001</v>
          </cell>
          <cell r="AE377">
            <v>0.25</v>
          </cell>
          <cell r="AF377">
            <v>0.55200000000000005</v>
          </cell>
          <cell r="AH377" t="str">
            <v xml:space="preserve"> -- </v>
          </cell>
          <cell r="AI377" t="str">
            <v xml:space="preserve"> -- </v>
          </cell>
          <cell r="AJ377" t="str">
            <v xml:space="preserve"> -- </v>
          </cell>
          <cell r="AK377" t="str">
            <v xml:space="preserve"> -- </v>
          </cell>
          <cell r="AU377">
            <v>25.888999999999999</v>
          </cell>
          <cell r="AW377" t="str">
            <v xml:space="preserve"> -- </v>
          </cell>
          <cell r="AX377" t="str">
            <v xml:space="preserve"> -- </v>
          </cell>
          <cell r="AY377" t="str">
            <v xml:space="preserve"> -- </v>
          </cell>
          <cell r="BQ377">
            <v>54.347000000000001</v>
          </cell>
          <cell r="BR377">
            <v>76.494</v>
          </cell>
          <cell r="BS377">
            <v>75.376000000000005</v>
          </cell>
          <cell r="BT377">
            <v>80.271000000000001</v>
          </cell>
          <cell r="BV377">
            <v>81.837000000000003</v>
          </cell>
          <cell r="BW377">
            <v>70.816999999999993</v>
          </cell>
          <cell r="BX377">
            <v>70.870999999999995</v>
          </cell>
          <cell r="BY377" t="str">
            <v xml:space="preserve"> -- </v>
          </cell>
          <cell r="CA377">
            <v>75.69</v>
          </cell>
          <cell r="CB377">
            <v>73.921999999999997</v>
          </cell>
          <cell r="CC377" t="str">
            <v xml:space="preserve"> -- </v>
          </cell>
          <cell r="CD377" t="str">
            <v xml:space="preserve"> -- </v>
          </cell>
          <cell r="CF377" t="str">
            <v xml:space="preserve"> --</v>
          </cell>
          <cell r="CH377">
            <v>88.269000000000005</v>
          </cell>
          <cell r="CI377">
            <v>86.332999999999998</v>
          </cell>
          <cell r="CJ377">
            <v>86.879000000000005</v>
          </cell>
          <cell r="CK377">
            <v>76.468999999999994</v>
          </cell>
          <cell r="CM377">
            <v>83.122</v>
          </cell>
          <cell r="CN377">
            <v>80.495999999999995</v>
          </cell>
          <cell r="CO377">
            <v>3.4340000000000002</v>
          </cell>
          <cell r="CP377" t="str">
            <v xml:space="preserve"> --</v>
          </cell>
          <cell r="CR377">
            <v>86.858000000000004</v>
          </cell>
          <cell r="CS377" t="str">
            <v xml:space="preserve"> --</v>
          </cell>
          <cell r="CT377" t="str">
            <v xml:space="preserve"> --</v>
          </cell>
          <cell r="CU377">
            <v>88.406000000000006</v>
          </cell>
          <cell r="CZ377" t="str">
            <v>--</v>
          </cell>
          <cell r="DB377" t="str">
            <v>--</v>
          </cell>
          <cell r="DC377">
            <v>198.952</v>
          </cell>
          <cell r="DD377" t="str">
            <v>--</v>
          </cell>
          <cell r="DE377" t="str">
            <v>--</v>
          </cell>
          <cell r="DG377" t="str">
            <v>--</v>
          </cell>
          <cell r="DH377" t="str">
            <v>--</v>
          </cell>
          <cell r="DI377" t="str">
            <v>--</v>
          </cell>
          <cell r="DJ377" t="str">
            <v>--</v>
          </cell>
          <cell r="DL377" t="str">
            <v>--</v>
          </cell>
          <cell r="DM377" t="str">
            <v>--</v>
          </cell>
          <cell r="DN377" t="str">
            <v>--</v>
          </cell>
          <cell r="DO377" t="str">
            <v>--</v>
          </cell>
          <cell r="DR377" t="str">
            <v xml:space="preserve"> -- </v>
          </cell>
          <cell r="DS377" t="str">
            <v xml:space="preserve"> -- </v>
          </cell>
          <cell r="DT377" t="str">
            <v xml:space="preserve"> -- </v>
          </cell>
          <cell r="DU377" t="str">
            <v xml:space="preserve"> -- </v>
          </cell>
          <cell r="DV377" t="str">
            <v xml:space="preserve"> -- </v>
          </cell>
          <cell r="DW377" t="str">
            <v xml:space="preserve"> -- </v>
          </cell>
          <cell r="DX377">
            <v>0.59199999999999997</v>
          </cell>
          <cell r="DY377">
            <v>0.55200000000000005</v>
          </cell>
          <cell r="DZ377" t="str">
            <v xml:space="preserve"> -- </v>
          </cell>
          <cell r="EC377">
            <v>25.888999999999999</v>
          </cell>
          <cell r="EL377">
            <v>80.271000000000001</v>
          </cell>
          <cell r="EM377" t="str">
            <v xml:space="preserve"> -- </v>
          </cell>
          <cell r="EN377" t="str">
            <v xml:space="preserve"> -- </v>
          </cell>
          <cell r="EP377">
            <v>88.14</v>
          </cell>
          <cell r="EQ377">
            <v>76.468999999999994</v>
          </cell>
          <cell r="ER377" t="str">
            <v xml:space="preserve"> --</v>
          </cell>
          <cell r="ES377">
            <v>88.406000000000006</v>
          </cell>
          <cell r="ET377" t="str">
            <v>--</v>
          </cell>
          <cell r="EU377" t="str">
            <v>--</v>
          </cell>
          <cell r="EV377" t="str">
            <v>--</v>
          </cell>
          <cell r="EW377" t="str">
            <v>--</v>
          </cell>
        </row>
        <row r="379">
          <cell r="A379" t="str">
            <v>Shareholders' equity</v>
          </cell>
          <cell r="B379" t="str">
            <v>oe</v>
          </cell>
          <cell r="E379">
            <v>1.1340000000000003</v>
          </cell>
          <cell r="F379">
            <v>23.602999999999998</v>
          </cell>
          <cell r="G379">
            <v>26.122999999999998</v>
          </cell>
          <cell r="I379">
            <v>49.444999999999993</v>
          </cell>
          <cell r="J379">
            <v>52.748999999999981</v>
          </cell>
          <cell r="K379">
            <v>55.61999999999999</v>
          </cell>
          <cell r="L379">
            <v>46.738</v>
          </cell>
          <cell r="N379">
            <v>50.191000000000003</v>
          </cell>
          <cell r="O379">
            <v>54.985000000000007</v>
          </cell>
          <cell r="P379">
            <v>59.666999999999987</v>
          </cell>
          <cell r="Q379">
            <v>67.181000000000026</v>
          </cell>
          <cell r="S379">
            <v>73.069000000000031</v>
          </cell>
          <cell r="T379">
            <v>84.710999999999956</v>
          </cell>
          <cell r="U379">
            <v>92.678000000000026</v>
          </cell>
          <cell r="V379">
            <v>103.58500000000001</v>
          </cell>
          <cell r="X379">
            <v>113.34700000000001</v>
          </cell>
          <cell r="Y379">
            <v>124.11199999999997</v>
          </cell>
          <cell r="Z379">
            <v>137.47200000000001</v>
          </cell>
          <cell r="AA379">
            <v>155.88299999999998</v>
          </cell>
          <cell r="AC379">
            <v>140.98799999999997</v>
          </cell>
          <cell r="AD379">
            <v>152.58000000000001</v>
          </cell>
          <cell r="AE379">
            <v>169.00600000000003</v>
          </cell>
          <cell r="AF379">
            <v>171.77700000000002</v>
          </cell>
          <cell r="AH379">
            <v>183.04400000000007</v>
          </cell>
          <cell r="AI379">
            <v>202.07900000000004</v>
          </cell>
          <cell r="AJ379">
            <v>227.51900000000006</v>
          </cell>
          <cell r="AK379">
            <v>344.09199999999998</v>
          </cell>
          <cell r="AU379">
            <v>481.98499999999996</v>
          </cell>
          <cell r="AW379">
            <v>476.69299999999998</v>
          </cell>
          <cell r="AX379">
            <v>525.23599999999988</v>
          </cell>
          <cell r="AY379">
            <v>566.48099999999988</v>
          </cell>
          <cell r="AZ379">
            <v>626.34699999999975</v>
          </cell>
          <cell r="BB379">
            <v>666.6909999999998</v>
          </cell>
          <cell r="BC379">
            <v>1260.529</v>
          </cell>
          <cell r="BL379">
            <v>1254.2999999999997</v>
          </cell>
          <cell r="BM379">
            <v>1858.9460000000004</v>
          </cell>
          <cell r="BQ379">
            <v>571.80899999999986</v>
          </cell>
          <cell r="BR379">
            <v>543.755</v>
          </cell>
          <cell r="BS379">
            <v>565.93299999999999</v>
          </cell>
          <cell r="BT379">
            <v>688.39700000000005</v>
          </cell>
          <cell r="BV379">
            <v>697.8209999999998</v>
          </cell>
          <cell r="BW379">
            <v>743.0390000000001</v>
          </cell>
          <cell r="BX379">
            <v>793.96799999999985</v>
          </cell>
          <cell r="BY379">
            <v>864.09400000000005</v>
          </cell>
          <cell r="CA379">
            <v>905.00500000000011</v>
          </cell>
          <cell r="CB379">
            <v>1514.0540000000001</v>
          </cell>
          <cell r="CC379">
            <v>1540.1260000000002</v>
          </cell>
          <cell r="CD379">
            <v>1701.482</v>
          </cell>
          <cell r="CF379">
            <v>1825.1189999999997</v>
          </cell>
          <cell r="CH379">
            <v>732.52300000000002</v>
          </cell>
          <cell r="CI379">
            <v>763.30200000000002</v>
          </cell>
          <cell r="CJ379">
            <v>814.88199999999983</v>
          </cell>
          <cell r="CK379">
            <v>886.45600000000013</v>
          </cell>
          <cell r="CM379">
            <v>930.08499999999958</v>
          </cell>
          <cell r="CN379">
            <v>1541.6129999999998</v>
          </cell>
          <cell r="CO379">
            <v>1571.0839999999998</v>
          </cell>
          <cell r="CP379">
            <v>1758.7930000000001</v>
          </cell>
          <cell r="CR379">
            <v>1882.431</v>
          </cell>
          <cell r="CS379">
            <v>1971.2670000000001</v>
          </cell>
          <cell r="CT379">
            <v>2005.8580000000002</v>
          </cell>
          <cell r="CU379">
            <v>1840.9799999999998</v>
          </cell>
          <cell r="CZ379">
            <v>6201.2950000000001</v>
          </cell>
          <cell r="DB379">
            <v>6102.9419999999991</v>
          </cell>
          <cell r="DC379">
            <v>6082.2400000000007</v>
          </cell>
          <cell r="DD379">
            <v>6047.4090000000015</v>
          </cell>
          <cell r="DE379">
            <v>5917.6753309360693</v>
          </cell>
          <cell r="DG379">
            <v>6280.0711712029688</v>
          </cell>
          <cell r="DH379">
            <v>6352.9725230073418</v>
          </cell>
          <cell r="DI379">
            <v>6438.6180321699412</v>
          </cell>
          <cell r="DJ379">
            <v>6537.1985682266532</v>
          </cell>
          <cell r="DL379">
            <v>6651.122698209937</v>
          </cell>
          <cell r="DM379">
            <v>6760.2330875737043</v>
          </cell>
          <cell r="DN379">
            <v>6526.8960736173303</v>
          </cell>
          <cell r="DO379">
            <v>6651.4402378870955</v>
          </cell>
          <cell r="DR379">
            <v>8.5999999999998522E-2</v>
          </cell>
          <cell r="DS379">
            <v>26.122999999999998</v>
          </cell>
          <cell r="DT379">
            <v>46.738</v>
          </cell>
          <cell r="DU379">
            <v>67.181000000000026</v>
          </cell>
          <cell r="DV379">
            <v>103.58500000000001</v>
          </cell>
          <cell r="DW379">
            <v>155.88299999999998</v>
          </cell>
          <cell r="DX379">
            <v>128.23699999999999</v>
          </cell>
          <cell r="DY379">
            <v>171.77700000000002</v>
          </cell>
          <cell r="DZ379">
            <v>344.09199999999998</v>
          </cell>
          <cell r="EC379">
            <v>481.98499999999996</v>
          </cell>
          <cell r="EE379">
            <v>626.34699999999975</v>
          </cell>
          <cell r="EL379">
            <v>688.39700000000005</v>
          </cell>
          <cell r="EM379">
            <v>864.09400000000005</v>
          </cell>
          <cell r="EN379">
            <v>1701.4819999999995</v>
          </cell>
          <cell r="EP379">
            <v>726.8850000000001</v>
          </cell>
          <cell r="EQ379">
            <v>886.47599999999989</v>
          </cell>
          <cell r="ER379">
            <v>1758.7930000000001</v>
          </cell>
          <cell r="ES379">
            <v>1840.9799999999998</v>
          </cell>
          <cell r="ET379">
            <v>6201.2950000000001</v>
          </cell>
          <cell r="EU379">
            <v>5917.6753309360693</v>
          </cell>
          <cell r="EV379">
            <v>6537.1985682266532</v>
          </cell>
          <cell r="EW379">
            <v>6651.4402378870955</v>
          </cell>
        </row>
        <row r="380">
          <cell r="A380" t="str">
            <v>Common Stock</v>
          </cell>
          <cell r="CU380">
            <v>3.2240000000000002</v>
          </cell>
          <cell r="CZ380" t="str">
            <v>--</v>
          </cell>
          <cell r="DB380" t="str">
            <v>--</v>
          </cell>
          <cell r="ES380">
            <v>3.2240000000000002</v>
          </cell>
          <cell r="ET380" t="str">
            <v>--</v>
          </cell>
        </row>
        <row r="381">
          <cell r="A381" t="str">
            <v>Treasury Stock</v>
          </cell>
          <cell r="CU381">
            <v>-45.892000000000003</v>
          </cell>
          <cell r="CZ381" t="str">
            <v>--</v>
          </cell>
          <cell r="DB381" t="str">
            <v>--</v>
          </cell>
          <cell r="ES381">
            <v>-45.892000000000003</v>
          </cell>
          <cell r="ET381" t="str">
            <v>--</v>
          </cell>
        </row>
        <row r="382">
          <cell r="A382" t="str">
            <v>Additional Paid-In Capital</v>
          </cell>
          <cell r="CU382">
            <v>1265.9649999999999</v>
          </cell>
          <cell r="CZ382" t="str">
            <v>--</v>
          </cell>
          <cell r="DB382" t="str">
            <v>--</v>
          </cell>
          <cell r="ES382">
            <v>1265.9649999999999</v>
          </cell>
          <cell r="ET382" t="str">
            <v>--</v>
          </cell>
        </row>
        <row r="383">
          <cell r="A383" t="str">
            <v>Accum Other Comprehensive (Loss)</v>
          </cell>
          <cell r="CU383">
            <v>-13.696</v>
          </cell>
          <cell r="CZ383" t="str">
            <v>--</v>
          </cell>
          <cell r="DB383" t="str">
            <v>--</v>
          </cell>
          <cell r="ES383">
            <v>-13.696</v>
          </cell>
          <cell r="ET383" t="str">
            <v>--</v>
          </cell>
        </row>
        <row r="384">
          <cell r="A384" t="str">
            <v>Retained Earnings</v>
          </cell>
          <cell r="CU384">
            <v>631.37900000000002</v>
          </cell>
          <cell r="CZ384" t="str">
            <v>--</v>
          </cell>
          <cell r="DB384" t="str">
            <v>--</v>
          </cell>
          <cell r="ES384">
            <v>631.37900000000002</v>
          </cell>
          <cell r="ET384" t="str">
            <v>--</v>
          </cell>
        </row>
        <row r="386">
          <cell r="A386" t="str">
            <v>Balance Sheet Statistics</v>
          </cell>
        </row>
        <row r="387">
          <cell r="A387" t="str">
            <v xml:space="preserve"> </v>
          </cell>
        </row>
        <row r="388">
          <cell r="A388" t="str">
            <v>Book value per share</v>
          </cell>
          <cell r="B388" t="str">
            <v>bvps</v>
          </cell>
          <cell r="E388">
            <v>1.5869905956112856E-2</v>
          </cell>
          <cell r="F388">
            <v>0.21548166812737363</v>
          </cell>
          <cell r="G388">
            <v>0.22940670226218909</v>
          </cell>
          <cell r="I388">
            <v>0.401547882016632</v>
          </cell>
          <cell r="J388">
            <v>0.40357601909658447</v>
          </cell>
          <cell r="K388">
            <v>0.4248655585431434</v>
          </cell>
          <cell r="L388">
            <v>0.367437106918239</v>
          </cell>
          <cell r="M388" t="str">
            <v xml:space="preserve"> </v>
          </cell>
          <cell r="N388">
            <v>0.37876569669162041</v>
          </cell>
          <cell r="O388">
            <v>0.41255252100840339</v>
          </cell>
          <cell r="P388">
            <v>0.44116733704010402</v>
          </cell>
          <cell r="Q388">
            <v>0.49045818245532086</v>
          </cell>
          <cell r="S388">
            <v>0.44926832267584871</v>
          </cell>
          <cell r="T388">
            <v>0.51322581426909619</v>
          </cell>
          <cell r="U388">
            <v>0.5572270322270324</v>
          </cell>
          <cell r="V388">
            <v>0.61754781323031438</v>
          </cell>
          <cell r="X388">
            <v>0.66518192488262917</v>
          </cell>
          <cell r="Y388">
            <v>0.72934981900239737</v>
          </cell>
          <cell r="Z388">
            <v>0.79751241472130696</v>
          </cell>
          <cell r="AA388">
            <v>0.89325089392133483</v>
          </cell>
          <cell r="AC388">
            <v>0.72420382165605079</v>
          </cell>
          <cell r="AD388">
            <v>0.77530487804878045</v>
          </cell>
          <cell r="AE388">
            <v>0.85619477993029114</v>
          </cell>
          <cell r="AF388">
            <v>1.0494684750733139</v>
          </cell>
          <cell r="AH388">
            <v>0.91110181977461913</v>
          </cell>
          <cell r="AI388">
            <v>1.0078552048836933</v>
          </cell>
          <cell r="AJ388">
            <v>1.1212914227137425</v>
          </cell>
          <cell r="AK388">
            <v>1.7000592885375492</v>
          </cell>
          <cell r="AU388">
            <v>2.0498485956824251</v>
          </cell>
          <cell r="AW388">
            <v>2.0769126873475079</v>
          </cell>
          <cell r="AX388">
            <v>2.1263238008873917</v>
          </cell>
          <cell r="AY388">
            <v>2.2898483354083461</v>
          </cell>
          <cell r="AZ388">
            <v>2.5131889384649946</v>
          </cell>
          <cell r="BB388">
            <v>2.6573251809572391</v>
          </cell>
          <cell r="BC388">
            <v>4.7783872508510301</v>
          </cell>
          <cell r="BD388" t="str">
            <v xml:space="preserve">-- </v>
          </cell>
          <cell r="BE388" t="str">
            <v xml:space="preserve">-- </v>
          </cell>
          <cell r="BG388" t="str">
            <v xml:space="preserve">-- </v>
          </cell>
          <cell r="BH388" t="str">
            <v xml:space="preserve">-- </v>
          </cell>
          <cell r="BI388" t="str">
            <v xml:space="preserve">-- </v>
          </cell>
          <cell r="BJ388" t="str">
            <v xml:space="preserve">-- </v>
          </cell>
          <cell r="BL388">
            <v>4.3290237521657184</v>
          </cell>
          <cell r="BM388">
            <v>5.8288787156653719</v>
          </cell>
          <cell r="BQ388">
            <v>2.0783078667694048</v>
          </cell>
          <cell r="BR388">
            <v>1.9856088048844613</v>
          </cell>
          <cell r="BS388">
            <v>2.0459896025393518</v>
          </cell>
          <cell r="BT388">
            <v>2.6159075536369785</v>
          </cell>
          <cell r="BV388">
            <v>2.4475500683946541</v>
          </cell>
          <cell r="BW388">
            <v>2.5683320198542732</v>
          </cell>
          <cell r="BX388">
            <v>2.7386139433491077</v>
          </cell>
          <cell r="BY388">
            <v>2.9545715653422695</v>
          </cell>
          <cell r="CA388">
            <v>3.0808471091260659</v>
          </cell>
          <cell r="CB388">
            <v>4.6884897655838724</v>
          </cell>
          <cell r="CC388">
            <v>4.6096099511541047</v>
          </cell>
          <cell r="CD388">
            <v>5.050676498002268</v>
          </cell>
          <cell r="CF388">
            <v>5.4024775774797966</v>
          </cell>
          <cell r="CH388">
            <v>2.4716836614186515</v>
          </cell>
          <cell r="CI388">
            <v>2.5395740660028014</v>
          </cell>
          <cell r="CJ388">
            <v>2.7057030534046982</v>
          </cell>
          <cell r="CK388">
            <v>2.9187099748119132</v>
          </cell>
          <cell r="CM388">
            <v>3.049379032681109</v>
          </cell>
          <cell r="CN388">
            <v>4.6130526504780285</v>
          </cell>
          <cell r="CO388">
            <v>4.5478292585495188</v>
          </cell>
          <cell r="CP388">
            <v>5.0443200982023013</v>
          </cell>
          <cell r="CR388">
            <v>5.5721250333007726</v>
          </cell>
          <cell r="CS388">
            <v>5.645708868662684</v>
          </cell>
          <cell r="CT388">
            <v>6.0220061965606684</v>
          </cell>
          <cell r="CU388">
            <v>5.5844640403323407</v>
          </cell>
          <cell r="CZ388" t="str">
            <v>--</v>
          </cell>
          <cell r="DB388">
            <v>11.447079963387001</v>
          </cell>
          <cell r="DC388">
            <v>11.474712105890699</v>
          </cell>
          <cell r="DD388">
            <v>11.505155757135304</v>
          </cell>
          <cell r="DE388">
            <v>11.380144867184748</v>
          </cell>
          <cell r="DG388">
            <v>12.030787684296875</v>
          </cell>
          <cell r="DH388">
            <v>12.123993364517828</v>
          </cell>
          <cell r="DI388">
            <v>12.240718692338291</v>
          </cell>
          <cell r="DJ388">
            <v>12.381057894368661</v>
          </cell>
          <cell r="DL388">
            <v>12.549288109830069</v>
          </cell>
          <cell r="DM388">
            <v>12.707205051830272</v>
          </cell>
          <cell r="DN388">
            <v>12.222651823253427</v>
          </cell>
          <cell r="DO388">
            <v>12.409403428893835</v>
          </cell>
          <cell r="DR388">
            <v>1.2035378414688553E-3</v>
          </cell>
          <cell r="DS388">
            <v>0.2852354122990915</v>
          </cell>
          <cell r="DT388">
            <v>0.37721138946280991</v>
          </cell>
          <cell r="DU388">
            <v>0.49947213465770546</v>
          </cell>
          <cell r="DV388">
            <v>0.62214707860849516</v>
          </cell>
          <cell r="DW388">
            <v>0.90701368523949166</v>
          </cell>
          <cell r="DX388">
            <v>0.66890439826406278</v>
          </cell>
          <cell r="DY388">
            <v>0.86885950714199012</v>
          </cell>
          <cell r="DZ388">
            <v>1.7061369800524595</v>
          </cell>
          <cell r="EB388" t="str">
            <v xml:space="preserve"> -- </v>
          </cell>
          <cell r="EC388">
            <v>2.0563552741607931</v>
          </cell>
          <cell r="EE388">
            <v>2.539436768187862</v>
          </cell>
          <cell r="EL388">
            <v>2.7165559098371008</v>
          </cell>
          <cell r="EM388">
            <v>2.9891999225106551</v>
          </cell>
          <cell r="EN388">
            <v>5.4873063378010531</v>
          </cell>
          <cell r="EP388">
            <v>2.5382898927254445</v>
          </cell>
          <cell r="EQ388">
            <v>2.9516928158546656</v>
          </cell>
          <cell r="ER388">
            <v>5.2135556543649031</v>
          </cell>
          <cell r="ES388">
            <v>5.2848875262668358</v>
          </cell>
          <cell r="ET388" t="str">
            <v>--</v>
          </cell>
          <cell r="EU388">
            <v>11.224587198632925</v>
          </cell>
          <cell r="EV388">
            <v>12.451806796622197</v>
          </cell>
          <cell r="EW388">
            <v>12.479249977274101</v>
          </cell>
        </row>
        <row r="389">
          <cell r="A389" t="str">
            <v>Tangible Book value per share</v>
          </cell>
          <cell r="B389" t="str">
            <v>tbvps</v>
          </cell>
          <cell r="CP389">
            <v>4.0490523936810954</v>
          </cell>
          <cell r="CR389" t="str">
            <v>NA</v>
          </cell>
          <cell r="CS389">
            <v>4.6955023742560762</v>
          </cell>
          <cell r="CT389">
            <v>5.0493683350946297</v>
          </cell>
          <cell r="CU389">
            <v>4.691434534263986</v>
          </cell>
          <cell r="CZ389" t="str">
            <v>--</v>
          </cell>
          <cell r="DB389">
            <v>3.0046066353555494</v>
          </cell>
          <cell r="DC389">
            <v>2.5493287501697939</v>
          </cell>
          <cell r="DD389">
            <v>2.3905267243249022</v>
          </cell>
          <cell r="DE389">
            <v>2.1693948671847485</v>
          </cell>
          <cell r="DG389">
            <v>2.8578106728026227</v>
          </cell>
          <cell r="DH389">
            <v>2.9885009981056148</v>
          </cell>
          <cell r="DI389">
            <v>3.1424259166728934</v>
          </cell>
          <cell r="DJ389">
            <v>3.3196828943686629</v>
          </cell>
          <cell r="DL389">
            <v>3.5245522607734685</v>
          </cell>
          <cell r="DM389">
            <v>3.7188328713791465</v>
          </cell>
          <cell r="DN389">
            <v>3.2703709243770263</v>
          </cell>
          <cell r="DO389">
            <v>3.492944473669958</v>
          </cell>
          <cell r="EP389" t="str">
            <v>--</v>
          </cell>
          <cell r="EQ389">
            <v>2.1830831624090989</v>
          </cell>
          <cell r="ER389">
            <v>4.1848969912553731</v>
          </cell>
          <cell r="ES389">
            <v>4.4397642587297756</v>
          </cell>
          <cell r="ET389" t="str">
            <v>--</v>
          </cell>
          <cell r="EU389">
            <v>2.1397409382017654</v>
          </cell>
          <cell r="EV389">
            <v>3.3386525109079126</v>
          </cell>
          <cell r="EW389">
            <v>3.5126045738969935</v>
          </cell>
        </row>
        <row r="390">
          <cell r="A390" t="str">
            <v>Total debt/equity</v>
          </cell>
          <cell r="B390" t="str">
            <v>d/e</v>
          </cell>
          <cell r="E390" t="str">
            <v>NM</v>
          </cell>
          <cell r="F390">
            <v>0.21768419268737027</v>
          </cell>
          <cell r="G390">
            <v>0.16988860391226124</v>
          </cell>
          <cell r="I390">
            <v>0</v>
          </cell>
          <cell r="J390">
            <v>0</v>
          </cell>
          <cell r="K390">
            <v>0</v>
          </cell>
          <cell r="L390">
            <v>0</v>
          </cell>
          <cell r="M390" t="str">
            <v xml:space="preserve"> </v>
          </cell>
          <cell r="N390">
            <v>0</v>
          </cell>
          <cell r="O390">
            <v>0</v>
          </cell>
          <cell r="P390">
            <v>1.8569728660733746E-2</v>
          </cell>
          <cell r="Q390">
            <v>1.2995638647831971</v>
          </cell>
          <cell r="S390">
            <v>1.1933925467708599</v>
          </cell>
          <cell r="T390">
            <v>1.0291933751224758</v>
          </cell>
          <cell r="U390">
            <v>0.93709402447182688</v>
          </cell>
          <cell r="V390">
            <v>0.83933001882511937</v>
          </cell>
          <cell r="X390">
            <v>0.76616055122764604</v>
          </cell>
          <cell r="Y390">
            <v>0.69907825190150852</v>
          </cell>
          <cell r="Z390">
            <v>0.62921904096834258</v>
          </cell>
          <cell r="AA390">
            <v>0.55684070745366732</v>
          </cell>
          <cell r="AC390">
            <v>0.76211450619910925</v>
          </cell>
          <cell r="AD390">
            <v>0.75272643858959232</v>
          </cell>
          <cell r="AE390">
            <v>0.68589280853934165</v>
          </cell>
          <cell r="AF390">
            <v>0.68210528766947842</v>
          </cell>
          <cell r="AH390">
            <v>0.55637442363584688</v>
          </cell>
          <cell r="AI390">
            <v>0.48989751532816367</v>
          </cell>
          <cell r="AJ390">
            <v>0.43322975224047211</v>
          </cell>
          <cell r="AK390">
            <v>2.511537612033991E-2</v>
          </cell>
          <cell r="AU390">
            <v>1.196510264842267E-2</v>
          </cell>
          <cell r="AW390">
            <v>5.2408992789908813E-2</v>
          </cell>
          <cell r="AX390">
            <v>3.9466068586311687E-2</v>
          </cell>
          <cell r="AY390">
            <v>0.6498452728335109</v>
          </cell>
          <cell r="AZ390">
            <v>0.57153622512760527</v>
          </cell>
          <cell r="BB390">
            <v>0.53681540623767243</v>
          </cell>
          <cell r="BC390">
            <v>0.28342783069647742</v>
          </cell>
          <cell r="BD390" t="str">
            <v xml:space="preserve">-- </v>
          </cell>
          <cell r="BE390" t="str">
            <v xml:space="preserve">-- </v>
          </cell>
          <cell r="BG390" t="str">
            <v xml:space="preserve">-- </v>
          </cell>
          <cell r="BH390" t="str">
            <v xml:space="preserve">-- </v>
          </cell>
          <cell r="BI390" t="str">
            <v xml:space="preserve">-- </v>
          </cell>
          <cell r="BJ390" t="str">
            <v xml:space="preserve">-- </v>
          </cell>
          <cell r="BL390">
            <v>0.28022163756677032</v>
          </cell>
          <cell r="BM390">
            <v>0.18428399749105132</v>
          </cell>
          <cell r="BQ390">
            <v>0.40739827459868605</v>
          </cell>
          <cell r="BR390">
            <v>0.8811045415674339</v>
          </cell>
          <cell r="BS390">
            <v>0.86587634932050261</v>
          </cell>
          <cell r="BT390">
            <v>0.58410190631278169</v>
          </cell>
          <cell r="BV390">
            <v>0.57716233819274587</v>
          </cell>
          <cell r="BW390">
            <v>0.50427366531231865</v>
          </cell>
          <cell r="BX390">
            <v>0.88959126816194123</v>
          </cell>
          <cell r="BY390">
            <v>0.84431091987677276</v>
          </cell>
          <cell r="CA390">
            <v>0.74095281241540101</v>
          </cell>
          <cell r="CB390">
            <v>0.4359824682607093</v>
          </cell>
          <cell r="CC390">
            <v>0.42918241754246067</v>
          </cell>
          <cell r="CD390">
            <v>0.72195474298288198</v>
          </cell>
          <cell r="CF390">
            <v>0.67400427040647781</v>
          </cell>
          <cell r="CH390">
            <v>0.59700514523093473</v>
          </cell>
          <cell r="CI390">
            <v>0.53668403855878799</v>
          </cell>
          <cell r="CJ390">
            <v>0.90914144624620508</v>
          </cell>
          <cell r="CK390">
            <v>0.78558439448771267</v>
          </cell>
          <cell r="CM390">
            <v>0.76952321562007808</v>
          </cell>
          <cell r="CN390">
            <v>0.45927674455262124</v>
          </cell>
          <cell r="CO390">
            <v>0.45020317182276703</v>
          </cell>
          <cell r="CP390">
            <v>0.73156249769017723</v>
          </cell>
          <cell r="CR390">
            <v>0.63983965414934196</v>
          </cell>
          <cell r="CS390">
            <v>0.65608514726822897</v>
          </cell>
          <cell r="CT390">
            <v>0.64306097440596477</v>
          </cell>
          <cell r="CU390">
            <v>0.66193440450195007</v>
          </cell>
          <cell r="CZ390" t="str">
            <v>--</v>
          </cell>
          <cell r="DB390">
            <v>0.37369616162172276</v>
          </cell>
          <cell r="DC390">
            <v>0.35061556268743088</v>
          </cell>
          <cell r="DD390">
            <v>0.39155347356198322</v>
          </cell>
          <cell r="DE390">
            <v>0.40013753164546179</v>
          </cell>
          <cell r="DG390">
            <v>0.37704731928164181</v>
          </cell>
          <cell r="DH390">
            <v>0.37272064241182984</v>
          </cell>
          <cell r="DI390">
            <v>0.36776276961439447</v>
          </cell>
          <cell r="DJ390">
            <v>0.36221693058381982</v>
          </cell>
          <cell r="DL390">
            <v>0.35601267747432852</v>
          </cell>
          <cell r="DM390">
            <v>0.3502666208880455</v>
          </cell>
          <cell r="DN390">
            <v>0.36278867830779993</v>
          </cell>
          <cell r="DO390">
            <v>0.35599568143337706</v>
          </cell>
          <cell r="DR390" t="str">
            <v>NM</v>
          </cell>
          <cell r="DS390">
            <v>0.16988860391226124</v>
          </cell>
          <cell r="DT390">
            <v>0</v>
          </cell>
          <cell r="DU390">
            <v>1.2995638647831971</v>
          </cell>
          <cell r="DV390">
            <v>0.83933001882511937</v>
          </cell>
          <cell r="DW390">
            <v>0.55684070745366732</v>
          </cell>
          <cell r="DX390">
            <v>0.78524918705209878</v>
          </cell>
          <cell r="DY390">
            <v>0.6309459357189845</v>
          </cell>
          <cell r="DZ390">
            <v>2.511537612033991E-2</v>
          </cell>
          <cell r="EB390" t="str">
            <v xml:space="preserve"> -- </v>
          </cell>
          <cell r="EC390">
            <v>2.4133531126487345E-2</v>
          </cell>
          <cell r="EE390">
            <v>0.56967623378095555</v>
          </cell>
          <cell r="EL390">
            <v>1.4878042757304288E-2</v>
          </cell>
          <cell r="EM390">
            <v>0.41113466821896694</v>
          </cell>
          <cell r="EN390">
            <v>0.7219547429828822</v>
          </cell>
          <cell r="EP390">
            <v>0.59759384221713197</v>
          </cell>
          <cell r="EQ390">
            <v>0.78556667072769037</v>
          </cell>
          <cell r="ER390">
            <v>0.73156249769017723</v>
          </cell>
          <cell r="ES390">
            <v>0.66193440450195007</v>
          </cell>
          <cell r="ET390" t="str">
            <v>--</v>
          </cell>
          <cell r="EU390">
            <v>0.40013753164546179</v>
          </cell>
          <cell r="EV390">
            <v>0.36221693058381982</v>
          </cell>
          <cell r="EW390">
            <v>0.35599568143337706</v>
          </cell>
        </row>
        <row r="391">
          <cell r="A391" t="str">
            <v>Debt-to-capital</v>
          </cell>
          <cell r="B391" t="str">
            <v>d/cap</v>
          </cell>
          <cell r="I391">
            <v>0</v>
          </cell>
          <cell r="J391">
            <v>0</v>
          </cell>
          <cell r="K391">
            <v>0</v>
          </cell>
          <cell r="L391">
            <v>0</v>
          </cell>
          <cell r="M391" t="str">
            <v xml:space="preserve"> </v>
          </cell>
          <cell r="N391">
            <v>0</v>
          </cell>
          <cell r="O391">
            <v>0</v>
          </cell>
          <cell r="P391">
            <v>1.8231180584121768E-2</v>
          </cell>
          <cell r="Q391">
            <v>0.56513493044722196</v>
          </cell>
          <cell r="S391">
            <v>0.5440852566622365</v>
          </cell>
          <cell r="T391">
            <v>0.50719334477442635</v>
          </cell>
          <cell r="U391">
            <v>0.48376279758920709</v>
          </cell>
          <cell r="V391">
            <v>0.45632377563284993</v>
          </cell>
          <cell r="X391">
            <v>0.43380005894429757</v>
          </cell>
          <cell r="Y391">
            <v>0.41144558887687555</v>
          </cell>
          <cell r="Z391">
            <v>0.38620899040951545</v>
          </cell>
          <cell r="AA391">
            <v>0.35767352741207742</v>
          </cell>
          <cell r="AC391">
            <v>0.43249998993708666</v>
          </cell>
          <cell r="AD391">
            <v>0.42946030938821594</v>
          </cell>
          <cell r="AE391">
            <v>0.40684247839789972</v>
          </cell>
          <cell r="AF391">
            <v>0.40550689226744008</v>
          </cell>
          <cell r="AH391">
            <v>0.3574810888604173</v>
          </cell>
          <cell r="AI391">
            <v>0.32881289504013916</v>
          </cell>
          <cell r="AJ391">
            <v>0.30227515969664531</v>
          </cell>
          <cell r="AK391">
            <v>2.4500048194957106E-2</v>
          </cell>
          <cell r="AU391">
            <v>1.1823631681674295E-2</v>
          </cell>
          <cell r="AW391">
            <v>4.97990735056092E-2</v>
          </cell>
          <cell r="AX391">
            <v>3.7967635287976337E-2</v>
          </cell>
          <cell r="AY391">
            <v>0.39388255585776255</v>
          </cell>
          <cell r="AZ391">
            <v>0.36367995594959818</v>
          </cell>
          <cell r="BB391">
            <v>0.34930376417286685</v>
          </cell>
          <cell r="BC391">
            <v>0.22083659393818017</v>
          </cell>
          <cell r="BD391" t="str">
            <v xml:space="preserve">-- </v>
          </cell>
          <cell r="BE391" t="str">
            <v xml:space="preserve">-- </v>
          </cell>
          <cell r="BG391" t="str">
            <v xml:space="preserve">-- </v>
          </cell>
          <cell r="BH391" t="str">
            <v xml:space="preserve">-- </v>
          </cell>
          <cell r="BI391" t="str">
            <v xml:space="preserve">-- </v>
          </cell>
          <cell r="BJ391" t="str">
            <v xml:space="preserve">-- </v>
          </cell>
          <cell r="BL391">
            <v>0.21888525341546988</v>
          </cell>
          <cell r="BM391">
            <v>0.1556079436026018</v>
          </cell>
          <cell r="BQ391">
            <v>0.28946907350362783</v>
          </cell>
          <cell r="BR391">
            <v>0.46839743464403732</v>
          </cell>
          <cell r="BS391">
            <v>0.46405880520208609</v>
          </cell>
          <cell r="BT391">
            <v>0.36872748147394158</v>
          </cell>
          <cell r="BV391">
            <v>0.36594986084572007</v>
          </cell>
          <cell r="BW391">
            <v>0.33522734389398545</v>
          </cell>
          <cell r="BX391">
            <v>0.47078502274583001</v>
          </cell>
          <cell r="BY391">
            <v>0.45779207333066441</v>
          </cell>
          <cell r="CA391">
            <v>0.42560189290104983</v>
          </cell>
          <cell r="CB391">
            <v>0.30361266791006158</v>
          </cell>
          <cell r="CC391">
            <v>0.30029925660606566</v>
          </cell>
          <cell r="CD391">
            <v>0.41926464439609201</v>
          </cell>
          <cell r="CF391">
            <v>0.40262995878906432</v>
          </cell>
          <cell r="CH391">
            <v>0.373827941014307</v>
          </cell>
          <cell r="CI391">
            <v>0.34924813760812445</v>
          </cell>
          <cell r="CJ391">
            <v>0.47620434202702921</v>
          </cell>
          <cell r="CK391">
            <v>0.43995926314818529</v>
          </cell>
          <cell r="CM391">
            <v>0.43487602130748026</v>
          </cell>
          <cell r="CN391">
            <v>0.31472902331039637</v>
          </cell>
          <cell r="CO391">
            <v>0.31044144749518415</v>
          </cell>
          <cell r="CP391">
            <v>0.42248691494880902</v>
          </cell>
          <cell r="CR391">
            <v>0.39018427962168978</v>
          </cell>
          <cell r="CS391">
            <v>0.39616631327831459</v>
          </cell>
          <cell r="CT391">
            <v>0.39137986016523713</v>
          </cell>
          <cell r="CU391">
            <v>0.39829153467721801</v>
          </cell>
          <cell r="CZ391" t="str">
            <v>--</v>
          </cell>
          <cell r="DB391">
            <v>0.27203698464189791</v>
          </cell>
          <cell r="DC391">
            <v>0.25959686262594389</v>
          </cell>
          <cell r="DD391">
            <v>0.28137867570386432</v>
          </cell>
          <cell r="DE391">
            <v>0.2857844480286264</v>
          </cell>
          <cell r="DG391">
            <v>0.27380854238061658</v>
          </cell>
          <cell r="DH391">
            <v>0.27151966022523755</v>
          </cell>
          <cell r="DI391">
            <v>0.26887906132879735</v>
          </cell>
          <cell r="DJ391">
            <v>0.26590253171246425</v>
          </cell>
          <cell r="DL391">
            <v>0.26254376775992078</v>
          </cell>
          <cell r="DM391">
            <v>0.25940552441241688</v>
          </cell>
          <cell r="DN391">
            <v>0.26621051677526508</v>
          </cell>
          <cell r="DO391">
            <v>0.26253452448835679</v>
          </cell>
          <cell r="DR391" t="str">
            <v>NM</v>
          </cell>
          <cell r="DS391">
            <v>0.14521776119891366</v>
          </cell>
          <cell r="DT391">
            <v>0</v>
          </cell>
          <cell r="DU391">
            <v>0.56513493044722196</v>
          </cell>
          <cell r="DV391">
            <v>0.45632377563284993</v>
          </cell>
          <cell r="DW391">
            <v>0.35767352741207742</v>
          </cell>
          <cell r="DX391">
            <v>0.43985410706095612</v>
          </cell>
          <cell r="DY391">
            <v>0.38685889084412783</v>
          </cell>
          <cell r="DZ391">
            <v>2.4500048194957106E-2</v>
          </cell>
          <cell r="EB391" t="str">
            <v xml:space="preserve"> -- </v>
          </cell>
          <cell r="EC391">
            <v>2.3564828601932271E-2</v>
          </cell>
          <cell r="EE391">
            <v>0.36292594709722309</v>
          </cell>
          <cell r="EL391">
            <v>1.46599316671414E-2</v>
          </cell>
          <cell r="EM391">
            <v>0.2913504128828977</v>
          </cell>
          <cell r="EN391">
            <v>0.41926464439609207</v>
          </cell>
          <cell r="EP391">
            <v>0.37405867901180345</v>
          </cell>
          <cell r="EQ391">
            <v>0.43995370411318235</v>
          </cell>
          <cell r="ER391">
            <v>0.42248691494880902</v>
          </cell>
          <cell r="ES391">
            <v>0.39829153467721801</v>
          </cell>
          <cell r="ET391" t="str">
            <v>--</v>
          </cell>
          <cell r="EU391">
            <v>0.2857844480286264</v>
          </cell>
          <cell r="EV391">
            <v>0.26590253171246425</v>
          </cell>
          <cell r="EW391">
            <v>0.26253452448835679</v>
          </cell>
        </row>
        <row r="392">
          <cell r="A392" t="str">
            <v>Net Debt-to-capital</v>
          </cell>
          <cell r="I392">
            <v>-0.57789762573398029</v>
          </cell>
          <cell r="J392">
            <v>-0.5890646181653868</v>
          </cell>
          <cell r="K392">
            <v>-0.64483217507023527</v>
          </cell>
          <cell r="L392">
            <v>-1.2375526618153965</v>
          </cell>
          <cell r="N392">
            <v>-0.90427590393443857</v>
          </cell>
          <cell r="O392">
            <v>-1.0206159047479053</v>
          </cell>
          <cell r="P392">
            <v>-0.91707364092019061</v>
          </cell>
          <cell r="Q392">
            <v>-0.6637196631996034</v>
          </cell>
          <cell r="S392">
            <v>-0.51907444751668341</v>
          </cell>
          <cell r="T392">
            <v>-0.27398372761042539</v>
          </cell>
          <cell r="U392">
            <v>-0.30989936680235186</v>
          </cell>
          <cell r="V392">
            <v>-0.37044387113845345</v>
          </cell>
          <cell r="X392">
            <v>-5.5588668069809527E-2</v>
          </cell>
          <cell r="Y392">
            <v>-9.8248812041518918E-2</v>
          </cell>
          <cell r="Z392">
            <v>-0.13459443399029419</v>
          </cell>
          <cell r="AA392">
            <v>-0.29434378995964594</v>
          </cell>
          <cell r="AC392">
            <v>5.5052881328668521E-2</v>
          </cell>
          <cell r="AD392">
            <v>4.8302188069159938E-2</v>
          </cell>
          <cell r="AE392">
            <v>3.721680082488784E-2</v>
          </cell>
          <cell r="AF392">
            <v>-9.4051334309916551E-2</v>
          </cell>
          <cell r="AH392">
            <v>-0.18037311459764119</v>
          </cell>
          <cell r="AI392">
            <v>-0.11356084443244366</v>
          </cell>
          <cell r="AJ392">
            <v>-0.18990314212794435</v>
          </cell>
          <cell r="AK392">
            <v>-0.71949708163428505</v>
          </cell>
          <cell r="AU392">
            <v>-0.573838849559834</v>
          </cell>
          <cell r="AW392">
            <v>-0.28174634117485725</v>
          </cell>
          <cell r="AX392">
            <v>-0.26278688445763038</v>
          </cell>
          <cell r="AY392">
            <v>-0.2542088809380425</v>
          </cell>
          <cell r="AZ392">
            <v>-0.18240030204351312</v>
          </cell>
          <cell r="BB392">
            <v>5.333703335690592E-3</v>
          </cell>
          <cell r="BC392">
            <v>-0.65529761842229661</v>
          </cell>
          <cell r="BL392">
            <v>-7.0557329034164366E-3</v>
          </cell>
          <cell r="BM392">
            <v>-0.39508456679452181</v>
          </cell>
          <cell r="BV392">
            <v>0.27285392598088304</v>
          </cell>
          <cell r="BW392">
            <v>0.24583403535766699</v>
          </cell>
          <cell r="BX392">
            <v>0.20948182133170848</v>
          </cell>
          <cell r="BY392">
            <v>0.2329031015218648</v>
          </cell>
          <cell r="CA392">
            <v>0.25315447650956863</v>
          </cell>
          <cell r="CB392">
            <v>-0.16274912009756301</v>
          </cell>
          <cell r="CC392">
            <v>-5.4235283326511077E-2</v>
          </cell>
          <cell r="CD392">
            <v>-1.7800176464430491E-2</v>
          </cell>
          <cell r="CF392">
            <v>5.9340506118146221E-3</v>
          </cell>
          <cell r="CH392">
            <v>0.28550095296061545</v>
          </cell>
          <cell r="CI392">
            <v>0.26373582914626181</v>
          </cell>
          <cell r="CJ392">
            <v>0.23070053207357641</v>
          </cell>
          <cell r="CK392">
            <v>0.20504634545298014</v>
          </cell>
          <cell r="CM392">
            <v>0.27402333840690013</v>
          </cell>
          <cell r="CN392">
            <v>-0.12030047868169588</v>
          </cell>
          <cell r="CO392">
            <v>-2.3220856698123658E-2</v>
          </cell>
          <cell r="CP392">
            <v>1.2973158015836917E-2</v>
          </cell>
          <cell r="CR392">
            <v>-1.0841233309097354E-2</v>
          </cell>
          <cell r="CS392">
            <v>-2.932984352173146E-4</v>
          </cell>
          <cell r="CT392">
            <v>-5.5476976765233964E-2</v>
          </cell>
          <cell r="CU392">
            <v>-0.1015936481456107</v>
          </cell>
          <cell r="CZ392" t="str">
            <v>--</v>
          </cell>
          <cell r="DB392">
            <v>0.16607837489362376</v>
          </cell>
          <cell r="DC392">
            <v>0.16524847768850198</v>
          </cell>
          <cell r="DD392">
            <v>0.17540849085006671</v>
          </cell>
          <cell r="DE392">
            <v>0.19605492838498689</v>
          </cell>
          <cell r="DG392">
            <v>0.17410656356921309</v>
          </cell>
          <cell r="DH392">
            <v>0.16169865421428128</v>
          </cell>
          <cell r="DI392">
            <v>0.15523625245913603</v>
          </cell>
          <cell r="DJ392">
            <v>0.14857537624359871</v>
          </cell>
          <cell r="DL392">
            <v>0.15810451753795243</v>
          </cell>
          <cell r="DM392">
            <v>0.14571638866886938</v>
          </cell>
          <cell r="DN392">
            <v>0.1825820055558606</v>
          </cell>
          <cell r="DO392">
            <v>0.18104469923004712</v>
          </cell>
          <cell r="EN392">
            <v>-1.7800176464430495E-2</v>
          </cell>
          <cell r="EP392">
            <v>0.24834107343949222</v>
          </cell>
          <cell r="EQ392">
            <v>0.20504266790061015</v>
          </cell>
          <cell r="ER392">
            <v>1.2973158015836917E-2</v>
          </cell>
          <cell r="ES392">
            <v>-0.1015936481456107</v>
          </cell>
          <cell r="ET392" t="str">
            <v>--</v>
          </cell>
          <cell r="EU392">
            <v>0.19605492838498689</v>
          </cell>
          <cell r="EV392">
            <v>0.14857537624359871</v>
          </cell>
          <cell r="EW392">
            <v>0.18104469923004712</v>
          </cell>
        </row>
        <row r="394">
          <cell r="A394" t="str">
            <v>Inventory turns</v>
          </cell>
          <cell r="B394" t="str">
            <v>invx</v>
          </cell>
          <cell r="I394">
            <v>8.153275886968661</v>
          </cell>
          <cell r="J394">
            <v>7.6073289024609307</v>
          </cell>
          <cell r="K394">
            <v>7.6154213934889379</v>
          </cell>
          <cell r="L394">
            <v>8.3091279728199314</v>
          </cell>
          <cell r="N394">
            <v>8.4855216184053948</v>
          </cell>
          <cell r="O394">
            <v>7.451940225078407</v>
          </cell>
          <cell r="P394">
            <v>7.9478608463922615</v>
          </cell>
          <cell r="Q394">
            <v>8.2015384615384619</v>
          </cell>
          <cell r="S394">
            <v>7.6110188860820402</v>
          </cell>
          <cell r="T394">
            <v>7.1070675690669036</v>
          </cell>
          <cell r="U394">
            <v>6.478423397828883</v>
          </cell>
          <cell r="V394">
            <v>7.1390659283251487</v>
          </cell>
          <cell r="X394">
            <v>7.0321635531586661</v>
          </cell>
          <cell r="Y394">
            <v>6.5031968888010026</v>
          </cell>
          <cell r="Z394">
            <v>6.7036822026870126</v>
          </cell>
          <cell r="AA394">
            <v>7.0270270270270263</v>
          </cell>
          <cell r="AC394">
            <v>8.6035183875530397</v>
          </cell>
          <cell r="AD394">
            <v>6.9500689836410228</v>
          </cell>
          <cell r="AE394">
            <v>7.1864240642038837</v>
          </cell>
          <cell r="AF394">
            <v>7.9041342789012425</v>
          </cell>
          <cell r="AG394" t="str">
            <v xml:space="preserve"> </v>
          </cell>
          <cell r="AH394">
            <v>7.9406509253350359</v>
          </cell>
          <cell r="AI394">
            <v>7.741044454035392</v>
          </cell>
          <cell r="AJ394">
            <v>8.3938974026417288</v>
          </cell>
          <cell r="AK394">
            <v>8.6538365265649695</v>
          </cell>
          <cell r="AU394" t="str">
            <v xml:space="preserve">-- </v>
          </cell>
          <cell r="AW394">
            <v>8.3874610648667822</v>
          </cell>
          <cell r="AX394">
            <v>7.6727482436824994</v>
          </cell>
          <cell r="AY394">
            <v>7.2562630343865306</v>
          </cell>
          <cell r="AZ394">
            <v>6.3549980908524564</v>
          </cell>
          <cell r="BB394">
            <v>5.4561138328169836</v>
          </cell>
          <cell r="BC394">
            <v>6.354524792020654</v>
          </cell>
          <cell r="BD394" t="str">
            <v xml:space="preserve">-- </v>
          </cell>
          <cell r="BE394" t="str">
            <v xml:space="preserve">-- </v>
          </cell>
          <cell r="BG394" t="str">
            <v xml:space="preserve">-- </v>
          </cell>
          <cell r="BH394" t="str">
            <v xml:space="preserve">-- </v>
          </cell>
          <cell r="BI394" t="str">
            <v xml:space="preserve">-- </v>
          </cell>
          <cell r="BJ394" t="str">
            <v xml:space="preserve">-- </v>
          </cell>
          <cell r="BL394" t="str">
            <v xml:space="preserve">-- </v>
          </cell>
          <cell r="BM394" t="str">
            <v xml:space="preserve">-- </v>
          </cell>
          <cell r="BN394" t="str">
            <v xml:space="preserve">-- </v>
          </cell>
          <cell r="BO394" t="str">
            <v xml:space="preserve">-- </v>
          </cell>
          <cell r="BQ394" t="str">
            <v xml:space="preserve">-- </v>
          </cell>
          <cell r="BR394" t="str">
            <v xml:space="preserve">-- </v>
          </cell>
          <cell r="BS394" t="str">
            <v xml:space="preserve">-- </v>
          </cell>
          <cell r="BT394" t="str">
            <v xml:space="preserve">-- </v>
          </cell>
          <cell r="BV394">
            <v>9.0582152555722004</v>
          </cell>
          <cell r="BW394">
            <v>8.9250239405148601</v>
          </cell>
          <cell r="BX394">
            <v>8.6560897961862882</v>
          </cell>
          <cell r="BY394">
            <v>8.120399290978634</v>
          </cell>
          <cell r="CA394">
            <v>7.6253897873133933</v>
          </cell>
          <cell r="CB394">
            <v>7.5612331870128875</v>
          </cell>
          <cell r="CC394">
            <v>7.5506596586173487</v>
          </cell>
          <cell r="CD394">
            <v>7.9649324813461551</v>
          </cell>
          <cell r="CF394" t="str">
            <v xml:space="preserve">-- </v>
          </cell>
          <cell r="CH394" t="str">
            <v xml:space="preserve">-- </v>
          </cell>
          <cell r="CI394" t="str">
            <v xml:space="preserve">-- </v>
          </cell>
          <cell r="CJ394" t="str">
            <v xml:space="preserve">-- </v>
          </cell>
          <cell r="CK394" t="str">
            <v xml:space="preserve">-- </v>
          </cell>
          <cell r="CM394">
            <v>8.0389548572086245</v>
          </cell>
          <cell r="CN394">
            <v>7.8864129886801555</v>
          </cell>
          <cell r="CO394">
            <v>7.7053124189373037</v>
          </cell>
          <cell r="CP394">
            <v>8.0374087550545443</v>
          </cell>
          <cell r="CR394">
            <v>7.854564960427588</v>
          </cell>
          <cell r="CS394">
            <v>6.1736345076093402</v>
          </cell>
          <cell r="CT394">
            <v>4.76074280860177</v>
          </cell>
          <cell r="CU394">
            <v>4.1909372252472359</v>
          </cell>
          <cell r="CZ394" t="str">
            <v>--</v>
          </cell>
          <cell r="DB394">
            <v>5.325363099024635</v>
          </cell>
          <cell r="DC394">
            <v>6.6436015105111608</v>
          </cell>
          <cell r="DD394">
            <v>7.7886056360496658</v>
          </cell>
          <cell r="DE394">
            <v>8.1345604466648815</v>
          </cell>
          <cell r="DG394">
            <v>8.2964718955478389</v>
          </cell>
          <cell r="DH394">
            <v>8.0801014428709177</v>
          </cell>
          <cell r="DI394">
            <v>8.3342717161913633</v>
          </cell>
          <cell r="DJ394">
            <v>8.5358478080128233</v>
          </cell>
          <cell r="DL394">
            <v>9.142478745672495</v>
          </cell>
          <cell r="DM394">
            <v>8.3445660853574655</v>
          </cell>
          <cell r="DN394">
            <v>8.6590756065706991</v>
          </cell>
          <cell r="DO394">
            <v>8.9536112742903509</v>
          </cell>
          <cell r="DR394" t="str">
            <v xml:space="preserve"> -- </v>
          </cell>
          <cell r="DS394">
            <v>8.6805832102254481</v>
          </cell>
          <cell r="DT394">
            <v>8.7118373057512617</v>
          </cell>
          <cell r="DU394">
            <v>8.6443137913656987</v>
          </cell>
          <cell r="DV394">
            <v>7.8133989842205258</v>
          </cell>
          <cell r="DW394">
            <v>7.6074347256086341</v>
          </cell>
          <cell r="DX394" t="str">
            <v xml:space="preserve"> -- </v>
          </cell>
          <cell r="DY394">
            <v>8.5534593356242841</v>
          </cell>
          <cell r="DZ394">
            <v>8.6150144369586155</v>
          </cell>
          <cell r="EB394" t="str">
            <v xml:space="preserve"> -- </v>
          </cell>
          <cell r="EC394" t="str">
            <v xml:space="preserve"> -- </v>
          </cell>
          <cell r="EE394">
            <v>6.1767256571352815</v>
          </cell>
          <cell r="EL394">
            <v>8.1521503819005066</v>
          </cell>
          <cell r="EM394">
            <v>7.9412224820578974</v>
          </cell>
          <cell r="EN394">
            <v>7.4969696900143799</v>
          </cell>
          <cell r="EP394" t="str">
            <v xml:space="preserve">-- </v>
          </cell>
          <cell r="EQ394">
            <v>7.9224118651371587</v>
          </cell>
          <cell r="ER394">
            <v>7.6163801392047565</v>
          </cell>
          <cell r="ES394">
            <v>6.1208714540537423</v>
          </cell>
          <cell r="ET394" t="str">
            <v>--</v>
          </cell>
          <cell r="EU394">
            <v>6.008640969073733</v>
          </cell>
          <cell r="EV394">
            <v>8.1920647296834783</v>
          </cell>
          <cell r="EW394">
            <v>8.9596545186184944</v>
          </cell>
        </row>
        <row r="395">
          <cell r="A395" t="str">
            <v>Days accts. receivable</v>
          </cell>
          <cell r="B395" t="str">
            <v>dso</v>
          </cell>
          <cell r="I395">
            <v>36.154696526638617</v>
          </cell>
          <cell r="J395">
            <v>39.298547606239914</v>
          </cell>
          <cell r="K395">
            <v>42.68911343345561</v>
          </cell>
          <cell r="L395">
            <v>46.465841584158412</v>
          </cell>
          <cell r="N395">
            <v>45.499870499870504</v>
          </cell>
          <cell r="O395">
            <v>41.7689668318719</v>
          </cell>
          <cell r="P395">
            <v>38.528897261656461</v>
          </cell>
          <cell r="Q395">
            <v>40.082678287785605</v>
          </cell>
          <cell r="S395">
            <v>42.792696952271427</v>
          </cell>
          <cell r="T395">
            <v>40.403340609281578</v>
          </cell>
          <cell r="U395">
            <v>39.967828945519933</v>
          </cell>
          <cell r="V395">
            <v>35.909085118850477</v>
          </cell>
          <cell r="X395">
            <v>40.635605617320067</v>
          </cell>
          <cell r="Y395">
            <v>44.285211995863492</v>
          </cell>
          <cell r="Z395">
            <v>41.334459138948439</v>
          </cell>
          <cell r="AA395">
            <v>40.499527302648858</v>
          </cell>
          <cell r="AC395">
            <v>36.190822375253639</v>
          </cell>
          <cell r="AD395">
            <v>46.875014011044442</v>
          </cell>
          <cell r="AE395">
            <v>43.576578915831099</v>
          </cell>
          <cell r="AF395">
            <v>43.04943583740161</v>
          </cell>
          <cell r="AH395">
            <v>43.898100020740763</v>
          </cell>
          <cell r="AI395">
            <v>43.152905092189187</v>
          </cell>
          <cell r="AJ395">
            <v>41.603868336554413</v>
          </cell>
          <cell r="AK395">
            <v>44.489955661752212</v>
          </cell>
          <cell r="AU395" t="str">
            <v xml:space="preserve">-- </v>
          </cell>
          <cell r="AW395">
            <v>46.38674859272755</v>
          </cell>
          <cell r="AX395">
            <v>49.888151810485873</v>
          </cell>
          <cell r="AY395">
            <v>47.446897536640215</v>
          </cell>
          <cell r="AZ395">
            <v>46.059241196299219</v>
          </cell>
          <cell r="BB395">
            <v>54.374930659038256</v>
          </cell>
          <cell r="BC395">
            <v>49.423405220848821</v>
          </cell>
          <cell r="BD395" t="str">
            <v xml:space="preserve">-- </v>
          </cell>
          <cell r="BE395" t="str">
            <v xml:space="preserve">-- </v>
          </cell>
          <cell r="BG395" t="str">
            <v xml:space="preserve">-- </v>
          </cell>
          <cell r="BH395" t="str">
            <v xml:space="preserve">-- </v>
          </cell>
          <cell r="BI395" t="str">
            <v xml:space="preserve">-- </v>
          </cell>
          <cell r="BJ395" t="str">
            <v xml:space="preserve">-- </v>
          </cell>
          <cell r="BL395" t="str">
            <v xml:space="preserve">-- </v>
          </cell>
          <cell r="BM395" t="str">
            <v xml:space="preserve">-- </v>
          </cell>
          <cell r="BN395" t="str">
            <v xml:space="preserve">-- </v>
          </cell>
          <cell r="BO395" t="str">
            <v xml:space="preserve">-- </v>
          </cell>
          <cell r="BQ395" t="str">
            <v xml:space="preserve">-- </v>
          </cell>
          <cell r="BR395" t="str">
            <v xml:space="preserve">-- </v>
          </cell>
          <cell r="BS395" t="str">
            <v xml:space="preserve">-- </v>
          </cell>
          <cell r="BT395" t="str">
            <v xml:space="preserve">-- </v>
          </cell>
          <cell r="BV395">
            <v>45.92708177673132</v>
          </cell>
          <cell r="BW395">
            <v>47.666817621062826</v>
          </cell>
          <cell r="BX395">
            <v>47.059460290892495</v>
          </cell>
          <cell r="BY395">
            <v>44.375423384365263</v>
          </cell>
          <cell r="CA395">
            <v>43.999654314974045</v>
          </cell>
          <cell r="CB395">
            <v>46.811214434325393</v>
          </cell>
          <cell r="CC395">
            <v>46.838797879740007</v>
          </cell>
          <cell r="CD395">
            <v>41.983605861417523</v>
          </cell>
          <cell r="CF395" t="str">
            <v xml:space="preserve">-- </v>
          </cell>
          <cell r="CH395" t="str">
            <v xml:space="preserve">-- </v>
          </cell>
          <cell r="CI395" t="str">
            <v xml:space="preserve">-- </v>
          </cell>
          <cell r="CJ395" t="str">
            <v xml:space="preserve">-- </v>
          </cell>
          <cell r="CK395" t="str">
            <v xml:space="preserve">-- </v>
          </cell>
          <cell r="CM395">
            <v>45.665362958362934</v>
          </cell>
          <cell r="CN395">
            <v>48.819522796243618</v>
          </cell>
          <cell r="CO395">
            <v>48.353429719881198</v>
          </cell>
          <cell r="CP395">
            <v>43.615974025879041</v>
          </cell>
          <cell r="CR395">
            <v>46.580119698082427</v>
          </cell>
          <cell r="CS395">
            <v>58.586272119603272</v>
          </cell>
          <cell r="CT395">
            <v>74.255661200975538</v>
          </cell>
          <cell r="CU395">
            <v>72.196243947018417</v>
          </cell>
          <cell r="CZ395" t="str">
            <v>--</v>
          </cell>
          <cell r="DB395">
            <v>46.914451545926468</v>
          </cell>
          <cell r="DC395">
            <v>50.474129296905616</v>
          </cell>
          <cell r="DD395">
            <v>50.389425380096313</v>
          </cell>
          <cell r="DE395">
            <v>48.079315978997798</v>
          </cell>
          <cell r="DG395">
            <v>47.438004816211574</v>
          </cell>
          <cell r="DH395">
            <v>47.735636346574992</v>
          </cell>
          <cell r="DI395">
            <v>45.686740469454378</v>
          </cell>
          <cell r="DJ395">
            <v>44.943299791256294</v>
          </cell>
          <cell r="DL395">
            <v>41.791745278449149</v>
          </cell>
          <cell r="DM395">
            <v>45.381365126366731</v>
          </cell>
          <cell r="DN395">
            <v>43.674366668627961</v>
          </cell>
          <cell r="DO395">
            <v>42.981354484949826</v>
          </cell>
          <cell r="DR395" t="str">
            <v xml:space="preserve"> -- </v>
          </cell>
          <cell r="DS395">
            <v>42.716278228632142</v>
          </cell>
          <cell r="DT395">
            <v>43.939543973941376</v>
          </cell>
          <cell r="DU395">
            <v>43.711327917801533</v>
          </cell>
          <cell r="DV395">
            <v>36.850714512064457</v>
          </cell>
          <cell r="DW395">
            <v>36.314324353671665</v>
          </cell>
          <cell r="DX395" t="str">
            <v xml:space="preserve"> -- </v>
          </cell>
          <cell r="DY395">
            <v>40.505030827309156</v>
          </cell>
          <cell r="DZ395">
            <v>43.410385825256959</v>
          </cell>
          <cell r="EB395" t="str">
            <v xml:space="preserve"> -- </v>
          </cell>
          <cell r="EC395" t="str">
            <v xml:space="preserve"> -- </v>
          </cell>
          <cell r="EE395">
            <v>48.029379029655637</v>
          </cell>
          <cell r="EL395">
            <v>48.594383384823942</v>
          </cell>
          <cell r="EM395">
            <v>44.914153525735152</v>
          </cell>
          <cell r="EN395">
            <v>45.075204029902139</v>
          </cell>
          <cell r="EP395" t="str">
            <v xml:space="preserve">-- </v>
          </cell>
          <cell r="EQ395">
            <v>46.744550248075051</v>
          </cell>
          <cell r="ER395">
            <v>46.362748525513197</v>
          </cell>
          <cell r="ES395">
            <v>49.921392149278951</v>
          </cell>
          <cell r="ET395" t="str">
            <v>--</v>
          </cell>
          <cell r="EU395">
            <v>48.566536461139322</v>
          </cell>
          <cell r="EV395">
            <v>47.326772390581326</v>
          </cell>
          <cell r="EW395">
            <v>42.924073666980853</v>
          </cell>
        </row>
        <row r="396">
          <cell r="A396" t="str">
            <v>Days Inventory</v>
          </cell>
          <cell r="B396" t="str">
            <v>dih</v>
          </cell>
          <cell r="I396">
            <v>44.154031458126681</v>
          </cell>
          <cell r="J396">
            <v>47.322786304604485</v>
          </cell>
          <cell r="K396">
            <v>47.27249897264965</v>
          </cell>
          <cell r="L396">
            <v>43.325846127006287</v>
          </cell>
          <cell r="N396">
            <v>42.425205684367988</v>
          </cell>
          <cell r="O396">
            <v>48.309566250742733</v>
          </cell>
          <cell r="P396">
            <v>45.295206717592855</v>
          </cell>
          <cell r="Q396">
            <v>43.894203714124927</v>
          </cell>
          <cell r="R396" t="e">
            <v>#DIV/0!</v>
          </cell>
          <cell r="S396">
            <v>47.299843212623912</v>
          </cell>
          <cell r="T396">
            <v>50.653802922442864</v>
          </cell>
          <cell r="U396">
            <v>55.569075667491411</v>
          </cell>
          <cell r="V396">
            <v>50.426765015806112</v>
          </cell>
          <cell r="X396">
            <v>51.193348573114072</v>
          </cell>
          <cell r="Y396">
            <v>55.357389012771129</v>
          </cell>
          <cell r="Z396">
            <v>53.701829698266799</v>
          </cell>
          <cell r="AA396">
            <v>51.230769230769234</v>
          </cell>
          <cell r="AB396" t="e">
            <v>#DIV/0!</v>
          </cell>
          <cell r="AC396">
            <v>41.843346382663917</v>
          </cell>
          <cell r="AD396">
            <v>51.798047019009893</v>
          </cell>
          <cell r="AE396">
            <v>50.09445543203983</v>
          </cell>
          <cell r="AF396">
            <v>45.545784939529618</v>
          </cell>
          <cell r="AH396">
            <v>45.336333681588037</v>
          </cell>
          <cell r="AI396">
            <v>46.505352363960739</v>
          </cell>
          <cell r="AJ396">
            <v>42.888301194472632</v>
          </cell>
          <cell r="AK396">
            <v>41.600046279461836</v>
          </cell>
          <cell r="AU396" t="str">
            <v xml:space="preserve">-- </v>
          </cell>
          <cell r="AW396">
            <v>42.921212654918939</v>
          </cell>
          <cell r="AX396">
            <v>46.919303040655961</v>
          </cell>
          <cell r="AY396">
            <v>49.612313982280497</v>
          </cell>
          <cell r="AZ396">
            <v>56.648325436665829</v>
          </cell>
          <cell r="BB396">
            <v>65.981028078025361</v>
          </cell>
          <cell r="BC396">
            <v>56.652544727191916</v>
          </cell>
          <cell r="BD396" t="str">
            <v xml:space="preserve">-- </v>
          </cell>
          <cell r="BE396" t="str">
            <v xml:space="preserve">-- </v>
          </cell>
          <cell r="BG396" t="str">
            <v xml:space="preserve">-- </v>
          </cell>
          <cell r="BH396" t="str">
            <v xml:space="preserve">-- </v>
          </cell>
          <cell r="BI396" t="str">
            <v xml:space="preserve">-- </v>
          </cell>
          <cell r="BJ396" t="str">
            <v xml:space="preserve">-- </v>
          </cell>
          <cell r="BL396" t="str">
            <v xml:space="preserve">-- </v>
          </cell>
          <cell r="BM396" t="str">
            <v xml:space="preserve">-- </v>
          </cell>
          <cell r="BN396" t="str">
            <v xml:space="preserve">-- </v>
          </cell>
          <cell r="BO396" t="str">
            <v xml:space="preserve">-- </v>
          </cell>
          <cell r="BQ396" t="str">
            <v xml:space="preserve">-- </v>
          </cell>
          <cell r="BR396" t="str">
            <v xml:space="preserve">-- </v>
          </cell>
          <cell r="BS396" t="str">
            <v xml:space="preserve">-- </v>
          </cell>
          <cell r="BT396" t="str">
            <v xml:space="preserve">-- </v>
          </cell>
          <cell r="BV396">
            <v>39.742928363128094</v>
          </cell>
          <cell r="BW396">
            <v>40.336026255995968</v>
          </cell>
          <cell r="BX396">
            <v>41.589217357542815</v>
          </cell>
          <cell r="BY396">
            <v>44.332795358960041</v>
          </cell>
          <cell r="CA396">
            <v>47.210701359679163</v>
          </cell>
          <cell r="CB396">
            <v>47.611281268025571</v>
          </cell>
          <cell r="CC396">
            <v>47.67795348703639</v>
          </cell>
          <cell r="CD396">
            <v>45.198123253790136</v>
          </cell>
          <cell r="CF396" t="str">
            <v xml:space="preserve">-- </v>
          </cell>
          <cell r="CH396" t="str">
            <v xml:space="preserve">-- </v>
          </cell>
          <cell r="CI396" t="str">
            <v xml:space="preserve">-- </v>
          </cell>
          <cell r="CJ396" t="str">
            <v xml:space="preserve">-- </v>
          </cell>
          <cell r="CK396" t="str">
            <v xml:space="preserve">-- </v>
          </cell>
          <cell r="CM396">
            <v>44.781940736634915</v>
          </cell>
          <cell r="CN396">
            <v>45.648129322764319</v>
          </cell>
          <cell r="CO396">
            <v>46.721012780121669</v>
          </cell>
          <cell r="CP396">
            <v>44.790555136766457</v>
          </cell>
          <cell r="CR396">
            <v>45.833219511676461</v>
          </cell>
          <cell r="CS396">
            <v>58.312489920853011</v>
          </cell>
          <cell r="CT396">
            <v>75.618451673034613</v>
          </cell>
          <cell r="CU396">
            <v>85.89964025976613</v>
          </cell>
          <cell r="CZ396" t="str">
            <v>--</v>
          </cell>
          <cell r="DB396">
            <v>67.60102425052213</v>
          </cell>
          <cell r="DC396">
            <v>54.187476390693618</v>
          </cell>
          <cell r="DD396">
            <v>46.22136706135629</v>
          </cell>
          <cell r="DE396">
            <v>44.25561803374363</v>
          </cell>
          <cell r="DG396">
            <v>43.391938709897623</v>
          </cell>
          <cell r="DH396">
            <v>44.553896079810777</v>
          </cell>
          <cell r="DI396">
            <v>43.195135970982548</v>
          </cell>
          <cell r="DJ396">
            <v>42.175072482203653</v>
          </cell>
          <cell r="DL396">
            <v>39.376629688136006</v>
          </cell>
          <cell r="DM396">
            <v>43.141847798617832</v>
          </cell>
          <cell r="DN396">
            <v>41.57487662156732</v>
          </cell>
          <cell r="DO396">
            <v>40.207240293501911</v>
          </cell>
          <cell r="DR396" t="str">
            <v xml:space="preserve"> -- </v>
          </cell>
          <cell r="DS396">
            <v>41.471867878177996</v>
          </cell>
          <cell r="DT396">
            <v>41.32308574706051</v>
          </cell>
          <cell r="DU396">
            <v>41.645873656227408</v>
          </cell>
          <cell r="DV396">
            <v>46.07469818539083</v>
          </cell>
          <cell r="DW396">
            <v>47.322128021439994</v>
          </cell>
          <cell r="DX396" t="str">
            <v xml:space="preserve"> -- </v>
          </cell>
          <cell r="DY396">
            <v>42.088234230638918</v>
          </cell>
          <cell r="DZ396">
            <v>41.787509775444079</v>
          </cell>
          <cell r="EB396" t="str">
            <v xml:space="preserve"> -- </v>
          </cell>
          <cell r="EC396" t="str">
            <v xml:space="preserve"> -- </v>
          </cell>
          <cell r="EE396">
            <v>58.283307367574629</v>
          </cell>
          <cell r="EL396">
            <v>44.160127467628165</v>
          </cell>
          <cell r="EM396">
            <v>45.333070671848148</v>
          </cell>
          <cell r="EN396">
            <v>48.019401823046387</v>
          </cell>
          <cell r="EP396" t="str">
            <v xml:space="preserve">-- </v>
          </cell>
          <cell r="EQ396">
            <v>45.440707467405495</v>
          </cell>
          <cell r="ER396">
            <v>47.26654833664702</v>
          </cell>
          <cell r="ES396">
            <v>58.815154460003981</v>
          </cell>
          <cell r="ET396" t="str">
            <v>--</v>
          </cell>
          <cell r="EU396">
            <v>59.913714574211959</v>
          </cell>
          <cell r="EV396">
            <v>43.944965265662582</v>
          </cell>
          <cell r="EW396">
            <v>40.180120701295643</v>
          </cell>
        </row>
        <row r="397">
          <cell r="A397" t="str">
            <v>Days Payable</v>
          </cell>
          <cell r="B397" t="str">
            <v>dpo</v>
          </cell>
          <cell r="I397">
            <v>38.344905767323226</v>
          </cell>
          <cell r="J397">
            <v>39.727508854781576</v>
          </cell>
          <cell r="K397">
            <v>41.394000273960096</v>
          </cell>
          <cell r="L397">
            <v>41.13943649685973</v>
          </cell>
          <cell r="N397">
            <v>39.165482423335824</v>
          </cell>
          <cell r="O397">
            <v>41.711229946524064</v>
          </cell>
          <cell r="P397">
            <v>46.015511108519441</v>
          </cell>
          <cell r="Q397">
            <v>50.11898062545221</v>
          </cell>
          <cell r="S397">
            <v>51.866528424033994</v>
          </cell>
          <cell r="T397">
            <v>50.106781566129634</v>
          </cell>
          <cell r="U397">
            <v>47.642268916872851</v>
          </cell>
          <cell r="V397">
            <v>39.065181393948521</v>
          </cell>
          <cell r="X397">
            <v>40.174470909224986</v>
          </cell>
          <cell r="Y397">
            <v>42.714575309142504</v>
          </cell>
          <cell r="Z397">
            <v>40.70336372521124</v>
          </cell>
          <cell r="AA397">
            <v>41.845926094630755</v>
          </cell>
          <cell r="AC397">
            <v>34.692672852254866</v>
          </cell>
          <cell r="AD397">
            <v>43.313781466531807</v>
          </cell>
          <cell r="AE397">
            <v>40.144922594284928</v>
          </cell>
          <cell r="AF397">
            <v>38.712013051634514</v>
          </cell>
          <cell r="AH397">
            <v>40.518082455999355</v>
          </cell>
          <cell r="AI397">
            <v>43.342439785905434</v>
          </cell>
          <cell r="AJ397">
            <v>43.143590444218916</v>
          </cell>
          <cell r="AK397">
            <v>42.343228323030644</v>
          </cell>
          <cell r="AU397" t="str">
            <v xml:space="preserve">-- </v>
          </cell>
          <cell r="AW397">
            <v>36.933462490382738</v>
          </cell>
          <cell r="AX397">
            <v>40.282610181072769</v>
          </cell>
          <cell r="AY397">
            <v>37.580761921998011</v>
          </cell>
          <cell r="AZ397">
            <v>40.561133216961387</v>
          </cell>
          <cell r="BB397">
            <v>45.122366538999593</v>
          </cell>
          <cell r="BC397">
            <v>40.799340952413516</v>
          </cell>
          <cell r="BD397" t="str">
            <v xml:space="preserve">-- </v>
          </cell>
          <cell r="BE397" t="str">
            <v xml:space="preserve">-- </v>
          </cell>
          <cell r="BG397" t="str">
            <v xml:space="preserve">-- </v>
          </cell>
          <cell r="BH397" t="str">
            <v xml:space="preserve">-- </v>
          </cell>
          <cell r="BI397" t="str">
            <v xml:space="preserve">-- </v>
          </cell>
          <cell r="BJ397" t="str">
            <v xml:space="preserve">-- </v>
          </cell>
          <cell r="BL397" t="str">
            <v xml:space="preserve">-- </v>
          </cell>
          <cell r="BM397" t="str">
            <v xml:space="preserve">-- </v>
          </cell>
          <cell r="BN397" t="str">
            <v xml:space="preserve">-- </v>
          </cell>
          <cell r="BO397" t="str">
            <v xml:space="preserve">-- </v>
          </cell>
          <cell r="BQ397" t="str">
            <v xml:space="preserve">-- </v>
          </cell>
          <cell r="BR397" t="str">
            <v xml:space="preserve">-- </v>
          </cell>
          <cell r="BS397" t="str">
            <v xml:space="preserve">-- </v>
          </cell>
          <cell r="BT397" t="str">
            <v xml:space="preserve">-- </v>
          </cell>
          <cell r="BV397" t="str">
            <v xml:space="preserve">-- </v>
          </cell>
          <cell r="BW397" t="str">
            <v xml:space="preserve">-- </v>
          </cell>
          <cell r="BX397" t="str">
            <v xml:space="preserve">-- </v>
          </cell>
          <cell r="BY397" t="str">
            <v xml:space="preserve">-- </v>
          </cell>
          <cell r="CA397" t="str">
            <v xml:space="preserve">-- </v>
          </cell>
          <cell r="CB397" t="str">
            <v xml:space="preserve">-- </v>
          </cell>
          <cell r="CC397" t="str">
            <v xml:space="preserve">-- </v>
          </cell>
          <cell r="CD397">
            <v>42.418020929549755</v>
          </cell>
          <cell r="CF397" t="str">
            <v xml:space="preserve">-- </v>
          </cell>
          <cell r="CH397" t="str">
            <v xml:space="preserve">-- </v>
          </cell>
          <cell r="CI397" t="str">
            <v xml:space="preserve">-- </v>
          </cell>
          <cell r="CJ397" t="str">
            <v xml:space="preserve">-- </v>
          </cell>
          <cell r="CK397" t="str">
            <v xml:space="preserve">-- </v>
          </cell>
          <cell r="CM397" t="str">
            <v xml:space="preserve">-- </v>
          </cell>
          <cell r="CN397" t="str">
            <v xml:space="preserve">-- </v>
          </cell>
          <cell r="CO397" t="str">
            <v xml:space="preserve">-- </v>
          </cell>
          <cell r="CP397" t="str">
            <v xml:space="preserve">-- </v>
          </cell>
          <cell r="CR397" t="str">
            <v xml:space="preserve">-- </v>
          </cell>
          <cell r="CS397" t="str">
            <v xml:space="preserve">-- </v>
          </cell>
          <cell r="CT397" t="str">
            <v xml:space="preserve">-- </v>
          </cell>
          <cell r="CU397">
            <v>46.202577682412517</v>
          </cell>
          <cell r="CZ397" t="str">
            <v>--</v>
          </cell>
          <cell r="DB397">
            <v>37.713029610792638</v>
          </cell>
          <cell r="DC397">
            <v>40.122482809828739</v>
          </cell>
          <cell r="DD397">
            <v>44.20879081449587</v>
          </cell>
          <cell r="DE397">
            <v>45.522800865796341</v>
          </cell>
          <cell r="DG397">
            <v>46.012728162545116</v>
          </cell>
          <cell r="DH397">
            <v>47.260206182574144</v>
          </cell>
          <cell r="DI397">
            <v>45.806522626104098</v>
          </cell>
          <cell r="DJ397">
            <v>45.538499366192703</v>
          </cell>
          <cell r="DL397">
            <v>42.796130654576054</v>
          </cell>
          <cell r="DM397">
            <v>46.387347716291004</v>
          </cell>
          <cell r="DN397">
            <v>44.690547789725613</v>
          </cell>
          <cell r="DO397">
            <v>43.981055637365131</v>
          </cell>
          <cell r="DR397" t="str">
            <v xml:space="preserve"> -- </v>
          </cell>
          <cell r="DS397">
            <v>43.586882528783264</v>
          </cell>
          <cell r="DT397">
            <v>40.839919701749359</v>
          </cell>
          <cell r="DU397">
            <v>45.535526898771082</v>
          </cell>
          <cell r="DV397">
            <v>41.373089003676853</v>
          </cell>
          <cell r="DW397">
            <v>38.876075864557031</v>
          </cell>
          <cell r="DX397" t="str">
            <v xml:space="preserve"> -- </v>
          </cell>
          <cell r="DY397">
            <v>37.507784073484338</v>
          </cell>
          <cell r="DZ397">
            <v>39.945736310388305</v>
          </cell>
          <cell r="EB397" t="str">
            <v xml:space="preserve"> -- </v>
          </cell>
          <cell r="EC397" t="str">
            <v xml:space="preserve"> -- </v>
          </cell>
          <cell r="EE397">
            <v>45.957571112674636</v>
          </cell>
          <cell r="EL397">
            <v>41.591250813503798</v>
          </cell>
          <cell r="EM397">
            <v>42.61019850912529</v>
          </cell>
          <cell r="EN397">
            <v>42.418020929549755</v>
          </cell>
          <cell r="EP397" t="str">
            <v xml:space="preserve">-- </v>
          </cell>
          <cell r="EQ397" t="str">
            <v xml:space="preserve">-- </v>
          </cell>
          <cell r="ER397" t="str">
            <v xml:space="preserve">-- </v>
          </cell>
          <cell r="ES397">
            <v>46.202577682412517</v>
          </cell>
          <cell r="ET397" t="str">
            <v>--</v>
          </cell>
          <cell r="EU397">
            <v>43.782425395211284</v>
          </cell>
          <cell r="EV397">
            <v>46.861108100900836</v>
          </cell>
          <cell r="EW397">
            <v>43.931754664177738</v>
          </cell>
        </row>
        <row r="398">
          <cell r="A398" t="str">
            <v>Cash Cycle</v>
          </cell>
          <cell r="B398" t="str">
            <v>cycle</v>
          </cell>
          <cell r="I398">
            <v>41.963822217442072</v>
          </cell>
          <cell r="J398">
            <v>46.893825056062823</v>
          </cell>
          <cell r="K398">
            <v>48.567612132145165</v>
          </cell>
          <cell r="L398">
            <v>48.652251214304968</v>
          </cell>
          <cell r="N398">
            <v>48.759593760902668</v>
          </cell>
          <cell r="O398">
            <v>48.367303136090563</v>
          </cell>
          <cell r="P398">
            <v>37.808592870729875</v>
          </cell>
          <cell r="Q398">
            <v>33.857901376458315</v>
          </cell>
          <cell r="S398">
            <v>38.226011740861345</v>
          </cell>
          <cell r="T398">
            <v>40.950361965594816</v>
          </cell>
          <cell r="U398">
            <v>47.894635696138494</v>
          </cell>
          <cell r="V398">
            <v>47.270668740708075</v>
          </cell>
          <cell r="X398">
            <v>51.654483281209146</v>
          </cell>
          <cell r="Y398">
            <v>56.92802569949211</v>
          </cell>
          <cell r="Z398">
            <v>54.332925112003998</v>
          </cell>
          <cell r="AA398">
            <v>49.884370438787329</v>
          </cell>
          <cell r="AC398">
            <v>43.34149590566269</v>
          </cell>
          <cell r="AD398">
            <v>55.35927956352252</v>
          </cell>
          <cell r="AE398">
            <v>53.526111753586001</v>
          </cell>
          <cell r="AF398">
            <v>49.883207725296714</v>
          </cell>
          <cell r="AH398">
            <v>48.716351246329445</v>
          </cell>
          <cell r="AI398">
            <v>46.315817670244492</v>
          </cell>
          <cell r="AJ398">
            <v>41.34857908680813</v>
          </cell>
          <cell r="AK398">
            <v>43.746773618183397</v>
          </cell>
          <cell r="AU398" t="str">
            <v xml:space="preserve">-- </v>
          </cell>
          <cell r="AW398">
            <v>52.374498757263751</v>
          </cell>
          <cell r="AX398">
            <v>56.524844670069072</v>
          </cell>
          <cell r="AY398">
            <v>59.478449596922694</v>
          </cell>
          <cell r="AZ398">
            <v>62.146433416003653</v>
          </cell>
          <cell r="BB398">
            <v>75.233592198064031</v>
          </cell>
          <cell r="BC398">
            <v>65.276608995627228</v>
          </cell>
          <cell r="BD398" t="str">
            <v xml:space="preserve">-- </v>
          </cell>
          <cell r="BE398" t="str">
            <v xml:space="preserve">-- </v>
          </cell>
          <cell r="BG398" t="str">
            <v xml:space="preserve">-- </v>
          </cell>
          <cell r="BH398" t="str">
            <v xml:space="preserve">-- </v>
          </cell>
          <cell r="BI398" t="str">
            <v xml:space="preserve">-- </v>
          </cell>
          <cell r="BJ398" t="str">
            <v xml:space="preserve">-- </v>
          </cell>
          <cell r="BL398" t="str">
            <v xml:space="preserve">-- </v>
          </cell>
          <cell r="BM398" t="str">
            <v xml:space="preserve">-- </v>
          </cell>
          <cell r="BN398" t="str">
            <v xml:space="preserve">-- </v>
          </cell>
          <cell r="BO398" t="str">
            <v xml:space="preserve">-- </v>
          </cell>
          <cell r="BQ398" t="str">
            <v xml:space="preserve">-- </v>
          </cell>
          <cell r="BR398" t="str">
            <v xml:space="preserve">-- </v>
          </cell>
          <cell r="BS398" t="str">
            <v xml:space="preserve">-- </v>
          </cell>
          <cell r="BT398" t="str">
            <v xml:space="preserve">-- </v>
          </cell>
          <cell r="BV398" t="str">
            <v xml:space="preserve">-- </v>
          </cell>
          <cell r="BW398" t="str">
            <v xml:space="preserve">-- </v>
          </cell>
          <cell r="BX398" t="str">
            <v xml:space="preserve">-- </v>
          </cell>
          <cell r="BY398" t="str">
            <v xml:space="preserve">-- </v>
          </cell>
          <cell r="CA398" t="str">
            <v xml:space="preserve">-- </v>
          </cell>
          <cell r="CB398" t="str">
            <v xml:space="preserve">-- </v>
          </cell>
          <cell r="CC398" t="str">
            <v xml:space="preserve">-- </v>
          </cell>
          <cell r="CD398">
            <v>44.763708185657904</v>
          </cell>
          <cell r="CF398" t="str">
            <v xml:space="preserve">-- </v>
          </cell>
          <cell r="CH398" t="str">
            <v xml:space="preserve">-- </v>
          </cell>
          <cell r="CI398" t="str">
            <v xml:space="preserve">-- </v>
          </cell>
          <cell r="CJ398" t="str">
            <v xml:space="preserve">-- </v>
          </cell>
          <cell r="CK398" t="str">
            <v xml:space="preserve">-- </v>
          </cell>
          <cell r="CM398" t="str">
            <v xml:space="preserve">-- </v>
          </cell>
          <cell r="CN398" t="str">
            <v xml:space="preserve">-- </v>
          </cell>
          <cell r="CO398" t="str">
            <v xml:space="preserve">-- </v>
          </cell>
          <cell r="CP398" t="str">
            <v xml:space="preserve">-- </v>
          </cell>
          <cell r="CR398" t="str">
            <v xml:space="preserve">-- </v>
          </cell>
          <cell r="CS398" t="str">
            <v xml:space="preserve">-- </v>
          </cell>
          <cell r="CT398" t="str">
            <v xml:space="preserve">-- </v>
          </cell>
          <cell r="CU398">
            <v>111.89330652437204</v>
          </cell>
          <cell r="CZ398" t="str">
            <v>--</v>
          </cell>
          <cell r="DB398">
            <v>76.802446185655953</v>
          </cell>
          <cell r="DC398">
            <v>64.539122877770495</v>
          </cell>
          <cell r="DD398">
            <v>52.402001626956732</v>
          </cell>
          <cell r="DE398">
            <v>46.812133146945087</v>
          </cell>
          <cell r="DG398">
            <v>44.817215363564074</v>
          </cell>
          <cell r="DH398">
            <v>45.029326243811617</v>
          </cell>
          <cell r="DI398">
            <v>43.075353814332829</v>
          </cell>
          <cell r="DJ398">
            <v>41.579872907267251</v>
          </cell>
          <cell r="DL398">
            <v>38.372244312009109</v>
          </cell>
          <cell r="DM398">
            <v>42.135865208693559</v>
          </cell>
          <cell r="DN398">
            <v>40.558695500469668</v>
          </cell>
          <cell r="DO398">
            <v>39.207539141086613</v>
          </cell>
          <cell r="DR398" t="str">
            <v xml:space="preserve"> -- </v>
          </cell>
          <cell r="DS398">
            <v>40.601263578026874</v>
          </cell>
          <cell r="DT398">
            <v>44.422710019252527</v>
          </cell>
          <cell r="DU398">
            <v>39.821674675257867</v>
          </cell>
          <cell r="DV398">
            <v>41.552323693778433</v>
          </cell>
          <cell r="DW398">
            <v>44.760376510554629</v>
          </cell>
          <cell r="DX398" t="str">
            <v xml:space="preserve"> -- </v>
          </cell>
          <cell r="DY398">
            <v>45.085480984463736</v>
          </cell>
          <cell r="DZ398">
            <v>45.252159290312726</v>
          </cell>
          <cell r="EB398" t="str">
            <v xml:space="preserve"> -- </v>
          </cell>
          <cell r="EC398" t="str">
            <v xml:space="preserve"> -- </v>
          </cell>
          <cell r="EE398">
            <v>60.35511528455563</v>
          </cell>
          <cell r="EL398">
            <v>51.163260038948316</v>
          </cell>
          <cell r="EM398">
            <v>47.637025688458017</v>
          </cell>
          <cell r="EN398">
            <v>50.676584923398764</v>
          </cell>
          <cell r="EP398" t="str">
            <v xml:space="preserve">-- </v>
          </cell>
          <cell r="EQ398" t="str">
            <v xml:space="preserve">-- </v>
          </cell>
          <cell r="ER398" t="str">
            <v xml:space="preserve">-- </v>
          </cell>
          <cell r="ES398">
            <v>62.533968926870408</v>
          </cell>
          <cell r="ET398" t="str">
            <v>--</v>
          </cell>
          <cell r="EU398">
            <v>64.697825640139996</v>
          </cell>
          <cell r="EV398">
            <v>44.410629555343078</v>
          </cell>
          <cell r="EW398">
            <v>39.172439704098757</v>
          </cell>
        </row>
        <row r="399">
          <cell r="A399" t="str">
            <v>Op. WC/Revenues</v>
          </cell>
          <cell r="I399">
            <v>0.18029565868263475</v>
          </cell>
          <cell r="J399">
            <v>0.17902803784675292</v>
          </cell>
          <cell r="K399">
            <v>0.18671382257589156</v>
          </cell>
          <cell r="L399">
            <v>0.14386970684039091</v>
          </cell>
          <cell r="N399">
            <v>0.21830393732636486</v>
          </cell>
          <cell r="O399">
            <v>0.19592122152614136</v>
          </cell>
          <cell r="P399">
            <v>0.14471322767371911</v>
          </cell>
          <cell r="Q399">
            <v>0.12755901757564561</v>
          </cell>
          <cell r="S399">
            <v>0.16587255338840712</v>
          </cell>
          <cell r="T399">
            <v>0.20154044426072043</v>
          </cell>
          <cell r="U399">
            <v>0.21229646145765216</v>
          </cell>
          <cell r="V399">
            <v>0.14384176613499525</v>
          </cell>
          <cell r="X399">
            <v>0.24616435829504676</v>
          </cell>
          <cell r="Y399">
            <v>0.21672283864126937</v>
          </cell>
          <cell r="Z399">
            <v>0.21630454954738224</v>
          </cell>
          <cell r="AA399">
            <v>0.14359890625154242</v>
          </cell>
          <cell r="AC399">
            <v>0.22622368901855472</v>
          </cell>
          <cell r="AD399">
            <v>0.21792704328372206</v>
          </cell>
          <cell r="AE399">
            <v>0.22005400848006448</v>
          </cell>
          <cell r="AF399">
            <v>0.14560879767351659</v>
          </cell>
          <cell r="AH399">
            <v>0.18209948137570575</v>
          </cell>
          <cell r="AI399">
            <v>0.18088422165519627</v>
          </cell>
          <cell r="AJ399">
            <v>0.17491180790019531</v>
          </cell>
          <cell r="AK399">
            <v>0.13433511260329292</v>
          </cell>
          <cell r="AU399" t="str">
            <v xml:space="preserve">-- </v>
          </cell>
          <cell r="AW399">
            <v>0.20577515180622413</v>
          </cell>
          <cell r="AX399">
            <v>0.21754869892105649</v>
          </cell>
          <cell r="AY399">
            <v>0.2460097278937482</v>
          </cell>
          <cell r="AZ399">
            <v>0.19972273993532794</v>
          </cell>
          <cell r="BB399">
            <v>0.32761622393438289</v>
          </cell>
          <cell r="BC399">
            <v>0.29962334222175285</v>
          </cell>
          <cell r="BD399" t="str">
            <v xml:space="preserve">-- </v>
          </cell>
          <cell r="BE399" t="str">
            <v xml:space="preserve">-- </v>
          </cell>
          <cell r="BG399" t="str">
            <v xml:space="preserve">-- </v>
          </cell>
          <cell r="BH399" t="str">
            <v xml:space="preserve">-- </v>
          </cell>
          <cell r="BI399" t="str">
            <v xml:space="preserve">-- </v>
          </cell>
          <cell r="BJ399" t="str">
            <v xml:space="preserve">-- </v>
          </cell>
          <cell r="BL399" t="str">
            <v xml:space="preserve">-- </v>
          </cell>
          <cell r="BM399" t="str">
            <v xml:space="preserve">-- </v>
          </cell>
          <cell r="BN399" t="str">
            <v xml:space="preserve">-- </v>
          </cell>
          <cell r="BO399" t="str">
            <v xml:space="preserve">-- </v>
          </cell>
          <cell r="BQ399" t="str">
            <v xml:space="preserve">-- </v>
          </cell>
          <cell r="BR399" t="str">
            <v xml:space="preserve">-- </v>
          </cell>
          <cell r="BS399" t="str">
            <v xml:space="preserve">-- </v>
          </cell>
          <cell r="BT399" t="str">
            <v xml:space="preserve">-- </v>
          </cell>
          <cell r="BV399" t="str">
            <v xml:space="preserve">-- </v>
          </cell>
          <cell r="BW399" t="str">
            <v xml:space="preserve">-- </v>
          </cell>
          <cell r="BX399" t="str">
            <v xml:space="preserve">-- </v>
          </cell>
          <cell r="BY399" t="str">
            <v xml:space="preserve">-- </v>
          </cell>
          <cell r="CA399" t="str">
            <v xml:space="preserve">-- </v>
          </cell>
          <cell r="CB399" t="str">
            <v xml:space="preserve">-- </v>
          </cell>
          <cell r="CC399" t="str">
            <v xml:space="preserve">-- </v>
          </cell>
          <cell r="CD399">
            <v>0.1859954049012171</v>
          </cell>
          <cell r="CF399" t="str">
            <v xml:space="preserve">-- </v>
          </cell>
          <cell r="CH399" t="str">
            <v xml:space="preserve">-- </v>
          </cell>
          <cell r="CI399" t="str">
            <v xml:space="preserve">-- </v>
          </cell>
          <cell r="CJ399" t="str">
            <v xml:space="preserve">-- </v>
          </cell>
          <cell r="CK399" t="str">
            <v xml:space="preserve">-- </v>
          </cell>
          <cell r="CM399" t="str">
            <v xml:space="preserve">-- </v>
          </cell>
          <cell r="CN399" t="str">
            <v xml:space="preserve">-- </v>
          </cell>
          <cell r="CO399" t="str">
            <v xml:space="preserve">-- </v>
          </cell>
          <cell r="CP399" t="str">
            <v xml:space="preserve">-- </v>
          </cell>
          <cell r="CR399" t="str">
            <v xml:space="preserve">-- </v>
          </cell>
          <cell r="CS399" t="str">
            <v xml:space="preserve">-- </v>
          </cell>
          <cell r="CT399" t="str">
            <v xml:space="preserve">-- </v>
          </cell>
          <cell r="CU399">
            <v>0.14336189408709518</v>
          </cell>
          <cell r="CZ399" t="str">
            <v>--</v>
          </cell>
          <cell r="DB399">
            <v>0.23740150313847735</v>
          </cell>
          <cell r="DC399">
            <v>0.22541739385974108</v>
          </cell>
          <cell r="DD399">
            <v>0.19152871503709304</v>
          </cell>
          <cell r="DE399">
            <v>0.13556717333191382</v>
          </cell>
          <cell r="DG399">
            <v>0.16461761848018597</v>
          </cell>
          <cell r="DH399">
            <v>0.15759316130080231</v>
          </cell>
          <cell r="DI399">
            <v>0.15804980823427586</v>
          </cell>
          <cell r="DJ399">
            <v>0.11686621579261001</v>
          </cell>
          <cell r="DL399">
            <v>0.16474684709645782</v>
          </cell>
          <cell r="DM399">
            <v>0.15385778870944661</v>
          </cell>
          <cell r="DN399">
            <v>0.14875810636427253</v>
          </cell>
          <cell r="DO399">
            <v>0.11465145140917463</v>
          </cell>
          <cell r="DR399" t="str">
            <v xml:space="preserve"> -- </v>
          </cell>
          <cell r="DS399">
            <v>0.13307864457354707</v>
          </cell>
          <cell r="DT399">
            <v>0.14386970684039091</v>
          </cell>
          <cell r="DU399">
            <v>0.12755901757564561</v>
          </cell>
          <cell r="DV399">
            <v>0.14384176613499525</v>
          </cell>
          <cell r="DW399">
            <v>0.14359890625154242</v>
          </cell>
          <cell r="DX399" t="str">
            <v xml:space="preserve"> -- </v>
          </cell>
          <cell r="DY399">
            <v>0.14560879767351659</v>
          </cell>
          <cell r="DZ399">
            <v>0.13433511260329292</v>
          </cell>
          <cell r="EB399" t="str">
            <v xml:space="preserve"> -- </v>
          </cell>
          <cell r="EC399" t="str">
            <v xml:space="preserve"> -- </v>
          </cell>
          <cell r="EE399">
            <v>0.19972273993532794</v>
          </cell>
          <cell r="EL399">
            <v>0.14088049472199698</v>
          </cell>
          <cell r="EM399">
            <v>0.14771825865095953</v>
          </cell>
          <cell r="EN399">
            <v>0.1859954049012171</v>
          </cell>
          <cell r="EP399" t="str">
            <v xml:space="preserve">-- </v>
          </cell>
          <cell r="EQ399" t="str">
            <v xml:space="preserve">-- </v>
          </cell>
          <cell r="ER399" t="str">
            <v xml:space="preserve">-- </v>
          </cell>
          <cell r="ES399" t="str">
            <v xml:space="preserve">-- </v>
          </cell>
          <cell r="ET399" t="str">
            <v>--</v>
          </cell>
          <cell r="EU399" t="str">
            <v>--</v>
          </cell>
          <cell r="EV399">
            <v>0.11686621579261001</v>
          </cell>
          <cell r="EW399">
            <v>0.11465145140917463</v>
          </cell>
        </row>
        <row r="401">
          <cell r="A401" t="str">
            <v>ROE</v>
          </cell>
          <cell r="B401" t="str">
            <v>roe</v>
          </cell>
          <cell r="I401">
            <v>0.28996400592843563</v>
          </cell>
          <cell r="J401">
            <v>0.20423899641857651</v>
          </cell>
          <cell r="K401">
            <v>0.2044127010491931</v>
          </cell>
          <cell r="L401">
            <v>0.23423669864592894</v>
          </cell>
          <cell r="N401">
            <v>0.27426260458686286</v>
          </cell>
          <cell r="O401">
            <v>0.29482011105195088</v>
          </cell>
          <cell r="P401">
            <v>0.31734291595436603</v>
          </cell>
          <cell r="Q401">
            <v>0.32807769929364294</v>
          </cell>
          <cell r="S401">
            <v>0.32439215686274525</v>
          </cell>
          <cell r="T401">
            <v>0.33489669159589303</v>
          </cell>
          <cell r="U401">
            <v>0.33607495391484266</v>
          </cell>
          <cell r="V401">
            <v>0.34040038112125037</v>
          </cell>
          <cell r="X401">
            <v>0.33831799826673747</v>
          </cell>
          <cell r="Y401">
            <v>0.33396923258330913</v>
          </cell>
          <cell r="Z401">
            <v>0.33090708911860078</v>
          </cell>
          <cell r="AA401">
            <v>0.32205621175708615</v>
          </cell>
          <cell r="AC401">
            <v>0.38640405931971289</v>
          </cell>
          <cell r="AD401">
            <v>0.29106714628297364</v>
          </cell>
          <cell r="AE401">
            <v>0.33382050213628722</v>
          </cell>
          <cell r="AF401">
            <v>0.34106865659378593</v>
          </cell>
          <cell r="AH401">
            <v>0.33851299669410756</v>
          </cell>
          <cell r="AI401">
            <v>0.35049581562254079</v>
          </cell>
          <cell r="AJ401">
            <v>0.36091415695603818</v>
          </cell>
          <cell r="AK401">
            <v>0.27135936852159942</v>
          </cell>
          <cell r="AU401" t="str">
            <v xml:space="preserve">-- </v>
          </cell>
          <cell r="AW401">
            <v>0.23060923480042311</v>
          </cell>
          <cell r="AX401">
            <v>0.22973284534133648</v>
          </cell>
          <cell r="AY401">
            <v>0.22978533814166119</v>
          </cell>
          <cell r="AZ401">
            <v>0.22889469395419954</v>
          </cell>
          <cell r="BB401">
            <v>0.43424015023451684</v>
          </cell>
          <cell r="BC401">
            <v>0.18227291124002462</v>
          </cell>
          <cell r="BD401" t="str">
            <v xml:space="preserve">-- </v>
          </cell>
          <cell r="BE401" t="str">
            <v xml:space="preserve">-- </v>
          </cell>
          <cell r="BG401" t="str">
            <v xml:space="preserve">-- </v>
          </cell>
          <cell r="BH401" t="str">
            <v xml:space="preserve">-- </v>
          </cell>
          <cell r="BI401" t="str">
            <v xml:space="preserve">-- </v>
          </cell>
          <cell r="BJ401" t="str">
            <v xml:space="preserve">-- </v>
          </cell>
          <cell r="BL401" t="str">
            <v xml:space="preserve">-- </v>
          </cell>
          <cell r="BM401" t="str">
            <v xml:space="preserve">-- </v>
          </cell>
          <cell r="BN401" t="str">
            <v xml:space="preserve">-- </v>
          </cell>
          <cell r="BO401" t="str">
            <v xml:space="preserve">-- </v>
          </cell>
          <cell r="BQ401" t="str">
            <v xml:space="preserve">-- </v>
          </cell>
          <cell r="BR401" t="str">
            <v xml:space="preserve">-- </v>
          </cell>
          <cell r="BS401" t="str">
            <v xml:space="preserve">-- </v>
          </cell>
          <cell r="BT401" t="str">
            <v xml:space="preserve">-- </v>
          </cell>
          <cell r="BV401">
            <v>0.16868919607161401</v>
          </cell>
          <cell r="BW401">
            <v>0.18501728134586279</v>
          </cell>
          <cell r="BX401">
            <v>0.20541220697108059</v>
          </cell>
          <cell r="BY401">
            <v>0.21444795188599711</v>
          </cell>
          <cell r="CA401">
            <v>0.19350867305899802</v>
          </cell>
          <cell r="CB401">
            <v>0.18374748197542912</v>
          </cell>
          <cell r="CC401">
            <v>0.16740860067186583</v>
          </cell>
          <cell r="CD401">
            <v>0.2396785792730031</v>
          </cell>
          <cell r="CF401">
            <v>0.25110183998700186</v>
          </cell>
          <cell r="CH401" t="str">
            <v xml:space="preserve">-- </v>
          </cell>
          <cell r="CI401" t="str">
            <v xml:space="preserve">-- </v>
          </cell>
          <cell r="CJ401" t="str">
            <v xml:space="preserve">-- </v>
          </cell>
          <cell r="CK401" t="str">
            <v xml:space="preserve">-- </v>
          </cell>
          <cell r="CM401">
            <v>0.20607957651382497</v>
          </cell>
          <cell r="CN401">
            <v>0.19093271103508577</v>
          </cell>
          <cell r="CO401">
            <v>0.17729191116257076</v>
          </cell>
          <cell r="CP401">
            <v>0.24595983575369343</v>
          </cell>
          <cell r="CR401">
            <v>0.25475169887927773</v>
          </cell>
          <cell r="CS401">
            <v>0.23850338038943356</v>
          </cell>
          <cell r="CT401">
            <v>6.4231322877706845E-2</v>
          </cell>
          <cell r="CU401">
            <v>7.5864905150671898E-3</v>
          </cell>
          <cell r="CZ401" t="str">
            <v>--</v>
          </cell>
          <cell r="DB401">
            <v>4.7476328682550424E-3</v>
          </cell>
          <cell r="DC401">
            <v>-3.2747972086097465E-3</v>
          </cell>
          <cell r="DD401">
            <v>1.9496029934584322E-3</v>
          </cell>
          <cell r="DE401">
            <v>2.104834841484618E-3</v>
          </cell>
          <cell r="DG401">
            <v>6.9290263158813346E-3</v>
          </cell>
          <cell r="DH401">
            <v>6.2018262776928216E-3</v>
          </cell>
          <cell r="DI401">
            <v>1.2879314653981436E-2</v>
          </cell>
          <cell r="DJ401">
            <v>1.9180965196737908E-2</v>
          </cell>
          <cell r="DL401">
            <v>2.6543518847302491E-2</v>
          </cell>
          <cell r="DM401">
            <v>2.1691199226215849E-2</v>
          </cell>
          <cell r="DN401">
            <v>2.4703426285893219E-2</v>
          </cell>
          <cell r="DO401">
            <v>2.7846286213297877E-2</v>
          </cell>
          <cell r="DR401" t="str">
            <v>NM</v>
          </cell>
          <cell r="DS401">
            <v>0.3575870884047469</v>
          </cell>
          <cell r="DT401">
            <v>0.26936221023592877</v>
          </cell>
          <cell r="DU401">
            <v>0.29756230303987918</v>
          </cell>
          <cell r="DV401">
            <v>0.32697375355749986</v>
          </cell>
          <cell r="DW401">
            <v>0.32237193025729582</v>
          </cell>
          <cell r="DX401" t="str">
            <v xml:space="preserve"> -- </v>
          </cell>
          <cell r="DY401">
            <v>0.33626297439452857</v>
          </cell>
          <cell r="DZ401">
            <v>0.27393365369890416</v>
          </cell>
          <cell r="EB401" t="str">
            <v xml:space="preserve"> -- </v>
          </cell>
          <cell r="EC401" t="str">
            <v xml:space="preserve"> -- </v>
          </cell>
          <cell r="EE401">
            <v>0.21995858641634453</v>
          </cell>
          <cell r="EL401" t="str">
            <v xml:space="preserve">-- </v>
          </cell>
          <cell r="EM401">
            <v>0.18868257529351221</v>
          </cell>
          <cell r="EN401">
            <v>0.20220332588081588</v>
          </cell>
          <cell r="EP401" t="str">
            <v xml:space="preserve">-- </v>
          </cell>
          <cell r="EQ401">
            <v>0.17836057770083688</v>
          </cell>
          <cell r="ER401">
            <v>0.20953937009808843</v>
          </cell>
          <cell r="ES401">
            <v>0.14802100021306888</v>
          </cell>
          <cell r="ET401" t="str">
            <v>--</v>
          </cell>
          <cell r="EU401">
            <v>2.1699806058058605E-3</v>
          </cell>
          <cell r="EV401">
            <v>1.1571816379309303E-2</v>
          </cell>
          <cell r="EW401">
            <v>2.5328204914018642E-2</v>
          </cell>
        </row>
        <row r="402">
          <cell r="A402" t="str">
            <v>ROA</v>
          </cell>
          <cell r="B402" t="str">
            <v>roa</v>
          </cell>
          <cell r="I402">
            <v>0.1983219745309405</v>
          </cell>
          <cell r="J402">
            <v>0.15674376689696612</v>
          </cell>
          <cell r="K402">
            <v>0.15814046459829528</v>
          </cell>
          <cell r="L402">
            <v>0.17588157190120229</v>
          </cell>
          <cell r="N402">
            <v>0.19662431029126809</v>
          </cell>
          <cell r="O402">
            <v>0.20920535967291412</v>
          </cell>
          <cell r="P402">
            <v>0.2181962110717304</v>
          </cell>
          <cell r="Q402">
            <v>0.15003677371904886</v>
          </cell>
          <cell r="S402">
            <v>0.11901411029784927</v>
          </cell>
          <cell r="T402">
            <v>0.12938137388131879</v>
          </cell>
          <cell r="U402">
            <v>0.13571638335507405</v>
          </cell>
          <cell r="V402">
            <v>0.14664609184477567</v>
          </cell>
          <cell r="X402">
            <v>0.15086923720503781</v>
          </cell>
          <cell r="Y402">
            <v>0.15333274039930236</v>
          </cell>
          <cell r="Z402">
            <v>0.15953201974982822</v>
          </cell>
          <cell r="AA402">
            <v>0.1616861935713528</v>
          </cell>
          <cell r="AC402">
            <v>0.17038400585591376</v>
          </cell>
          <cell r="AD402">
            <v>0.1288027470523152</v>
          </cell>
          <cell r="AE402">
            <v>0.15302749311852398</v>
          </cell>
          <cell r="AF402">
            <v>0.1561904864289575</v>
          </cell>
          <cell r="AH402">
            <v>0.15691847423504676</v>
          </cell>
          <cell r="AI402">
            <v>0.16724735222254686</v>
          </cell>
          <cell r="AJ402">
            <v>0.17884451457592956</v>
          </cell>
          <cell r="AK402">
            <v>0.1702762961019515</v>
          </cell>
          <cell r="AU402" t="str">
            <v xml:space="preserve">-- </v>
          </cell>
          <cell r="AW402">
            <v>0.16892428817682803</v>
          </cell>
          <cell r="AX402">
            <v>0.16890800085123236</v>
          </cell>
          <cell r="AY402">
            <v>0.13832759956438423</v>
          </cell>
          <cell r="AZ402">
            <v>0.11856043680709433</v>
          </cell>
          <cell r="BB402">
            <v>0.22287728677020263</v>
          </cell>
          <cell r="BC402">
            <v>0.10865873523063387</v>
          </cell>
          <cell r="BD402" t="str">
            <v xml:space="preserve">-- </v>
          </cell>
          <cell r="BE402" t="str">
            <v xml:space="preserve">-- </v>
          </cell>
          <cell r="BG402" t="str">
            <v xml:space="preserve">-- </v>
          </cell>
          <cell r="BH402" t="str">
            <v xml:space="preserve">-- </v>
          </cell>
          <cell r="BI402" t="str">
            <v xml:space="preserve">-- </v>
          </cell>
          <cell r="BJ402" t="str">
            <v xml:space="preserve">-- </v>
          </cell>
          <cell r="BL402" t="str">
            <v xml:space="preserve">-- </v>
          </cell>
          <cell r="BM402" t="str">
            <v xml:space="preserve">-- </v>
          </cell>
          <cell r="BN402" t="str">
            <v xml:space="preserve">-- </v>
          </cell>
          <cell r="BO402" t="str">
            <v xml:space="preserve">-- </v>
          </cell>
          <cell r="BQ402" t="str">
            <v xml:space="preserve">-- </v>
          </cell>
          <cell r="BR402" t="str">
            <v xml:space="preserve">-- </v>
          </cell>
          <cell r="BS402" t="str">
            <v xml:space="preserve">-- </v>
          </cell>
          <cell r="BT402" t="str">
            <v xml:space="preserve">-- </v>
          </cell>
          <cell r="BV402">
            <v>7.8828149308281859E-2</v>
          </cell>
          <cell r="BW402">
            <v>8.8517296109122498E-2</v>
          </cell>
          <cell r="BX402">
            <v>9.2086381295719333E-2</v>
          </cell>
          <cell r="BY402">
            <v>9.0746750139411927E-2</v>
          </cell>
          <cell r="CA402">
            <v>8.3488460513233054E-2</v>
          </cell>
          <cell r="CB402">
            <v>9.1661927149042935E-2</v>
          </cell>
          <cell r="CC402">
            <v>9.2249451830452231E-2</v>
          </cell>
          <cell r="CD402">
            <v>0.12121949674524833</v>
          </cell>
          <cell r="CF402">
            <v>0.11981645757932437</v>
          </cell>
          <cell r="CH402" t="str">
            <v xml:space="preserve">-- </v>
          </cell>
          <cell r="CI402" t="str">
            <v xml:space="preserve">-- </v>
          </cell>
          <cell r="CJ402" t="str">
            <v xml:space="preserve">-- </v>
          </cell>
          <cell r="CK402" t="str">
            <v xml:space="preserve">-- </v>
          </cell>
          <cell r="CM402">
            <v>8.5888267154102277E-2</v>
          </cell>
          <cell r="CN402">
            <v>9.2056892036292984E-2</v>
          </cell>
          <cell r="CO402">
            <v>9.4154435481325585E-2</v>
          </cell>
          <cell r="CP402">
            <v>0.12037167814094521</v>
          </cell>
          <cell r="CR402">
            <v>0.118934760948449</v>
          </cell>
          <cell r="CS402">
            <v>0.11685776795458722</v>
          </cell>
          <cell r="CT402">
            <v>3.3289682239234647E-2</v>
          </cell>
          <cell r="CU402">
            <v>3.9371475619540252E-3</v>
          </cell>
          <cell r="CZ402" t="str">
            <v>--</v>
          </cell>
          <cell r="DB402">
            <v>2.8091672066660888E-3</v>
          </cell>
          <cell r="DC402">
            <v>-1.9455518514142173E-3</v>
          </cell>
          <cell r="DD402">
            <v>1.126841045890329E-3</v>
          </cell>
          <cell r="DE402">
            <v>1.1973877853004872E-3</v>
          </cell>
          <cell r="DG402">
            <v>4.0279542658987625E-3</v>
          </cell>
          <cell r="DH402">
            <v>3.7238504243852985E-3</v>
          </cell>
          <cell r="DI402">
            <v>7.8007450101421193E-3</v>
          </cell>
          <cell r="DJ402">
            <v>1.1651546223019994E-2</v>
          </cell>
          <cell r="DL402">
            <v>1.6036630913630737E-2</v>
          </cell>
          <cell r="DM402">
            <v>1.3134763173852841E-2</v>
          </cell>
          <cell r="DN402">
            <v>1.4966739311598953E-2</v>
          </cell>
          <cell r="DO402">
            <v>1.6722853335326426E-2</v>
          </cell>
          <cell r="DR402" t="str">
            <v>NM</v>
          </cell>
          <cell r="DS402">
            <v>0.10262699707624764</v>
          </cell>
          <cell r="DT402">
            <v>0.17838574804580989</v>
          </cell>
          <cell r="DU402">
            <v>0.13421070344019354</v>
          </cell>
          <cell r="DV402">
            <v>0.1333725071480269</v>
          </cell>
          <cell r="DW402">
            <v>0.15676871118041527</v>
          </cell>
          <cell r="DX402" t="str">
            <v xml:space="preserve"> -- </v>
          </cell>
          <cell r="DY402">
            <v>0.14955179054008993</v>
          </cell>
          <cell r="DZ402">
            <v>0.16634810543056147</v>
          </cell>
          <cell r="EB402" t="str">
            <v xml:space="preserve"> -- </v>
          </cell>
          <cell r="EC402" t="str">
            <v xml:space="preserve"> -- </v>
          </cell>
          <cell r="EE402">
            <v>0.13106271773257061</v>
          </cell>
          <cell r="EL402" t="str">
            <v xml:space="preserve">-- </v>
          </cell>
          <cell r="EM402">
            <v>8.4175922067845826E-2</v>
          </cell>
          <cell r="EN402">
            <v>9.213301076502467E-2</v>
          </cell>
          <cell r="EP402" t="str">
            <v xml:space="preserve">-- </v>
          </cell>
          <cell r="EQ402">
            <v>7.722675025562438E-2</v>
          </cell>
          <cell r="ER402">
            <v>9.2994632937556568E-2</v>
          </cell>
          <cell r="ES402">
            <v>7.1274333591361358E-2</v>
          </cell>
          <cell r="ET402" t="str">
            <v>--</v>
          </cell>
          <cell r="EU402">
            <v>1.1947583465701356E-3</v>
          </cell>
          <cell r="EV402">
            <v>6.798118911240875E-3</v>
          </cell>
          <cell r="EW402">
            <v>1.5301530582610643E-2</v>
          </cell>
        </row>
        <row r="404">
          <cell r="A404" t="str">
            <v>RI Input:</v>
          </cell>
        </row>
        <row r="405">
          <cell r="A405" t="str">
            <v>Inventory Turns</v>
          </cell>
          <cell r="B405" t="str">
            <v>sinvx</v>
          </cell>
          <cell r="I405">
            <v>7.6650977552498185</v>
          </cell>
          <cell r="J405">
            <v>7.5490196078431371</v>
          </cell>
          <cell r="K405">
            <v>7.4322558751166534</v>
          </cell>
          <cell r="L405">
            <v>8.9144634525660962</v>
          </cell>
          <cell r="N405">
            <v>7.1679399544297002</v>
          </cell>
          <cell r="O405">
            <v>6.8849999999999998</v>
          </cell>
          <cell r="P405">
            <v>8.1068368492584071</v>
          </cell>
          <cell r="Q405">
            <v>7.6638085947527852</v>
          </cell>
          <cell r="S405">
            <v>7.1611734878667139</v>
          </cell>
          <cell r="T405">
            <v>6.0071272272585192</v>
          </cell>
          <cell r="U405">
            <v>6.2093556523733096</v>
          </cell>
          <cell r="V405">
            <v>7.4480052321778931</v>
          </cell>
          <cell r="X405">
            <v>6.0233632406502631</v>
          </cell>
          <cell r="Y405">
            <v>6.4346275925040226</v>
          </cell>
          <cell r="Z405">
            <v>6.4069274362937421</v>
          </cell>
          <cell r="AA405">
            <v>7.0950149470792594</v>
          </cell>
          <cell r="AC405">
            <v>6.6674430952095491</v>
          </cell>
          <cell r="AD405">
            <v>6.6762594468373804</v>
          </cell>
          <cell r="AE405">
            <v>6.9820692528607351</v>
          </cell>
          <cell r="AF405">
            <v>8.2384854989428824</v>
          </cell>
          <cell r="AH405">
            <v>7.8505970125711766</v>
          </cell>
          <cell r="AI405">
            <v>7.115483794184156</v>
          </cell>
          <cell r="AJ405">
            <v>8.675000705477327</v>
          </cell>
          <cell r="AK405">
            <v>8.7743825504329021</v>
          </cell>
          <cell r="AU405">
            <v>8.1182824946570822</v>
          </cell>
          <cell r="AW405">
            <v>8.3910900234319552</v>
          </cell>
          <cell r="AX405">
            <v>6.967001753453351</v>
          </cell>
          <cell r="AY405">
            <v>6.8483141319962826</v>
          </cell>
          <cell r="AZ405">
            <v>5.3644889709624426</v>
          </cell>
          <cell r="BB405">
            <v>5.4561138328169836</v>
          </cell>
          <cell r="BC405">
            <v>6.0522517395690523</v>
          </cell>
          <cell r="BQ405">
            <v>8.3523801556094703</v>
          </cell>
          <cell r="BR405">
            <v>7.3833303647595923</v>
          </cell>
          <cell r="BS405">
            <v>8.508642720595633</v>
          </cell>
          <cell r="BT405">
            <v>8.9055844373637427</v>
          </cell>
          <cell r="BV405">
            <v>8.8615818385105243</v>
          </cell>
          <cell r="BW405">
            <v>8.6286113657611203</v>
          </cell>
          <cell r="BX405">
            <v>8.3572451613720968</v>
          </cell>
          <cell r="BY405">
            <v>7.2714586932476992</v>
          </cell>
          <cell r="CA405">
            <v>6.8437948292900632</v>
          </cell>
          <cell r="CB405">
            <v>7.2948474177824094</v>
          </cell>
          <cell r="CC405">
            <v>6.9571775831640643</v>
          </cell>
          <cell r="CD405">
            <v>7.3272528325368551</v>
          </cell>
          <cell r="CF405">
            <v>7.6223569884738218</v>
          </cell>
          <cell r="CH405">
            <v>8.6520884583736599</v>
          </cell>
          <cell r="CI405">
            <v>8.4864395500949481</v>
          </cell>
          <cell r="CJ405">
            <v>8.3886385624366415</v>
          </cell>
          <cell r="CK405">
            <v>7.4968008063890821</v>
          </cell>
          <cell r="CM405">
            <v>7.4177531177562646</v>
          </cell>
          <cell r="CN405">
            <v>7.4250401715219798</v>
          </cell>
          <cell r="CO405">
            <v>7.0988456593709941</v>
          </cell>
          <cell r="CP405">
            <v>7.4043396654361855</v>
          </cell>
          <cell r="CR405">
            <v>7.6791661825341739</v>
          </cell>
          <cell r="CS405">
            <v>6.4046566261400226</v>
          </cell>
          <cell r="CT405">
            <v>4.9423270091819775</v>
          </cell>
          <cell r="CU405">
            <v>4.3852233526920221</v>
          </cell>
          <cell r="DB405">
            <v>6.2081707119303742</v>
          </cell>
          <cell r="DC405">
            <v>7.094693007331661</v>
          </cell>
          <cell r="DD405">
            <v>7.8790639233547983</v>
          </cell>
          <cell r="DE405">
            <v>8.1999999999999993</v>
          </cell>
          <cell r="DG405">
            <v>8.4</v>
          </cell>
          <cell r="DH405">
            <v>8.1999999999999993</v>
          </cell>
          <cell r="DI405">
            <v>8.3999999999999986</v>
          </cell>
          <cell r="DJ405">
            <v>8.4999999999999982</v>
          </cell>
          <cell r="DL405">
            <v>8.6999999999999975</v>
          </cell>
          <cell r="DM405">
            <v>8.4999999999999982</v>
          </cell>
          <cell r="DN405">
            <v>8.6999999999999975</v>
          </cell>
          <cell r="DO405">
            <v>8.7999999999999972</v>
          </cell>
          <cell r="DR405">
            <v>9.3988706365503081</v>
          </cell>
          <cell r="DS405">
            <v>6.9484832904884319</v>
          </cell>
          <cell r="DT405">
            <v>8.4734642301710732</v>
          </cell>
          <cell r="DU405">
            <v>6.6051753350105251</v>
          </cell>
          <cell r="DV405">
            <v>6.2764645426515928</v>
          </cell>
          <cell r="DW405">
            <v>6.2706633271390473</v>
          </cell>
          <cell r="DX405">
            <v>7.1316385896866743</v>
          </cell>
          <cell r="DY405">
            <v>7.2308419812462681</v>
          </cell>
          <cell r="DZ405">
            <v>8.1782228474468113</v>
          </cell>
          <cell r="EA405" t="str">
            <v xml:space="preserve">-- </v>
          </cell>
          <cell r="EB405" t="str">
            <v xml:space="preserve">-- </v>
          </cell>
          <cell r="EC405">
            <v>7.6155916067612202</v>
          </cell>
          <cell r="EE405">
            <v>4.6292585753129867</v>
          </cell>
          <cell r="EF405" t="str">
            <v xml:space="preserve">-- </v>
          </cell>
          <cell r="EH405" t="str">
            <v xml:space="preserve">-- </v>
          </cell>
          <cell r="EI405" t="str">
            <v xml:space="preserve">-- </v>
          </cell>
          <cell r="EK405" t="str">
            <v xml:space="preserve">-- </v>
          </cell>
          <cell r="EL405">
            <v>8.1521503819005066</v>
          </cell>
          <cell r="EM405">
            <v>6.5814857265062932</v>
          </cell>
          <cell r="EN405">
            <v>5.7092808625035403</v>
          </cell>
          <cell r="EQ405">
            <v>6.756882996045591</v>
          </cell>
          <cell r="ER405">
            <v>5.8262490261885436</v>
          </cell>
          <cell r="ES405">
            <v>6.7563306088261319</v>
          </cell>
          <cell r="EU405">
            <v>7.7283048278279205</v>
          </cell>
          <cell r="EV405">
            <v>8.4501862405964623</v>
          </cell>
          <cell r="EW405">
            <v>8.571062472992633</v>
          </cell>
        </row>
        <row r="406">
          <cell r="A406" t="str">
            <v>Inventory Days</v>
          </cell>
          <cell r="B406" t="str">
            <v>sdih</v>
          </cell>
          <cell r="I406">
            <v>46.9661329176704</v>
          </cell>
          <cell r="J406">
            <v>47.688311688311693</v>
          </cell>
          <cell r="K406">
            <v>48.437514268754853</v>
          </cell>
          <cell r="L406">
            <v>40.383810188415914</v>
          </cell>
          <cell r="N406">
            <v>50.223635003739723</v>
          </cell>
          <cell r="O406">
            <v>52.287581699346404</v>
          </cell>
          <cell r="P406">
            <v>44.406962505102328</v>
          </cell>
          <cell r="Q406">
            <v>46.974033282418205</v>
          </cell>
          <cell r="S406">
            <v>50.271090430912409</v>
          </cell>
          <cell r="T406">
            <v>59.928812289246899</v>
          </cell>
          <cell r="U406">
            <v>57.977030170981195</v>
          </cell>
          <cell r="V406">
            <v>48.335089567966286</v>
          </cell>
          <cell r="X406">
            <v>59.767273799867255</v>
          </cell>
          <cell r="Y406">
            <v>55.947293736063244</v>
          </cell>
          <cell r="Z406">
            <v>56.189180161567677</v>
          </cell>
          <cell r="AA406">
            <v>50.739850822752381</v>
          </cell>
          <cell r="AC406">
            <v>53.993711661169513</v>
          </cell>
          <cell r="AD406">
            <v>53.922410126007918</v>
          </cell>
          <cell r="AE406">
            <v>51.560645843279005</v>
          </cell>
          <cell r="AF406">
            <v>43.697351903598452</v>
          </cell>
          <cell r="AH406">
            <v>45.856385116129552</v>
          </cell>
          <cell r="AI406">
            <v>50.593889384478139</v>
          </cell>
          <cell r="AJ406">
            <v>41.49855570302131</v>
          </cell>
          <cell r="AK406">
            <v>41.028527982546038</v>
          </cell>
          <cell r="AU406">
            <v>44.344354885029958</v>
          </cell>
          <cell r="AW406">
            <v>42.902650191418161</v>
          </cell>
          <cell r="AX406">
            <v>51.6721557909122</v>
          </cell>
          <cell r="AY406">
            <v>52.567682069084654</v>
          </cell>
          <cell r="AZ406">
            <v>67.107976537681722</v>
          </cell>
          <cell r="BB406">
            <v>65.981028078025361</v>
          </cell>
          <cell r="BC406">
            <v>59.481993725798596</v>
          </cell>
          <cell r="BQ406">
            <v>43.10148643775792</v>
          </cell>
          <cell r="BR406">
            <v>48.758484615326019</v>
          </cell>
          <cell r="BS406">
            <v>42.309920844202381</v>
          </cell>
          <cell r="BT406">
            <v>40.424073516119314</v>
          </cell>
          <cell r="BV406">
            <v>40.62480114278442</v>
          </cell>
          <cell r="BW406">
            <v>41.721661196667512</v>
          </cell>
          <cell r="BX406">
            <v>43.076395755858741</v>
          </cell>
          <cell r="BY406">
            <v>49.508635775418377</v>
          </cell>
          <cell r="CA406">
            <v>52.602395159374524</v>
          </cell>
          <cell r="CB406">
            <v>49.349901290935826</v>
          </cell>
          <cell r="CC406">
            <v>51.745121595167781</v>
          </cell>
          <cell r="CD406">
            <v>49.131647048046538</v>
          </cell>
          <cell r="CF406">
            <v>47.229485649173277</v>
          </cell>
          <cell r="CH406">
            <v>41.608451153962136</v>
          </cell>
          <cell r="CI406">
            <v>42.42061678221372</v>
          </cell>
          <cell r="CJ406">
            <v>42.915187884246031</v>
          </cell>
          <cell r="CK406">
            <v>48.020483576566846</v>
          </cell>
          <cell r="CM406">
            <v>48.532216465690823</v>
          </cell>
          <cell r="CN406">
            <v>48.484586168401492</v>
          </cell>
          <cell r="CO406">
            <v>50.712470347171688</v>
          </cell>
          <cell r="CP406">
            <v>48.620135794215024</v>
          </cell>
          <cell r="CR406">
            <v>46.880089770527363</v>
          </cell>
          <cell r="CS406">
            <v>56.209102378836796</v>
          </cell>
          <cell r="CT406">
            <v>72.8401822322123</v>
          </cell>
          <cell r="CU406">
            <v>82.093880070897981</v>
          </cell>
          <cell r="DB406">
            <v>57.988096124383361</v>
          </cell>
          <cell r="DC406">
            <v>50.742153272590613</v>
          </cell>
          <cell r="DD406">
            <v>45.690706853247221</v>
          </cell>
          <cell r="DE406">
            <v>43.902439024390247</v>
          </cell>
          <cell r="DG406">
            <v>42.857142857142854</v>
          </cell>
          <cell r="DH406">
            <v>43.902439024390247</v>
          </cell>
          <cell r="DI406">
            <v>42.857142857142861</v>
          </cell>
          <cell r="DJ406">
            <v>42.352941176470594</v>
          </cell>
          <cell r="DL406">
            <v>41.379310344827601</v>
          </cell>
          <cell r="DM406">
            <v>42.352941176470594</v>
          </cell>
          <cell r="DN406">
            <v>41.379310344827601</v>
          </cell>
          <cell r="DO406">
            <v>40.909090909090921</v>
          </cell>
          <cell r="DR406">
            <v>38.302474193019826</v>
          </cell>
          <cell r="DS406">
            <v>51.8098677005949</v>
          </cell>
          <cell r="DT406">
            <v>42.485574992830514</v>
          </cell>
          <cell r="DU406">
            <v>54.502716694261132</v>
          </cell>
          <cell r="DV406">
            <v>57.35713116096283</v>
          </cell>
          <cell r="DW406">
            <v>57.410194299850545</v>
          </cell>
          <cell r="DX406">
            <v>50.479282632270412</v>
          </cell>
          <cell r="DY406">
            <v>49.786733126472278</v>
          </cell>
          <cell r="DZ406">
            <v>44.019343409355699</v>
          </cell>
          <cell r="EC406">
            <v>47.271442402503226</v>
          </cell>
          <cell r="EE406">
            <v>77.76623278721479</v>
          </cell>
          <cell r="EL406">
            <v>44.160127467628165</v>
          </cell>
          <cell r="EM406">
            <v>54.698895501685136</v>
          </cell>
          <cell r="EN406">
            <v>63.055226861293121</v>
          </cell>
          <cell r="EQ406">
            <v>53.279004566260355</v>
          </cell>
          <cell r="ER406">
            <v>61.789325925106795</v>
          </cell>
          <cell r="ES406">
            <v>53.283360575889233</v>
          </cell>
          <cell r="EU406">
            <v>46.582013523032821</v>
          </cell>
          <cell r="EV406">
            <v>42.602611321213807</v>
          </cell>
          <cell r="EW406">
            <v>42.00179395895875</v>
          </cell>
        </row>
        <row r="407">
          <cell r="A407" t="str">
            <v>Days Accounts Receivable</v>
          </cell>
          <cell r="B407" t="str">
            <v>sdso</v>
          </cell>
          <cell r="I407">
            <v>36.350474288567149</v>
          </cell>
          <cell r="J407">
            <v>42.04195804195804</v>
          </cell>
          <cell r="K407">
            <v>44.810021454771956</v>
          </cell>
          <cell r="L407">
            <v>50.195049504950497</v>
          </cell>
          <cell r="N407">
            <v>47.231287231287233</v>
          </cell>
          <cell r="O407">
            <v>41.823865802516202</v>
          </cell>
          <cell r="P407">
            <v>40.152728251362447</v>
          </cell>
          <cell r="Q407">
            <v>43.706064432044968</v>
          </cell>
          <cell r="S407">
            <v>44.446233467510062</v>
          </cell>
          <cell r="T407">
            <v>44.130207839043372</v>
          </cell>
          <cell r="U407">
            <v>40.740355707903682</v>
          </cell>
          <cell r="V407">
            <v>34.876691039718736</v>
          </cell>
          <cell r="X407">
            <v>50.462708736553097</v>
          </cell>
          <cell r="Y407">
            <v>42.19482936918304</v>
          </cell>
          <cell r="Z407">
            <v>43.959167409824865</v>
          </cell>
          <cell r="AA407">
            <v>40.438470561459411</v>
          </cell>
          <cell r="AC407">
            <v>50.508971511655766</v>
          </cell>
          <cell r="AD407">
            <v>46.50545870291355</v>
          </cell>
          <cell r="AE407">
            <v>45.717852434786082</v>
          </cell>
          <cell r="AF407">
            <v>43.340016937331868</v>
          </cell>
          <cell r="AH407">
            <v>44.05167591620733</v>
          </cell>
          <cell r="AI407">
            <v>45.590777595761736</v>
          </cell>
          <cell r="AJ407">
            <v>43.396892547897679</v>
          </cell>
          <cell r="AK407">
            <v>44.923759842215574</v>
          </cell>
          <cell r="AU407">
            <v>45.577904944659558</v>
          </cell>
          <cell r="AW407">
            <v>49.32715863435596</v>
          </cell>
          <cell r="AX407">
            <v>51.432915984918544</v>
          </cell>
          <cell r="AY407">
            <v>48.173158942280352</v>
          </cell>
          <cell r="AZ407">
            <v>49.346051782256325</v>
          </cell>
          <cell r="BB407">
            <v>54.374930659038256</v>
          </cell>
          <cell r="BC407">
            <v>53.835465468061201</v>
          </cell>
          <cell r="BQ407">
            <v>45.448658670625676</v>
          </cell>
          <cell r="BR407">
            <v>48.466698412041168</v>
          </cell>
          <cell r="BS407">
            <v>46.1685012192534</v>
          </cell>
          <cell r="BT407">
            <v>45.083693485154605</v>
          </cell>
          <cell r="BV407">
            <v>48.872011779756448</v>
          </cell>
          <cell r="BW407">
            <v>48.80163030747849</v>
          </cell>
          <cell r="BX407">
            <v>47.600616583584454</v>
          </cell>
          <cell r="BY407">
            <v>45.425823059206074</v>
          </cell>
          <cell r="CA407">
            <v>48.486567386974741</v>
          </cell>
          <cell r="CB407">
            <v>51.315240155064799</v>
          </cell>
          <cell r="CC407">
            <v>48.792453169596818</v>
          </cell>
          <cell r="CD407">
            <v>45.583488406648215</v>
          </cell>
          <cell r="CF407">
            <v>48.740325229098147</v>
          </cell>
          <cell r="CH407">
            <v>49.920414863626348</v>
          </cell>
          <cell r="CI407">
            <v>49.352230203449615</v>
          </cell>
          <cell r="CJ407">
            <v>48.116112160659938</v>
          </cell>
          <cell r="CK407">
            <v>46.460699980300745</v>
          </cell>
          <cell r="CM407">
            <v>50.771584334004089</v>
          </cell>
          <cell r="CN407">
            <v>52.810151862482314</v>
          </cell>
          <cell r="CO407">
            <v>50.597708303028405</v>
          </cell>
          <cell r="CP407">
            <v>47.03443589741714</v>
          </cell>
          <cell r="CR407">
            <v>49.873307973836326</v>
          </cell>
          <cell r="CS407">
            <v>54.971237589599198</v>
          </cell>
          <cell r="CT407">
            <v>64.197439615143921</v>
          </cell>
          <cell r="CU407">
            <v>61.401328701245312</v>
          </cell>
          <cell r="DB407">
            <v>45.255293868782957</v>
          </cell>
          <cell r="DC407">
            <v>55.787069811769129</v>
          </cell>
          <cell r="DD407">
            <v>49.390275768960109</v>
          </cell>
          <cell r="DE407">
            <v>48</v>
          </cell>
          <cell r="DG407">
            <v>47</v>
          </cell>
          <cell r="DH407">
            <v>46</v>
          </cell>
          <cell r="DI407">
            <v>46</v>
          </cell>
          <cell r="DJ407">
            <v>45</v>
          </cell>
          <cell r="DL407">
            <v>44</v>
          </cell>
          <cell r="DM407">
            <v>44</v>
          </cell>
          <cell r="DN407">
            <v>44</v>
          </cell>
          <cell r="DO407">
            <v>44</v>
          </cell>
          <cell r="DR407">
            <v>54.152636106673221</v>
          </cell>
          <cell r="DS407">
            <v>45.588986594931846</v>
          </cell>
          <cell r="DT407">
            <v>52.843778501628663</v>
          </cell>
          <cell r="DU407">
            <v>51.164975057959708</v>
          </cell>
          <cell r="DV407">
            <v>41.314792738686258</v>
          </cell>
          <cell r="DW407">
            <v>45.601907149837615</v>
          </cell>
          <cell r="DX407">
            <v>46.732349954844857</v>
          </cell>
          <cell r="DY407">
            <v>48.860784819590471</v>
          </cell>
          <cell r="DZ407">
            <v>48.291886999519782</v>
          </cell>
          <cell r="EA407" t="str">
            <v xml:space="preserve">-- </v>
          </cell>
          <cell r="EB407" t="str">
            <v xml:space="preserve">-- </v>
          </cell>
          <cell r="EC407">
            <v>48.27846960288197</v>
          </cell>
          <cell r="EE407">
            <v>56.640082190156946</v>
          </cell>
          <cell r="EF407" t="str">
            <v xml:space="preserve">-- </v>
          </cell>
          <cell r="EH407" t="str">
            <v xml:space="preserve">-- </v>
          </cell>
          <cell r="EI407" t="str">
            <v xml:space="preserve">-- </v>
          </cell>
          <cell r="EK407" t="str">
            <v xml:space="preserve">-- </v>
          </cell>
          <cell r="EL407">
            <v>48.594383384823942</v>
          </cell>
          <cell r="EM407">
            <v>50.419606154262596</v>
          </cell>
          <cell r="EN407">
            <v>59.292205486354668</v>
          </cell>
          <cell r="EQ407">
            <v>51.839556006346704</v>
          </cell>
          <cell r="ER407">
            <v>60.678709783345631</v>
          </cell>
          <cell r="ES407">
            <v>36.394290348806926</v>
          </cell>
          <cell r="EU407">
            <v>50.934259336433655</v>
          </cell>
          <cell r="EV407">
            <v>45.55330080262916</v>
          </cell>
          <cell r="EW407">
            <v>45.222625934723837</v>
          </cell>
        </row>
        <row r="408">
          <cell r="A408" t="str">
            <v>Days Accounts Payable</v>
          </cell>
          <cell r="B408" t="str">
            <v>sdpo</v>
          </cell>
          <cell r="I408">
            <v>37.771007510273485</v>
          </cell>
          <cell r="J408">
            <v>41.691145218417944</v>
          </cell>
          <cell r="K408">
            <v>42.478882242819964</v>
          </cell>
          <cell r="L408">
            <v>41.702721563154221</v>
          </cell>
          <cell r="N408">
            <v>42.573298429319372</v>
          </cell>
          <cell r="O408">
            <v>45.843731431966724</v>
          </cell>
          <cell r="P408">
            <v>51.539156802145889</v>
          </cell>
          <cell r="Q408">
            <v>52.868397781172121</v>
          </cell>
          <cell r="S408">
            <v>53.842049362735182</v>
          </cell>
          <cell r="T408">
            <v>55.895466466841519</v>
          </cell>
          <cell r="U408">
            <v>45.701281435798961</v>
          </cell>
          <cell r="V408">
            <v>36.731898238747554</v>
          </cell>
          <cell r="X408">
            <v>47.960622372981341</v>
          </cell>
          <cell r="Y408">
            <v>41.480640583823231</v>
          </cell>
          <cell r="Z408">
            <v>43.435106948894642</v>
          </cell>
          <cell r="AA408">
            <v>43.710186186870132</v>
          </cell>
          <cell r="AC408">
            <v>46.82038161585649</v>
          </cell>
          <cell r="AD408">
            <v>43.553272141189368</v>
          </cell>
          <cell r="AE408">
            <v>41.012667939712195</v>
          </cell>
          <cell r="AF408">
            <v>39.7254423811397</v>
          </cell>
          <cell r="AH408">
            <v>40.29349835248734</v>
          </cell>
          <cell r="AI408">
            <v>49.413693131132916</v>
          </cell>
          <cell r="AJ408">
            <v>43.042001717542355</v>
          </cell>
          <cell r="AK408">
            <v>40.946414994545634</v>
          </cell>
          <cell r="AU408">
            <v>38.352223775152687</v>
          </cell>
          <cell r="AW408">
            <v>36.729483958879861</v>
          </cell>
          <cell r="AX408">
            <v>44.466006149641267</v>
          </cell>
          <cell r="AY408">
            <v>35.011311193557141</v>
          </cell>
          <cell r="AZ408">
            <v>50.359524248370974</v>
          </cell>
          <cell r="BB408">
            <v>45.122366538999593</v>
          </cell>
          <cell r="BC408">
            <v>44.790745980322605</v>
          </cell>
          <cell r="BQ408" t="str">
            <v>--</v>
          </cell>
          <cell r="BR408" t="str">
            <v>--</v>
          </cell>
          <cell r="BS408" t="str">
            <v>--</v>
          </cell>
          <cell r="BT408" t="str">
            <v>--</v>
          </cell>
          <cell r="BV408" t="str">
            <v>--</v>
          </cell>
          <cell r="BW408" t="str">
            <v>--</v>
          </cell>
          <cell r="BX408" t="str">
            <v>--</v>
          </cell>
          <cell r="BY408">
            <v>46.473375783065201</v>
          </cell>
          <cell r="CA408" t="str">
            <v>--</v>
          </cell>
          <cell r="CB408" t="str">
            <v>--</v>
          </cell>
          <cell r="CC408">
            <v>44.091949016661005</v>
          </cell>
          <cell r="CD408">
            <v>41.978255393212109</v>
          </cell>
          <cell r="CF408">
            <v>36.04037595443527</v>
          </cell>
          <cell r="CH408" t="str">
            <v>--</v>
          </cell>
          <cell r="CI408" t="str">
            <v>--</v>
          </cell>
          <cell r="CJ408" t="str">
            <v>--</v>
          </cell>
          <cell r="CK408" t="str">
            <v>--</v>
          </cell>
          <cell r="CM408" t="str">
            <v>--</v>
          </cell>
          <cell r="CN408" t="str">
            <v>--</v>
          </cell>
          <cell r="CO408" t="str">
            <v>--</v>
          </cell>
          <cell r="CP408" t="str">
            <v>--</v>
          </cell>
          <cell r="CR408" t="str">
            <v>--</v>
          </cell>
          <cell r="CS408">
            <v>44.873216188612062</v>
          </cell>
          <cell r="CT408">
            <v>48.05095621928433</v>
          </cell>
          <cell r="CU408">
            <v>54.173566063116581</v>
          </cell>
          <cell r="DB408">
            <v>34.568886137353012</v>
          </cell>
          <cell r="DC408">
            <v>45.887885164333746</v>
          </cell>
          <cell r="DD408">
            <v>46.138105489773949</v>
          </cell>
          <cell r="DE408">
            <v>46</v>
          </cell>
          <cell r="DG408">
            <v>46</v>
          </cell>
          <cell r="DH408">
            <v>46</v>
          </cell>
          <cell r="DI408">
            <v>46</v>
          </cell>
          <cell r="DJ408">
            <v>46</v>
          </cell>
          <cell r="DL408">
            <v>45</v>
          </cell>
          <cell r="DM408">
            <v>45</v>
          </cell>
          <cell r="DN408">
            <v>45</v>
          </cell>
          <cell r="DO408">
            <v>45</v>
          </cell>
          <cell r="DR408">
            <v>47.242339832869085</v>
          </cell>
          <cell r="DS408">
            <v>48.773196791665434</v>
          </cell>
          <cell r="DT408">
            <v>43.873128763980503</v>
          </cell>
          <cell r="DU408">
            <v>61.341790453093296</v>
          </cell>
          <cell r="DV408">
            <v>43.588132843086171</v>
          </cell>
          <cell r="DW408">
            <v>49.456398495078083</v>
          </cell>
          <cell r="DX408">
            <v>43.675035301595209</v>
          </cell>
          <cell r="DY408">
            <v>45.261323901826259</v>
          </cell>
          <cell r="DZ408">
            <v>43.931244713280236</v>
          </cell>
          <cell r="EA408" t="str">
            <v xml:space="preserve">-- </v>
          </cell>
          <cell r="EB408" t="str">
            <v xml:space="preserve">-- </v>
          </cell>
          <cell r="EC408">
            <v>40.883781980715582</v>
          </cell>
          <cell r="EE408">
            <v>58.357749522565079</v>
          </cell>
          <cell r="EF408" t="str">
            <v xml:space="preserve">-- </v>
          </cell>
          <cell r="EH408" t="str">
            <v xml:space="preserve">-- </v>
          </cell>
          <cell r="EI408" t="str">
            <v xml:space="preserve">-- </v>
          </cell>
          <cell r="EK408" t="str">
            <v xml:space="preserve">-- </v>
          </cell>
          <cell r="EL408">
            <v>41.591250813503798</v>
          </cell>
          <cell r="EM408">
            <v>51.345432685717078</v>
          </cell>
          <cell r="EN408">
            <v>53.874611906899901</v>
          </cell>
          <cell r="EQ408">
            <v>51.469575706833979</v>
          </cell>
          <cell r="ER408">
            <v>54.968303653035022</v>
          </cell>
          <cell r="ES408">
            <v>35.161569312230249</v>
          </cell>
          <cell r="EU408">
            <v>48.807598613577717</v>
          </cell>
          <cell r="EV408">
            <v>46.271169518318317</v>
          </cell>
          <cell r="EW408">
            <v>46.201973354854609</v>
          </cell>
        </row>
        <row r="409">
          <cell r="A409" t="str">
            <v>Cash Cycle</v>
          </cell>
          <cell r="B409" t="str">
            <v>sccycle</v>
          </cell>
          <cell r="I409">
            <v>45.545599695964064</v>
          </cell>
          <cell r="J409">
            <v>48.039124511851782</v>
          </cell>
          <cell r="K409">
            <v>50.768653480706845</v>
          </cell>
          <cell r="L409">
            <v>48.87613813021219</v>
          </cell>
          <cell r="N409">
            <v>54.881623805707584</v>
          </cell>
          <cell r="O409">
            <v>48.26771606989589</v>
          </cell>
          <cell r="P409">
            <v>33.020533954318886</v>
          </cell>
          <cell r="Q409">
            <v>37.811699933291052</v>
          </cell>
          <cell r="S409">
            <v>40.875274535687296</v>
          </cell>
          <cell r="T409">
            <v>48.163553661448752</v>
          </cell>
          <cell r="U409">
            <v>53.016104443085908</v>
          </cell>
          <cell r="V409">
            <v>46.479882368937474</v>
          </cell>
          <cell r="X409">
            <v>62.269360163439011</v>
          </cell>
          <cell r="Y409">
            <v>56.661482521423054</v>
          </cell>
          <cell r="Z409">
            <v>56.713240622497906</v>
          </cell>
          <cell r="AA409">
            <v>47.468135197341653</v>
          </cell>
          <cell r="AC409">
            <v>57.682301556968781</v>
          </cell>
          <cell r="AD409">
            <v>56.874596687732108</v>
          </cell>
          <cell r="AE409">
            <v>56.265830338352892</v>
          </cell>
          <cell r="AF409">
            <v>47.311926459790627</v>
          </cell>
          <cell r="AH409">
            <v>49.614562679849548</v>
          </cell>
          <cell r="AI409">
            <v>46.770973849106966</v>
          </cell>
          <cell r="AJ409">
            <v>41.853446533376633</v>
          </cell>
          <cell r="AK409">
            <v>45.005872830215978</v>
          </cell>
          <cell r="AU409">
            <v>51.570036054536835</v>
          </cell>
          <cell r="AW409">
            <v>55.500324866894253</v>
          </cell>
          <cell r="AX409">
            <v>58.63906562618947</v>
          </cell>
          <cell r="AY409">
            <v>65.729529817807872</v>
          </cell>
          <cell r="AZ409">
            <v>66.094504071567073</v>
          </cell>
          <cell r="BB409">
            <v>75.233592198064031</v>
          </cell>
          <cell r="BC409">
            <v>68.526713213537192</v>
          </cell>
          <cell r="BY409">
            <v>48.46108305155925</v>
          </cell>
          <cell r="CC409">
            <v>56.445625748103595</v>
          </cell>
          <cell r="CD409">
            <v>52.736880061482637</v>
          </cell>
          <cell r="CF409">
            <v>59.929434923836162</v>
          </cell>
          <cell r="CH409" t="str">
            <v>--</v>
          </cell>
          <cell r="CI409" t="str">
            <v>--</v>
          </cell>
          <cell r="CJ409" t="str">
            <v>--</v>
          </cell>
          <cell r="CK409" t="str">
            <v>--</v>
          </cell>
          <cell r="CM409" t="str">
            <v>--</v>
          </cell>
          <cell r="CN409" t="str">
            <v>--</v>
          </cell>
          <cell r="CO409" t="str">
            <v>--</v>
          </cell>
          <cell r="CP409" t="str">
            <v>--</v>
          </cell>
          <cell r="CR409" t="str">
            <v>--</v>
          </cell>
          <cell r="CS409">
            <v>66.307123779823925</v>
          </cell>
          <cell r="CT409">
            <v>88.986665628071876</v>
          </cell>
          <cell r="CU409">
            <v>89.321642709026705</v>
          </cell>
          <cell r="DB409">
            <v>68.674503855813299</v>
          </cell>
          <cell r="DC409">
            <v>60.641337920025997</v>
          </cell>
          <cell r="DD409">
            <v>48.942877132433381</v>
          </cell>
          <cell r="DE409">
            <v>45.902439024390247</v>
          </cell>
          <cell r="DG409">
            <v>43.857142857142861</v>
          </cell>
          <cell r="DH409">
            <v>43.902439024390247</v>
          </cell>
          <cell r="DI409">
            <v>42.857142857142861</v>
          </cell>
          <cell r="DJ409">
            <v>41.352941176470594</v>
          </cell>
          <cell r="DL409">
            <v>40.379310344827601</v>
          </cell>
          <cell r="DM409">
            <v>41.352941176470594</v>
          </cell>
          <cell r="DN409">
            <v>40.379310344827601</v>
          </cell>
          <cell r="DO409">
            <v>39.909090909090921</v>
          </cell>
          <cell r="DR409">
            <v>45.212770466823962</v>
          </cell>
          <cell r="DS409">
            <v>48.625657503861312</v>
          </cell>
          <cell r="DT409">
            <v>51.456224730478681</v>
          </cell>
          <cell r="DU409">
            <v>44.325901299127537</v>
          </cell>
          <cell r="DV409">
            <v>55.083791056562916</v>
          </cell>
          <cell r="DW409">
            <v>53.555702954610076</v>
          </cell>
          <cell r="DX409">
            <v>53.536597285520067</v>
          </cell>
          <cell r="DY409">
            <v>53.38619404423649</v>
          </cell>
          <cell r="DZ409">
            <v>48.379985695595238</v>
          </cell>
          <cell r="EC409">
            <v>54.666130024669613</v>
          </cell>
          <cell r="EE409">
            <v>76.048565454806635</v>
          </cell>
          <cell r="EL409">
            <v>51.163260038948316</v>
          </cell>
          <cell r="EM409">
            <v>53.773068970230661</v>
          </cell>
          <cell r="EN409">
            <v>68.472820440747881</v>
          </cell>
          <cell r="EQ409">
            <v>53.648984865773087</v>
          </cell>
          <cell r="ER409">
            <v>67.499732055417397</v>
          </cell>
          <cell r="ES409">
            <v>54.516081612465918</v>
          </cell>
          <cell r="EU409">
            <v>48.708674245888766</v>
          </cell>
          <cell r="EV409">
            <v>41.88474260552465</v>
          </cell>
          <cell r="EW409">
            <v>41.022446538827971</v>
          </cell>
        </row>
        <row r="410">
          <cell r="A410" t="str">
            <v>Growth of Other Net Operating Assets</v>
          </cell>
          <cell r="I410" t="str">
            <v>--</v>
          </cell>
          <cell r="J410">
            <v>-0.10652395514780832</v>
          </cell>
          <cell r="K410">
            <v>0.31545921277809419</v>
          </cell>
          <cell r="L410">
            <v>-1.043365134431917</v>
          </cell>
          <cell r="N410">
            <v>-18.489999999999903</v>
          </cell>
          <cell r="O410">
            <v>-7.2041166380789279E-2</v>
          </cell>
          <cell r="P410">
            <v>2.4645717806531131E-2</v>
          </cell>
          <cell r="Q410">
            <v>-1.1070354780517133</v>
          </cell>
          <cell r="S410">
            <v>6.8483146067416065</v>
          </cell>
          <cell r="T410">
            <v>2.0479599141016478</v>
          </cell>
          <cell r="U410">
            <v>-1.4591357444809769</v>
          </cell>
          <cell r="V410">
            <v>-2.3237851662404108</v>
          </cell>
          <cell r="X410">
            <v>-1.4829984544049457</v>
          </cell>
          <cell r="Y410">
            <v>-1.9232</v>
          </cell>
          <cell r="Z410">
            <v>-2.7244367417677631</v>
          </cell>
          <cell r="AA410">
            <v>-1.5497487437185939</v>
          </cell>
          <cell r="AC410" t="str">
            <v>--</v>
          </cell>
          <cell r="AD410" t="str">
            <v>--</v>
          </cell>
          <cell r="AE410" t="str">
            <v>--</v>
          </cell>
          <cell r="AF410" t="str">
            <v>--</v>
          </cell>
          <cell r="AH410">
            <v>-3.8984225269054997</v>
          </cell>
          <cell r="AI410">
            <v>-0.27451678535096602</v>
          </cell>
          <cell r="AJ410">
            <v>-0.13587604290822441</v>
          </cell>
          <cell r="AK410">
            <v>-0.60754563894523361</v>
          </cell>
          <cell r="AU410" t="str">
            <v>--</v>
          </cell>
          <cell r="AW410">
            <v>-0.54553723373041518</v>
          </cell>
          <cell r="AX410">
            <v>-0.79630705662082746</v>
          </cell>
          <cell r="AY410">
            <v>1.9001584786053844</v>
          </cell>
          <cell r="AZ410">
            <v>-0.17136612021857911</v>
          </cell>
          <cell r="BB410">
            <v>-5.1322869955156989</v>
          </cell>
          <cell r="BC410">
            <v>0.20136605917461936</v>
          </cell>
          <cell r="BQ410" t="str">
            <v>--</v>
          </cell>
          <cell r="BR410">
            <v>4.262131631400826</v>
          </cell>
          <cell r="BS410">
            <v>0.1054034584975172</v>
          </cell>
          <cell r="BT410">
            <v>4.5220755609900021E-2</v>
          </cell>
          <cell r="BV410">
            <v>0.27500492755452255</v>
          </cell>
          <cell r="BW410">
            <v>4.2385606029781808E-2</v>
          </cell>
          <cell r="BX410">
            <v>3.0976463762342199E-3</v>
          </cell>
          <cell r="BY410">
            <v>-1.2996730521967894</v>
          </cell>
          <cell r="CA410">
            <v>-7.3766337854500614</v>
          </cell>
          <cell r="CB410">
            <v>1.2324074163597043E-2</v>
          </cell>
          <cell r="CC410">
            <v>-1.2474411911712739</v>
          </cell>
          <cell r="CD410">
            <v>0.10790746744892177</v>
          </cell>
          <cell r="CH410" t="str">
            <v>--</v>
          </cell>
          <cell r="CI410">
            <v>7.2250085444274248E-3</v>
          </cell>
          <cell r="CJ410">
            <v>2.889395685042806E-2</v>
          </cell>
          <cell r="CK410">
            <v>0.11262928207940459</v>
          </cell>
          <cell r="CM410">
            <v>0.16129966188386846</v>
          </cell>
          <cell r="CN410">
            <v>-5.4369375786499363E-2</v>
          </cell>
          <cell r="CO410">
            <v>0.42585612192695277</v>
          </cell>
          <cell r="CP410">
            <v>-1.2276415248006833</v>
          </cell>
          <cell r="CR410">
            <v>-5.4867237811599523</v>
          </cell>
          <cell r="CS410">
            <v>-1.0397644006137825</v>
          </cell>
          <cell r="CT410">
            <v>-2.750853612270336</v>
          </cell>
          <cell r="CU410">
            <v>1.4856833307537523</v>
          </cell>
          <cell r="DC410">
            <v>-8.1033917415106682E-2</v>
          </cell>
          <cell r="DD410">
            <v>-3.8824406187519145E-2</v>
          </cell>
          <cell r="DE410">
            <v>-4.5100000000000036E-2</v>
          </cell>
          <cell r="DG410">
            <v>-2.7210096353584734E-2</v>
          </cell>
          <cell r="DH410">
            <v>-4.9953691478250024E-2</v>
          </cell>
          <cell r="DI410">
            <v>1.3808044878346193E-2</v>
          </cell>
          <cell r="DJ410">
            <v>2.4804739673824017E-2</v>
          </cell>
          <cell r="DL410">
            <v>0.13683758978546567</v>
          </cell>
          <cell r="DM410">
            <v>-5.907974658027948E-2</v>
          </cell>
          <cell r="DN410">
            <v>1.5023891417476287E-2</v>
          </cell>
          <cell r="DO410">
            <v>4.8550035975077677E-2</v>
          </cell>
          <cell r="EQ410">
            <v>-1.6044596346493811</v>
          </cell>
          <cell r="ER410">
            <v>-0.69855951833163044</v>
          </cell>
          <cell r="ES410">
            <v>-3.0775659103257342</v>
          </cell>
          <cell r="EU410">
            <v>0.18448031631382378</v>
          </cell>
          <cell r="EV410">
            <v>-3.980224148437328E-2</v>
          </cell>
          <cell r="EW410">
            <v>0.13845709039080467</v>
          </cell>
        </row>
        <row r="412">
          <cell r="A412" t="str">
            <v>Debt (LT, ST, &amp; other financing)</v>
          </cell>
          <cell r="N412" t="str">
            <v>--</v>
          </cell>
          <cell r="O412" t="str">
            <v>--</v>
          </cell>
          <cell r="P412" t="str">
            <v>--</v>
          </cell>
          <cell r="Q412">
            <v>87.305999999999997</v>
          </cell>
          <cell r="S412">
            <v>87.2</v>
          </cell>
          <cell r="T412">
            <v>87.183999999999997</v>
          </cell>
          <cell r="U412">
            <v>86.847999999999999</v>
          </cell>
          <cell r="V412">
            <v>86.941999999999993</v>
          </cell>
          <cell r="X412">
            <v>86.841999999999999</v>
          </cell>
          <cell r="Y412">
            <v>86.763999999999996</v>
          </cell>
          <cell r="Z412">
            <v>86.5</v>
          </cell>
          <cell r="AA412">
            <v>86.802000000000007</v>
          </cell>
          <cell r="AB412">
            <v>0</v>
          </cell>
          <cell r="AC412">
            <v>107.449</v>
          </cell>
          <cell r="AD412">
            <v>114.851</v>
          </cell>
          <cell r="AE412">
            <v>115.92</v>
          </cell>
          <cell r="AF412">
            <v>117.17</v>
          </cell>
          <cell r="AH412">
            <v>101.84099999999999</v>
          </cell>
          <cell r="AI412">
            <v>98.998000000000005</v>
          </cell>
          <cell r="AJ412">
            <v>98.567999999999998</v>
          </cell>
          <cell r="AK412">
            <v>8.6419999999999995</v>
          </cell>
          <cell r="AU412">
            <v>11.632000000000001</v>
          </cell>
          <cell r="AW412">
            <v>24.983000000000001</v>
          </cell>
          <cell r="AX412">
            <v>20.728999999999999</v>
          </cell>
          <cell r="AY412">
            <v>368.125</v>
          </cell>
          <cell r="AZ412">
            <v>359.536</v>
          </cell>
          <cell r="BB412">
            <v>357.89</v>
          </cell>
          <cell r="BC412">
            <v>357.26900000000001</v>
          </cell>
          <cell r="BQ412">
            <v>232.95400000000001</v>
          </cell>
          <cell r="BR412">
            <v>479.10500000000002</v>
          </cell>
          <cell r="BS412">
            <v>490.02800000000002</v>
          </cell>
          <cell r="BT412">
            <v>402.09399999999999</v>
          </cell>
          <cell r="BV412">
            <v>402.75599999999997</v>
          </cell>
          <cell r="BW412">
            <v>374.69499999999999</v>
          </cell>
          <cell r="BX412">
            <v>706.30700000000002</v>
          </cell>
          <cell r="BY412">
            <v>729.56400000000008</v>
          </cell>
          <cell r="CA412">
            <v>670.56600000000003</v>
          </cell>
          <cell r="CB412">
            <v>660.101</v>
          </cell>
          <cell r="CC412">
            <v>660.99499999999989</v>
          </cell>
          <cell r="CD412">
            <v>1228.393</v>
          </cell>
          <cell r="CF412">
            <v>1230.1380000000001</v>
          </cell>
          <cell r="CH412">
            <v>437.32</v>
          </cell>
          <cell r="CI412">
            <v>409.65199999999999</v>
          </cell>
          <cell r="CJ412">
            <v>740.84299999999996</v>
          </cell>
          <cell r="CK412">
            <v>696.38599999999997</v>
          </cell>
          <cell r="CM412">
            <v>715.72199999999998</v>
          </cell>
          <cell r="CN412">
            <v>708.02700000000004</v>
          </cell>
          <cell r="CO412">
            <v>707.30700000000002</v>
          </cell>
          <cell r="CP412">
            <v>1286.6669999999999</v>
          </cell>
          <cell r="CR412">
            <v>1204.454</v>
          </cell>
          <cell r="CS412">
            <v>1293.319</v>
          </cell>
          <cell r="CT412">
            <v>1289.8889999999999</v>
          </cell>
          <cell r="CU412">
            <v>1234.4079999999999</v>
          </cell>
          <cell r="DB412">
            <v>2280.6459999999997</v>
          </cell>
          <cell r="DC412">
            <v>2392.6189999999997</v>
          </cell>
          <cell r="DD412">
            <v>2633.2510000000002</v>
          </cell>
          <cell r="DE412">
            <v>2633.2510000000002</v>
          </cell>
          <cell r="DG412">
            <v>2367.884</v>
          </cell>
          <cell r="DH412">
            <v>2367.884</v>
          </cell>
          <cell r="DI412">
            <v>2367.884</v>
          </cell>
          <cell r="DJ412">
            <v>2367.884</v>
          </cell>
          <cell r="DL412">
            <v>2367.884</v>
          </cell>
          <cell r="DM412">
            <v>2367.884</v>
          </cell>
          <cell r="DN412">
            <v>2367.884</v>
          </cell>
          <cell r="DO412">
            <v>2367.884</v>
          </cell>
          <cell r="DQ412" t="str">
            <v xml:space="preserve">-- </v>
          </cell>
          <cell r="DR412">
            <v>35.145000000000003</v>
          </cell>
          <cell r="DS412">
            <v>4.4379999999999997</v>
          </cell>
          <cell r="DT412">
            <v>0</v>
          </cell>
          <cell r="DU412">
            <v>87.305999999999997</v>
          </cell>
          <cell r="DV412">
            <v>86.941999999999993</v>
          </cell>
          <cell r="DW412">
            <v>86.802000000000007</v>
          </cell>
          <cell r="DX412" t="str">
            <v xml:space="preserve"> -- </v>
          </cell>
          <cell r="DY412" t="str">
            <v xml:space="preserve"> -- </v>
          </cell>
          <cell r="DZ412">
            <v>8.6419999999999995</v>
          </cell>
          <cell r="EA412" t="str">
            <v xml:space="preserve"> -- </v>
          </cell>
          <cell r="EB412">
            <v>0</v>
          </cell>
          <cell r="EC412">
            <v>11.632000000000001</v>
          </cell>
          <cell r="EE412">
            <v>359.536</v>
          </cell>
          <cell r="EF412">
            <v>0</v>
          </cell>
          <cell r="EH412" t="str">
            <v xml:space="preserve"> -- </v>
          </cell>
          <cell r="EI412" t="str">
            <v xml:space="preserve"> -- </v>
          </cell>
          <cell r="EK412">
            <v>0</v>
          </cell>
          <cell r="EL412">
            <v>412.33600000000001</v>
          </cell>
          <cell r="EM412">
            <v>729.56400000000008</v>
          </cell>
          <cell r="EN412">
            <v>1228.393</v>
          </cell>
          <cell r="EP412">
            <v>434.38200000000001</v>
          </cell>
          <cell r="EQ412">
            <v>705.55899999999997</v>
          </cell>
          <cell r="ER412">
            <v>1303.6079999999999</v>
          </cell>
          <cell r="ES412">
            <v>1234.4079999999999</v>
          </cell>
          <cell r="ET412">
            <v>2253.5239999999999</v>
          </cell>
          <cell r="EU412">
            <v>2633.2510000000002</v>
          </cell>
          <cell r="EV412">
            <v>2367.884</v>
          </cell>
          <cell r="EW412">
            <v>2367.884</v>
          </cell>
        </row>
        <row r="413">
          <cell r="A413" t="str">
            <v>Borrowing Rate</v>
          </cell>
        </row>
        <row r="414">
          <cell r="A414" t="str">
            <v>Lending Rate</v>
          </cell>
        </row>
        <row r="415">
          <cell r="A415" t="str">
            <v>Expected Life of PP&amp;E (Years)</v>
          </cell>
          <cell r="CF415" t="e">
            <v>#REF!</v>
          </cell>
        </row>
        <row r="417">
          <cell r="A417" t="str">
            <v>Fiscal year ends in September.</v>
          </cell>
        </row>
        <row r="420">
          <cell r="A420" t="str">
            <v>Sanmina-SCI Corp.</v>
          </cell>
        </row>
        <row r="421">
          <cell r="A421" t="str">
            <v>Cash Flow Statement</v>
          </cell>
        </row>
        <row r="422">
          <cell r="A422" t="str">
            <v>($ Millions Except EPS)</v>
          </cell>
        </row>
        <row r="423">
          <cell r="AD423" t="str">
            <v>F1997</v>
          </cell>
          <cell r="AN423" t="str">
            <v>F1998</v>
          </cell>
          <cell r="AS423" t="str">
            <v>F1998</v>
          </cell>
          <cell r="BG423" t="str">
            <v>F1999</v>
          </cell>
          <cell r="BL423" t="str">
            <v>F2000E</v>
          </cell>
          <cell r="BQ423" t="str">
            <v>F1998</v>
          </cell>
          <cell r="BV423" t="str">
            <v>F1999</v>
          </cell>
          <cell r="CA423" t="str">
            <v>F2000</v>
          </cell>
          <cell r="CF423" t="str">
            <v>Sanmina Only</v>
          </cell>
          <cell r="CH423" t="str">
            <v>F1999</v>
          </cell>
          <cell r="CM423" t="str">
            <v>F2000</v>
          </cell>
          <cell r="CW423" t="str">
            <v>F2001</v>
          </cell>
          <cell r="DX423" t="str">
            <v xml:space="preserve"> </v>
          </cell>
          <cell r="EA423" t="str">
            <v>Proforma</v>
          </cell>
          <cell r="EB423" t="str">
            <v>Proforma for Altron</v>
          </cell>
          <cell r="EE423" t="str">
            <v xml:space="preserve"> </v>
          </cell>
          <cell r="EN423" t="str">
            <v>SANM</v>
          </cell>
          <cell r="ER423" t="str">
            <v xml:space="preserve"> </v>
          </cell>
          <cell r="ET423" t="str">
            <v>Proforma</v>
          </cell>
        </row>
        <row r="424">
          <cell r="D424" t="str">
            <v>F1993</v>
          </cell>
          <cell r="I424" t="str">
            <v>F1994</v>
          </cell>
          <cell r="N424" t="str">
            <v>F1995</v>
          </cell>
          <cell r="S424" t="str">
            <v>F1996</v>
          </cell>
          <cell r="X424" t="str">
            <v>F1997</v>
          </cell>
          <cell r="AD424" t="str">
            <v xml:space="preserve"> Proforma for Elexsys Acquisition</v>
          </cell>
          <cell r="AH424" t="str">
            <v>F1998</v>
          </cell>
          <cell r="AM424" t="str">
            <v xml:space="preserve"> Pro forma for Altron</v>
          </cell>
          <cell r="AR424" t="str">
            <v xml:space="preserve"> Pro forma for Manu-Tronics / Altron</v>
          </cell>
          <cell r="AW424" t="str">
            <v>F1999</v>
          </cell>
          <cell r="BB424" t="str">
            <v>F2000E</v>
          </cell>
          <cell r="BG424" t="str">
            <v xml:space="preserve"> Pro forma for Hadco</v>
          </cell>
          <cell r="BL424" t="str">
            <v xml:space="preserve"> Pro forma for Hadco</v>
          </cell>
          <cell r="BQ424" t="str">
            <v xml:space="preserve"> Pro forma for Hadco / Essex</v>
          </cell>
          <cell r="BV424" t="str">
            <v xml:space="preserve"> Pro forma for Hadco / Essex</v>
          </cell>
          <cell r="CA424" t="str">
            <v xml:space="preserve"> Pro forma for Hadco / Essex</v>
          </cell>
          <cell r="CF424" t="str">
            <v>F2001</v>
          </cell>
          <cell r="CH424" t="str">
            <v xml:space="preserve"> Pro forma for Segerstrom</v>
          </cell>
          <cell r="CM424" t="str">
            <v xml:space="preserve"> Pro forma for Segerstrom</v>
          </cell>
          <cell r="CR424" t="str">
            <v>F2001</v>
          </cell>
          <cell r="CW424" t="str">
            <v xml:space="preserve"> Pro forma for SCI Systems</v>
          </cell>
          <cell r="DC424" t="str">
            <v>F2002E</v>
          </cell>
          <cell r="DH424" t="str">
            <v>F2003E</v>
          </cell>
          <cell r="DM424" t="str">
            <v>F2004E</v>
          </cell>
          <cell r="DT424" t="str">
            <v xml:space="preserve"> </v>
          </cell>
          <cell r="DU424" t="str">
            <v xml:space="preserve"> </v>
          </cell>
          <cell r="DX424" t="str">
            <v>Proforma for Elexsys</v>
          </cell>
          <cell r="DZ424" t="str">
            <v xml:space="preserve"> </v>
          </cell>
          <cell r="EA424" t="str">
            <v>Altron</v>
          </cell>
          <cell r="EB424" t="str">
            <v xml:space="preserve">   and Manu-Tronics</v>
          </cell>
          <cell r="EE424" t="str">
            <v xml:space="preserve">                SANM ONLY</v>
          </cell>
          <cell r="EH424" t="str">
            <v xml:space="preserve"> Proforma for Hadco</v>
          </cell>
          <cell r="EJ424" t="str">
            <v xml:space="preserve"> </v>
          </cell>
          <cell r="EK424" t="str">
            <v>Proforma for Hadco / Essex</v>
          </cell>
          <cell r="EN424" t="str">
            <v>Only</v>
          </cell>
          <cell r="EP424" t="str">
            <v>Proforma for Segerstrom</v>
          </cell>
          <cell r="ET424" t="str">
            <v>for SCI</v>
          </cell>
          <cell r="FA424" t="str">
            <v>Unrestated</v>
          </cell>
        </row>
        <row r="425">
          <cell r="D425">
            <v>33939</v>
          </cell>
          <cell r="E425">
            <v>34029</v>
          </cell>
          <cell r="F425" t="str">
            <v xml:space="preserve"> 6/93</v>
          </cell>
          <cell r="G425">
            <v>34213</v>
          </cell>
          <cell r="I425">
            <v>34304</v>
          </cell>
          <cell r="J425">
            <v>34394</v>
          </cell>
          <cell r="K425">
            <v>34486</v>
          </cell>
          <cell r="L425">
            <v>34578</v>
          </cell>
          <cell r="N425">
            <v>34669</v>
          </cell>
          <cell r="O425">
            <v>34759</v>
          </cell>
          <cell r="P425">
            <v>34851</v>
          </cell>
          <cell r="Q425">
            <v>34943</v>
          </cell>
          <cell r="S425">
            <v>35034</v>
          </cell>
          <cell r="T425">
            <v>35125</v>
          </cell>
          <cell r="U425">
            <v>35217</v>
          </cell>
          <cell r="V425">
            <v>35309</v>
          </cell>
          <cell r="X425">
            <v>35400</v>
          </cell>
          <cell r="Y425">
            <v>35490</v>
          </cell>
          <cell r="Z425">
            <v>35582</v>
          </cell>
          <cell r="AA425">
            <v>35674</v>
          </cell>
          <cell r="AC425">
            <v>35400</v>
          </cell>
          <cell r="AD425" t="str">
            <v xml:space="preserve">  3/97</v>
          </cell>
          <cell r="AE425" t="str">
            <v xml:space="preserve"> 6/97</v>
          </cell>
          <cell r="AF425" t="str">
            <v xml:space="preserve"> 9/97</v>
          </cell>
          <cell r="AH425" t="str">
            <v xml:space="preserve"> 12/97</v>
          </cell>
          <cell r="AI425" t="str">
            <v xml:space="preserve"> 3/98</v>
          </cell>
          <cell r="AJ425" t="str">
            <v xml:space="preserve"> 6/98</v>
          </cell>
          <cell r="AK425" t="str">
            <v xml:space="preserve"> 9/98</v>
          </cell>
          <cell r="AM425" t="str">
            <v xml:space="preserve"> 12/97</v>
          </cell>
          <cell r="AN425" t="str">
            <v xml:space="preserve"> 3/98</v>
          </cell>
          <cell r="AO425" t="str">
            <v xml:space="preserve"> 6/98</v>
          </cell>
          <cell r="AP425" t="str">
            <v xml:space="preserve"> 9/98</v>
          </cell>
          <cell r="AR425" t="str">
            <v xml:space="preserve"> 12/97</v>
          </cell>
          <cell r="AS425" t="str">
            <v xml:space="preserve"> 3/98</v>
          </cell>
          <cell r="AT425" t="str">
            <v xml:space="preserve"> 6/98</v>
          </cell>
          <cell r="AU425" t="str">
            <v xml:space="preserve"> 9/98</v>
          </cell>
          <cell r="AW425" t="str">
            <v xml:space="preserve"> 12/98</v>
          </cell>
          <cell r="AX425" t="str">
            <v xml:space="preserve"> 3/99</v>
          </cell>
          <cell r="AY425" t="str">
            <v xml:space="preserve"> 6/99</v>
          </cell>
          <cell r="AZ425" t="str">
            <v xml:space="preserve"> 9/99</v>
          </cell>
          <cell r="BB425" t="str">
            <v xml:space="preserve"> 12/99</v>
          </cell>
          <cell r="BC425" t="str">
            <v xml:space="preserve"> 3/00</v>
          </cell>
          <cell r="BD425" t="str">
            <v xml:space="preserve"> 6/00E</v>
          </cell>
          <cell r="BE425" t="str">
            <v xml:space="preserve"> 9/00E</v>
          </cell>
          <cell r="BG425" t="str">
            <v xml:space="preserve"> 12/98</v>
          </cell>
          <cell r="BH425" t="str">
            <v xml:space="preserve"> 3/99</v>
          </cell>
          <cell r="BI425" t="str">
            <v xml:space="preserve"> 6/99</v>
          </cell>
          <cell r="BJ425" t="str">
            <v xml:space="preserve"> 9/99</v>
          </cell>
          <cell r="BL425" t="str">
            <v xml:space="preserve"> 12/99</v>
          </cell>
          <cell r="BM425" t="str">
            <v xml:space="preserve"> 3/00</v>
          </cell>
          <cell r="BN425" t="str">
            <v xml:space="preserve"> 6/00E</v>
          </cell>
          <cell r="BO425" t="str">
            <v xml:space="preserve"> 9/00E</v>
          </cell>
          <cell r="BQ425" t="str">
            <v xml:space="preserve"> 12/97</v>
          </cell>
          <cell r="BR425" t="str">
            <v xml:space="preserve"> 3/98</v>
          </cell>
          <cell r="BS425" t="str">
            <v xml:space="preserve"> 6/98</v>
          </cell>
          <cell r="BT425" t="str">
            <v xml:space="preserve"> 9/98</v>
          </cell>
          <cell r="BV425" t="str">
            <v xml:space="preserve"> 12/98</v>
          </cell>
          <cell r="BW425" t="str">
            <v xml:space="preserve"> 3/99</v>
          </cell>
          <cell r="BX425" t="str">
            <v xml:space="preserve"> 6/99</v>
          </cell>
          <cell r="BY425" t="str">
            <v xml:space="preserve"> 9/99</v>
          </cell>
          <cell r="CA425" t="str">
            <v xml:space="preserve"> 12/99</v>
          </cell>
          <cell r="CB425" t="str">
            <v xml:space="preserve"> 3/00</v>
          </cell>
          <cell r="CC425" t="str">
            <v xml:space="preserve"> 6/00</v>
          </cell>
          <cell r="CD425" t="str">
            <v xml:space="preserve"> 9/00</v>
          </cell>
          <cell r="CF425" t="str">
            <v xml:space="preserve"> 12/00</v>
          </cell>
          <cell r="CH425" t="str">
            <v xml:space="preserve"> 12/98</v>
          </cell>
          <cell r="CI425" t="str">
            <v xml:space="preserve"> 3/99</v>
          </cell>
          <cell r="CJ425" t="str">
            <v xml:space="preserve"> 6/99</v>
          </cell>
          <cell r="CK425" t="str">
            <v xml:space="preserve"> 9/99</v>
          </cell>
          <cell r="CM425" t="str">
            <v xml:space="preserve"> 12/99</v>
          </cell>
          <cell r="CN425" t="str">
            <v xml:space="preserve"> 3/00</v>
          </cell>
          <cell r="CO425" t="str">
            <v xml:space="preserve"> 6/00</v>
          </cell>
          <cell r="CP425" t="str">
            <v xml:space="preserve"> 9/00</v>
          </cell>
          <cell r="CR425">
            <v>36861</v>
          </cell>
          <cell r="CS425" t="str">
            <v xml:space="preserve"> 3/01</v>
          </cell>
          <cell r="CT425" t="str">
            <v xml:space="preserve"> 6/01</v>
          </cell>
          <cell r="CU425" t="str">
            <v xml:space="preserve"> 9/01</v>
          </cell>
          <cell r="CW425">
            <v>36861</v>
          </cell>
          <cell r="CX425" t="str">
            <v xml:space="preserve"> 3/01</v>
          </cell>
          <cell r="CY425" t="str">
            <v xml:space="preserve"> 6/01</v>
          </cell>
          <cell r="CZ425" t="str">
            <v xml:space="preserve"> 9/01</v>
          </cell>
          <cell r="DB425" t="str">
            <v xml:space="preserve"> 12/01</v>
          </cell>
          <cell r="DC425" t="str">
            <v xml:space="preserve"> 3/02</v>
          </cell>
          <cell r="DD425" t="str">
            <v xml:space="preserve"> 6/02</v>
          </cell>
          <cell r="DE425" t="str">
            <v xml:space="preserve"> 9/02E</v>
          </cell>
          <cell r="DG425" t="str">
            <v xml:space="preserve"> 12/02E</v>
          </cell>
          <cell r="DH425" t="str">
            <v xml:space="preserve"> 3/03E</v>
          </cell>
          <cell r="DI425" t="str">
            <v xml:space="preserve"> 6/03E</v>
          </cell>
          <cell r="DJ425" t="str">
            <v xml:space="preserve"> 9/03E</v>
          </cell>
          <cell r="DL425" t="str">
            <v xml:space="preserve"> 12/03E</v>
          </cell>
          <cell r="DM425" t="str">
            <v xml:space="preserve"> 3/04E</v>
          </cell>
          <cell r="DN425" t="str">
            <v xml:space="preserve"> 6/04E</v>
          </cell>
          <cell r="DO425" t="str">
            <v xml:space="preserve"> 9/04E</v>
          </cell>
          <cell r="DQ425" t="str">
            <v>F1991</v>
          </cell>
          <cell r="DR425" t="str">
            <v>F1992</v>
          </cell>
          <cell r="DS425" t="str">
            <v>F1993</v>
          </cell>
          <cell r="DT425" t="str">
            <v>F1994</v>
          </cell>
          <cell r="DU425" t="str">
            <v>F1995</v>
          </cell>
          <cell r="DV425" t="str">
            <v>F1996</v>
          </cell>
          <cell r="DW425" t="str">
            <v>F1997</v>
          </cell>
          <cell r="DX425" t="str">
            <v>F1996</v>
          </cell>
          <cell r="DY425" t="str">
            <v>F1997</v>
          </cell>
          <cell r="DZ425" t="str">
            <v>F1998</v>
          </cell>
          <cell r="EA425" t="str">
            <v>F1998</v>
          </cell>
          <cell r="EB425" t="str">
            <v>F1997</v>
          </cell>
          <cell r="EC425" t="str">
            <v>F1998</v>
          </cell>
          <cell r="EE425" t="str">
            <v>F1999</v>
          </cell>
          <cell r="EF425" t="str">
            <v>F2000E</v>
          </cell>
          <cell r="EH425" t="str">
            <v>F1998</v>
          </cell>
          <cell r="EI425" t="str">
            <v>F1999</v>
          </cell>
          <cell r="EK425" t="str">
            <v>F1997</v>
          </cell>
          <cell r="EL425" t="str">
            <v>F1998</v>
          </cell>
          <cell r="EM425" t="str">
            <v>F1999</v>
          </cell>
          <cell r="EN425" t="str">
            <v>F2000</v>
          </cell>
          <cell r="EP425" t="str">
            <v>F1998</v>
          </cell>
          <cell r="EQ425" t="str">
            <v>F1999</v>
          </cell>
          <cell r="ER425" t="str">
            <v>F2000</v>
          </cell>
          <cell r="ES425" t="str">
            <v>F2001</v>
          </cell>
          <cell r="ET425" t="str">
            <v>F2001</v>
          </cell>
          <cell r="EU425" t="str">
            <v>F2002E</v>
          </cell>
          <cell r="EV425" t="str">
            <v>F2003E</v>
          </cell>
          <cell r="EW425" t="str">
            <v>F2004E</v>
          </cell>
          <cell r="EY425" t="str">
            <v>C1999</v>
          </cell>
          <cell r="EZ425" t="str">
            <v>C2000</v>
          </cell>
          <cell r="FA425" t="str">
            <v>C2001</v>
          </cell>
          <cell r="FC425" t="str">
            <v>C2002</v>
          </cell>
        </row>
        <row r="427">
          <cell r="A427" t="str">
            <v>Cash From Operations</v>
          </cell>
          <cell r="B427" t="str">
            <v>cfo</v>
          </cell>
          <cell r="D427">
            <v>3.7</v>
          </cell>
          <cell r="E427">
            <v>2.5</v>
          </cell>
          <cell r="F427">
            <v>2.5</v>
          </cell>
          <cell r="G427">
            <v>1</v>
          </cell>
          <cell r="I427">
            <v>2.8</v>
          </cell>
          <cell r="J427">
            <v>1.8</v>
          </cell>
          <cell r="K427">
            <v>3.3</v>
          </cell>
          <cell r="L427">
            <v>3.9</v>
          </cell>
          <cell r="N427">
            <v>3.7</v>
          </cell>
          <cell r="O427">
            <v>4</v>
          </cell>
          <cell r="P427">
            <v>11.1</v>
          </cell>
          <cell r="Q427">
            <v>4.4000000000000004</v>
          </cell>
          <cell r="S427">
            <v>3.1</v>
          </cell>
          <cell r="T427">
            <v>4.9000000000000004</v>
          </cell>
          <cell r="U427">
            <v>10.199999999999999</v>
          </cell>
          <cell r="V427">
            <v>8.5</v>
          </cell>
          <cell r="X427">
            <v>9.6</v>
          </cell>
          <cell r="Y427">
            <v>11.6</v>
          </cell>
          <cell r="Z427">
            <v>11.2</v>
          </cell>
          <cell r="AA427">
            <v>15.9</v>
          </cell>
          <cell r="AH427">
            <v>26.5</v>
          </cell>
          <cell r="AI427">
            <v>8.6999999999999993</v>
          </cell>
          <cell r="AJ427">
            <v>23.2</v>
          </cell>
          <cell r="AK427">
            <v>47.8</v>
          </cell>
          <cell r="AR427">
            <v>34.223999999999997</v>
          </cell>
          <cell r="AS427">
            <v>9.1500000000000057</v>
          </cell>
          <cell r="AT427">
            <v>29.365000000000002</v>
          </cell>
          <cell r="AU427">
            <v>33.438000000000002</v>
          </cell>
          <cell r="AW427">
            <v>16.899999999999999</v>
          </cell>
          <cell r="AX427">
            <v>26.5</v>
          </cell>
          <cell r="AY427">
            <v>27.6</v>
          </cell>
          <cell r="AZ427">
            <v>44.1</v>
          </cell>
          <cell r="BB427">
            <v>-34.247999999999998</v>
          </cell>
          <cell r="BC427">
            <v>26.6</v>
          </cell>
          <cell r="BD427" t="str">
            <v xml:space="preserve"> </v>
          </cell>
          <cell r="CC427">
            <v>7.2009999999999996</v>
          </cell>
          <cell r="CD427">
            <v>64</v>
          </cell>
          <cell r="CF427">
            <v>27.097000000000094</v>
          </cell>
          <cell r="CS427">
            <v>94.8</v>
          </cell>
          <cell r="CT427">
            <v>158.55200000000002</v>
          </cell>
          <cell r="CU427">
            <v>120.17099999999995</v>
          </cell>
          <cell r="DB427">
            <v>76.958000000000013</v>
          </cell>
          <cell r="DC427">
            <v>73.376999999999725</v>
          </cell>
          <cell r="DD427">
            <v>370.346</v>
          </cell>
          <cell r="DE427">
            <v>128.19417328293889</v>
          </cell>
          <cell r="DG427">
            <v>156.90001935017287</v>
          </cell>
          <cell r="DH427">
            <v>144.51378381504401</v>
          </cell>
          <cell r="DI427">
            <v>96.675814655026358</v>
          </cell>
          <cell r="DJ427">
            <v>110.10900305331216</v>
          </cell>
          <cell r="DL427">
            <v>-32.793298948814027</v>
          </cell>
          <cell r="DM427">
            <v>168.21232557084772</v>
          </cell>
          <cell r="DN427">
            <v>126.04750129795893</v>
          </cell>
          <cell r="DO427">
            <v>72.573553514756725</v>
          </cell>
          <cell r="DQ427">
            <v>4.7919999999999998</v>
          </cell>
          <cell r="DR427">
            <v>7.77</v>
          </cell>
          <cell r="DS427">
            <v>9.6750000000000007</v>
          </cell>
          <cell r="DT427">
            <v>11.820000000000002</v>
          </cell>
          <cell r="DU427">
            <v>23.223000000000003</v>
          </cell>
          <cell r="DV427">
            <v>26.582000000000015</v>
          </cell>
          <cell r="DW427">
            <v>48.354000000000006</v>
          </cell>
          <cell r="DX427">
            <v>33.658000000000051</v>
          </cell>
          <cell r="DY427">
            <v>55.06380000000005</v>
          </cell>
          <cell r="DZ427">
            <v>83.23993999999999</v>
          </cell>
          <cell r="EB427">
            <v>77.381</v>
          </cell>
          <cell r="EC427">
            <v>106.17699999999999</v>
          </cell>
          <cell r="EE427">
            <v>115.14156999999994</v>
          </cell>
          <cell r="EK427">
            <v>128.791</v>
          </cell>
          <cell r="EL427">
            <v>159.86700000000002</v>
          </cell>
          <cell r="EM427">
            <v>263.42600000000004</v>
          </cell>
          <cell r="EN427">
            <v>87.382000000000005</v>
          </cell>
          <cell r="EP427">
            <v>161.03299999999996</v>
          </cell>
          <cell r="EQ427">
            <v>267.60199999999992</v>
          </cell>
          <cell r="ER427">
            <v>89.175000000000011</v>
          </cell>
          <cell r="ES427">
            <v>401.52699999999993</v>
          </cell>
          <cell r="EU427">
            <v>648.87517328293848</v>
          </cell>
          <cell r="EV427">
            <v>508.19862087355546</v>
          </cell>
          <cell r="EW427">
            <v>334.04008143474931</v>
          </cell>
        </row>
        <row r="428">
          <cell r="A428" t="str">
            <v>Net Income</v>
          </cell>
          <cell r="CF428">
            <v>110.69200000000008</v>
          </cell>
          <cell r="CR428">
            <v>115.95099999999989</v>
          </cell>
          <cell r="CS428">
            <v>62.244999999999997</v>
          </cell>
          <cell r="CT428">
            <v>30.097000000000001</v>
          </cell>
          <cell r="CU428">
            <v>-167.84700000000001</v>
          </cell>
          <cell r="DB428">
            <v>-45.222999999999999</v>
          </cell>
          <cell r="DC428">
            <v>-39.31400000000022</v>
          </cell>
          <cell r="DD428">
            <v>-4.99399999999999</v>
          </cell>
          <cell r="DE428">
            <v>-14.85193420236801</v>
          </cell>
          <cell r="DG428">
            <v>10.564813313471362</v>
          </cell>
          <cell r="DH428">
            <v>9.7934927937493885</v>
          </cell>
          <cell r="DI428">
            <v>20.593364960628165</v>
          </cell>
          <cell r="DJ428">
            <v>31.111085826432635</v>
          </cell>
          <cell r="DL428">
            <v>43.75805676249248</v>
          </cell>
          <cell r="DM428">
            <v>36.363548780386949</v>
          </cell>
          <cell r="DN428">
            <v>41.029701973078119</v>
          </cell>
          <cell r="DO428">
            <v>45.870965593156065</v>
          </cell>
          <cell r="DQ428">
            <v>-1.978</v>
          </cell>
          <cell r="DR428">
            <v>-1.45</v>
          </cell>
          <cell r="DS428">
            <v>5.0970000000000004</v>
          </cell>
          <cell r="DT428">
            <v>-3.109</v>
          </cell>
          <cell r="DU428">
            <v>16.954000000000001</v>
          </cell>
          <cell r="DV428">
            <v>27.918000000000013</v>
          </cell>
          <cell r="DW428">
            <v>40.902000000000001</v>
          </cell>
          <cell r="DX428">
            <v>36.388000000000048</v>
          </cell>
          <cell r="DY428">
            <v>30.524800000000049</v>
          </cell>
          <cell r="DZ428">
            <v>68.150939999999991</v>
          </cell>
          <cell r="EB428">
            <v>49.356000000000002</v>
          </cell>
          <cell r="EC428">
            <v>85.629000000000005</v>
          </cell>
          <cell r="EE428">
            <v>93.696569999999923</v>
          </cell>
          <cell r="EK428">
            <v>15.875999999999998</v>
          </cell>
          <cell r="EL428">
            <v>33.197999999999993</v>
          </cell>
          <cell r="EM428">
            <v>118.26700000000002</v>
          </cell>
          <cell r="EN428">
            <v>192.334</v>
          </cell>
          <cell r="EP428">
            <v>39.185000000000002</v>
          </cell>
          <cell r="EQ428">
            <v>104.71899999999997</v>
          </cell>
          <cell r="ER428">
            <v>210.09300000000002</v>
          </cell>
          <cell r="ES428">
            <v>40.445999999999884</v>
          </cell>
          <cell r="EU428">
            <v>-104.38293420236822</v>
          </cell>
          <cell r="EV428">
            <v>72.062756894281549</v>
          </cell>
          <cell r="EW428">
            <v>167.0222731091136</v>
          </cell>
        </row>
        <row r="429">
          <cell r="A429" t="str">
            <v>Extraordinary item</v>
          </cell>
          <cell r="CT429">
            <v>2.9589999999999996</v>
          </cell>
          <cell r="CU429">
            <v>187.75599999999997</v>
          </cell>
          <cell r="DB429">
            <v>62.691000000000003</v>
          </cell>
          <cell r="DC429">
            <v>51.896999999999984</v>
          </cell>
          <cell r="DD429">
            <v>16.564000000000007</v>
          </cell>
          <cell r="DE429">
            <v>25</v>
          </cell>
          <cell r="DG429">
            <v>25</v>
          </cell>
          <cell r="DH429">
            <v>0</v>
          </cell>
          <cell r="DI429">
            <v>0</v>
          </cell>
          <cell r="DJ429">
            <v>0</v>
          </cell>
          <cell r="DL429">
            <v>0</v>
          </cell>
          <cell r="DM429">
            <v>0</v>
          </cell>
          <cell r="DN429">
            <v>0</v>
          </cell>
          <cell r="DO429">
            <v>0</v>
          </cell>
          <cell r="DQ429">
            <v>1.321</v>
          </cell>
          <cell r="DR429">
            <v>1.2999999999999999E-2</v>
          </cell>
          <cell r="DS429">
            <v>0.88300000000000001</v>
          </cell>
          <cell r="DT429">
            <v>3.629</v>
          </cell>
          <cell r="DU429">
            <v>0</v>
          </cell>
          <cell r="DV429">
            <v>2.5000000000000001E-2</v>
          </cell>
          <cell r="DW429">
            <v>1.456</v>
          </cell>
          <cell r="DX429">
            <v>0</v>
          </cell>
          <cell r="DY429">
            <v>9</v>
          </cell>
          <cell r="DZ429">
            <v>-0.77300000000000002</v>
          </cell>
          <cell r="EB429">
            <v>9.0809999999999995</v>
          </cell>
          <cell r="EC429">
            <v>-0.748</v>
          </cell>
          <cell r="EE429">
            <v>23.716000000000001</v>
          </cell>
          <cell r="EK429">
            <v>85.219000000000008</v>
          </cell>
          <cell r="EL429">
            <v>68.087000000000003</v>
          </cell>
          <cell r="EM429">
            <v>35.064999999999998</v>
          </cell>
          <cell r="EN429">
            <v>47.137999999999998</v>
          </cell>
          <cell r="EP429">
            <v>66.23599999999999</v>
          </cell>
          <cell r="EQ429">
            <v>48.085999999999999</v>
          </cell>
          <cell r="ER429">
            <v>55.887999999999998</v>
          </cell>
          <cell r="ES429">
            <v>215.63800000000001</v>
          </cell>
          <cell r="EU429">
            <v>156.15199999999999</v>
          </cell>
          <cell r="EV429">
            <v>25</v>
          </cell>
          <cell r="EW429">
            <v>0</v>
          </cell>
        </row>
        <row r="430">
          <cell r="A430" t="str">
            <v>Depreciation/amortization</v>
          </cell>
          <cell r="N430">
            <v>1</v>
          </cell>
          <cell r="O430">
            <v>1</v>
          </cell>
          <cell r="P430">
            <v>1.1000000000000001</v>
          </cell>
          <cell r="Q430">
            <v>1.6</v>
          </cell>
          <cell r="S430">
            <v>1.6</v>
          </cell>
          <cell r="T430">
            <v>2</v>
          </cell>
          <cell r="U430">
            <v>2.1</v>
          </cell>
          <cell r="V430">
            <v>2.4270000000000009</v>
          </cell>
          <cell r="X430">
            <v>2.8</v>
          </cell>
          <cell r="Y430">
            <v>3.1</v>
          </cell>
          <cell r="Z430">
            <v>3.4</v>
          </cell>
          <cell r="AA430">
            <v>3.5780000000000003</v>
          </cell>
          <cell r="AH430">
            <v>5.6870000000000003</v>
          </cell>
          <cell r="AI430">
            <v>6.1</v>
          </cell>
          <cell r="AJ430">
            <v>6.7</v>
          </cell>
          <cell r="AK430">
            <v>7.2</v>
          </cell>
          <cell r="AW430">
            <v>11.034000000000001</v>
          </cell>
          <cell r="AX430">
            <v>10.3</v>
          </cell>
          <cell r="AY430">
            <v>10.3</v>
          </cell>
          <cell r="AZ430">
            <v>11.1</v>
          </cell>
          <cell r="BB430">
            <v>13.699</v>
          </cell>
          <cell r="BC430">
            <v>12.4</v>
          </cell>
          <cell r="BD430">
            <v>14.1</v>
          </cell>
          <cell r="BE430">
            <v>14.5</v>
          </cell>
          <cell r="BL430">
            <v>20</v>
          </cell>
          <cell r="BM430">
            <v>20</v>
          </cell>
          <cell r="BN430">
            <v>20</v>
          </cell>
          <cell r="BO430">
            <v>20</v>
          </cell>
          <cell r="BQ430">
            <v>20.585000000000001</v>
          </cell>
          <cell r="BR430">
            <v>27.637</v>
          </cell>
          <cell r="BS430">
            <v>30.015999999999998</v>
          </cell>
          <cell r="BT430">
            <v>29.364000000000001</v>
          </cell>
          <cell r="BV430">
            <v>32.432000000000002</v>
          </cell>
          <cell r="BW430">
            <v>31.524000000000001</v>
          </cell>
          <cell r="BX430">
            <v>31.786000000000001</v>
          </cell>
          <cell r="BY430">
            <v>33.190999999999995</v>
          </cell>
          <cell r="CA430">
            <v>35.686</v>
          </cell>
          <cell r="CB430">
            <v>36.467999999999996</v>
          </cell>
          <cell r="CC430">
            <v>39.800000000000004</v>
          </cell>
          <cell r="CD430">
            <v>41.8</v>
          </cell>
          <cell r="CF430">
            <v>55.017000000000003</v>
          </cell>
          <cell r="CM430">
            <v>30.8</v>
          </cell>
          <cell r="CN430">
            <v>37.799999999999997</v>
          </cell>
          <cell r="CO430">
            <v>51</v>
          </cell>
          <cell r="CP430">
            <v>45.599999999999994</v>
          </cell>
          <cell r="CR430">
            <v>39.799999999999997</v>
          </cell>
          <cell r="CS430">
            <v>50.1</v>
          </cell>
          <cell r="CT430">
            <v>43.89700000000002</v>
          </cell>
          <cell r="CU430">
            <v>25.670999999999992</v>
          </cell>
          <cell r="DB430">
            <v>54.183999999999997</v>
          </cell>
          <cell r="DC430">
            <v>74.400000000000006</v>
          </cell>
          <cell r="DD430">
            <v>59.275000000000006</v>
          </cell>
          <cell r="DE430">
            <v>61.414265138435717</v>
          </cell>
          <cell r="DG430">
            <v>62.760026953429715</v>
          </cell>
          <cell r="DH430">
            <v>64.403859010624174</v>
          </cell>
          <cell r="DI430">
            <v>66.348144201972289</v>
          </cell>
          <cell r="DJ430">
            <v>68.765450230276926</v>
          </cell>
          <cell r="DL430">
            <v>71.46207322079276</v>
          </cell>
          <cell r="DM430">
            <v>74.042840583381334</v>
          </cell>
          <cell r="DN430">
            <v>76.929284070547041</v>
          </cell>
          <cell r="DO430">
            <v>79.969198676609182</v>
          </cell>
          <cell r="DQ430">
            <v>4.2969999999999997</v>
          </cell>
          <cell r="DR430">
            <v>4.274</v>
          </cell>
          <cell r="DS430">
            <v>4.13</v>
          </cell>
          <cell r="DT430">
            <v>4.4029999999999996</v>
          </cell>
          <cell r="DU430">
            <v>4.6870000000000003</v>
          </cell>
          <cell r="DV430">
            <v>8.1270000000000007</v>
          </cell>
          <cell r="DW430">
            <v>12.878</v>
          </cell>
          <cell r="DX430">
            <v>13.554</v>
          </cell>
          <cell r="DY430">
            <v>21.32</v>
          </cell>
          <cell r="DZ430">
            <v>27.283999999999999</v>
          </cell>
          <cell r="EB430">
            <v>29.114000000000001</v>
          </cell>
          <cell r="EC430">
            <v>37.052</v>
          </cell>
          <cell r="EE430">
            <v>45.487000000000002</v>
          </cell>
          <cell r="EK430">
            <v>72.644999999999996</v>
          </cell>
          <cell r="EL430">
            <v>104.996</v>
          </cell>
          <cell r="EM430">
            <v>124.717</v>
          </cell>
          <cell r="EN430">
            <v>157.256</v>
          </cell>
          <cell r="EP430">
            <v>111.208</v>
          </cell>
          <cell r="EQ430">
            <v>130.267</v>
          </cell>
          <cell r="ER430">
            <v>165.22</v>
          </cell>
          <cell r="ES430">
            <v>180.79300000000001</v>
          </cell>
          <cell r="EU430">
            <v>249.27326513843573</v>
          </cell>
          <cell r="EV430">
            <v>262.27748039630313</v>
          </cell>
          <cell r="EW430">
            <v>302.40339655133027</v>
          </cell>
        </row>
        <row r="431">
          <cell r="A431" t="str">
            <v>Other</v>
          </cell>
          <cell r="CF431" t="str">
            <v xml:space="preserve"> --</v>
          </cell>
          <cell r="CT431" t="str">
            <v>--</v>
          </cell>
          <cell r="CU431">
            <v>-7.2099999999999973</v>
          </cell>
          <cell r="DB431">
            <v>-38.513000000000005</v>
          </cell>
          <cell r="DC431">
            <v>-304.02</v>
          </cell>
          <cell r="DD431">
            <v>-9.48200000000001</v>
          </cell>
          <cell r="DE431">
            <v>-24.479693699999984</v>
          </cell>
          <cell r="DG431">
            <v>-14.103191745189974</v>
          </cell>
          <cell r="DH431">
            <v>-25.186856780535209</v>
          </cell>
          <cell r="DI431">
            <v>6.6142917928494853</v>
          </cell>
          <cell r="DJ431">
            <v>12.04596416440836</v>
          </cell>
          <cell r="DL431">
            <v>68.100991469445944</v>
          </cell>
          <cell r="DM431">
            <v>-33.42605070784316</v>
          </cell>
          <cell r="DN431">
            <v>7.9980054721318083</v>
          </cell>
          <cell r="DO431">
            <v>26.234034270463553</v>
          </cell>
          <cell r="DQ431">
            <v>1.149</v>
          </cell>
          <cell r="DR431">
            <v>0.82500000000000007</v>
          </cell>
          <cell r="DS431">
            <v>1.071</v>
          </cell>
          <cell r="DT431">
            <v>11.469999999999999</v>
          </cell>
          <cell r="DU431">
            <v>0.36099999999999999</v>
          </cell>
          <cell r="DV431">
            <v>0.52700000000000002</v>
          </cell>
          <cell r="DW431">
            <v>0.82599999999999996</v>
          </cell>
          <cell r="DX431">
            <v>0.52500000000000002</v>
          </cell>
          <cell r="DY431">
            <v>0.505</v>
          </cell>
          <cell r="DZ431">
            <v>2.0009999999999999</v>
          </cell>
          <cell r="EB431">
            <v>2.85</v>
          </cell>
          <cell r="EC431">
            <v>0.66899999999999982</v>
          </cell>
          <cell r="EE431">
            <v>15.054</v>
          </cell>
          <cell r="EK431">
            <v>4.0869999999999997</v>
          </cell>
          <cell r="EL431">
            <v>6.2489999999999988</v>
          </cell>
          <cell r="EM431">
            <v>17.931999999999999</v>
          </cell>
          <cell r="EN431">
            <v>24.307999999999996</v>
          </cell>
          <cell r="EP431">
            <v>13.200999999999999</v>
          </cell>
          <cell r="EQ431">
            <v>12.071999999999999</v>
          </cell>
          <cell r="ER431">
            <v>16.107000000000003</v>
          </cell>
          <cell r="ES431">
            <v>-12.441999999999997</v>
          </cell>
          <cell r="EU431">
            <v>-376.49469370000003</v>
          </cell>
          <cell r="EV431">
            <v>-20.629792568467337</v>
          </cell>
          <cell r="EW431">
            <v>68.906980504198145</v>
          </cell>
        </row>
        <row r="432">
          <cell r="A432" t="str">
            <v>Deferred Taxes</v>
          </cell>
          <cell r="DB432">
            <v>-67.515000000000001</v>
          </cell>
          <cell r="DC432">
            <v>-73.322999999999993</v>
          </cell>
          <cell r="DD432">
            <v>-6.8830000000000098</v>
          </cell>
          <cell r="EK432" t="str">
            <v>--</v>
          </cell>
          <cell r="EL432" t="str">
            <v>--</v>
          </cell>
          <cell r="EM432" t="str">
            <v>--</v>
          </cell>
          <cell r="EN432" t="str">
            <v>--</v>
          </cell>
          <cell r="EP432" t="str">
            <v>--</v>
          </cell>
          <cell r="EQ432" t="str">
            <v>--</v>
          </cell>
          <cell r="ER432" t="str">
            <v>--</v>
          </cell>
          <cell r="ES432" t="str">
            <v>--</v>
          </cell>
          <cell r="EU432">
            <v>-147.721</v>
          </cell>
          <cell r="EV432">
            <v>0</v>
          </cell>
          <cell r="EW432">
            <v>0</v>
          </cell>
        </row>
        <row r="433">
          <cell r="A433" t="str">
            <v>Provision for doubtful account</v>
          </cell>
          <cell r="DB433">
            <v>-6.4880000000000004</v>
          </cell>
          <cell r="DC433">
            <v>10.375</v>
          </cell>
          <cell r="DD433">
            <v>0.64100000000000001</v>
          </cell>
          <cell r="DQ433">
            <v>0.502</v>
          </cell>
          <cell r="DR433">
            <v>0.37</v>
          </cell>
          <cell r="DS433">
            <v>0.46700000000000003</v>
          </cell>
          <cell r="DT433">
            <v>0.27100000000000002</v>
          </cell>
          <cell r="DU433">
            <v>0.36099999999999999</v>
          </cell>
          <cell r="DV433">
            <v>0.52700000000000002</v>
          </cell>
          <cell r="DW433">
            <v>0.82599999999999996</v>
          </cell>
          <cell r="DX433">
            <v>0.52500000000000002</v>
          </cell>
          <cell r="DY433">
            <v>0.505</v>
          </cell>
          <cell r="DZ433">
            <v>2.0009999999999999</v>
          </cell>
          <cell r="EB433">
            <v>0.505</v>
          </cell>
          <cell r="EC433">
            <v>2.0009999999999999</v>
          </cell>
          <cell r="EE433">
            <v>3.6539999999999999</v>
          </cell>
          <cell r="EK433">
            <v>2.6150000000000002</v>
          </cell>
          <cell r="EL433">
            <v>1.478</v>
          </cell>
          <cell r="EM433">
            <v>3.0169999999999999</v>
          </cell>
          <cell r="EN433">
            <v>15.974</v>
          </cell>
          <cell r="EP433">
            <v>1.478</v>
          </cell>
          <cell r="EQ433">
            <v>3.0169999999999999</v>
          </cell>
          <cell r="ER433">
            <v>15.974</v>
          </cell>
          <cell r="ES433">
            <v>29.727</v>
          </cell>
          <cell r="EU433">
            <v>4.5279999999999996</v>
          </cell>
          <cell r="EV433">
            <v>0</v>
          </cell>
          <cell r="EW433">
            <v>0</v>
          </cell>
        </row>
        <row r="434">
          <cell r="A434" t="str">
            <v>Gain/(Loss) Subsidiary or Investment</v>
          </cell>
          <cell r="DB434">
            <v>5.99</v>
          </cell>
          <cell r="DC434">
            <v>-0.55900000000000005</v>
          </cell>
          <cell r="DD434">
            <v>-3.24</v>
          </cell>
        </row>
        <row r="435">
          <cell r="A435" t="str">
            <v>Asset Securitization</v>
          </cell>
          <cell r="DB435">
            <v>29.5</v>
          </cell>
          <cell r="DC435">
            <v>-240.51300000000001</v>
          </cell>
          <cell r="DD435">
            <v>0</v>
          </cell>
        </row>
        <row r="436">
          <cell r="A436" t="str">
            <v>Other</v>
          </cell>
          <cell r="DB436">
            <v>0</v>
          </cell>
          <cell r="DC436">
            <v>0</v>
          </cell>
          <cell r="DD436">
            <v>0</v>
          </cell>
          <cell r="DQ436">
            <v>0.64700000000000002</v>
          </cell>
          <cell r="DR436">
            <v>0.45500000000000007</v>
          </cell>
          <cell r="DS436">
            <v>0.60399999999999998</v>
          </cell>
          <cell r="DT436">
            <v>11.198999999999998</v>
          </cell>
          <cell r="EB436">
            <v>2.3450000000000002</v>
          </cell>
          <cell r="EC436">
            <v>-1.3320000000000001</v>
          </cell>
          <cell r="EE436">
            <v>11.4</v>
          </cell>
          <cell r="EK436">
            <v>1.472</v>
          </cell>
          <cell r="EL436">
            <v>4.770999999999999</v>
          </cell>
          <cell r="EM436">
            <v>14.914999999999999</v>
          </cell>
          <cell r="EN436">
            <v>8.3339999999999961</v>
          </cell>
          <cell r="EP436">
            <v>11.722999999999999</v>
          </cell>
          <cell r="EQ436">
            <v>9.0549999999999997</v>
          </cell>
          <cell r="ER436">
            <v>0.13300000000000267</v>
          </cell>
          <cell r="ES436">
            <v>-42.168999999999997</v>
          </cell>
          <cell r="EU436">
            <v>0</v>
          </cell>
          <cell r="EV436">
            <v>0</v>
          </cell>
          <cell r="EW436">
            <v>0</v>
          </cell>
        </row>
        <row r="437">
          <cell r="A437" t="str">
            <v>Change in current assets</v>
          </cell>
          <cell r="CF437">
            <v>-138.61199999999999</v>
          </cell>
          <cell r="CT437">
            <v>81.599000000000018</v>
          </cell>
          <cell r="CU437">
            <v>81.800999999999988</v>
          </cell>
          <cell r="DB437">
            <v>43.819000000000017</v>
          </cell>
          <cell r="DC437">
            <v>290.41399999999993</v>
          </cell>
          <cell r="DD437">
            <v>308.983</v>
          </cell>
          <cell r="DE437">
            <v>81.11153604687118</v>
          </cell>
          <cell r="DG437">
            <v>72.678370828461766</v>
          </cell>
          <cell r="DH437">
            <v>95.503288791205648</v>
          </cell>
          <cell r="DI437">
            <v>3.1200136995764183</v>
          </cell>
          <cell r="DJ437">
            <v>-1.8134971678057639</v>
          </cell>
          <cell r="DL437">
            <v>-216.1144204015452</v>
          </cell>
          <cell r="DM437">
            <v>91.231986914922601</v>
          </cell>
          <cell r="DN437">
            <v>9.0509782201962707E-2</v>
          </cell>
          <cell r="DO437">
            <v>-79.500645025472068</v>
          </cell>
          <cell r="DQ437">
            <v>2.9999999999998916E-3</v>
          </cell>
          <cell r="DR437">
            <v>4.1079999999999997</v>
          </cell>
          <cell r="DS437">
            <v>-1.5059999999999993</v>
          </cell>
          <cell r="DT437">
            <v>-4.5729999999999986</v>
          </cell>
          <cell r="DU437">
            <v>1.2210000000000003</v>
          </cell>
          <cell r="DV437">
            <v>-10.014999999999999</v>
          </cell>
          <cell r="DW437">
            <v>-7.7080000000000002</v>
          </cell>
          <cell r="DX437">
            <v>-16.808999999999997</v>
          </cell>
          <cell r="DY437">
            <v>-6.2859999999999996</v>
          </cell>
          <cell r="DZ437">
            <v>-13.423000000000002</v>
          </cell>
          <cell r="EB437">
            <v>-13.019999999999994</v>
          </cell>
          <cell r="EC437">
            <v>-16.425000000000001</v>
          </cell>
          <cell r="EE437">
            <v>-62.811999999999991</v>
          </cell>
          <cell r="EK437">
            <v>-49.035999999999987</v>
          </cell>
          <cell r="EL437">
            <v>-52.662999999999997</v>
          </cell>
          <cell r="EM437">
            <v>-32.554999999999978</v>
          </cell>
          <cell r="EN437">
            <v>-333.654</v>
          </cell>
          <cell r="EP437">
            <v>-68.797000000000011</v>
          </cell>
          <cell r="EQ437">
            <v>-27.542000000000009</v>
          </cell>
          <cell r="ER437">
            <v>-358.13300000000004</v>
          </cell>
          <cell r="ES437">
            <v>-22.907999999999987</v>
          </cell>
          <cell r="EU437">
            <v>724.32753604687105</v>
          </cell>
          <cell r="EV437">
            <v>169.48817615143807</v>
          </cell>
          <cell r="EW437">
            <v>-204.29256872989271</v>
          </cell>
        </row>
        <row r="438">
          <cell r="A438" t="str">
            <v>Accounts receivable</v>
          </cell>
          <cell r="CF438">
            <v>-121.821</v>
          </cell>
          <cell r="CT438">
            <v>176.126</v>
          </cell>
          <cell r="CU438">
            <v>132.89500000000001</v>
          </cell>
          <cell r="DB438">
            <v>64.093000000000004</v>
          </cell>
          <cell r="DC438">
            <v>-64.093000000000004</v>
          </cell>
          <cell r="DD438">
            <v>67.608000000000018</v>
          </cell>
          <cell r="DE438">
            <v>4.7317640533331087</v>
          </cell>
          <cell r="DG438">
            <v>26.197784730711192</v>
          </cell>
          <cell r="DH438">
            <v>98.625494631718084</v>
          </cell>
          <cell r="DI438">
            <v>-18.046396038177818</v>
          </cell>
          <cell r="DJ438">
            <v>-3.3474336250317265</v>
          </cell>
          <cell r="DL438">
            <v>-148.20911344833485</v>
          </cell>
          <cell r="DM438">
            <v>87.23425296691039</v>
          </cell>
          <cell r="DN438">
            <v>-20.872942444946602</v>
          </cell>
          <cell r="DO438">
            <v>-68.464755286068794</v>
          </cell>
          <cell r="DQ438">
            <v>-3.6999999999999998E-2</v>
          </cell>
          <cell r="DR438">
            <v>-1.2470000000000001</v>
          </cell>
          <cell r="DS438">
            <v>-1.879</v>
          </cell>
          <cell r="DT438">
            <v>-5.9649999999999999</v>
          </cell>
          <cell r="DU438">
            <v>-6.0919999999999996</v>
          </cell>
          <cell r="DV438">
            <v>-3.2989999999999999</v>
          </cell>
          <cell r="DW438">
            <v>-16.704999999999998</v>
          </cell>
          <cell r="DX438">
            <v>-8.1180000000000003</v>
          </cell>
          <cell r="DY438">
            <v>-20.782</v>
          </cell>
          <cell r="DZ438">
            <v>-16.629000000000001</v>
          </cell>
          <cell r="EB438">
            <v>-20.492999999999999</v>
          </cell>
          <cell r="EC438">
            <v>-16.998000000000001</v>
          </cell>
          <cell r="EE438">
            <v>-59.518999999999998</v>
          </cell>
          <cell r="EK438">
            <v>-47.796999999999997</v>
          </cell>
          <cell r="EL438">
            <v>-29.062999999999999</v>
          </cell>
          <cell r="EM438">
            <v>-72.009</v>
          </cell>
          <cell r="EN438">
            <v>-308.48399999999998</v>
          </cell>
          <cell r="EP438">
            <v>-47.093000000000004</v>
          </cell>
          <cell r="EQ438">
            <v>-74.682000000000002</v>
          </cell>
          <cell r="ER438">
            <v>-341.637</v>
          </cell>
          <cell r="ES438">
            <v>269.20600000000002</v>
          </cell>
          <cell r="EU438">
            <v>72.339764053333127</v>
          </cell>
          <cell r="EV438">
            <v>103.42944969921973</v>
          </cell>
          <cell r="EW438">
            <v>-150.31255821243985</v>
          </cell>
        </row>
        <row r="439">
          <cell r="A439" t="str">
            <v>Inventories</v>
          </cell>
          <cell r="CF439">
            <v>-28.443999999999999</v>
          </cell>
          <cell r="CT439">
            <v>41.997</v>
          </cell>
          <cell r="CU439">
            <v>87.73599999999999</v>
          </cell>
          <cell r="DB439">
            <v>281.887</v>
          </cell>
          <cell r="DC439">
            <v>222.78199999999998</v>
          </cell>
          <cell r="DD439">
            <v>91.215000000000032</v>
          </cell>
          <cell r="DE439">
            <v>20.163652925951055</v>
          </cell>
          <cell r="DG439">
            <v>30.515612308071923</v>
          </cell>
          <cell r="DH439">
            <v>35.241403693469465</v>
          </cell>
          <cell r="DI439">
            <v>18.439282687326795</v>
          </cell>
          <cell r="DJ439">
            <v>-9.9023557854948194</v>
          </cell>
          <cell r="DL439">
            <v>-126.34710590521968</v>
          </cell>
          <cell r="DM439">
            <v>46.880667172492622</v>
          </cell>
          <cell r="DN439">
            <v>11.783563445669415</v>
          </cell>
          <cell r="DO439">
            <v>-44.294954533021837</v>
          </cell>
          <cell r="DQ439">
            <v>-0.39100000000000001</v>
          </cell>
          <cell r="DR439">
            <v>2.0859999999999999</v>
          </cell>
          <cell r="DS439">
            <v>-3.8809999999999998</v>
          </cell>
          <cell r="DT439">
            <v>-0.56299999999999994</v>
          </cell>
          <cell r="DU439">
            <v>-4.2889999999999997</v>
          </cell>
          <cell r="DV439">
            <v>-8.9550000000000001</v>
          </cell>
          <cell r="DW439">
            <v>-11.882999999999999</v>
          </cell>
          <cell r="DX439">
            <v>-12.066000000000001</v>
          </cell>
          <cell r="DY439">
            <v>-13.423</v>
          </cell>
          <cell r="DZ439">
            <v>-3.8330000000000002</v>
          </cell>
          <cell r="EB439">
            <v>-22.268000000000001</v>
          </cell>
          <cell r="EC439">
            <v>-5.9960000000000004</v>
          </cell>
          <cell r="EE439">
            <v>-98.099000000000004</v>
          </cell>
          <cell r="EK439">
            <v>-37.284999999999997</v>
          </cell>
          <cell r="EL439">
            <v>-28.588999999999999</v>
          </cell>
          <cell r="EM439">
            <v>-97.353999999999999</v>
          </cell>
          <cell r="EN439">
            <v>-221.036</v>
          </cell>
          <cell r="EP439">
            <v>-36.267000000000003</v>
          </cell>
          <cell r="EQ439">
            <v>-91.012</v>
          </cell>
          <cell r="ER439">
            <v>-236.18700000000001</v>
          </cell>
          <cell r="ES439">
            <v>142.53399999999999</v>
          </cell>
          <cell r="EU439">
            <v>616.04765292595107</v>
          </cell>
          <cell r="EV439">
            <v>74.293942903373363</v>
          </cell>
          <cell r="EW439">
            <v>-111.97782982007948</v>
          </cell>
        </row>
        <row r="440">
          <cell r="A440" t="str">
            <v>Prepaid exp., deposits, other</v>
          </cell>
          <cell r="CF440">
            <v>3.34</v>
          </cell>
          <cell r="CT440">
            <v>-0.27099999999999991</v>
          </cell>
          <cell r="CU440">
            <v>-15.795999999999999</v>
          </cell>
          <cell r="DB440">
            <v>14.03</v>
          </cell>
          <cell r="DC440">
            <v>-8.411999999999999</v>
          </cell>
          <cell r="DD440">
            <v>-110.70400000000001</v>
          </cell>
          <cell r="DE440">
            <v>8.7298265999999956</v>
          </cell>
          <cell r="DG440">
            <v>5.0294100878418817</v>
          </cell>
          <cell r="DH440">
            <v>8.9820115801982752</v>
          </cell>
          <cell r="DI440">
            <v>-2.358755838247248</v>
          </cell>
          <cell r="DJ440">
            <v>-4.2957718210787164</v>
          </cell>
          <cell r="DL440">
            <v>-24.285836828764815</v>
          </cell>
          <cell r="DM440">
            <v>11.920231935021235</v>
          </cell>
          <cell r="DN440">
            <v>-2.8522089276616214</v>
          </cell>
          <cell r="DO440">
            <v>-9.3554508077690457</v>
          </cell>
          <cell r="DQ440">
            <v>0.04</v>
          </cell>
          <cell r="DR440">
            <v>0.17</v>
          </cell>
          <cell r="DS440">
            <v>8.7999999999999995E-2</v>
          </cell>
          <cell r="DT440">
            <v>-6.0999999999999999E-2</v>
          </cell>
          <cell r="DU440">
            <v>0.25600000000000001</v>
          </cell>
          <cell r="DV440">
            <v>0.25700000000000001</v>
          </cell>
          <cell r="DW440">
            <v>-0.751</v>
          </cell>
          <cell r="DX440">
            <v>-0.16800000000000001</v>
          </cell>
          <cell r="DY440" t="str">
            <v xml:space="preserve"> -- </v>
          </cell>
          <cell r="DZ440">
            <v>0.48799999999999999</v>
          </cell>
          <cell r="EB440">
            <v>-0.56999999999999995</v>
          </cell>
          <cell r="EC440">
            <v>-0.36599999999999999</v>
          </cell>
          <cell r="EE440">
            <v>23.422000000000001</v>
          </cell>
          <cell r="EK440">
            <v>-4.0640000000000001</v>
          </cell>
          <cell r="EL440">
            <v>0.84799999999999998</v>
          </cell>
          <cell r="EM440">
            <v>18.710999999999999</v>
          </cell>
          <cell r="EN440">
            <v>-13.25</v>
          </cell>
          <cell r="EP440">
            <v>1.548</v>
          </cell>
          <cell r="EQ440">
            <v>17.614999999999998</v>
          </cell>
          <cell r="ER440">
            <v>-19.588999999999999</v>
          </cell>
          <cell r="ES440">
            <v>-23.824999999999999</v>
          </cell>
          <cell r="EU440">
            <v>-96.356173400000017</v>
          </cell>
          <cell r="EV440">
            <v>7.3568940087141925</v>
          </cell>
          <cell r="EW440">
            <v>-24.573264629174247</v>
          </cell>
        </row>
        <row r="441">
          <cell r="A441" t="str">
            <v>Accounts payable</v>
          </cell>
          <cell r="CF441">
            <v>-16.753</v>
          </cell>
          <cell r="CT441">
            <v>-45.301999999999992</v>
          </cell>
          <cell r="CU441">
            <v>-73.138000000000005</v>
          </cell>
          <cell r="DB441">
            <v>-359.52499999999998</v>
          </cell>
          <cell r="DC441">
            <v>175.26899999999998</v>
          </cell>
          <cell r="DD441">
            <v>120.18799999999999</v>
          </cell>
          <cell r="DE441">
            <v>27.244194767587032</v>
          </cell>
          <cell r="DG441">
            <v>-0.72627278543791363</v>
          </cell>
          <cell r="DH441">
            <v>-68.172467313955167</v>
          </cell>
          <cell r="DI441">
            <v>10.555197265233573</v>
          </cell>
          <cell r="DJ441">
            <v>25.692792596389381</v>
          </cell>
          <cell r="DL441">
            <v>139.03989767771895</v>
          </cell>
          <cell r="DM441">
            <v>-82.442946622670661</v>
          </cell>
          <cell r="DN441">
            <v>18.645595825419377</v>
          </cell>
          <cell r="DO441">
            <v>64.307265979545718</v>
          </cell>
          <cell r="DQ441">
            <v>1.1319999999999999</v>
          </cell>
          <cell r="DR441">
            <v>2.6419999999999999</v>
          </cell>
          <cell r="DS441">
            <v>1.78</v>
          </cell>
          <cell r="DT441">
            <v>1.8660000000000001</v>
          </cell>
          <cell r="DU441">
            <v>10.304</v>
          </cell>
          <cell r="DV441">
            <v>1.55</v>
          </cell>
          <cell r="DW441">
            <v>22.172999999999998</v>
          </cell>
          <cell r="DX441">
            <v>3.7890000000000001</v>
          </cell>
          <cell r="DY441">
            <v>30.033999999999999</v>
          </cell>
          <cell r="DZ441">
            <v>-1.325</v>
          </cell>
          <cell r="EB441">
            <v>32.417000000000002</v>
          </cell>
          <cell r="EC441">
            <v>-2.7919999999999998</v>
          </cell>
          <cell r="EE441">
            <v>72.153000000000006</v>
          </cell>
          <cell r="EK441">
            <v>33.616</v>
          </cell>
          <cell r="EL441">
            <v>11.367000000000001</v>
          </cell>
          <cell r="EM441">
            <v>113.79</v>
          </cell>
          <cell r="EN441">
            <v>173.18199999999999</v>
          </cell>
          <cell r="EP441">
            <v>26.289000000000001</v>
          </cell>
          <cell r="EQ441">
            <v>116.437</v>
          </cell>
          <cell r="ER441">
            <v>201.697</v>
          </cell>
          <cell r="ES441">
            <v>-269.976</v>
          </cell>
          <cell r="EU441">
            <v>-36.82380523241298</v>
          </cell>
          <cell r="EV441">
            <v>-32.650750237770126</v>
          </cell>
          <cell r="EW441">
            <v>139.54981286001339</v>
          </cell>
        </row>
        <row r="442">
          <cell r="A442" t="str">
            <v>Income tax accounts</v>
          </cell>
          <cell r="CF442">
            <v>25.065999999999999</v>
          </cell>
          <cell r="CT442">
            <v>-90.950999999999993</v>
          </cell>
          <cell r="CU442">
            <v>-49.896000000000015</v>
          </cell>
          <cell r="DB442">
            <v>43.334000000000003</v>
          </cell>
          <cell r="DC442">
            <v>-35.132000000000005</v>
          </cell>
          <cell r="DD442">
            <v>140.67599999999999</v>
          </cell>
          <cell r="DE442">
            <v>20.242097699999988</v>
          </cell>
          <cell r="DG442">
            <v>11.661836487274684</v>
          </cell>
          <cell r="DH442">
            <v>20.826846199774991</v>
          </cell>
          <cell r="DI442">
            <v>-5.4693143765588843</v>
          </cell>
          <cell r="DJ442">
            <v>-9.9607285325898829</v>
          </cell>
          <cell r="DL442">
            <v>-56.312261896944847</v>
          </cell>
          <cell r="DM442">
            <v>27.639781463169015</v>
          </cell>
          <cell r="DN442">
            <v>-6.6134981162786062</v>
          </cell>
          <cell r="DO442">
            <v>-21.692750378158109</v>
          </cell>
          <cell r="DQ442">
            <v>-0.74099999999999999</v>
          </cell>
          <cell r="DR442">
            <v>0.45700000000000002</v>
          </cell>
          <cell r="DS442">
            <v>2.3860000000000001</v>
          </cell>
          <cell r="DT442">
            <v>0.15</v>
          </cell>
          <cell r="DU442">
            <v>1.042</v>
          </cell>
          <cell r="DV442">
            <v>0.432</v>
          </cell>
          <cell r="DW442">
            <v>-0.54200000000000004</v>
          </cell>
          <cell r="DX442">
            <v>-0.246</v>
          </cell>
          <cell r="DY442">
            <v>-2.1150000000000002</v>
          </cell>
          <cell r="DZ442">
            <v>7.8760000000000003</v>
          </cell>
          <cell r="EB442">
            <v>-2.1059999999999999</v>
          </cell>
          <cell r="EC442">
            <v>9.7270000000000003</v>
          </cell>
          <cell r="EE442">
            <v>-0.76900000000000002</v>
          </cell>
          <cell r="EK442">
            <v>6.4939999999999998</v>
          </cell>
          <cell r="EL442">
            <v>-7.226</v>
          </cell>
          <cell r="EM442">
            <v>4.3070000000000004</v>
          </cell>
          <cell r="EN442">
            <v>35.933999999999997</v>
          </cell>
          <cell r="EP442">
            <v>-13.273999999999999</v>
          </cell>
          <cell r="EQ442">
            <v>4.0999999999999996</v>
          </cell>
          <cell r="ER442">
            <v>37.582999999999998</v>
          </cell>
          <cell r="ES442">
            <v>-140.84700000000001</v>
          </cell>
          <cell r="EU442">
            <v>169.12009769999997</v>
          </cell>
          <cell r="EV442">
            <v>17.058639777900908</v>
          </cell>
          <cell r="EW442">
            <v>-56.978728928212547</v>
          </cell>
        </row>
        <row r="444">
          <cell r="A444" t="str">
            <v>Cash From Investing</v>
          </cell>
          <cell r="CF444">
            <v>-63.018999999999998</v>
          </cell>
          <cell r="CT444">
            <v>-36.792000000000016</v>
          </cell>
          <cell r="CU444">
            <v>-93.435000000000002</v>
          </cell>
          <cell r="DB444">
            <v>45.321999999999996</v>
          </cell>
          <cell r="DC444">
            <v>-200.22399999999999</v>
          </cell>
          <cell r="DD444">
            <v>-188.114</v>
          </cell>
          <cell r="DE444">
            <v>-84.899423876200004</v>
          </cell>
          <cell r="DG444">
            <v>-37.681330819832006</v>
          </cell>
          <cell r="DH444">
            <v>-46.027297601444879</v>
          </cell>
          <cell r="DI444">
            <v>-54.439985357747069</v>
          </cell>
          <cell r="DJ444">
            <v>-67.684568792529831</v>
          </cell>
          <cell r="DL444">
            <v>-75.505443734443404</v>
          </cell>
          <cell r="DM444">
            <v>-72.261486152480259</v>
          </cell>
          <cell r="DN444">
            <v>-80.820417640639903</v>
          </cell>
          <cell r="DO444">
            <v>-85.117608969739933</v>
          </cell>
          <cell r="DQ444">
            <v>-3.242</v>
          </cell>
          <cell r="DR444">
            <v>-2.0500000000000003</v>
          </cell>
          <cell r="DS444">
            <v>-20.262</v>
          </cell>
          <cell r="DT444">
            <v>-3.9989999999999997</v>
          </cell>
          <cell r="DU444">
            <v>-18.420999999999999</v>
          </cell>
          <cell r="DV444">
            <v>-27.114000000000001</v>
          </cell>
          <cell r="DW444">
            <v>-47.826000000000001</v>
          </cell>
          <cell r="DX444">
            <v>-36.309999999999995</v>
          </cell>
          <cell r="DY444">
            <v>-60.574999999999996</v>
          </cell>
          <cell r="DZ444">
            <v>-32.098999999999997</v>
          </cell>
          <cell r="EB444">
            <v>-89.253000000000014</v>
          </cell>
          <cell r="EC444">
            <v>-58.362999999999992</v>
          </cell>
          <cell r="EE444">
            <v>-140.30500000000001</v>
          </cell>
          <cell r="EK444">
            <v>-364.69200000000001</v>
          </cell>
          <cell r="EL444">
            <v>-344.745</v>
          </cell>
          <cell r="EM444">
            <v>-210.41</v>
          </cell>
          <cell r="EN444">
            <v>-370.86099999999999</v>
          </cell>
          <cell r="EP444">
            <v>-364.74400000000003</v>
          </cell>
          <cell r="EQ444">
            <v>-214.56399999999999</v>
          </cell>
          <cell r="ER444">
            <v>-408.26</v>
          </cell>
          <cell r="ES444">
            <v>-255.24099999999999</v>
          </cell>
          <cell r="EU444">
            <v>-427.91542387619995</v>
          </cell>
          <cell r="EV444">
            <v>-205.83318257155378</v>
          </cell>
          <cell r="EW444">
            <v>-313.7049564973035</v>
          </cell>
        </row>
        <row r="445">
          <cell r="A445" t="str">
            <v>PP&amp;E</v>
          </cell>
          <cell r="B445" t="str">
            <v>capex</v>
          </cell>
          <cell r="D445">
            <v>0</v>
          </cell>
          <cell r="E445">
            <v>0</v>
          </cell>
          <cell r="F445">
            <v>0</v>
          </cell>
          <cell r="G445">
            <v>0</v>
          </cell>
          <cell r="I445">
            <v>0</v>
          </cell>
          <cell r="J445">
            <v>0</v>
          </cell>
          <cell r="K445">
            <v>0</v>
          </cell>
          <cell r="L445">
            <v>0</v>
          </cell>
          <cell r="N445">
            <v>-0.1</v>
          </cell>
          <cell r="O445">
            <v>-1</v>
          </cell>
          <cell r="P445">
            <v>-4.2</v>
          </cell>
          <cell r="Q445">
            <v>-4.5999999999999996</v>
          </cell>
          <cell r="R445">
            <v>0</v>
          </cell>
          <cell r="S445">
            <v>-5.0999999999999996</v>
          </cell>
          <cell r="T445">
            <v>-7.4</v>
          </cell>
          <cell r="U445">
            <v>-5.6</v>
          </cell>
          <cell r="V445">
            <v>-3.6</v>
          </cell>
          <cell r="X445">
            <v>-4.5</v>
          </cell>
          <cell r="Y445">
            <v>-7.4</v>
          </cell>
          <cell r="Z445">
            <v>-8.6</v>
          </cell>
          <cell r="AA445">
            <v>-9.6810000000000027</v>
          </cell>
          <cell r="AB445">
            <v>0</v>
          </cell>
          <cell r="AC445">
            <v>0</v>
          </cell>
          <cell r="AD445">
            <v>0</v>
          </cell>
          <cell r="AE445">
            <v>0</v>
          </cell>
          <cell r="AF445">
            <v>0</v>
          </cell>
          <cell r="AG445">
            <v>0</v>
          </cell>
          <cell r="AH445">
            <v>-5.7320000000000002</v>
          </cell>
          <cell r="AI445">
            <v>-7</v>
          </cell>
          <cell r="AJ445">
            <v>-12.4</v>
          </cell>
          <cell r="AK445">
            <v>-7.2</v>
          </cell>
          <cell r="AM445">
            <v>0</v>
          </cell>
          <cell r="AN445">
            <v>0</v>
          </cell>
          <cell r="AO445">
            <v>0</v>
          </cell>
          <cell r="AP445">
            <v>0</v>
          </cell>
          <cell r="AR445">
            <v>0</v>
          </cell>
          <cell r="AS445">
            <v>0</v>
          </cell>
          <cell r="AT445">
            <v>0</v>
          </cell>
          <cell r="AU445">
            <v>0</v>
          </cell>
          <cell r="AW445">
            <v>-10.599</v>
          </cell>
          <cell r="AX445">
            <v>-17</v>
          </cell>
          <cell r="AY445">
            <v>-18</v>
          </cell>
          <cell r="AZ445">
            <v>-18.5</v>
          </cell>
          <cell r="BB445">
            <v>-26.1</v>
          </cell>
          <cell r="BC445">
            <v>-49.5</v>
          </cell>
          <cell r="BD445">
            <v>-20</v>
          </cell>
          <cell r="BE445">
            <v>-19</v>
          </cell>
          <cell r="BG445">
            <v>0</v>
          </cell>
          <cell r="BH445">
            <v>0</v>
          </cell>
          <cell r="BI445">
            <v>0</v>
          </cell>
          <cell r="BJ445">
            <v>0</v>
          </cell>
          <cell r="BL445">
            <v>0</v>
          </cell>
          <cell r="BM445">
            <v>0</v>
          </cell>
          <cell r="BN445">
            <v>0</v>
          </cell>
          <cell r="BO445">
            <v>0</v>
          </cell>
          <cell r="BQ445">
            <v>-34.345999999999997</v>
          </cell>
          <cell r="BR445">
            <v>-47.131999999999998</v>
          </cell>
          <cell r="BS445">
            <v>-40.728000000000002</v>
          </cell>
          <cell r="BT445">
            <v>-29.817</v>
          </cell>
          <cell r="BU445">
            <v>0</v>
          </cell>
          <cell r="BV445">
            <v>-28.893000000000001</v>
          </cell>
          <cell r="BW445">
            <v>-29.670999999999999</v>
          </cell>
          <cell r="BX445">
            <v>-31.039000000000001</v>
          </cell>
          <cell r="BY445">
            <v>-49.91</v>
          </cell>
          <cell r="BZ445">
            <v>0</v>
          </cell>
          <cell r="CA445">
            <v>-36.177</v>
          </cell>
          <cell r="CB445">
            <v>-68.185000000000002</v>
          </cell>
          <cell r="CC445">
            <v>-52</v>
          </cell>
          <cell r="CD445">
            <v>-68.599999999999994</v>
          </cell>
          <cell r="CF445">
            <v>-63.018999999999998</v>
          </cell>
          <cell r="CT445">
            <v>-36.792000000000016</v>
          </cell>
          <cell r="CU445">
            <v>-25.724999999999994</v>
          </cell>
          <cell r="DB445">
            <v>-19.413</v>
          </cell>
          <cell r="DC445">
            <v>-26.602999999999998</v>
          </cell>
          <cell r="DD445">
            <v>-34.857000000000014</v>
          </cell>
          <cell r="DE445">
            <v>-34.899423876200004</v>
          </cell>
          <cell r="DG445">
            <v>-37.681330819832006</v>
          </cell>
          <cell r="DH445">
            <v>-46.027297601444879</v>
          </cell>
          <cell r="DI445">
            <v>-54.439985357747069</v>
          </cell>
          <cell r="DJ445">
            <v>-67.684568792529831</v>
          </cell>
          <cell r="DL445">
            <v>-75.505443734443404</v>
          </cell>
          <cell r="DM445">
            <v>-72.261486152480259</v>
          </cell>
          <cell r="DN445">
            <v>-80.820417640639903</v>
          </cell>
          <cell r="DO445">
            <v>-85.117608969739933</v>
          </cell>
          <cell r="DQ445">
            <v>-3.2690000000000001</v>
          </cell>
          <cell r="DR445">
            <v>-2.0550000000000002</v>
          </cell>
          <cell r="DS445">
            <v>-3.1349999999999998</v>
          </cell>
          <cell r="DT445">
            <v>-4.0919999999999996</v>
          </cell>
          <cell r="DU445">
            <v>-9.9250000000000007</v>
          </cell>
          <cell r="DV445">
            <v>-21.827000000000002</v>
          </cell>
          <cell r="DW445">
            <v>-30.181000000000001</v>
          </cell>
          <cell r="DX445">
            <v>-29.65</v>
          </cell>
          <cell r="DY445">
            <v>-41.911999999999999</v>
          </cell>
          <cell r="DZ445">
            <v>-28.986999999999998</v>
          </cell>
          <cell r="EB445">
            <v>-70.706000000000003</v>
          </cell>
          <cell r="EC445">
            <v>-55.287999999999997</v>
          </cell>
          <cell r="EE445">
            <v>-65.275000000000006</v>
          </cell>
          <cell r="EK445">
            <v>-139.244</v>
          </cell>
          <cell r="EL445">
            <v>-149.13800000000001</v>
          </cell>
          <cell r="EM445">
            <v>-135.61099999999999</v>
          </cell>
          <cell r="EN445">
            <v>-198.667</v>
          </cell>
          <cell r="EP445">
            <v>-164.857</v>
          </cell>
          <cell r="EQ445">
            <v>-139.76499999999999</v>
          </cell>
          <cell r="ER445">
            <v>-205.596</v>
          </cell>
          <cell r="ES445">
            <v>-187.53100000000001</v>
          </cell>
          <cell r="EU445">
            <v>-115.77242387620002</v>
          </cell>
          <cell r="EV445">
            <v>-205.83318257155378</v>
          </cell>
          <cell r="EW445">
            <v>-313.7049564973035</v>
          </cell>
        </row>
        <row r="446">
          <cell r="A446" t="str">
            <v>Acquisitions</v>
          </cell>
          <cell r="BB446" t="str">
            <v xml:space="preserve"> -- </v>
          </cell>
          <cell r="BC446">
            <v>-25.5</v>
          </cell>
          <cell r="BD446" t="str">
            <v xml:space="preserve"> -- </v>
          </cell>
          <cell r="BE446" t="str">
            <v xml:space="preserve"> -- </v>
          </cell>
          <cell r="BV446" t="str">
            <v xml:space="preserve"> -- </v>
          </cell>
          <cell r="BW446" t="str">
            <v xml:space="preserve"> -- </v>
          </cell>
          <cell r="BX446" t="str">
            <v xml:space="preserve"> -- </v>
          </cell>
          <cell r="BY446" t="str">
            <v xml:space="preserve"> -- </v>
          </cell>
          <cell r="CA446" t="str">
            <v xml:space="preserve"> -- </v>
          </cell>
          <cell r="CB446">
            <v>-25.5</v>
          </cell>
          <cell r="CC446">
            <v>-45</v>
          </cell>
          <cell r="CD446" t="str">
            <v xml:space="preserve"> -- </v>
          </cell>
          <cell r="CF446" t="str">
            <v xml:space="preserve"> --</v>
          </cell>
          <cell r="CT446" t="str">
            <v>--</v>
          </cell>
          <cell r="CU446">
            <v>-71.667000000000002</v>
          </cell>
          <cell r="DB446">
            <v>63.622999999999998</v>
          </cell>
          <cell r="DC446">
            <v>-175.08799999999999</v>
          </cell>
          <cell r="DD446">
            <v>-154.40200000000002</v>
          </cell>
          <cell r="DE446">
            <v>-50</v>
          </cell>
          <cell r="DG446">
            <v>0</v>
          </cell>
          <cell r="DH446">
            <v>0</v>
          </cell>
          <cell r="DI446">
            <v>0</v>
          </cell>
          <cell r="DJ446">
            <v>0</v>
          </cell>
          <cell r="DL446">
            <v>0</v>
          </cell>
          <cell r="DM446">
            <v>0</v>
          </cell>
          <cell r="DN446">
            <v>0</v>
          </cell>
          <cell r="DO446">
            <v>0</v>
          </cell>
          <cell r="DQ446">
            <v>0</v>
          </cell>
          <cell r="DR446">
            <v>0</v>
          </cell>
          <cell r="DS446">
            <v>0</v>
          </cell>
          <cell r="DT446">
            <v>0</v>
          </cell>
          <cell r="DU446">
            <v>-8.4959999999999987</v>
          </cell>
          <cell r="DV446">
            <v>-5.2869999999999999</v>
          </cell>
          <cell r="DW446">
            <v>-17.645</v>
          </cell>
          <cell r="DX446">
            <v>-6.6870000000000003</v>
          </cell>
          <cell r="DY446">
            <v>-18.879000000000001</v>
          </cell>
          <cell r="DZ446">
            <v>-5.6660000000000004</v>
          </cell>
          <cell r="EB446">
            <v>-18.879000000000001</v>
          </cell>
          <cell r="EC446">
            <v>-5.6660000000000004</v>
          </cell>
          <cell r="EE446">
            <v>-75.108000000000004</v>
          </cell>
          <cell r="EK446">
            <v>-228.54</v>
          </cell>
          <cell r="EL446">
            <v>-198.19800000000001</v>
          </cell>
          <cell r="EM446">
            <v>-75.108000000000004</v>
          </cell>
          <cell r="EN446">
            <v>-172.19399999999999</v>
          </cell>
          <cell r="EP446">
            <v>-202.47900000000001</v>
          </cell>
          <cell r="EQ446">
            <v>-75.108000000000004</v>
          </cell>
          <cell r="ER446">
            <v>-202.66399999999999</v>
          </cell>
          <cell r="ES446">
            <v>-71.667000000000002</v>
          </cell>
          <cell r="EU446">
            <v>-315.86700000000002</v>
          </cell>
          <cell r="EV446">
            <v>0</v>
          </cell>
          <cell r="EW446">
            <v>0</v>
          </cell>
        </row>
        <row r="447">
          <cell r="A447" t="str">
            <v>Proceeds from asset sales</v>
          </cell>
          <cell r="CF447" t="str">
            <v xml:space="preserve"> --</v>
          </cell>
          <cell r="CT447" t="str">
            <v>--</v>
          </cell>
          <cell r="CU447">
            <v>3.9569999999999999</v>
          </cell>
          <cell r="DB447">
            <v>1.1120000000000001</v>
          </cell>
          <cell r="DC447">
            <v>1.4670000000000001</v>
          </cell>
          <cell r="DD447">
            <v>1.145</v>
          </cell>
          <cell r="DE447">
            <v>0</v>
          </cell>
          <cell r="DG447">
            <v>0</v>
          </cell>
          <cell r="DH447">
            <v>0</v>
          </cell>
          <cell r="DI447">
            <v>0</v>
          </cell>
          <cell r="DJ447">
            <v>0</v>
          </cell>
          <cell r="DL447">
            <v>0</v>
          </cell>
          <cell r="DM447">
            <v>0</v>
          </cell>
          <cell r="DN447">
            <v>0</v>
          </cell>
          <cell r="DO447">
            <v>0</v>
          </cell>
          <cell r="DQ447">
            <v>2.7E-2</v>
          </cell>
          <cell r="DR447">
            <v>5.0000000000000001E-3</v>
          </cell>
          <cell r="DS447">
            <v>-17.126999999999999</v>
          </cell>
          <cell r="DT447">
            <v>9.2999999999999999E-2</v>
          </cell>
          <cell r="DU447" t="str">
            <v xml:space="preserve"> -- </v>
          </cell>
          <cell r="DV447" t="str">
            <v xml:space="preserve"> -- </v>
          </cell>
          <cell r="DW447" t="str">
            <v xml:space="preserve"> -- </v>
          </cell>
          <cell r="DX447">
            <v>2.7E-2</v>
          </cell>
          <cell r="DY447">
            <v>0.216</v>
          </cell>
          <cell r="DZ447">
            <v>2.5539999999999998</v>
          </cell>
          <cell r="EB447">
            <v>0.33200000000000002</v>
          </cell>
          <cell r="EC447">
            <v>2.5910000000000002</v>
          </cell>
          <cell r="EE447">
            <v>7.8E-2</v>
          </cell>
          <cell r="EK447">
            <v>3.0920000000000001</v>
          </cell>
          <cell r="EL447">
            <v>2.5910000000000002</v>
          </cell>
          <cell r="EM447">
            <v>0.309</v>
          </cell>
          <cell r="EN447" t="str">
            <v xml:space="preserve"> -- </v>
          </cell>
          <cell r="EP447">
            <v>2.5920000000000001</v>
          </cell>
          <cell r="EQ447">
            <v>0.309</v>
          </cell>
          <cell r="ER447">
            <v>0</v>
          </cell>
          <cell r="ES447">
            <v>3.9569999999999999</v>
          </cell>
          <cell r="EU447">
            <v>3.7240000000000002</v>
          </cell>
          <cell r="EV447">
            <v>0</v>
          </cell>
          <cell r="EW447">
            <v>0</v>
          </cell>
        </row>
        <row r="449">
          <cell r="A449" t="str">
            <v>Cash From Financing</v>
          </cell>
          <cell r="CF449">
            <v>9.5169999999999941</v>
          </cell>
          <cell r="CT449">
            <v>-66.100000000000108</v>
          </cell>
          <cell r="CU449">
            <v>-73.283000000000072</v>
          </cell>
          <cell r="DB449">
            <v>-184.05899999999997</v>
          </cell>
          <cell r="DC449">
            <v>190.0630000000001</v>
          </cell>
          <cell r="DD449">
            <v>137.6159999999997</v>
          </cell>
          <cell r="DE449">
            <v>-200</v>
          </cell>
          <cell r="DG449">
            <v>0</v>
          </cell>
          <cell r="DH449">
            <v>0</v>
          </cell>
          <cell r="DI449">
            <v>0</v>
          </cell>
          <cell r="DJ449">
            <v>0</v>
          </cell>
          <cell r="DL449">
            <v>0</v>
          </cell>
          <cell r="DM449">
            <v>0</v>
          </cell>
          <cell r="DN449">
            <v>-350</v>
          </cell>
          <cell r="DO449">
            <v>0</v>
          </cell>
          <cell r="DQ449">
            <v>-2.3730000000000002</v>
          </cell>
          <cell r="DR449">
            <v>-3.0620000000000003</v>
          </cell>
          <cell r="DS449">
            <v>7.3610000000000007</v>
          </cell>
          <cell r="DT449">
            <v>6.25</v>
          </cell>
          <cell r="DU449">
            <v>87.807999999999993</v>
          </cell>
          <cell r="DV449">
            <v>-77.367000000000019</v>
          </cell>
          <cell r="DW449">
            <v>11.350999999999996</v>
          </cell>
          <cell r="DX449">
            <v>-75.075000000000017</v>
          </cell>
          <cell r="DY449">
            <v>17.212999999999994</v>
          </cell>
          <cell r="DZ449">
            <v>-18.147000000000002</v>
          </cell>
          <cell r="EB449">
            <v>20.54999999999999</v>
          </cell>
          <cell r="EC449">
            <v>-14.114000000000004</v>
          </cell>
          <cell r="EE449">
            <v>73.329999999999984</v>
          </cell>
          <cell r="EK449">
            <v>216.45599999999999</v>
          </cell>
          <cell r="EL449">
            <v>211.137</v>
          </cell>
          <cell r="EM449">
            <v>1.1490000000000578</v>
          </cell>
          <cell r="EN449">
            <v>1133.3429999999998</v>
          </cell>
          <cell r="EP449">
            <v>225.31</v>
          </cell>
          <cell r="EQ449">
            <v>-2.4959999999999809</v>
          </cell>
          <cell r="ER449">
            <v>1172.3779999999999</v>
          </cell>
          <cell r="ES449">
            <v>-567.86400000000015</v>
          </cell>
          <cell r="EU449">
            <v>-56.380000000000166</v>
          </cell>
          <cell r="EV449">
            <v>0</v>
          </cell>
          <cell r="EW449">
            <v>-350</v>
          </cell>
        </row>
        <row r="450">
          <cell r="A450" t="str">
            <v>ST and LT Investments</v>
          </cell>
          <cell r="CF450">
            <v>3.210999999999995</v>
          </cell>
          <cell r="CT450">
            <v>-57.28500000000011</v>
          </cell>
          <cell r="CU450">
            <v>-58.016000000000076</v>
          </cell>
          <cell r="DB450">
            <v>-395.38600000000002</v>
          </cell>
          <cell r="DC450">
            <v>200.83200000000011</v>
          </cell>
          <cell r="DD450">
            <v>822.98299999999995</v>
          </cell>
          <cell r="DE450">
            <v>0</v>
          </cell>
          <cell r="DG450">
            <v>0</v>
          </cell>
          <cell r="DH450">
            <v>0</v>
          </cell>
          <cell r="DI450">
            <v>0</v>
          </cell>
          <cell r="DJ450">
            <v>0</v>
          </cell>
          <cell r="DL450">
            <v>0</v>
          </cell>
          <cell r="DM450">
            <v>0</v>
          </cell>
          <cell r="DN450">
            <v>0</v>
          </cell>
          <cell r="DO450">
            <v>0</v>
          </cell>
          <cell r="DQ450" t="str">
            <v xml:space="preserve"> -- </v>
          </cell>
          <cell r="DR450" t="str">
            <v xml:space="preserve"> -- </v>
          </cell>
          <cell r="DS450" t="str">
            <v xml:space="preserve"> -- </v>
          </cell>
          <cell r="DT450">
            <v>-11.17</v>
          </cell>
          <cell r="DU450">
            <v>4.352999999999998</v>
          </cell>
          <cell r="DV450">
            <v>-78.538000000000011</v>
          </cell>
          <cell r="DW450">
            <v>4.6119999999999948</v>
          </cell>
          <cell r="DX450">
            <v>-78.538000000000011</v>
          </cell>
          <cell r="DY450">
            <v>4.6119999999999948</v>
          </cell>
          <cell r="DZ450">
            <v>3.570999999999998</v>
          </cell>
          <cell r="EB450">
            <v>11.253999999999991</v>
          </cell>
          <cell r="EC450">
            <v>5.421999999999997</v>
          </cell>
          <cell r="EE450">
            <v>-277.78100000000001</v>
          </cell>
          <cell r="EK450">
            <v>11.253999999999991</v>
          </cell>
          <cell r="EL450">
            <v>5.421999999999997</v>
          </cell>
          <cell r="EM450">
            <v>-277.26</v>
          </cell>
          <cell r="EN450">
            <v>50.288000000000011</v>
          </cell>
          <cell r="EP450">
            <v>5.373999999999997</v>
          </cell>
          <cell r="EQ450">
            <v>-277.25600000000003</v>
          </cell>
          <cell r="ER450">
            <v>50.288000000000004</v>
          </cell>
          <cell r="ES450">
            <v>-590.18500000000017</v>
          </cell>
          <cell r="EU450">
            <v>628.42900000000009</v>
          </cell>
          <cell r="EV450">
            <v>0</v>
          </cell>
          <cell r="EW450">
            <v>0</v>
          </cell>
        </row>
        <row r="451">
          <cell r="A451" t="str">
            <v>Line of credit</v>
          </cell>
          <cell r="CF451" t="str">
            <v xml:space="preserve"> --</v>
          </cell>
          <cell r="CT451" t="str">
            <v>--</v>
          </cell>
          <cell r="CU451">
            <v>5.9269999999999996</v>
          </cell>
          <cell r="DB451">
            <v>653.53</v>
          </cell>
          <cell r="DC451">
            <v>223.96900000000005</v>
          </cell>
          <cell r="DD451">
            <v>211.94200000000001</v>
          </cell>
          <cell r="DE451">
            <v>-200</v>
          </cell>
          <cell r="DG451">
            <v>0</v>
          </cell>
          <cell r="DH451">
            <v>0</v>
          </cell>
          <cell r="DI451">
            <v>0</v>
          </cell>
          <cell r="DJ451">
            <v>0</v>
          </cell>
          <cell r="DL451">
            <v>0</v>
          </cell>
          <cell r="DM451">
            <v>0</v>
          </cell>
          <cell r="DN451">
            <v>-350</v>
          </cell>
          <cell r="DO451">
            <v>0</v>
          </cell>
          <cell r="DQ451">
            <v>1</v>
          </cell>
          <cell r="DR451" t="str">
            <v xml:space="preserve"> -- </v>
          </cell>
          <cell r="DS451">
            <v>-4.431</v>
          </cell>
          <cell r="DT451">
            <v>-4.4379999999999997</v>
          </cell>
          <cell r="DU451" t="str">
            <v xml:space="preserve"> -- </v>
          </cell>
          <cell r="DV451">
            <v>-1.546</v>
          </cell>
          <cell r="DW451" t="str">
            <v xml:space="preserve"> -- </v>
          </cell>
          <cell r="DX451">
            <v>0.51600000000000001</v>
          </cell>
          <cell r="DY451">
            <v>-1.5429999999999999</v>
          </cell>
          <cell r="DZ451">
            <v>-7.4980000000000002</v>
          </cell>
          <cell r="EB451">
            <v>-1.5429999999999999</v>
          </cell>
          <cell r="EC451">
            <v>-7.4980000000000002</v>
          </cell>
          <cell r="EE451" t="str">
            <v xml:space="preserve"> -- </v>
          </cell>
          <cell r="EK451">
            <v>66.677999999999997</v>
          </cell>
          <cell r="EL451">
            <v>193.36700000000002</v>
          </cell>
          <cell r="EM451">
            <v>-77.843999999999994</v>
          </cell>
          <cell r="EN451">
            <v>-71.320999999999998</v>
          </cell>
          <cell r="EP451">
            <v>193.36700000000002</v>
          </cell>
          <cell r="EQ451">
            <v>-77.843999999999994</v>
          </cell>
          <cell r="ER451">
            <v>-71.320999999999998</v>
          </cell>
          <cell r="ES451">
            <v>5.9269999999999996</v>
          </cell>
          <cell r="EU451">
            <v>889.44100000000003</v>
          </cell>
          <cell r="EV451">
            <v>0</v>
          </cell>
          <cell r="EW451">
            <v>-350</v>
          </cell>
        </row>
        <row r="452">
          <cell r="A452" t="str">
            <v>Long term debt</v>
          </cell>
          <cell r="CF452">
            <v>-3.782</v>
          </cell>
          <cell r="CT452">
            <v>-11.622</v>
          </cell>
          <cell r="CU452">
            <v>-6.9149999999999991</v>
          </cell>
          <cell r="DB452">
            <v>-416.75299999999993</v>
          </cell>
          <cell r="DC452">
            <v>-233.88800000000003</v>
          </cell>
          <cell r="DD452">
            <v>-845.59600000000023</v>
          </cell>
          <cell r="DE452">
            <v>0</v>
          </cell>
          <cell r="DG452">
            <v>0</v>
          </cell>
          <cell r="DH452">
            <v>0</v>
          </cell>
          <cell r="DI452">
            <v>0</v>
          </cell>
          <cell r="DJ452">
            <v>0</v>
          </cell>
          <cell r="DL452">
            <v>0</v>
          </cell>
          <cell r="DM452">
            <v>0</v>
          </cell>
          <cell r="DN452">
            <v>0</v>
          </cell>
          <cell r="DO452">
            <v>0</v>
          </cell>
          <cell r="DQ452">
            <v>-3.3730000000000002</v>
          </cell>
          <cell r="DR452">
            <v>-3.0670000000000002</v>
          </cell>
          <cell r="DS452">
            <v>-9.1129999999999995</v>
          </cell>
          <cell r="DT452" t="str">
            <v xml:space="preserve"> -- </v>
          </cell>
          <cell r="DU452">
            <v>-2.38</v>
          </cell>
          <cell r="DV452">
            <v>-0.372</v>
          </cell>
          <cell r="DW452">
            <v>-0.34200000000000003</v>
          </cell>
          <cell r="DX452">
            <v>-0.748</v>
          </cell>
          <cell r="DY452">
            <v>5.3859999999999992</v>
          </cell>
          <cell r="DZ452">
            <v>-18.25</v>
          </cell>
          <cell r="EB452">
            <v>0.24499999999999922</v>
          </cell>
          <cell r="EC452">
            <v>-17.417000000000002</v>
          </cell>
          <cell r="EE452">
            <v>-22.256</v>
          </cell>
          <cell r="EK452">
            <v>-3.8319999999999999</v>
          </cell>
          <cell r="EL452">
            <v>0.186</v>
          </cell>
          <cell r="EM452">
            <v>-23.977</v>
          </cell>
          <cell r="EN452">
            <v>-186.154</v>
          </cell>
          <cell r="EP452">
            <v>16.208000000000002</v>
          </cell>
          <cell r="EQ452">
            <v>-26.600999999999999</v>
          </cell>
          <cell r="ER452">
            <v>-165.26899999999998</v>
          </cell>
          <cell r="ES452">
            <v>-15.888</v>
          </cell>
          <cell r="EU452">
            <v>-1496.2370000000001</v>
          </cell>
          <cell r="EV452">
            <v>0</v>
          </cell>
          <cell r="EW452">
            <v>0</v>
          </cell>
        </row>
        <row r="453">
          <cell r="A453" t="str">
            <v>Proceeds from sale of equity</v>
          </cell>
          <cell r="CF453">
            <v>10.087999999999999</v>
          </cell>
          <cell r="CT453">
            <v>2.8070000000000022</v>
          </cell>
          <cell r="CU453">
            <v>-14.279000000000003</v>
          </cell>
          <cell r="DB453">
            <v>6.5469999999999997</v>
          </cell>
          <cell r="DC453">
            <v>11.730999999999998</v>
          </cell>
          <cell r="DD453">
            <v>-1.2809999999999979</v>
          </cell>
          <cell r="DE453">
            <v>0</v>
          </cell>
          <cell r="DG453">
            <v>0</v>
          </cell>
          <cell r="DH453">
            <v>0</v>
          </cell>
          <cell r="DI453">
            <v>0</v>
          </cell>
          <cell r="DJ453">
            <v>0</v>
          </cell>
          <cell r="DL453">
            <v>0</v>
          </cell>
          <cell r="DM453">
            <v>0</v>
          </cell>
          <cell r="DN453">
            <v>0</v>
          </cell>
          <cell r="DO453">
            <v>0</v>
          </cell>
          <cell r="DQ453" t="str">
            <v xml:space="preserve"> -- </v>
          </cell>
          <cell r="DR453" t="str">
            <v xml:space="preserve"> -- </v>
          </cell>
          <cell r="DS453">
            <v>20.905000000000001</v>
          </cell>
          <cell r="DT453">
            <v>21.858000000000001</v>
          </cell>
          <cell r="DU453">
            <v>1.9570000000000001</v>
          </cell>
          <cell r="DV453">
            <v>3.089</v>
          </cell>
          <cell r="DW453">
            <v>7.0810000000000004</v>
          </cell>
          <cell r="DX453">
            <v>3.6949999999999998</v>
          </cell>
          <cell r="DY453">
            <v>8.7579999999999991</v>
          </cell>
          <cell r="DZ453">
            <v>9.7110000000000003</v>
          </cell>
          <cell r="EB453">
            <v>10.593999999999999</v>
          </cell>
          <cell r="EC453">
            <v>11.06</v>
          </cell>
          <cell r="EE453">
            <v>32.625</v>
          </cell>
          <cell r="EK453">
            <v>142.35599999999999</v>
          </cell>
          <cell r="EL453">
            <v>17.843</v>
          </cell>
          <cell r="EM453">
            <v>39.488</v>
          </cell>
          <cell r="EN453">
            <v>605.64800000000002</v>
          </cell>
          <cell r="EP453">
            <v>16.042000000000002</v>
          </cell>
          <cell r="EQ453">
            <v>38.463000000000001</v>
          </cell>
          <cell r="ER453">
            <v>623.798</v>
          </cell>
          <cell r="ES453">
            <v>57.210999999999999</v>
          </cell>
          <cell r="EU453">
            <v>16.997</v>
          </cell>
          <cell r="EV453">
            <v>0</v>
          </cell>
          <cell r="EW453">
            <v>0</v>
          </cell>
        </row>
        <row r="454">
          <cell r="A454" t="str">
            <v>Repurchase of common stock</v>
          </cell>
          <cell r="DB454">
            <v>-31.997</v>
          </cell>
          <cell r="DC454">
            <v>-12.581000000000003</v>
          </cell>
          <cell r="DD454">
            <v>-50.432000000000002</v>
          </cell>
          <cell r="DE454">
            <v>0</v>
          </cell>
          <cell r="DG454">
            <v>0</v>
          </cell>
          <cell r="DH454">
            <v>0</v>
          </cell>
          <cell r="DI454">
            <v>0</v>
          </cell>
          <cell r="DJ454">
            <v>0</v>
          </cell>
          <cell r="DL454">
            <v>0</v>
          </cell>
          <cell r="DM454">
            <v>0</v>
          </cell>
          <cell r="DN454">
            <v>0</v>
          </cell>
          <cell r="DO454">
            <v>0</v>
          </cell>
          <cell r="ES454">
            <v>-24.928999999999998</v>
          </cell>
          <cell r="EU454">
            <v>-95.01</v>
          </cell>
          <cell r="EV454">
            <v>0</v>
          </cell>
          <cell r="EW454">
            <v>0</v>
          </cell>
        </row>
        <row r="455">
          <cell r="A455" t="str">
            <v>Proceeds from convertible debt</v>
          </cell>
          <cell r="CF455" t="str">
            <v xml:space="preserve"> --</v>
          </cell>
          <cell r="CT455" t="str">
            <v>--</v>
          </cell>
          <cell r="CU455" t="str">
            <v>--</v>
          </cell>
          <cell r="DB455">
            <v>0</v>
          </cell>
          <cell r="DC455">
            <v>0</v>
          </cell>
          <cell r="DD455">
            <v>0</v>
          </cell>
          <cell r="DE455">
            <v>0</v>
          </cell>
          <cell r="DG455">
            <v>0</v>
          </cell>
          <cell r="DH455">
            <v>0</v>
          </cell>
          <cell r="DI455">
            <v>0</v>
          </cell>
          <cell r="DJ455">
            <v>0</v>
          </cell>
          <cell r="DL455">
            <v>0</v>
          </cell>
          <cell r="DM455">
            <v>0</v>
          </cell>
          <cell r="DN455">
            <v>0</v>
          </cell>
          <cell r="DO455">
            <v>0</v>
          </cell>
          <cell r="DQ455" t="str">
            <v xml:space="preserve"> -- </v>
          </cell>
          <cell r="DR455" t="str">
            <v xml:space="preserve"> -- </v>
          </cell>
          <cell r="DS455" t="str">
            <v xml:space="preserve"> -- </v>
          </cell>
          <cell r="DT455" t="str">
            <v xml:space="preserve"> -- </v>
          </cell>
          <cell r="DU455">
            <v>83.878</v>
          </cell>
          <cell r="DV455" t="str">
            <v xml:space="preserve"> -- </v>
          </cell>
          <cell r="DW455" t="str">
            <v xml:space="preserve"> -- </v>
          </cell>
          <cell r="DX455" t="str">
            <v xml:space="preserve"> -- </v>
          </cell>
          <cell r="DY455" t="str">
            <v xml:space="preserve"> -- </v>
          </cell>
          <cell r="DZ455">
            <v>-5.681</v>
          </cell>
          <cell r="EB455" t="str">
            <v xml:space="preserve"> -- </v>
          </cell>
          <cell r="EC455">
            <v>-5.681</v>
          </cell>
          <cell r="EE455">
            <v>340.74200000000002</v>
          </cell>
          <cell r="EK455" t="str">
            <v xml:space="preserve">-- </v>
          </cell>
          <cell r="EL455">
            <v>-5.681</v>
          </cell>
          <cell r="EM455">
            <v>340.74200000000002</v>
          </cell>
          <cell r="EN455">
            <v>734.88199999999995</v>
          </cell>
          <cell r="EP455">
            <v>-5.681</v>
          </cell>
          <cell r="EQ455">
            <v>340.74200000000002</v>
          </cell>
          <cell r="ER455">
            <v>734.88199999999995</v>
          </cell>
          <cell r="ES455" t="str">
            <v>--</v>
          </cell>
          <cell r="EU455">
            <v>0</v>
          </cell>
          <cell r="EV455">
            <v>0</v>
          </cell>
          <cell r="EW455">
            <v>0</v>
          </cell>
        </row>
        <row r="456">
          <cell r="EK456" t="str">
            <v xml:space="preserve"> </v>
          </cell>
          <cell r="EL456" t="str">
            <v xml:space="preserve"> </v>
          </cell>
        </row>
        <row r="457">
          <cell r="A457" t="str">
            <v>Effect of Exchange rate changes</v>
          </cell>
          <cell r="CF457">
            <v>1.8109999999999999</v>
          </cell>
          <cell r="CT457">
            <v>-0.12600000000000033</v>
          </cell>
          <cell r="CU457">
            <v>-4.0250000000000004</v>
          </cell>
          <cell r="DB457">
            <v>0.26900000000000002</v>
          </cell>
          <cell r="DC457">
            <v>-0.54400000000000004</v>
          </cell>
          <cell r="DD457">
            <v>6.0640000000000001</v>
          </cell>
          <cell r="DE457">
            <v>0</v>
          </cell>
          <cell r="DG457">
            <v>0</v>
          </cell>
          <cell r="DH457">
            <v>0</v>
          </cell>
          <cell r="DI457">
            <v>0</v>
          </cell>
          <cell r="DJ457">
            <v>0</v>
          </cell>
          <cell r="DL457">
            <v>0</v>
          </cell>
          <cell r="DM457">
            <v>0</v>
          </cell>
          <cell r="DN457">
            <v>0</v>
          </cell>
          <cell r="DO457">
            <v>0</v>
          </cell>
          <cell r="DQ457" t="str">
            <v xml:space="preserve"> -- </v>
          </cell>
          <cell r="DR457" t="str">
            <v xml:space="preserve"> -- </v>
          </cell>
          <cell r="DS457" t="str">
            <v xml:space="preserve"> -- </v>
          </cell>
          <cell r="DT457" t="str">
            <v xml:space="preserve"> -- </v>
          </cell>
          <cell r="DU457" t="str">
            <v xml:space="preserve"> -- </v>
          </cell>
          <cell r="DV457" t="str">
            <v xml:space="preserve"> -- </v>
          </cell>
          <cell r="DW457" t="str">
            <v xml:space="preserve"> -- </v>
          </cell>
          <cell r="DX457" t="str">
            <v xml:space="preserve"> -- </v>
          </cell>
          <cell r="DY457" t="str">
            <v xml:space="preserve"> -- </v>
          </cell>
          <cell r="DZ457" t="str">
            <v xml:space="preserve"> -- </v>
          </cell>
          <cell r="EB457" t="str">
            <v xml:space="preserve"> -- </v>
          </cell>
          <cell r="EC457" t="str">
            <v xml:space="preserve"> -- </v>
          </cell>
          <cell r="EE457" t="str">
            <v xml:space="preserve"> -- </v>
          </cell>
          <cell r="EK457" t="str">
            <v xml:space="preserve"> -- </v>
          </cell>
          <cell r="EL457">
            <v>1.2549999999999999</v>
          </cell>
          <cell r="EM457">
            <v>-1.8360000000000001</v>
          </cell>
          <cell r="EN457">
            <v>-5.7759999999999998</v>
          </cell>
          <cell r="EP457">
            <v>2.2509999999999999</v>
          </cell>
          <cell r="EQ457">
            <v>-1.958</v>
          </cell>
          <cell r="ER457">
            <v>-4.3330000000000002</v>
          </cell>
          <cell r="ES457">
            <v>-9.0150000000000006</v>
          </cell>
          <cell r="EU457">
            <v>5.7889999999999997</v>
          </cell>
          <cell r="EV457">
            <v>0</v>
          </cell>
          <cell r="EW457">
            <v>0</v>
          </cell>
        </row>
        <row r="459">
          <cell r="A459" t="str">
            <v>Total Cash Generated</v>
          </cell>
          <cell r="CF459">
            <v>-24.593999999999909</v>
          </cell>
          <cell r="CT459">
            <v>55.533999999999892</v>
          </cell>
          <cell r="CU459">
            <v>-50.572000000000131</v>
          </cell>
          <cell r="DB459">
            <v>-61.509999999999948</v>
          </cell>
          <cell r="DC459">
            <v>62.671999999999827</v>
          </cell>
          <cell r="DD459">
            <v>325.91199999999969</v>
          </cell>
          <cell r="DE459">
            <v>-156.7052505932611</v>
          </cell>
          <cell r="DG459">
            <v>119.21868853034087</v>
          </cell>
          <cell r="DH459">
            <v>98.486486213599136</v>
          </cell>
          <cell r="DI459">
            <v>42.235829297279288</v>
          </cell>
          <cell r="DJ459">
            <v>42.424434260782334</v>
          </cell>
          <cell r="DL459">
            <v>-108.29874268325743</v>
          </cell>
          <cell r="DM459">
            <v>95.950839418367465</v>
          </cell>
          <cell r="DN459">
            <v>-304.77291634268096</v>
          </cell>
          <cell r="DO459">
            <v>-12.544055454983209</v>
          </cell>
          <cell r="DQ459">
            <v>-0.8230000000000004</v>
          </cell>
          <cell r="DR459">
            <v>2.6579999999999995</v>
          </cell>
          <cell r="DS459">
            <v>-3.2259999999999991</v>
          </cell>
          <cell r="DT459">
            <v>14.071000000000002</v>
          </cell>
          <cell r="DU459">
            <v>92.61</v>
          </cell>
          <cell r="DV459">
            <v>-77.899000000000001</v>
          </cell>
          <cell r="DW459">
            <v>11.878999999999998</v>
          </cell>
          <cell r="DX459">
            <v>-77.726999999999975</v>
          </cell>
          <cell r="DY459">
            <v>11.701800000000048</v>
          </cell>
          <cell r="DZ459">
            <v>32.993939999999995</v>
          </cell>
          <cell r="EB459">
            <v>8.6779999999999688</v>
          </cell>
          <cell r="EC459">
            <v>33.699999999999989</v>
          </cell>
          <cell r="EE459">
            <v>48.166569999999922</v>
          </cell>
          <cell r="EK459">
            <v>-19.445000000000022</v>
          </cell>
          <cell r="EL459">
            <v>27.514000000000014</v>
          </cell>
          <cell r="EM459">
            <v>52.329000000000107</v>
          </cell>
          <cell r="EN459">
            <v>844.08799999999985</v>
          </cell>
          <cell r="EP459">
            <v>23.849999999999934</v>
          </cell>
          <cell r="EQ459">
            <v>48.583999999999946</v>
          </cell>
          <cell r="ER459">
            <v>848.95999999999992</v>
          </cell>
          <cell r="ES459">
            <v>-430.59300000000019</v>
          </cell>
          <cell r="EU459">
            <v>170.36874940673846</v>
          </cell>
          <cell r="EV459">
            <v>302.36543830200162</v>
          </cell>
          <cell r="EW459">
            <v>-329.66487506255413</v>
          </cell>
        </row>
        <row r="461">
          <cell r="A461" t="str">
            <v>Free Cash Flow</v>
          </cell>
          <cell r="CT461">
            <v>121.76</v>
          </cell>
          <cell r="CU461">
            <v>94.445999999999955</v>
          </cell>
          <cell r="DB461">
            <v>57.545000000000016</v>
          </cell>
          <cell r="DC461">
            <v>46.773999999999731</v>
          </cell>
          <cell r="DD461">
            <v>335.48899999999998</v>
          </cell>
          <cell r="DE461">
            <v>93.294749406738887</v>
          </cell>
          <cell r="DG461">
            <v>119.21868853034087</v>
          </cell>
          <cell r="DH461">
            <v>98.486486213599136</v>
          </cell>
          <cell r="DI461">
            <v>42.235829297279288</v>
          </cell>
          <cell r="DJ461">
            <v>42.424434260782334</v>
          </cell>
          <cell r="DL461">
            <v>-108.29874268325743</v>
          </cell>
          <cell r="DM461">
            <v>95.950839418367465</v>
          </cell>
          <cell r="DN461">
            <v>45.227083657319028</v>
          </cell>
          <cell r="DO461">
            <v>-12.544055454983209</v>
          </cell>
          <cell r="DQ461">
            <v>1.5229999999999997</v>
          </cell>
          <cell r="DR461">
            <v>5.7149999999999999</v>
          </cell>
          <cell r="DS461">
            <v>6.5400000000000009</v>
          </cell>
          <cell r="DT461">
            <v>7.7280000000000024</v>
          </cell>
          <cell r="DU461">
            <v>13.298000000000002</v>
          </cell>
          <cell r="DV461">
            <v>4.7550000000000132</v>
          </cell>
          <cell r="DW461">
            <v>18.173000000000005</v>
          </cell>
          <cell r="DX461">
            <v>4.0080000000000524</v>
          </cell>
          <cell r="DY461">
            <v>13.151800000000051</v>
          </cell>
          <cell r="DZ461">
            <v>54.252939999999995</v>
          </cell>
          <cell r="EB461">
            <v>6.6749999999999972</v>
          </cell>
          <cell r="EC461">
            <v>50.888999999999996</v>
          </cell>
          <cell r="EE461">
            <v>49.866569999999939</v>
          </cell>
          <cell r="EK461">
            <v>-10.453000000000003</v>
          </cell>
          <cell r="EL461">
            <v>10.729000000000013</v>
          </cell>
          <cell r="EM461">
            <v>127.81500000000005</v>
          </cell>
          <cell r="EN461">
            <v>-111.285</v>
          </cell>
          <cell r="EP461">
            <v>-3.8240000000000407</v>
          </cell>
          <cell r="EQ461">
            <v>127.83699999999993</v>
          </cell>
          <cell r="ER461">
            <v>-116.42099999999999</v>
          </cell>
          <cell r="ES461">
            <v>213.99599999999992</v>
          </cell>
          <cell r="EU461">
            <v>533.10274940673844</v>
          </cell>
          <cell r="EV461">
            <v>302.36543830200168</v>
          </cell>
          <cell r="EW461">
            <v>20.335124937445812</v>
          </cell>
        </row>
        <row r="462">
          <cell r="A462" t="str">
            <v>Cash From Operations</v>
          </cell>
          <cell r="CT462">
            <v>158.55200000000002</v>
          </cell>
          <cell r="CU462">
            <v>120.17099999999995</v>
          </cell>
          <cell r="DB462">
            <v>76.958000000000013</v>
          </cell>
          <cell r="DC462">
            <v>73.376999999999725</v>
          </cell>
          <cell r="DD462">
            <v>370.346</v>
          </cell>
          <cell r="DE462">
            <v>128.19417328293889</v>
          </cell>
          <cell r="DG462">
            <v>156.90001935017287</v>
          </cell>
          <cell r="DH462">
            <v>144.51378381504401</v>
          </cell>
          <cell r="DI462">
            <v>96.675814655026358</v>
          </cell>
          <cell r="DJ462">
            <v>110.10900305331216</v>
          </cell>
          <cell r="DL462">
            <v>-32.793298948814027</v>
          </cell>
          <cell r="DM462">
            <v>168.21232557084772</v>
          </cell>
          <cell r="DN462">
            <v>126.04750129795893</v>
          </cell>
          <cell r="DO462">
            <v>72.573553514756725</v>
          </cell>
          <cell r="DQ462">
            <v>4.7919999999999998</v>
          </cell>
          <cell r="DR462">
            <v>7.77</v>
          </cell>
          <cell r="DS462">
            <v>9.6750000000000007</v>
          </cell>
          <cell r="DT462">
            <v>11.820000000000002</v>
          </cell>
          <cell r="DU462">
            <v>23.223000000000003</v>
          </cell>
          <cell r="DV462">
            <v>26.582000000000015</v>
          </cell>
          <cell r="DW462">
            <v>48.354000000000006</v>
          </cell>
          <cell r="DX462">
            <v>33.658000000000051</v>
          </cell>
          <cell r="DY462">
            <v>55.06380000000005</v>
          </cell>
          <cell r="DZ462">
            <v>83.23993999999999</v>
          </cell>
          <cell r="EB462">
            <v>77.381</v>
          </cell>
          <cell r="EC462">
            <v>106.17699999999999</v>
          </cell>
          <cell r="EE462">
            <v>115.14156999999994</v>
          </cell>
          <cell r="EK462">
            <v>128.791</v>
          </cell>
          <cell r="EL462">
            <v>159.86700000000002</v>
          </cell>
          <cell r="EM462">
            <v>263.42600000000004</v>
          </cell>
          <cell r="EN462">
            <v>87.382000000000005</v>
          </cell>
          <cell r="EP462">
            <v>161.03299999999996</v>
          </cell>
          <cell r="EQ462">
            <v>267.60199999999992</v>
          </cell>
          <cell r="ER462">
            <v>89.175000000000011</v>
          </cell>
          <cell r="ES462">
            <v>401.52699999999993</v>
          </cell>
          <cell r="EU462">
            <v>648.87517328293848</v>
          </cell>
          <cell r="EV462">
            <v>508.19862087355546</v>
          </cell>
          <cell r="EW462">
            <v>334.04008143474931</v>
          </cell>
        </row>
        <row r="463">
          <cell r="A463" t="str">
            <v>PP&amp;E</v>
          </cell>
          <cell r="CT463">
            <v>-36.792000000000016</v>
          </cell>
          <cell r="CU463">
            <v>-25.724999999999994</v>
          </cell>
          <cell r="DB463">
            <v>-19.413</v>
          </cell>
          <cell r="DC463">
            <v>-26.602999999999998</v>
          </cell>
          <cell r="DD463">
            <v>-34.857000000000014</v>
          </cell>
          <cell r="DE463">
            <v>-34.899423876200004</v>
          </cell>
          <cell r="DG463">
            <v>-37.681330819832006</v>
          </cell>
          <cell r="DH463">
            <v>-46.027297601444879</v>
          </cell>
          <cell r="DI463">
            <v>-54.439985357747069</v>
          </cell>
          <cell r="DJ463">
            <v>-67.684568792529831</v>
          </cell>
          <cell r="DL463">
            <v>-75.505443734443404</v>
          </cell>
          <cell r="DM463">
            <v>-72.261486152480259</v>
          </cell>
          <cell r="DN463">
            <v>-80.820417640639903</v>
          </cell>
          <cell r="DO463">
            <v>-85.117608969739933</v>
          </cell>
          <cell r="DQ463">
            <v>-3.2690000000000001</v>
          </cell>
          <cell r="DR463">
            <v>-2.0550000000000002</v>
          </cell>
          <cell r="DS463">
            <v>-3.1349999999999998</v>
          </cell>
          <cell r="DT463">
            <v>-4.0919999999999996</v>
          </cell>
          <cell r="DU463">
            <v>-9.9250000000000007</v>
          </cell>
          <cell r="DV463">
            <v>-21.827000000000002</v>
          </cell>
          <cell r="DW463">
            <v>-30.181000000000001</v>
          </cell>
          <cell r="DX463">
            <v>-29.65</v>
          </cell>
          <cell r="DY463">
            <v>-41.911999999999999</v>
          </cell>
          <cell r="DZ463">
            <v>-28.986999999999998</v>
          </cell>
          <cell r="EB463">
            <v>-70.706000000000003</v>
          </cell>
          <cell r="EC463">
            <v>-55.287999999999997</v>
          </cell>
          <cell r="EE463">
            <v>-65.275000000000006</v>
          </cell>
          <cell r="EK463">
            <v>-139.244</v>
          </cell>
          <cell r="EL463">
            <v>-149.13800000000001</v>
          </cell>
          <cell r="EM463">
            <v>-135.61099999999999</v>
          </cell>
          <cell r="EN463">
            <v>-198.667</v>
          </cell>
          <cell r="EP463">
            <v>-164.857</v>
          </cell>
          <cell r="EQ463">
            <v>-139.76499999999999</v>
          </cell>
          <cell r="ER463">
            <v>-205.596</v>
          </cell>
          <cell r="ES463">
            <v>-187.53100000000001</v>
          </cell>
          <cell r="EU463">
            <v>-115.77242387620002</v>
          </cell>
          <cell r="EV463">
            <v>-205.83318257155378</v>
          </cell>
          <cell r="EW463">
            <v>-313.7049564973035</v>
          </cell>
        </row>
        <row r="465">
          <cell r="A465" t="str">
            <v>Free Cash Flow (after acq.)</v>
          </cell>
          <cell r="CT465">
            <v>121.76</v>
          </cell>
          <cell r="CU465">
            <v>22.778999999999954</v>
          </cell>
          <cell r="DB465">
            <v>121.16800000000001</v>
          </cell>
          <cell r="DC465">
            <v>-128.31400000000025</v>
          </cell>
          <cell r="DD465">
            <v>181.08699999999996</v>
          </cell>
          <cell r="DE465">
            <v>43.294749406738887</v>
          </cell>
          <cell r="DG465">
            <v>119.21868853034087</v>
          </cell>
          <cell r="DH465">
            <v>98.486486213599136</v>
          </cell>
          <cell r="DI465">
            <v>42.235829297279288</v>
          </cell>
          <cell r="DJ465">
            <v>42.424434260782334</v>
          </cell>
          <cell r="DL465">
            <v>-108.29874268325743</v>
          </cell>
          <cell r="DM465">
            <v>95.950839418367465</v>
          </cell>
          <cell r="DN465">
            <v>45.227083657319028</v>
          </cell>
          <cell r="DO465">
            <v>-12.544055454983209</v>
          </cell>
          <cell r="DQ465">
            <v>1.5229999999999997</v>
          </cell>
          <cell r="DR465">
            <v>5.7149999999999999</v>
          </cell>
          <cell r="DS465">
            <v>6.5400000000000009</v>
          </cell>
          <cell r="DT465">
            <v>7.7280000000000024</v>
          </cell>
          <cell r="DU465">
            <v>4.8020000000000032</v>
          </cell>
          <cell r="DV465">
            <v>-0.53199999999998671</v>
          </cell>
          <cell r="DW465">
            <v>0.5280000000000058</v>
          </cell>
          <cell r="DX465">
            <v>-2.6789999999999479</v>
          </cell>
          <cell r="DY465">
            <v>-5.7271999999999501</v>
          </cell>
          <cell r="DZ465">
            <v>48.586939999999998</v>
          </cell>
          <cell r="EB465">
            <v>-12.204000000000004</v>
          </cell>
          <cell r="EC465">
            <v>45.222999999999999</v>
          </cell>
          <cell r="EE465">
            <v>-25.241430000000065</v>
          </cell>
          <cell r="EK465">
            <v>-238.99299999999999</v>
          </cell>
          <cell r="EL465">
            <v>-187.46899999999999</v>
          </cell>
          <cell r="EM465">
            <v>52.70700000000005</v>
          </cell>
          <cell r="EN465">
            <v>-283.47899999999998</v>
          </cell>
          <cell r="EP465">
            <v>-206.30300000000005</v>
          </cell>
          <cell r="EQ465">
            <v>52.728999999999928</v>
          </cell>
          <cell r="ER465">
            <v>-319.08499999999998</v>
          </cell>
          <cell r="ES465">
            <v>142.32899999999992</v>
          </cell>
          <cell r="EU465">
            <v>217.23574940673842</v>
          </cell>
          <cell r="EV465">
            <v>302.36543830200168</v>
          </cell>
          <cell r="EW465">
            <v>20.335124937445812</v>
          </cell>
        </row>
        <row r="466">
          <cell r="DU466" t="str">
            <v xml:space="preserve"> </v>
          </cell>
          <cell r="DV466" t="str">
            <v xml:space="preserve"> </v>
          </cell>
        </row>
        <row r="467">
          <cell r="A467" t="str">
            <v>RI Input:</v>
          </cell>
        </row>
        <row r="468">
          <cell r="A468" t="str">
            <v>Depreciation</v>
          </cell>
          <cell r="N468">
            <v>1</v>
          </cell>
          <cell r="O468">
            <v>1</v>
          </cell>
          <cell r="P468">
            <v>1.0510000000000002</v>
          </cell>
          <cell r="Q468">
            <v>1.3580000000000001</v>
          </cell>
          <cell r="S468">
            <v>1.381</v>
          </cell>
          <cell r="T468">
            <v>1.4990000000000001</v>
          </cell>
          <cell r="U468">
            <v>1.5990000000000002</v>
          </cell>
          <cell r="V468">
            <v>1.9250000000000009</v>
          </cell>
          <cell r="X468">
            <v>2.2989999999999999</v>
          </cell>
          <cell r="Y468">
            <v>2.5979999999999999</v>
          </cell>
          <cell r="Z468">
            <v>2.899</v>
          </cell>
          <cell r="AA468">
            <v>3.0760000000000005</v>
          </cell>
          <cell r="AH468">
            <v>5.12</v>
          </cell>
          <cell r="AI468">
            <v>5.4659999999999993</v>
          </cell>
          <cell r="AJ468">
            <v>5.875</v>
          </cell>
          <cell r="AK468">
            <v>6.375</v>
          </cell>
          <cell r="AW468">
            <v>10.283000000000001</v>
          </cell>
          <cell r="AX468">
            <v>9.4960000000000004</v>
          </cell>
          <cell r="AY468">
            <v>9.4450000000000003</v>
          </cell>
          <cell r="AZ468">
            <v>10.241</v>
          </cell>
          <cell r="BB468">
            <v>11.797000000000001</v>
          </cell>
          <cell r="BC468">
            <v>10.408000000000001</v>
          </cell>
          <cell r="BL468">
            <v>15.046999999999997</v>
          </cell>
          <cell r="BM468">
            <v>14.955999999999996</v>
          </cell>
          <cell r="BQ468">
            <v>18.577999999999999</v>
          </cell>
          <cell r="BR468">
            <v>24.593</v>
          </cell>
          <cell r="BS468">
            <v>25.970999999999997</v>
          </cell>
          <cell r="BT468">
            <v>25.382000000000001</v>
          </cell>
          <cell r="BV468">
            <v>28.537000000000006</v>
          </cell>
          <cell r="BW468">
            <v>27.604000000000006</v>
          </cell>
          <cell r="BX468">
            <v>27.815000000000005</v>
          </cell>
          <cell r="BY468">
            <v>29.213999999999999</v>
          </cell>
          <cell r="CA468">
            <v>30.666</v>
          </cell>
          <cell r="CB468">
            <v>31.356999999999996</v>
          </cell>
          <cell r="CC468">
            <v>34.690000000000005</v>
          </cell>
          <cell r="CD468">
            <v>35.489999999999995</v>
          </cell>
          <cell r="CF468">
            <v>48.7</v>
          </cell>
          <cell r="CH468" t="str">
            <v>--</v>
          </cell>
          <cell r="CI468" t="str">
            <v>--</v>
          </cell>
          <cell r="CJ468" t="str">
            <v>--</v>
          </cell>
          <cell r="CK468" t="str">
            <v>--</v>
          </cell>
          <cell r="CM468">
            <v>25.361000000000001</v>
          </cell>
          <cell r="CN468">
            <v>32.268999999999998</v>
          </cell>
          <cell r="CO468">
            <v>45.386000000000003</v>
          </cell>
          <cell r="CP468">
            <v>38.638999999999996</v>
          </cell>
          <cell r="CR468">
            <v>32.831999999999994</v>
          </cell>
          <cell r="CS468">
            <v>43.401000000000003</v>
          </cell>
          <cell r="CT468">
            <v>37.216000000000022</v>
          </cell>
          <cell r="CU468">
            <v>19.668999999999993</v>
          </cell>
          <cell r="DB468">
            <v>73.599999999999994</v>
          </cell>
          <cell r="DC468">
            <v>74.400000000000006</v>
          </cell>
          <cell r="DD468">
            <v>57.978999999999999</v>
          </cell>
          <cell r="DE468">
            <v>60.118265138435717</v>
          </cell>
          <cell r="DG468">
            <v>61.464026953429716</v>
          </cell>
          <cell r="DH468">
            <v>63.107859010624175</v>
          </cell>
          <cell r="DI468">
            <v>65.052144201972283</v>
          </cell>
          <cell r="DJ468">
            <v>67.469450230276919</v>
          </cell>
          <cell r="DL468">
            <v>70.166073220792754</v>
          </cell>
          <cell r="DM468">
            <v>72.746840583381328</v>
          </cell>
          <cell r="DN468">
            <v>75.633284070547035</v>
          </cell>
          <cell r="DO468">
            <v>78.673198676609175</v>
          </cell>
          <cell r="DQ468">
            <v>2.3969999999999998</v>
          </cell>
          <cell r="DR468">
            <v>2.3740000000000001</v>
          </cell>
          <cell r="DS468">
            <v>2.23</v>
          </cell>
          <cell r="DT468">
            <v>2.5029999999999997</v>
          </cell>
          <cell r="DU468">
            <v>2.7870000000000004</v>
          </cell>
          <cell r="DV468">
            <v>6.2270000000000003</v>
          </cell>
          <cell r="DW468">
            <v>10.978</v>
          </cell>
          <cell r="DX468">
            <v>11.654</v>
          </cell>
          <cell r="DY468">
            <v>19.420000000000002</v>
          </cell>
          <cell r="DZ468">
            <v>23.786999999999999</v>
          </cell>
          <cell r="EA468" t="str">
            <v xml:space="preserve">-- </v>
          </cell>
          <cell r="EB468">
            <v>26.831</v>
          </cell>
          <cell r="EC468">
            <v>35.152000000000001</v>
          </cell>
          <cell r="EE468">
            <v>39.465000000000003</v>
          </cell>
          <cell r="EF468">
            <v>50.609000000000002</v>
          </cell>
          <cell r="EH468" t="str">
            <v xml:space="preserve">-- </v>
          </cell>
          <cell r="EI468" t="str">
            <v xml:space="preserve">-- </v>
          </cell>
          <cell r="EK468">
            <v>65.146999999999991</v>
          </cell>
          <cell r="EL468">
            <v>94.524000000000001</v>
          </cell>
          <cell r="EM468">
            <v>113.17000000000002</v>
          </cell>
          <cell r="EN468">
            <v>132.20300000000003</v>
          </cell>
          <cell r="EP468">
            <v>97.233999999999995</v>
          </cell>
          <cell r="EQ468">
            <v>113.791</v>
          </cell>
          <cell r="ER468">
            <v>141.67500000000001</v>
          </cell>
          <cell r="ES468">
            <v>154.44300000000001</v>
          </cell>
          <cell r="EU468">
            <v>242.95226513843573</v>
          </cell>
          <cell r="EV468">
            <v>257.09348039630311</v>
          </cell>
          <cell r="EW468">
            <v>297.21939655133025</v>
          </cell>
        </row>
        <row r="469">
          <cell r="A469" t="str">
            <v>Amortization</v>
          </cell>
          <cell r="N469">
            <v>0</v>
          </cell>
          <cell r="O469">
            <v>0</v>
          </cell>
          <cell r="P469">
            <v>4.9000000000000002E-2</v>
          </cell>
          <cell r="Q469">
            <v>0.24199999999999999</v>
          </cell>
          <cell r="S469">
            <v>0.219</v>
          </cell>
          <cell r="T469">
            <v>0.501</v>
          </cell>
          <cell r="U469">
            <v>0.501</v>
          </cell>
          <cell r="V469">
            <v>0.502</v>
          </cell>
          <cell r="X469">
            <v>0.501</v>
          </cell>
          <cell r="Y469">
            <v>0.502</v>
          </cell>
          <cell r="Z469">
            <v>0.501</v>
          </cell>
          <cell r="AA469">
            <v>0.502</v>
          </cell>
          <cell r="AH469">
            <v>0.56699999999999995</v>
          </cell>
          <cell r="AI469">
            <v>0.63400000000000001</v>
          </cell>
          <cell r="AJ469">
            <v>0.82499999999999996</v>
          </cell>
          <cell r="AK469">
            <v>0.82499999999999996</v>
          </cell>
          <cell r="AW469">
            <v>0.751</v>
          </cell>
          <cell r="AX469">
            <v>0.80400000000000005</v>
          </cell>
          <cell r="AY469">
            <v>0.85499999999999998</v>
          </cell>
          <cell r="AZ469">
            <v>0.85899999999999999</v>
          </cell>
          <cell r="BB469">
            <v>1.9019999999999999</v>
          </cell>
          <cell r="BC469">
            <v>1.992</v>
          </cell>
          <cell r="BL469">
            <v>4.953000000000003</v>
          </cell>
          <cell r="BM469">
            <v>5.044000000000004</v>
          </cell>
          <cell r="BQ469">
            <v>2.0070000000000001</v>
          </cell>
          <cell r="BR469">
            <v>3.044</v>
          </cell>
          <cell r="BS469">
            <v>4.0449999999999999</v>
          </cell>
          <cell r="BT469">
            <v>3.9820000000000002</v>
          </cell>
          <cell r="BV469">
            <v>3.894999999999996</v>
          </cell>
          <cell r="BW469">
            <v>3.9199999999999946</v>
          </cell>
          <cell r="BX469">
            <v>3.9709999999999965</v>
          </cell>
          <cell r="BY469">
            <v>3.9769999999999968</v>
          </cell>
          <cell r="CA469">
            <v>5.0199999999999996</v>
          </cell>
          <cell r="CB469">
            <v>5.1109999999999998</v>
          </cell>
          <cell r="CC469">
            <v>5.1100000000000003</v>
          </cell>
          <cell r="CD469">
            <v>6.31</v>
          </cell>
          <cell r="CF469">
            <v>6.3170000000000002</v>
          </cell>
          <cell r="CH469" t="str">
            <v>--</v>
          </cell>
          <cell r="CI469" t="str">
            <v>--</v>
          </cell>
          <cell r="CJ469" t="str">
            <v>--</v>
          </cell>
          <cell r="CK469" t="str">
            <v>--</v>
          </cell>
          <cell r="CM469">
            <v>5.4390000000000001</v>
          </cell>
          <cell r="CN469">
            <v>5.5309999999999997</v>
          </cell>
          <cell r="CO469">
            <v>5.6139999999999999</v>
          </cell>
          <cell r="CP469">
            <v>6.9610000000000003</v>
          </cell>
          <cell r="CR469">
            <v>6.968</v>
          </cell>
          <cell r="CS469">
            <v>6.6989999999999998</v>
          </cell>
          <cell r="CT469">
            <v>6.681</v>
          </cell>
          <cell r="CU469">
            <v>6.0019999999999998</v>
          </cell>
          <cell r="DB469">
            <v>2.5</v>
          </cell>
          <cell r="DC469">
            <v>1.2509999999999999</v>
          </cell>
          <cell r="DD469">
            <v>1.296</v>
          </cell>
          <cell r="DE469">
            <v>1.296</v>
          </cell>
          <cell r="DG469">
            <v>1.296</v>
          </cell>
          <cell r="DH469">
            <v>1.296</v>
          </cell>
          <cell r="DI469">
            <v>1.296</v>
          </cell>
          <cell r="DJ469">
            <v>1.296</v>
          </cell>
          <cell r="DL469">
            <v>1.296</v>
          </cell>
          <cell r="DM469">
            <v>1.296</v>
          </cell>
          <cell r="DN469">
            <v>1.296</v>
          </cell>
          <cell r="DO469">
            <v>1.296</v>
          </cell>
          <cell r="DQ469">
            <v>1.9</v>
          </cell>
          <cell r="DR469">
            <v>1.9</v>
          </cell>
          <cell r="DS469">
            <v>1.9</v>
          </cell>
          <cell r="DT469">
            <v>1.9</v>
          </cell>
          <cell r="DU469">
            <v>1.9</v>
          </cell>
          <cell r="DV469">
            <v>1.9</v>
          </cell>
          <cell r="DW469">
            <v>1.9</v>
          </cell>
          <cell r="DX469">
            <v>1.9</v>
          </cell>
          <cell r="DY469">
            <v>1.9</v>
          </cell>
          <cell r="DZ469">
            <v>1.9</v>
          </cell>
          <cell r="EA469" t="str">
            <v xml:space="preserve">-- </v>
          </cell>
          <cell r="EB469">
            <v>2.2829999999999999</v>
          </cell>
          <cell r="EC469">
            <v>1.9</v>
          </cell>
          <cell r="EE469">
            <v>3.2690000000000001</v>
          </cell>
          <cell r="EF469">
            <v>7.8940000000000001</v>
          </cell>
          <cell r="EH469">
            <v>12.850999999999999</v>
          </cell>
          <cell r="EI469">
            <v>15.49499999999999</v>
          </cell>
          <cell r="EK469">
            <v>7.4980000000000002</v>
          </cell>
          <cell r="EL469">
            <v>13.077999999999999</v>
          </cell>
          <cell r="EM469">
            <v>15.762999999999984</v>
          </cell>
          <cell r="EN469">
            <v>21.550999999999998</v>
          </cell>
          <cell r="EP469">
            <v>13.974</v>
          </cell>
          <cell r="EQ469">
            <v>16.475999999999999</v>
          </cell>
          <cell r="ER469">
            <v>23.545000000000002</v>
          </cell>
          <cell r="ES469">
            <v>26.349999999999998</v>
          </cell>
          <cell r="EU469">
            <v>6.3210000000000006</v>
          </cell>
          <cell r="EV469">
            <v>5.1840000000000002</v>
          </cell>
          <cell r="EW469">
            <v>5.1840000000000002</v>
          </cell>
        </row>
        <row r="471">
          <cell r="A471" t="str">
            <v>Cap Ex/Depreciation</v>
          </cell>
          <cell r="B471" t="str">
            <v>Capex_dep</v>
          </cell>
          <cell r="N471">
            <v>0.1</v>
          </cell>
          <cell r="O471">
            <v>1</v>
          </cell>
          <cell r="P471">
            <v>3.9961941008563269</v>
          </cell>
          <cell r="Q471">
            <v>3.3873343151693662</v>
          </cell>
          <cell r="S471">
            <v>3.6929761042722662</v>
          </cell>
          <cell r="T471">
            <v>4.9366244162775184</v>
          </cell>
          <cell r="U471">
            <v>3.5021888680425257</v>
          </cell>
          <cell r="V471">
            <v>1.8701298701298692</v>
          </cell>
          <cell r="X471">
            <v>1.9573727707699</v>
          </cell>
          <cell r="Y471">
            <v>2.8483448806774443</v>
          </cell>
          <cell r="Z471">
            <v>2.966540186271128</v>
          </cell>
          <cell r="AA471">
            <v>3.1472691807542268</v>
          </cell>
          <cell r="AH471">
            <v>1.1195312500000001</v>
          </cell>
          <cell r="AI471">
            <v>1.2806439809732897</v>
          </cell>
          <cell r="AJ471">
            <v>2.1106382978723404</v>
          </cell>
          <cell r="AK471">
            <v>1.1294117647058823</v>
          </cell>
          <cell r="AW471">
            <v>1.0307303316152872</v>
          </cell>
          <cell r="AX471">
            <v>1.7902274641954505</v>
          </cell>
          <cell r="AY471">
            <v>1.9057702488088935</v>
          </cell>
          <cell r="AZ471">
            <v>1.80646421247925</v>
          </cell>
          <cell r="BB471">
            <v>2.2124268881919131</v>
          </cell>
          <cell r="BC471">
            <v>4.7559569561875472</v>
          </cell>
          <cell r="BL471">
            <v>0</v>
          </cell>
          <cell r="BM471">
            <v>0</v>
          </cell>
          <cell r="BQ471">
            <v>1.8487458283991818</v>
          </cell>
          <cell r="BR471">
            <v>1.9164802992721506</v>
          </cell>
          <cell r="BS471">
            <v>1.568210696546148</v>
          </cell>
          <cell r="BT471">
            <v>1.1747301237097154</v>
          </cell>
          <cell r="BV471">
            <v>1.0124750324140588</v>
          </cell>
          <cell r="BW471">
            <v>1.0748804521083899</v>
          </cell>
          <cell r="BX471">
            <v>1.1159086823656299</v>
          </cell>
          <cell r="BY471">
            <v>1.7084274662832888</v>
          </cell>
          <cell r="CA471">
            <v>1.1797104284875757</v>
          </cell>
          <cell r="CB471">
            <v>2.1744745989731165</v>
          </cell>
          <cell r="CC471">
            <v>1.49899106370712</v>
          </cell>
          <cell r="CD471">
            <v>1.9329388560157792</v>
          </cell>
          <cell r="CF471">
            <v>1.2940246406570841</v>
          </cell>
          <cell r="CH471" t="str">
            <v>--</v>
          </cell>
          <cell r="CI471" t="str">
            <v>--</v>
          </cell>
          <cell r="CJ471" t="str">
            <v>--</v>
          </cell>
          <cell r="CK471" t="str">
            <v>--</v>
          </cell>
          <cell r="CM471" t="str">
            <v>--</v>
          </cell>
          <cell r="CN471" t="str">
            <v>--</v>
          </cell>
          <cell r="CO471" t="str">
            <v>--</v>
          </cell>
          <cell r="CP471" t="str">
            <v>--</v>
          </cell>
          <cell r="CR471" t="str">
            <v>--</v>
          </cell>
          <cell r="CS471" t="str">
            <v>--</v>
          </cell>
          <cell r="CT471">
            <v>0.9886070507308683</v>
          </cell>
          <cell r="CU471">
            <v>1.307895673394682</v>
          </cell>
          <cell r="DB471">
            <v>0.26376358695652175</v>
          </cell>
          <cell r="DC471">
            <v>0.35756720430107519</v>
          </cell>
          <cell r="DD471">
            <v>0.60120043464012851</v>
          </cell>
          <cell r="DE471">
            <v>0.5805128241115457</v>
          </cell>
          <cell r="DG471">
            <v>0.61306316373286984</v>
          </cell>
          <cell r="DH471">
            <v>0.72934335474280954</v>
          </cell>
          <cell r="DI471">
            <v>0.8368668861816938</v>
          </cell>
          <cell r="DJ471">
            <v>1.0031883846914225</v>
          </cell>
          <cell r="DL471">
            <v>1.0760961853579745</v>
          </cell>
          <cell r="DM471">
            <v>0.99332817168403675</v>
          </cell>
          <cell r="DN471">
            <v>1.0685826833230534</v>
          </cell>
          <cell r="DO471">
            <v>1.0819136682063848</v>
          </cell>
          <cell r="DQ471">
            <v>1.363788068418857</v>
          </cell>
          <cell r="DR471">
            <v>0.86562763268744736</v>
          </cell>
          <cell r="DS471">
            <v>1.405829596412556</v>
          </cell>
          <cell r="DT471">
            <v>1.6348381941669996</v>
          </cell>
          <cell r="DU471">
            <v>3.561176892716182</v>
          </cell>
          <cell r="DV471">
            <v>3.5052192066805845</v>
          </cell>
          <cell r="DW471">
            <v>2.7492257241756239</v>
          </cell>
          <cell r="DX471">
            <v>2.5441908357645442</v>
          </cell>
          <cell r="DY471">
            <v>2.1581874356333675</v>
          </cell>
          <cell r="DZ471">
            <v>1.2186068020347249</v>
          </cell>
          <cell r="EA471" t="str">
            <v xml:space="preserve"> -- </v>
          </cell>
          <cell r="EB471">
            <v>2.635235362081175</v>
          </cell>
          <cell r="EC471">
            <v>1.5728265817023213</v>
          </cell>
          <cell r="EE471">
            <v>1.6539972127201317</v>
          </cell>
          <cell r="EF471">
            <v>0</v>
          </cell>
          <cell r="EH471" t="str">
            <v xml:space="preserve"> -- </v>
          </cell>
          <cell r="EI471" t="str">
            <v xml:space="preserve"> -- </v>
          </cell>
          <cell r="EK471">
            <v>2.1373816138885906</v>
          </cell>
          <cell r="EL471">
            <v>1.5777791883542804</v>
          </cell>
          <cell r="EM471">
            <v>1.1982946010426789</v>
          </cell>
          <cell r="EN471">
            <v>1.5027419952648575</v>
          </cell>
          <cell r="EP471">
            <v>1.6954666063311188</v>
          </cell>
          <cell r="EQ471">
            <v>1.2282605829986553</v>
          </cell>
          <cell r="ER471">
            <v>1.451180518793012</v>
          </cell>
          <cell r="ES471">
            <v>1.2142408526122905</v>
          </cell>
          <cell r="EU471">
            <v>0.47652333601513108</v>
          </cell>
          <cell r="EV471">
            <v>0.80061611151814172</v>
          </cell>
          <cell r="EW471">
            <v>1.0554659626432765</v>
          </cell>
        </row>
        <row r="472">
          <cell r="A472" t="str">
            <v>Cap Ex/Sales</v>
          </cell>
          <cell r="B472" t="str">
            <v>capexpct</v>
          </cell>
          <cell r="N472">
            <v>2.8777806555584334E-3</v>
          </cell>
          <cell r="O472">
            <v>2.5416190113102047E-2</v>
          </cell>
          <cell r="P472">
            <v>9.41936352015071E-2</v>
          </cell>
          <cell r="Q472">
            <v>9.3674907343298155E-2</v>
          </cell>
          <cell r="S472">
            <v>9.7757331799884981E-2</v>
          </cell>
          <cell r="T472">
            <v>0.11704786308563475</v>
          </cell>
          <cell r="U472">
            <v>7.8671574274395209E-2</v>
          </cell>
          <cell r="V472">
            <v>4.5858704236834733E-2</v>
          </cell>
          <cell r="X472">
            <v>5.0636899671422785E-2</v>
          </cell>
          <cell r="Y472">
            <v>7.6525336091003107E-2</v>
          </cell>
          <cell r="Z472">
            <v>8.1589283342504218E-2</v>
          </cell>
          <cell r="AA472">
            <v>8.4744130674556647E-2</v>
          </cell>
          <cell r="AH472">
            <v>3.6026070506011677E-2</v>
          </cell>
          <cell r="AI472">
            <v>4.0663158017032054E-2</v>
          </cell>
          <cell r="AJ472">
            <v>6.2899781372534103E-2</v>
          </cell>
          <cell r="AK472">
            <v>3.7077280381484022E-2</v>
          </cell>
          <cell r="AW472">
            <v>3.846726163472252E-2</v>
          </cell>
          <cell r="AX472">
            <v>6.0468094187949066E-2</v>
          </cell>
          <cell r="AY472">
            <v>5.8159071522733738E-2</v>
          </cell>
          <cell r="AZ472">
            <v>5.3073226708742739E-2</v>
          </cell>
          <cell r="BB472">
            <v>5.6778011029291801E-2</v>
          </cell>
          <cell r="BC472">
            <v>8.9139078572045977E-2</v>
          </cell>
          <cell r="BL472">
            <v>0</v>
          </cell>
          <cell r="BM472">
            <v>0</v>
          </cell>
          <cell r="BQ472">
            <v>7.8811562211019301E-2</v>
          </cell>
          <cell r="BR472">
            <v>9.7579760253410905E-2</v>
          </cell>
          <cell r="BS472">
            <v>8.1539822937980247E-2</v>
          </cell>
          <cell r="BT472">
            <v>5.6994145183395489E-2</v>
          </cell>
          <cell r="BV472">
            <v>5.2653543220990702E-2</v>
          </cell>
          <cell r="BW472">
            <v>5.1482389521335756E-2</v>
          </cell>
          <cell r="BX472">
            <v>5.1336206753971908E-2</v>
          </cell>
          <cell r="BY472">
            <v>7.5132848605277816E-2</v>
          </cell>
          <cell r="CA472">
            <v>4.7370633271398101E-2</v>
          </cell>
          <cell r="CB472">
            <v>7.790372317757159E-2</v>
          </cell>
          <cell r="CC472">
            <v>5.1967156756929624E-2</v>
          </cell>
          <cell r="CD472">
            <v>5.393170799203445E-2</v>
          </cell>
          <cell r="CF472">
            <v>4.5326225255206805E-2</v>
          </cell>
          <cell r="CT472">
            <v>4.737561839912853E-2</v>
          </cell>
          <cell r="CU472">
            <v>4.2822399818889127E-2</v>
          </cell>
          <cell r="DB472">
            <v>8.067817375501149E-3</v>
          </cell>
          <cell r="DC472">
            <v>1.1032907950719152E-2</v>
          </cell>
          <cell r="DD472">
            <v>1.3316264431970041E-2</v>
          </cell>
          <cell r="DE472">
            <v>1.2999999999999999E-2</v>
          </cell>
          <cell r="DG472">
            <v>1.4E-2</v>
          </cell>
          <cell r="DH472">
            <v>1.7999999999999999E-2</v>
          </cell>
          <cell r="DI472">
            <v>2.1000000000000001E-2</v>
          </cell>
          <cell r="DJ472">
            <v>2.547709087122001E-2</v>
          </cell>
          <cell r="DL472">
            <v>2.5000000000000001E-2</v>
          </cell>
          <cell r="DM472">
            <v>2.5428211601527164E-2</v>
          </cell>
          <cell r="DN472">
            <v>2.8019072388002268E-2</v>
          </cell>
          <cell r="DO472">
            <v>2.8142515815144896E-2</v>
          </cell>
          <cell r="DQ472">
            <v>5.5528188751677393E-2</v>
          </cell>
          <cell r="DR472">
            <v>3.1568759985252548E-2</v>
          </cell>
          <cell r="DS472">
            <v>3.5434138843049932E-2</v>
          </cell>
          <cell r="DT472">
            <v>3.5543973941368073E-2</v>
          </cell>
          <cell r="DU472">
            <v>5.9151672636466049E-2</v>
          </cell>
          <cell r="DV472">
            <v>8.2342422550513814E-2</v>
          </cell>
          <cell r="DW472">
            <v>7.4481999545916708E-2</v>
          </cell>
          <cell r="DX472">
            <v>7.5641228423754148E-2</v>
          </cell>
          <cell r="DY472">
            <v>7.3557311767379729E-2</v>
          </cell>
          <cell r="DZ472">
            <v>4.0115917800218934E-2</v>
          </cell>
          <cell r="EB472">
            <v>8.8045286552503918E-2</v>
          </cell>
          <cell r="EC472">
            <v>5.574392960020004E-2</v>
          </cell>
          <cell r="EE472">
            <v>5.3735601904598834E-2</v>
          </cell>
          <cell r="EK472">
            <v>9.1438793126658535E-2</v>
          </cell>
          <cell r="EL472">
            <v>7.6817684065653882E-2</v>
          </cell>
          <cell r="EM472">
            <v>5.6646601082798002E-2</v>
          </cell>
          <cell r="EN472">
            <v>5.0789723483654473E-2</v>
          </cell>
          <cell r="EP472">
            <v>7.5921041784964449E-2</v>
          </cell>
          <cell r="EQ472">
            <v>5.3333653873305818E-2</v>
          </cell>
          <cell r="ER472">
            <v>4.8499894553138849E-2</v>
          </cell>
          <cell r="ES472">
            <v>4.6257715744855515E-2</v>
          </cell>
          <cell r="EU472">
            <v>1.1440341464378613E-2</v>
          </cell>
          <cell r="EV472">
            <v>1.9607530769899593E-2</v>
          </cell>
          <cell r="EW472">
            <v>2.6650661488827353E-2</v>
          </cell>
        </row>
        <row r="474">
          <cell r="A474" t="str">
            <v>Cash Balance (End of Year)</v>
          </cell>
        </row>
        <row r="476">
          <cell r="A476" t="str">
            <v>OEM Asset Divestiture</v>
          </cell>
        </row>
        <row r="477">
          <cell r="A477" t="str">
            <v>Purchase Price</v>
          </cell>
        </row>
        <row r="478">
          <cell r="A478" t="str">
            <v>Incremental Revenue</v>
          </cell>
        </row>
        <row r="480">
          <cell r="A480" t="str">
            <v>Company Acqusition</v>
          </cell>
        </row>
        <row r="481">
          <cell r="A481" t="str">
            <v>Purchase Price</v>
          </cell>
        </row>
        <row r="482">
          <cell r="A482" t="str">
            <v>Fixed Assets</v>
          </cell>
        </row>
        <row r="483">
          <cell r="A483" t="str">
            <v>Debt</v>
          </cell>
        </row>
        <row r="484">
          <cell r="A484" t="str">
            <v>Goodwill</v>
          </cell>
        </row>
        <row r="485">
          <cell r="A485" t="str">
            <v>% Equity Funded (enter 100% to 0%)</v>
          </cell>
        </row>
        <row r="486">
          <cell r="A486" t="str">
            <v>Incremental Revenue</v>
          </cell>
        </row>
        <row r="487">
          <cell r="A487" t="str">
            <v>Revenue Growth Rate</v>
          </cell>
        </row>
        <row r="489">
          <cell r="A489" t="str">
            <v>Fiscal year ends in September.</v>
          </cell>
        </row>
        <row r="492">
          <cell r="A492" t="str">
            <v>Sanmina Corp</v>
          </cell>
        </row>
        <row r="493">
          <cell r="A493" t="str">
            <v>Return on Net Operating Assets</v>
          </cell>
        </row>
        <row r="494">
          <cell r="A494" t="str">
            <v>($ Millions Except EPS)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uests"/>
      <sheetName val="sales"/>
      <sheetName val="IS"/>
      <sheetName val="BS"/>
      <sheetName val="CF"/>
      <sheetName val="data sheet"/>
      <sheetName val="chtsht"/>
      <sheetName val="int exp"/>
      <sheetName val="bw q3"/>
      <sheetName val="Sheet3"/>
      <sheetName val="DCF"/>
      <sheetName val="box info"/>
      <sheetName val="stores"/>
      <sheetName val="comps"/>
      <sheetName val="comps eps impact"/>
      <sheetName val="economics"/>
      <sheetName val="charts 2"/>
      <sheetName val="char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DOS"/>
      <sheetName val="AJUSTES"/>
      <sheetName val="ASIENTOS"/>
      <sheetName val="AJUSTADO.XLS"/>
      <sheetName val="TABLA.XLS"/>
      <sheetName val="ESTADOS.XLS"/>
      <sheetName val="Prestamos"/>
      <sheetName val="Módulo1"/>
      <sheetName val="Módulo2"/>
      <sheetName val="Módulo3"/>
    </sheetNames>
    <sheetDataSet>
      <sheetData sheetId="0"/>
      <sheetData sheetId="1"/>
      <sheetData sheetId="2" refreshError="1">
        <row r="7">
          <cell r="C7" t="str">
            <v>CTA</v>
          </cell>
          <cell r="E7" t="str">
            <v>ACUM</v>
          </cell>
          <cell r="F7" t="str">
            <v>INCRE</v>
          </cell>
          <cell r="G7" t="str">
            <v>rei</v>
          </cell>
          <cell r="H7" t="str">
            <v>R/ACUM</v>
          </cell>
        </row>
        <row r="11">
          <cell r="C11">
            <v>3200123</v>
          </cell>
          <cell r="E11">
            <v>66099.016300000018</v>
          </cell>
          <cell r="F11">
            <v>66099.016300000018</v>
          </cell>
        </row>
        <row r="12">
          <cell r="C12">
            <v>2170112</v>
          </cell>
          <cell r="E12">
            <v>-66099.016300000018</v>
          </cell>
          <cell r="F12">
            <v>-66099.016300000018</v>
          </cell>
        </row>
        <row r="18">
          <cell r="C18" t="str">
            <v>CUENTA</v>
          </cell>
          <cell r="E18" t="str">
            <v>ACUMULADO</v>
          </cell>
          <cell r="F18" t="str">
            <v>MES</v>
          </cell>
        </row>
        <row r="20">
          <cell r="C20">
            <v>1130101</v>
          </cell>
          <cell r="E20">
            <v>14732.25</v>
          </cell>
        </row>
        <row r="21">
          <cell r="C21">
            <v>1310101</v>
          </cell>
          <cell r="E21">
            <v>-14732.25</v>
          </cell>
        </row>
        <row r="23">
          <cell r="C23">
            <v>8888888</v>
          </cell>
          <cell r="E23">
            <v>1677500</v>
          </cell>
        </row>
        <row r="24">
          <cell r="C24">
            <v>7777777</v>
          </cell>
          <cell r="E24">
            <v>-915000</v>
          </cell>
        </row>
        <row r="25">
          <cell r="C25">
            <v>7777777</v>
          </cell>
          <cell r="E25">
            <v>-1385016</v>
          </cell>
        </row>
        <row r="26">
          <cell r="C26">
            <v>7777777</v>
          </cell>
          <cell r="E26">
            <v>-1830000</v>
          </cell>
        </row>
        <row r="27">
          <cell r="C27">
            <v>2431102</v>
          </cell>
          <cell r="E27">
            <v>2452516</v>
          </cell>
        </row>
        <row r="29">
          <cell r="C29">
            <v>2431102</v>
          </cell>
          <cell r="E29">
            <v>3889136</v>
          </cell>
        </row>
        <row r="30">
          <cell r="C30">
            <v>8888888</v>
          </cell>
          <cell r="E30">
            <v>376553</v>
          </cell>
        </row>
        <row r="31">
          <cell r="C31">
            <v>7777777</v>
          </cell>
          <cell r="E31">
            <v>-389538</v>
          </cell>
        </row>
        <row r="32">
          <cell r="C32">
            <v>7777777</v>
          </cell>
          <cell r="E32">
            <v>-3876151</v>
          </cell>
        </row>
        <row r="34">
          <cell r="C34">
            <v>2110142</v>
          </cell>
          <cell r="E34">
            <v>6820000</v>
          </cell>
        </row>
        <row r="35">
          <cell r="C35">
            <v>6666666</v>
          </cell>
          <cell r="E35">
            <v>-2510000</v>
          </cell>
        </row>
        <row r="36">
          <cell r="C36">
            <v>7777777</v>
          </cell>
          <cell r="E36">
            <v>-4310000</v>
          </cell>
        </row>
        <row r="38">
          <cell r="C38">
            <v>1110210</v>
          </cell>
          <cell r="E38">
            <v>1130447.3500000001</v>
          </cell>
        </row>
        <row r="39">
          <cell r="C39">
            <v>1310101</v>
          </cell>
          <cell r="E39">
            <v>0</v>
          </cell>
        </row>
        <row r="40">
          <cell r="C40">
            <v>2110109</v>
          </cell>
          <cell r="E40">
            <v>-1130447.3500000001</v>
          </cell>
        </row>
        <row r="42">
          <cell r="C42">
            <v>4300002</v>
          </cell>
          <cell r="E42">
            <v>153750</v>
          </cell>
        </row>
        <row r="43">
          <cell r="C43">
            <v>8888888</v>
          </cell>
          <cell r="E43">
            <v>-153750</v>
          </cell>
        </row>
        <row r="45">
          <cell r="C45">
            <v>4300002</v>
          </cell>
          <cell r="E45">
            <v>320672.33</v>
          </cell>
        </row>
        <row r="46">
          <cell r="C46">
            <v>7777777</v>
          </cell>
          <cell r="E46">
            <v>-320672.33</v>
          </cell>
        </row>
        <row r="48">
          <cell r="C48">
            <v>4300002</v>
          </cell>
          <cell r="E48">
            <v>153750</v>
          </cell>
        </row>
        <row r="49">
          <cell r="C49">
            <v>8888888</v>
          </cell>
          <cell r="E49">
            <v>-153750</v>
          </cell>
        </row>
        <row r="51">
          <cell r="C51">
            <v>4300002</v>
          </cell>
          <cell r="E51">
            <v>-1281418</v>
          </cell>
        </row>
        <row r="52">
          <cell r="C52">
            <v>7777777</v>
          </cell>
          <cell r="E52">
            <v>1281418</v>
          </cell>
        </row>
        <row r="54">
          <cell r="C54">
            <v>4300002</v>
          </cell>
          <cell r="E54">
            <v>153750</v>
          </cell>
        </row>
        <row r="55">
          <cell r="C55">
            <v>8888888</v>
          </cell>
          <cell r="E55">
            <v>-153750</v>
          </cell>
        </row>
        <row r="57">
          <cell r="C57">
            <v>4300002</v>
          </cell>
          <cell r="E57">
            <v>153750</v>
          </cell>
        </row>
        <row r="58">
          <cell r="C58">
            <v>8888888</v>
          </cell>
          <cell r="E58">
            <v>-153750</v>
          </cell>
        </row>
        <row r="60">
          <cell r="C60">
            <v>4300002</v>
          </cell>
          <cell r="E60">
            <v>135204.89057727999</v>
          </cell>
        </row>
        <row r="61">
          <cell r="C61">
            <v>7777777</v>
          </cell>
          <cell r="E61">
            <v>-135204.89057727999</v>
          </cell>
        </row>
        <row r="63">
          <cell r="C63">
            <v>4300002</v>
          </cell>
          <cell r="E63">
            <v>26980</v>
          </cell>
        </row>
        <row r="64">
          <cell r="C64">
            <v>8888888</v>
          </cell>
          <cell r="E64">
            <v>-26980</v>
          </cell>
        </row>
        <row r="66">
          <cell r="C66">
            <v>4300002</v>
          </cell>
          <cell r="E66">
            <v>26980</v>
          </cell>
        </row>
        <row r="67">
          <cell r="C67">
            <v>8888888</v>
          </cell>
          <cell r="E67">
            <v>-26980</v>
          </cell>
        </row>
        <row r="69">
          <cell r="C69">
            <v>4300002</v>
          </cell>
          <cell r="E69">
            <v>153750</v>
          </cell>
        </row>
        <row r="70">
          <cell r="C70">
            <v>8888888</v>
          </cell>
          <cell r="E70">
            <v>-153750</v>
          </cell>
        </row>
        <row r="72">
          <cell r="C72">
            <v>4300002</v>
          </cell>
          <cell r="E72">
            <v>-3086473.9214841835</v>
          </cell>
        </row>
        <row r="73">
          <cell r="C73">
            <v>7777777</v>
          </cell>
          <cell r="E73">
            <v>3086473.9214841835</v>
          </cell>
        </row>
        <row r="75">
          <cell r="C75">
            <v>4300002</v>
          </cell>
          <cell r="E75">
            <v>153750</v>
          </cell>
          <cell r="F75">
            <v>153750</v>
          </cell>
        </row>
        <row r="76">
          <cell r="C76">
            <v>8888888</v>
          </cell>
          <cell r="E76">
            <v>-153750</v>
          </cell>
          <cell r="F76">
            <v>-153750</v>
          </cell>
        </row>
        <row r="78">
          <cell r="C78">
            <v>4300002</v>
          </cell>
          <cell r="E78">
            <v>2000885</v>
          </cell>
          <cell r="F78">
            <v>2000885</v>
          </cell>
        </row>
        <row r="79">
          <cell r="C79">
            <v>7777777</v>
          </cell>
          <cell r="E79">
            <v>-2000885</v>
          </cell>
          <cell r="F79">
            <v>-2000885</v>
          </cell>
        </row>
        <row r="81">
          <cell r="C81">
            <v>4300002</v>
          </cell>
          <cell r="E81">
            <v>26980</v>
          </cell>
          <cell r="F81">
            <v>26980</v>
          </cell>
        </row>
        <row r="82">
          <cell r="C82">
            <v>8888888</v>
          </cell>
          <cell r="E82">
            <v>-26980</v>
          </cell>
          <cell r="F82">
            <v>-26980</v>
          </cell>
        </row>
        <row r="84">
          <cell r="C84">
            <v>4300002</v>
          </cell>
          <cell r="E84">
            <v>-2795274.9612678979</v>
          </cell>
        </row>
        <row r="85">
          <cell r="C85">
            <v>8888888</v>
          </cell>
          <cell r="E85">
            <v>890355.79917925503</v>
          </cell>
        </row>
        <row r="86">
          <cell r="C86">
            <v>8888888</v>
          </cell>
          <cell r="E86">
            <v>-33764</v>
          </cell>
        </row>
        <row r="87">
          <cell r="C87">
            <v>4300002</v>
          </cell>
          <cell r="E87">
            <v>26980.478763007723</v>
          </cell>
        </row>
        <row r="88">
          <cell r="C88">
            <v>4300002</v>
          </cell>
          <cell r="E88">
            <v>767108.50181358308</v>
          </cell>
        </row>
        <row r="89">
          <cell r="C89">
            <v>7777777</v>
          </cell>
          <cell r="E89">
            <v>1144594.181512052</v>
          </cell>
        </row>
        <row r="91">
          <cell r="C91">
            <v>2431103</v>
          </cell>
          <cell r="E91">
            <v>2083692.27</v>
          </cell>
        </row>
        <row r="92">
          <cell r="C92">
            <v>1120103</v>
          </cell>
          <cell r="E92">
            <v>-2083692.27</v>
          </cell>
        </row>
        <row r="94">
          <cell r="C94">
            <v>3200041</v>
          </cell>
          <cell r="E94">
            <v>28443.800000000003</v>
          </cell>
        </row>
        <row r="95">
          <cell r="C95">
            <v>4100011</v>
          </cell>
          <cell r="E95">
            <v>-28443.800000000003</v>
          </cell>
        </row>
        <row r="97">
          <cell r="C97">
            <v>5120001</v>
          </cell>
          <cell r="E97">
            <v>88411.5</v>
          </cell>
        </row>
        <row r="98">
          <cell r="C98">
            <v>5120003</v>
          </cell>
          <cell r="E98">
            <v>-88411.5</v>
          </cell>
        </row>
        <row r="100">
          <cell r="C100">
            <v>4100035</v>
          </cell>
          <cell r="E100">
            <v>23000</v>
          </cell>
        </row>
        <row r="101">
          <cell r="C101">
            <v>3200102</v>
          </cell>
          <cell r="E101">
            <v>-23000</v>
          </cell>
        </row>
        <row r="103">
          <cell r="C103">
            <v>5110011</v>
          </cell>
          <cell r="E103">
            <v>56273.42</v>
          </cell>
        </row>
        <row r="104">
          <cell r="C104">
            <v>3200051</v>
          </cell>
          <cell r="E104">
            <v>-56273.42</v>
          </cell>
        </row>
        <row r="106">
          <cell r="C106">
            <v>5120004</v>
          </cell>
          <cell r="E106">
            <v>27185</v>
          </cell>
        </row>
        <row r="107">
          <cell r="C107">
            <v>5110385</v>
          </cell>
          <cell r="E107">
            <v>-27185</v>
          </cell>
        </row>
        <row r="109">
          <cell r="C109">
            <v>3200102</v>
          </cell>
          <cell r="E109">
            <v>5400</v>
          </cell>
        </row>
        <row r="110">
          <cell r="C110">
            <v>4100026</v>
          </cell>
          <cell r="E110">
            <v>-5400</v>
          </cell>
        </row>
        <row r="112">
          <cell r="C112">
            <v>5110011</v>
          </cell>
          <cell r="E112">
            <v>69625.070000000007</v>
          </cell>
        </row>
        <row r="113">
          <cell r="C113">
            <v>3200051</v>
          </cell>
          <cell r="E113">
            <v>-69625.070000000007</v>
          </cell>
        </row>
        <row r="115">
          <cell r="C115">
            <v>4100021</v>
          </cell>
          <cell r="E115">
            <v>837033</v>
          </cell>
        </row>
        <row r="116">
          <cell r="C116">
            <v>5310203</v>
          </cell>
          <cell r="E116">
            <v>-837033</v>
          </cell>
        </row>
        <row r="118">
          <cell r="C118">
            <v>4100021</v>
          </cell>
          <cell r="E118">
            <v>558021.86</v>
          </cell>
        </row>
        <row r="119">
          <cell r="C119">
            <v>5310203</v>
          </cell>
          <cell r="E119">
            <v>-558021.86</v>
          </cell>
        </row>
        <row r="121">
          <cell r="C121">
            <v>3200118</v>
          </cell>
          <cell r="E121">
            <v>3577.9</v>
          </cell>
        </row>
        <row r="122">
          <cell r="C122">
            <v>3200115</v>
          </cell>
          <cell r="E122">
            <v>-3577.9</v>
          </cell>
        </row>
        <row r="124">
          <cell r="C124">
            <v>4100041</v>
          </cell>
          <cell r="E124">
            <v>133000</v>
          </cell>
          <cell r="F124">
            <v>133000</v>
          </cell>
        </row>
        <row r="125">
          <cell r="C125">
            <v>2160122</v>
          </cell>
          <cell r="E125">
            <v>-133000</v>
          </cell>
          <cell r="F125">
            <v>-133000</v>
          </cell>
        </row>
        <row r="127">
          <cell r="C127">
            <v>4100021</v>
          </cell>
          <cell r="E127">
            <v>289604</v>
          </cell>
          <cell r="F127">
            <v>289604</v>
          </cell>
        </row>
        <row r="128">
          <cell r="C128">
            <v>2130101</v>
          </cell>
          <cell r="E128">
            <v>-10000</v>
          </cell>
          <cell r="F128">
            <v>-10000</v>
          </cell>
        </row>
        <row r="129">
          <cell r="C129">
            <v>2130101</v>
          </cell>
          <cell r="E129">
            <v>-279604</v>
          </cell>
          <cell r="F129">
            <v>-279604</v>
          </cell>
        </row>
        <row r="132">
          <cell r="C132">
            <v>3200366</v>
          </cell>
          <cell r="E132">
            <v>11400</v>
          </cell>
          <cell r="F132">
            <v>11400</v>
          </cell>
        </row>
        <row r="133">
          <cell r="C133">
            <v>3200212</v>
          </cell>
          <cell r="E133">
            <v>55391</v>
          </cell>
          <cell r="F133">
            <v>55391</v>
          </cell>
        </row>
        <row r="134">
          <cell r="C134">
            <v>3200355</v>
          </cell>
          <cell r="E134">
            <v>-69688</v>
          </cell>
          <cell r="F134">
            <v>-69688</v>
          </cell>
        </row>
        <row r="135">
          <cell r="C135">
            <v>3200375</v>
          </cell>
          <cell r="E135">
            <v>-49444</v>
          </cell>
          <cell r="F135">
            <v>-49444</v>
          </cell>
        </row>
        <row r="136">
          <cell r="C136">
            <v>2110131</v>
          </cell>
          <cell r="E136">
            <v>52341</v>
          </cell>
          <cell r="F136">
            <v>52341</v>
          </cell>
        </row>
        <row r="138">
          <cell r="C138">
            <v>3200130</v>
          </cell>
          <cell r="E138">
            <v>-35000</v>
          </cell>
          <cell r="F138">
            <v>-35000</v>
          </cell>
        </row>
        <row r="139">
          <cell r="C139">
            <v>3200125</v>
          </cell>
          <cell r="E139">
            <v>20000</v>
          </cell>
          <cell r="F139">
            <v>20000</v>
          </cell>
        </row>
        <row r="140">
          <cell r="C140">
            <v>1170001</v>
          </cell>
          <cell r="E140">
            <v>35000</v>
          </cell>
          <cell r="F140">
            <v>35000</v>
          </cell>
        </row>
        <row r="141">
          <cell r="C141">
            <v>2160122</v>
          </cell>
          <cell r="E141">
            <v>-20000</v>
          </cell>
          <cell r="F141">
            <v>-20000</v>
          </cell>
        </row>
        <row r="143">
          <cell r="C143">
            <v>2110124</v>
          </cell>
          <cell r="E143">
            <v>10000</v>
          </cell>
          <cell r="F143">
            <v>10000</v>
          </cell>
        </row>
        <row r="144">
          <cell r="C144">
            <v>3200105</v>
          </cell>
          <cell r="E144">
            <v>-10000</v>
          </cell>
          <cell r="F144">
            <v>-10000</v>
          </cell>
        </row>
        <row r="146">
          <cell r="C146">
            <v>2110124</v>
          </cell>
          <cell r="E146">
            <v>2500</v>
          </cell>
          <cell r="F146">
            <v>2500</v>
          </cell>
        </row>
        <row r="147">
          <cell r="C147">
            <v>3200105</v>
          </cell>
          <cell r="E147">
            <v>-2500</v>
          </cell>
          <cell r="F147">
            <v>-2500</v>
          </cell>
        </row>
        <row r="149">
          <cell r="C149">
            <v>3200060</v>
          </cell>
          <cell r="E149">
            <v>126000</v>
          </cell>
          <cell r="F149">
            <v>126000</v>
          </cell>
        </row>
        <row r="150">
          <cell r="C150">
            <v>2182101</v>
          </cell>
          <cell r="E150">
            <v>-126000</v>
          </cell>
          <cell r="F150">
            <v>-126000</v>
          </cell>
        </row>
        <row r="152">
          <cell r="C152">
            <v>2170102</v>
          </cell>
          <cell r="E152">
            <v>260474.63</v>
          </cell>
          <cell r="F152">
            <v>260474.63</v>
          </cell>
        </row>
        <row r="153">
          <cell r="C153">
            <v>2170103</v>
          </cell>
          <cell r="E153">
            <v>-156.44999999999999</v>
          </cell>
          <cell r="F153">
            <v>-156.44999999999999</v>
          </cell>
        </row>
        <row r="154">
          <cell r="C154">
            <v>1160001</v>
          </cell>
          <cell r="E154">
            <v>516.24</v>
          </cell>
          <cell r="F154">
            <v>516.24</v>
          </cell>
        </row>
        <row r="155">
          <cell r="C155">
            <v>1160002</v>
          </cell>
          <cell r="E155">
            <v>-5588.59</v>
          </cell>
          <cell r="F155">
            <v>-5588.59</v>
          </cell>
        </row>
        <row r="156">
          <cell r="C156">
            <v>1160003</v>
          </cell>
          <cell r="E156">
            <v>-9558.84</v>
          </cell>
          <cell r="F156">
            <v>-9558.84</v>
          </cell>
        </row>
        <row r="157">
          <cell r="C157">
            <v>1160004</v>
          </cell>
          <cell r="E157">
            <v>-185570.15</v>
          </cell>
          <cell r="F157">
            <v>-185570.15</v>
          </cell>
        </row>
        <row r="158">
          <cell r="C158">
            <v>1160005</v>
          </cell>
          <cell r="E158">
            <v>-24360.720000000001</v>
          </cell>
          <cell r="F158">
            <v>-24360.720000000001</v>
          </cell>
        </row>
        <row r="159">
          <cell r="C159">
            <v>1160035</v>
          </cell>
          <cell r="E159">
            <v>-35756.120000000003</v>
          </cell>
          <cell r="F159">
            <v>-35756.120000000003</v>
          </cell>
        </row>
        <row r="161">
          <cell r="C161">
            <v>1110302</v>
          </cell>
          <cell r="E161">
            <v>18652.09</v>
          </cell>
          <cell r="F161">
            <v>18652.09</v>
          </cell>
        </row>
        <row r="162">
          <cell r="C162">
            <v>4100060</v>
          </cell>
          <cell r="E162">
            <v>-11657.56</v>
          </cell>
          <cell r="F162">
            <v>-11657.56</v>
          </cell>
        </row>
        <row r="163">
          <cell r="C163">
            <v>1160035</v>
          </cell>
          <cell r="E163">
            <v>-6994.53</v>
          </cell>
          <cell r="F163">
            <v>-6994.53</v>
          </cell>
        </row>
        <row r="165">
          <cell r="C165">
            <v>5120003</v>
          </cell>
          <cell r="E165">
            <v>69000</v>
          </cell>
          <cell r="F165">
            <v>69000</v>
          </cell>
        </row>
        <row r="166">
          <cell r="C166">
            <v>1120301</v>
          </cell>
          <cell r="E166">
            <v>-69000</v>
          </cell>
          <cell r="F166">
            <v>-69000</v>
          </cell>
        </row>
        <row r="168">
          <cell r="C168">
            <v>4100037</v>
          </cell>
          <cell r="E168">
            <v>1000</v>
          </cell>
          <cell r="F168">
            <v>1000</v>
          </cell>
        </row>
        <row r="169">
          <cell r="C169">
            <v>2110129</v>
          </cell>
          <cell r="E169">
            <v>-1000</v>
          </cell>
          <cell r="F169">
            <v>-1000</v>
          </cell>
        </row>
        <row r="171">
          <cell r="C171">
            <v>2110127</v>
          </cell>
          <cell r="E171">
            <v>25000</v>
          </cell>
          <cell r="F171">
            <v>25000</v>
          </cell>
        </row>
        <row r="172">
          <cell r="C172">
            <v>3200044</v>
          </cell>
          <cell r="E172">
            <v>-25000</v>
          </cell>
          <cell r="F172">
            <v>-25000</v>
          </cell>
        </row>
        <row r="174">
          <cell r="C174">
            <v>4100038</v>
          </cell>
          <cell r="E174">
            <v>5000</v>
          </cell>
          <cell r="F174">
            <v>5000</v>
          </cell>
        </row>
        <row r="175">
          <cell r="C175">
            <v>2110143</v>
          </cell>
          <cell r="E175">
            <v>-5000</v>
          </cell>
          <cell r="F175">
            <v>-5000</v>
          </cell>
        </row>
        <row r="177">
          <cell r="C177">
            <v>1322501</v>
          </cell>
          <cell r="E177">
            <v>43004.11</v>
          </cell>
          <cell r="F177">
            <v>43004.11</v>
          </cell>
        </row>
        <row r="178">
          <cell r="C178">
            <v>3200097</v>
          </cell>
          <cell r="E178">
            <v>-7400</v>
          </cell>
          <cell r="F178">
            <v>-7400</v>
          </cell>
        </row>
        <row r="179">
          <cell r="C179">
            <v>3200098</v>
          </cell>
          <cell r="E179">
            <v>-25394.11</v>
          </cell>
          <cell r="F179">
            <v>-25394.11</v>
          </cell>
        </row>
        <row r="180">
          <cell r="C180">
            <v>3200098</v>
          </cell>
          <cell r="E180">
            <v>-10210</v>
          </cell>
          <cell r="F180">
            <v>-10210</v>
          </cell>
        </row>
        <row r="182">
          <cell r="C182">
            <v>3200070</v>
          </cell>
          <cell r="E182">
            <v>35719.870000000003</v>
          </cell>
          <cell r="F182">
            <v>35719.870000000003</v>
          </cell>
        </row>
        <row r="183">
          <cell r="C183">
            <v>3200069</v>
          </cell>
          <cell r="E183">
            <v>307467</v>
          </cell>
          <cell r="F183">
            <v>307467</v>
          </cell>
        </row>
        <row r="184">
          <cell r="C184">
            <v>1326402</v>
          </cell>
          <cell r="E184">
            <v>5982.42</v>
          </cell>
          <cell r="F184">
            <v>5982.42</v>
          </cell>
        </row>
        <row r="185">
          <cell r="C185">
            <v>1326501</v>
          </cell>
          <cell r="E185">
            <v>-2337.1999999999998</v>
          </cell>
          <cell r="F185">
            <v>-2337.1999999999998</v>
          </cell>
        </row>
        <row r="186">
          <cell r="C186">
            <v>1326502</v>
          </cell>
          <cell r="E186">
            <v>-6715.15</v>
          </cell>
          <cell r="F186">
            <v>-6715.15</v>
          </cell>
        </row>
        <row r="187">
          <cell r="C187">
            <v>1326303</v>
          </cell>
          <cell r="E187">
            <v>-7145.35</v>
          </cell>
          <cell r="F187">
            <v>-7145.35</v>
          </cell>
        </row>
        <row r="188">
          <cell r="C188">
            <v>1326201</v>
          </cell>
          <cell r="E188">
            <v>-11138.59</v>
          </cell>
          <cell r="F188">
            <v>-11138.59</v>
          </cell>
        </row>
        <row r="189">
          <cell r="C189">
            <v>1326202</v>
          </cell>
          <cell r="E189">
            <v>-4517.07</v>
          </cell>
          <cell r="F189">
            <v>-4517.07</v>
          </cell>
        </row>
        <row r="190">
          <cell r="C190">
            <v>1326701</v>
          </cell>
          <cell r="E190">
            <v>-6315.13</v>
          </cell>
          <cell r="F190">
            <v>-6315.13</v>
          </cell>
        </row>
        <row r="191">
          <cell r="C191">
            <v>1326601</v>
          </cell>
          <cell r="E191">
            <v>-5308.73</v>
          </cell>
          <cell r="F191">
            <v>-5308.73</v>
          </cell>
        </row>
        <row r="192">
          <cell r="C192">
            <v>1326301</v>
          </cell>
          <cell r="E192">
            <v>-3060.46</v>
          </cell>
          <cell r="F192">
            <v>-3060.46</v>
          </cell>
        </row>
        <row r="193">
          <cell r="C193">
            <v>1326901</v>
          </cell>
          <cell r="E193">
            <v>-35941.410000000003</v>
          </cell>
          <cell r="F193">
            <v>-35941.410000000003</v>
          </cell>
        </row>
        <row r="194">
          <cell r="C194">
            <v>1327101</v>
          </cell>
          <cell r="E194">
            <v>-9425.19</v>
          </cell>
          <cell r="F194">
            <v>-9425.19</v>
          </cell>
        </row>
        <row r="195">
          <cell r="C195">
            <v>1327102</v>
          </cell>
          <cell r="E195">
            <v>-43911.05</v>
          </cell>
          <cell r="F195">
            <v>-43911.05</v>
          </cell>
        </row>
        <row r="196">
          <cell r="C196">
            <v>1326304</v>
          </cell>
          <cell r="E196">
            <v>-6780.13</v>
          </cell>
          <cell r="F196">
            <v>-6780.13</v>
          </cell>
        </row>
        <row r="197">
          <cell r="C197">
            <v>1326305</v>
          </cell>
          <cell r="E197">
            <v>-5240.2299999999996</v>
          </cell>
          <cell r="F197">
            <v>-5240.2299999999996</v>
          </cell>
        </row>
        <row r="198">
          <cell r="C198">
            <v>1326101</v>
          </cell>
          <cell r="E198">
            <v>-62342.68</v>
          </cell>
          <cell r="F198">
            <v>-62342.68</v>
          </cell>
        </row>
        <row r="199">
          <cell r="C199">
            <v>1327103</v>
          </cell>
          <cell r="E199">
            <v>-586.17999999999995</v>
          </cell>
          <cell r="F199">
            <v>-586.17999999999995</v>
          </cell>
        </row>
        <row r="200">
          <cell r="C200">
            <v>1327104</v>
          </cell>
          <cell r="E200">
            <v>-12536.46</v>
          </cell>
          <cell r="F200">
            <v>-12536.46</v>
          </cell>
        </row>
        <row r="201">
          <cell r="C201">
            <v>1326102</v>
          </cell>
          <cell r="E201">
            <v>-1411.76</v>
          </cell>
          <cell r="F201">
            <v>-1411.76</v>
          </cell>
        </row>
        <row r="202">
          <cell r="C202">
            <v>1326602</v>
          </cell>
          <cell r="E202">
            <v>-3083.22</v>
          </cell>
          <cell r="F202">
            <v>-3083.22</v>
          </cell>
        </row>
        <row r="203">
          <cell r="C203">
            <v>1326302</v>
          </cell>
          <cell r="E203">
            <v>-16090.63</v>
          </cell>
          <cell r="F203">
            <v>-16090.63</v>
          </cell>
        </row>
        <row r="204">
          <cell r="C204">
            <v>1326801</v>
          </cell>
          <cell r="E204">
            <v>-36020.730000000003</v>
          </cell>
          <cell r="F204">
            <v>-36020.730000000003</v>
          </cell>
        </row>
        <row r="205">
          <cell r="C205">
            <v>1336301</v>
          </cell>
          <cell r="E205">
            <v>-35719.870000000003</v>
          </cell>
          <cell r="F205">
            <v>-35719.870000000003</v>
          </cell>
        </row>
        <row r="206">
          <cell r="C206">
            <v>1327501</v>
          </cell>
          <cell r="E206">
            <v>-33542.07</v>
          </cell>
          <cell r="F206">
            <v>-33542.07</v>
          </cell>
        </row>
        <row r="208">
          <cell r="C208">
            <v>4300002</v>
          </cell>
          <cell r="E208">
            <v>7372.84</v>
          </cell>
          <cell r="F208">
            <v>7372.84</v>
          </cell>
        </row>
        <row r="209">
          <cell r="C209">
            <v>5110017</v>
          </cell>
          <cell r="E209">
            <v>-7372.84</v>
          </cell>
          <cell r="F209">
            <v>-7372.84</v>
          </cell>
        </row>
        <row r="210">
          <cell r="C210">
            <v>1130108</v>
          </cell>
          <cell r="E210">
            <v>57930</v>
          </cell>
          <cell r="F210">
            <v>57930</v>
          </cell>
        </row>
        <row r="211">
          <cell r="C211">
            <v>5110011</v>
          </cell>
          <cell r="E211">
            <v>-57930</v>
          </cell>
          <cell r="F211">
            <v>-57930</v>
          </cell>
        </row>
        <row r="212">
          <cell r="C212">
            <v>1130108</v>
          </cell>
          <cell r="E212">
            <v>97569</v>
          </cell>
          <cell r="F212">
            <v>97569</v>
          </cell>
        </row>
        <row r="213">
          <cell r="C213">
            <v>5110011</v>
          </cell>
          <cell r="E213">
            <v>-97569</v>
          </cell>
          <cell r="F213">
            <v>-97569</v>
          </cell>
        </row>
        <row r="215">
          <cell r="C215">
            <v>3200102</v>
          </cell>
          <cell r="E215">
            <v>8917</v>
          </cell>
          <cell r="F215">
            <v>8917</v>
          </cell>
        </row>
        <row r="216">
          <cell r="C216">
            <v>3200115</v>
          </cell>
          <cell r="E216">
            <v>-8917</v>
          </cell>
          <cell r="F216">
            <v>-8917</v>
          </cell>
        </row>
        <row r="218">
          <cell r="C218">
            <v>1110401</v>
          </cell>
          <cell r="E218">
            <v>22399.73</v>
          </cell>
          <cell r="F218">
            <v>22399.73</v>
          </cell>
        </row>
        <row r="219">
          <cell r="C219">
            <v>1120106</v>
          </cell>
          <cell r="E219">
            <v>-1225.1300000000001</v>
          </cell>
          <cell r="F219">
            <v>-1225.1300000000001</v>
          </cell>
        </row>
        <row r="220">
          <cell r="C220">
            <v>1120101</v>
          </cell>
          <cell r="E220">
            <v>-21174.6</v>
          </cell>
          <cell r="F220">
            <v>-21174.6</v>
          </cell>
        </row>
        <row r="221">
          <cell r="C221">
            <v>1110301</v>
          </cell>
          <cell r="E221">
            <v>37913.19</v>
          </cell>
          <cell r="F221">
            <v>37913.19</v>
          </cell>
        </row>
        <row r="222">
          <cell r="C222">
            <v>1120101</v>
          </cell>
          <cell r="E222">
            <v>-37913.19</v>
          </cell>
          <cell r="F222">
            <v>-37913.19</v>
          </cell>
        </row>
        <row r="223">
          <cell r="C223">
            <v>1110301</v>
          </cell>
          <cell r="E223">
            <v>38041.629999999997</v>
          </cell>
          <cell r="F223">
            <v>38041.629999999997</v>
          </cell>
        </row>
        <row r="224">
          <cell r="C224">
            <v>1120101</v>
          </cell>
          <cell r="E224">
            <v>-38041.635999999999</v>
          </cell>
          <cell r="F224">
            <v>-38041.635999999999</v>
          </cell>
        </row>
        <row r="225">
          <cell r="C225">
            <v>1110401</v>
          </cell>
          <cell r="E225">
            <v>63727.81</v>
          </cell>
          <cell r="F225">
            <v>63727.81</v>
          </cell>
        </row>
        <row r="226">
          <cell r="C226">
            <v>1120101</v>
          </cell>
          <cell r="E226">
            <v>-63727.81</v>
          </cell>
          <cell r="F226">
            <v>-63727.81</v>
          </cell>
        </row>
        <row r="227">
          <cell r="C227">
            <v>1110401</v>
          </cell>
          <cell r="E227">
            <v>71274.649999999994</v>
          </cell>
          <cell r="F227">
            <v>71274.649999999994</v>
          </cell>
        </row>
        <row r="228">
          <cell r="C228">
            <v>1120101</v>
          </cell>
          <cell r="E228">
            <v>-71274.649999999994</v>
          </cell>
          <cell r="F228">
            <v>-71274.649999999994</v>
          </cell>
        </row>
        <row r="229">
          <cell r="C229">
            <v>1110301</v>
          </cell>
          <cell r="E229">
            <v>80862.84</v>
          </cell>
          <cell r="F229">
            <v>80862.84</v>
          </cell>
        </row>
        <row r="230">
          <cell r="C230">
            <v>1120101</v>
          </cell>
          <cell r="E230">
            <v>-80862.84</v>
          </cell>
          <cell r="F230">
            <v>-80862.84</v>
          </cell>
        </row>
        <row r="231">
          <cell r="C231">
            <v>1110301</v>
          </cell>
          <cell r="E231">
            <v>133943.85999999999</v>
          </cell>
          <cell r="F231">
            <v>133943.85999999999</v>
          </cell>
        </row>
        <row r="232">
          <cell r="C232">
            <v>1120101</v>
          </cell>
          <cell r="E232">
            <v>-133943.85999999999</v>
          </cell>
          <cell r="F232">
            <v>-133943.85999999999</v>
          </cell>
        </row>
        <row r="233">
          <cell r="C233">
            <v>1120106</v>
          </cell>
          <cell r="E233">
            <v>6110.5</v>
          </cell>
          <cell r="F233">
            <v>6110.5</v>
          </cell>
        </row>
        <row r="234">
          <cell r="C234">
            <v>1120101</v>
          </cell>
          <cell r="E234">
            <v>-6110.5</v>
          </cell>
          <cell r="F234">
            <v>-6110.5</v>
          </cell>
        </row>
        <row r="235">
          <cell r="C235">
            <v>1120106</v>
          </cell>
          <cell r="E235">
            <v>8173.72</v>
          </cell>
          <cell r="F235">
            <v>8173.72</v>
          </cell>
        </row>
        <row r="236">
          <cell r="C236">
            <v>1120101</v>
          </cell>
          <cell r="E236">
            <v>-8173.73</v>
          </cell>
          <cell r="F236">
            <v>-8173.73</v>
          </cell>
        </row>
        <row r="238">
          <cell r="C238">
            <v>3200115</v>
          </cell>
          <cell r="E238">
            <v>4500</v>
          </cell>
          <cell r="F238">
            <v>4500</v>
          </cell>
        </row>
        <row r="239">
          <cell r="C239">
            <v>2110126</v>
          </cell>
          <cell r="E239">
            <v>-4500</v>
          </cell>
          <cell r="F239">
            <v>-4500</v>
          </cell>
        </row>
        <row r="241">
          <cell r="C241">
            <v>1120301</v>
          </cell>
          <cell r="E241">
            <v>-74100</v>
          </cell>
          <cell r="F241">
            <v>-74100</v>
          </cell>
        </row>
        <row r="242">
          <cell r="C242">
            <v>5110011</v>
          </cell>
          <cell r="E242">
            <v>74100</v>
          </cell>
          <cell r="F242">
            <v>74100</v>
          </cell>
        </row>
        <row r="244">
          <cell r="C244">
            <v>1120301</v>
          </cell>
          <cell r="E244">
            <v>59792</v>
          </cell>
          <cell r="F244">
            <v>59792</v>
          </cell>
        </row>
        <row r="245">
          <cell r="C245">
            <v>1120105</v>
          </cell>
          <cell r="E245">
            <v>-59792</v>
          </cell>
          <cell r="F245">
            <v>-59792</v>
          </cell>
        </row>
        <row r="247">
          <cell r="C247">
            <v>1120301</v>
          </cell>
          <cell r="E247">
            <v>240000</v>
          </cell>
          <cell r="F247">
            <v>240000</v>
          </cell>
        </row>
        <row r="248">
          <cell r="C248">
            <v>5110011</v>
          </cell>
          <cell r="E248">
            <v>-240000</v>
          </cell>
          <cell r="F248">
            <v>-240000</v>
          </cell>
        </row>
        <row r="250">
          <cell r="C250">
            <v>1120301</v>
          </cell>
          <cell r="E250">
            <v>-20000</v>
          </cell>
          <cell r="F250">
            <v>-20000</v>
          </cell>
        </row>
        <row r="251">
          <cell r="C251">
            <v>5110011</v>
          </cell>
          <cell r="E251">
            <v>20000</v>
          </cell>
          <cell r="F251">
            <v>20000</v>
          </cell>
        </row>
        <row r="253">
          <cell r="C253">
            <v>1160035</v>
          </cell>
          <cell r="E253">
            <v>3008.87</v>
          </cell>
          <cell r="F253">
            <v>3008.87</v>
          </cell>
        </row>
        <row r="254">
          <cell r="C254">
            <v>2170102</v>
          </cell>
          <cell r="E254">
            <v>-3008.87</v>
          </cell>
          <cell r="F254">
            <v>-3008.87</v>
          </cell>
        </row>
        <row r="256">
          <cell r="C256">
            <v>1110451</v>
          </cell>
          <cell r="E256">
            <v>8023.65</v>
          </cell>
          <cell r="F256">
            <v>8023.65</v>
          </cell>
        </row>
        <row r="257">
          <cell r="C257">
            <v>4100060</v>
          </cell>
          <cell r="E257">
            <v>-5014.78</v>
          </cell>
          <cell r="F257">
            <v>-5014.78</v>
          </cell>
        </row>
        <row r="258">
          <cell r="C258">
            <v>1160035</v>
          </cell>
          <cell r="E258">
            <v>-3008.87</v>
          </cell>
          <cell r="F258">
            <v>-3008.87</v>
          </cell>
        </row>
        <row r="260">
          <cell r="C260">
            <v>1120301</v>
          </cell>
          <cell r="E260">
            <v>-40000</v>
          </cell>
          <cell r="F260">
            <v>-40000</v>
          </cell>
        </row>
        <row r="261">
          <cell r="C261">
            <v>5120005</v>
          </cell>
          <cell r="E261">
            <v>40000</v>
          </cell>
          <cell r="F261">
            <v>40000</v>
          </cell>
        </row>
        <row r="263">
          <cell r="C263">
            <v>1120301</v>
          </cell>
          <cell r="E263">
            <v>-1300000</v>
          </cell>
          <cell r="F263">
            <v>-1300000</v>
          </cell>
        </row>
        <row r="264">
          <cell r="C264">
            <v>4200057</v>
          </cell>
          <cell r="E264">
            <v>1300000</v>
          </cell>
          <cell r="F264">
            <v>1300000</v>
          </cell>
        </row>
        <row r="266">
          <cell r="C266">
            <v>1321103</v>
          </cell>
          <cell r="E266">
            <v>2580000</v>
          </cell>
          <cell r="F266">
            <v>2580000</v>
          </cell>
        </row>
        <row r="267">
          <cell r="C267">
            <v>4200057</v>
          </cell>
          <cell r="E267">
            <v>-2580000</v>
          </cell>
          <cell r="F267">
            <v>-2580000</v>
          </cell>
        </row>
        <row r="269">
          <cell r="C269">
            <v>5120003</v>
          </cell>
          <cell r="E269">
            <v>16150</v>
          </cell>
          <cell r="F269">
            <v>16150</v>
          </cell>
        </row>
        <row r="270">
          <cell r="C270">
            <v>5120005</v>
          </cell>
          <cell r="E270">
            <v>-16150</v>
          </cell>
          <cell r="F270">
            <v>-16150</v>
          </cell>
        </row>
        <row r="272">
          <cell r="C272">
            <v>3200124</v>
          </cell>
          <cell r="E272">
            <v>4886</v>
          </cell>
          <cell r="F272">
            <v>4886</v>
          </cell>
        </row>
        <row r="273">
          <cell r="C273">
            <v>2183101</v>
          </cell>
          <cell r="E273">
            <v>-4886</v>
          </cell>
          <cell r="F273">
            <v>-4886</v>
          </cell>
        </row>
        <row r="276">
          <cell r="C276">
            <v>1120301</v>
          </cell>
          <cell r="E276">
            <v>-300000</v>
          </cell>
          <cell r="F276">
            <v>-300000</v>
          </cell>
        </row>
        <row r="277">
          <cell r="C277">
            <v>2110199</v>
          </cell>
          <cell r="E277">
            <v>100000</v>
          </cell>
          <cell r="F277">
            <v>100000</v>
          </cell>
        </row>
        <row r="278">
          <cell r="C278">
            <v>2182101</v>
          </cell>
          <cell r="E278">
            <v>200000</v>
          </cell>
          <cell r="F278">
            <v>200000</v>
          </cell>
        </row>
        <row r="285">
          <cell r="E285">
            <v>-1.5999999828636646E-2</v>
          </cell>
          <cell r="F285">
            <v>-1.5999999828636646E-2</v>
          </cell>
        </row>
        <row r="332">
          <cell r="H332" t="e">
            <v>#REF!</v>
          </cell>
        </row>
      </sheetData>
      <sheetData sheetId="3"/>
      <sheetData sheetId="4"/>
      <sheetData sheetId="5"/>
      <sheetData sheetId="6"/>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
      <sheetName val="GASTOS"/>
      <sheetName val="Llave"/>
      <sheetName val="Act"/>
      <sheetName val="Pas"/>
      <sheetName val="EERR"/>
      <sheetName val="EEPN"/>
      <sheetName val="EEPN.Co."/>
      <sheetName val="EOAF"/>
      <sheetName val="Plla.EOAF"/>
      <sheetName val="Notas"/>
      <sheetName val="I-OK"/>
      <sheetName val="II-OK"/>
      <sheetName val="III-OK"/>
      <sheetName val="IV"/>
      <sheetName val="V-Ok"/>
      <sheetName val="RT12"/>
      <sheetName val="Notas (2)"/>
      <sheetName val="Módulo1"/>
      <sheetName val="Módulo2"/>
      <sheetName val="Módulo3"/>
      <sheetName val="Módulo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DOS"/>
      <sheetName val="AJUSTES"/>
      <sheetName val="ASIENTOS"/>
      <sheetName val="AJUSTADO.XLS"/>
      <sheetName val="TABLA.XLS"/>
      <sheetName val="ESTADOS.XLS"/>
      <sheetName val="Prestamos"/>
      <sheetName val="Módulo1"/>
      <sheetName val="Módulo2"/>
      <sheetName val="Módulo3"/>
    </sheetNames>
    <sheetDataSet>
      <sheetData sheetId="0" refreshError="1">
        <row r="5">
          <cell r="A5" t="str">
            <v>CTA</v>
          </cell>
          <cell r="B5" t="str">
            <v>Nombre</v>
          </cell>
          <cell r="C5" t="str">
            <v>Mayo</v>
          </cell>
          <cell r="D5" t="str">
            <v>Junio</v>
          </cell>
          <cell r="E5" t="str">
            <v>Mes</v>
          </cell>
        </row>
        <row r="6">
          <cell r="A6">
            <v>1110104</v>
          </cell>
          <cell r="B6" t="str">
            <v>Cobranzas en Efvo</v>
          </cell>
          <cell r="C6">
            <v>22203.65</v>
          </cell>
          <cell r="D6">
            <v>7034.8</v>
          </cell>
          <cell r="E6">
            <v>-15168.850000000002</v>
          </cell>
        </row>
        <row r="7">
          <cell r="A7">
            <v>1110105</v>
          </cell>
          <cell r="B7" t="str">
            <v>Caja Chica $</v>
          </cell>
          <cell r="C7">
            <v>-126474.47</v>
          </cell>
          <cell r="D7">
            <v>-171167.95</v>
          </cell>
          <cell r="E7">
            <v>-44693.48000000001</v>
          </cell>
        </row>
        <row r="8">
          <cell r="A8">
            <v>1110210</v>
          </cell>
          <cell r="B8" t="str">
            <v>ABN AMRO $ - Ext 210201967</v>
          </cell>
          <cell r="C8">
            <v>119606.26</v>
          </cell>
          <cell r="D8">
            <v>119606.26</v>
          </cell>
          <cell r="E8">
            <v>0</v>
          </cell>
        </row>
        <row r="9">
          <cell r="A9">
            <v>1110211</v>
          </cell>
          <cell r="B9" t="str">
            <v>ABN AMRO $ - Cob 210201967</v>
          </cell>
          <cell r="C9">
            <v>680000</v>
          </cell>
          <cell r="D9">
            <v>900000</v>
          </cell>
          <cell r="E9">
            <v>220000</v>
          </cell>
        </row>
        <row r="10">
          <cell r="A10">
            <v>1110212</v>
          </cell>
          <cell r="B10" t="str">
            <v>ABN AMRO $ - Pag 210201967</v>
          </cell>
          <cell r="C10">
            <v>-798032.85</v>
          </cell>
          <cell r="D10">
            <v>-1017898.85</v>
          </cell>
          <cell r="E10">
            <v>-219866</v>
          </cell>
        </row>
        <row r="11">
          <cell r="A11">
            <v>1110220</v>
          </cell>
          <cell r="B11" t="str">
            <v>BANSUD $ - Ext 0023511</v>
          </cell>
          <cell r="C11">
            <v>1002661.99</v>
          </cell>
          <cell r="D11">
            <v>1002661.99</v>
          </cell>
          <cell r="E11">
            <v>0</v>
          </cell>
        </row>
        <row r="12">
          <cell r="A12">
            <v>1110221</v>
          </cell>
          <cell r="B12" t="str">
            <v>BANSUD $ - Cob 0023511</v>
          </cell>
          <cell r="C12">
            <v>2164118</v>
          </cell>
          <cell r="D12">
            <v>3535295.96</v>
          </cell>
          <cell r="E12">
            <v>1371177.96</v>
          </cell>
        </row>
        <row r="13">
          <cell r="A13">
            <v>1110222</v>
          </cell>
          <cell r="B13" t="str">
            <v>BANSUD $ - Pag 0023511</v>
          </cell>
          <cell r="C13">
            <v>-2953523.31</v>
          </cell>
          <cell r="D13">
            <v>-3432105.31</v>
          </cell>
          <cell r="E13">
            <v>-478582</v>
          </cell>
        </row>
        <row r="14">
          <cell r="A14">
            <v>1110230</v>
          </cell>
          <cell r="B14" t="str">
            <v>BANSUD U$S - Ext 0023504</v>
          </cell>
          <cell r="C14">
            <v>143.1</v>
          </cell>
          <cell r="D14">
            <v>143.1</v>
          </cell>
          <cell r="E14">
            <v>0</v>
          </cell>
        </row>
        <row r="15">
          <cell r="A15">
            <v>1110240</v>
          </cell>
          <cell r="B15" t="str">
            <v>BBV $ - Ext 5654</v>
          </cell>
          <cell r="C15">
            <v>10535.88</v>
          </cell>
          <cell r="D15">
            <v>10535.88</v>
          </cell>
          <cell r="E15">
            <v>0</v>
          </cell>
        </row>
        <row r="16">
          <cell r="A16">
            <v>1110241</v>
          </cell>
          <cell r="B16" t="str">
            <v>BBV $ - Cob 5654</v>
          </cell>
          <cell r="C16">
            <v>21443.16</v>
          </cell>
          <cell r="D16">
            <v>21443.16</v>
          </cell>
          <cell r="E16">
            <v>0</v>
          </cell>
        </row>
        <row r="17">
          <cell r="A17">
            <v>1110242</v>
          </cell>
          <cell r="B17" t="str">
            <v>BBV $ - Pag 5654</v>
          </cell>
          <cell r="C17">
            <v>-1271.19</v>
          </cell>
          <cell r="D17">
            <v>-1271.19</v>
          </cell>
          <cell r="E17">
            <v>0</v>
          </cell>
        </row>
        <row r="18">
          <cell r="A18">
            <v>1110250</v>
          </cell>
          <cell r="B18" t="str">
            <v>BGN $ - Ext 010044716</v>
          </cell>
          <cell r="C18">
            <v>383.71</v>
          </cell>
          <cell r="D18">
            <v>383.71</v>
          </cell>
          <cell r="E18">
            <v>0</v>
          </cell>
        </row>
        <row r="19">
          <cell r="A19">
            <v>1110260</v>
          </cell>
          <cell r="B19" t="str">
            <v>BISEL $ - Ext 63501</v>
          </cell>
          <cell r="C19">
            <v>67678.12</v>
          </cell>
          <cell r="D19">
            <v>67678.12</v>
          </cell>
          <cell r="E19">
            <v>0</v>
          </cell>
        </row>
        <row r="20">
          <cell r="A20">
            <v>1110261</v>
          </cell>
          <cell r="B20" t="str">
            <v>BISEL $ - Cob 63501</v>
          </cell>
          <cell r="C20">
            <v>4658279.47</v>
          </cell>
          <cell r="D20">
            <v>5746242.9400000004</v>
          </cell>
          <cell r="E20">
            <v>1087963.4700000007</v>
          </cell>
        </row>
        <row r="21">
          <cell r="A21">
            <v>1110262</v>
          </cell>
          <cell r="B21" t="str">
            <v>BISEL $ - Pag 63501</v>
          </cell>
          <cell r="C21">
            <v>-1047475.1</v>
          </cell>
          <cell r="D21">
            <v>-1256866.1000000001</v>
          </cell>
          <cell r="E21">
            <v>-209391.00000000012</v>
          </cell>
        </row>
        <row r="22">
          <cell r="A22">
            <v>1110270</v>
          </cell>
          <cell r="B22" t="str">
            <v>BISEL MZA $ - Ext 368006</v>
          </cell>
          <cell r="C22">
            <v>-30.24</v>
          </cell>
          <cell r="D22">
            <v>-30.24</v>
          </cell>
          <cell r="E22">
            <v>0</v>
          </cell>
        </row>
        <row r="23">
          <cell r="A23">
            <v>1110271</v>
          </cell>
          <cell r="B23" t="str">
            <v>BISEL MZA $ - Cob 368006</v>
          </cell>
          <cell r="C23">
            <v>6050</v>
          </cell>
          <cell r="D23">
            <v>6050</v>
          </cell>
          <cell r="E23">
            <v>0</v>
          </cell>
        </row>
        <row r="24">
          <cell r="A24">
            <v>1110272</v>
          </cell>
          <cell r="B24" t="str">
            <v>BISEL MZA $ - Pag 368006</v>
          </cell>
          <cell r="C24">
            <v>-3669960.08</v>
          </cell>
          <cell r="D24">
            <v>-4573326.9800000004</v>
          </cell>
          <cell r="E24">
            <v>-903366.90000000037</v>
          </cell>
        </row>
        <row r="25">
          <cell r="A25">
            <v>1110280</v>
          </cell>
          <cell r="B25" t="str">
            <v>BISEL U$S - Ext 6000355</v>
          </cell>
          <cell r="C25">
            <v>1099.1099999999999</v>
          </cell>
          <cell r="D25">
            <v>1099.1099999999999</v>
          </cell>
          <cell r="E25">
            <v>0</v>
          </cell>
        </row>
        <row r="26">
          <cell r="A26">
            <v>1110281</v>
          </cell>
          <cell r="B26" t="str">
            <v>BISEL U$S - Cob 6000355</v>
          </cell>
          <cell r="C26">
            <v>265</v>
          </cell>
          <cell r="D26">
            <v>265</v>
          </cell>
          <cell r="E26">
            <v>0</v>
          </cell>
        </row>
        <row r="27">
          <cell r="A27">
            <v>1110290</v>
          </cell>
          <cell r="B27" t="str">
            <v>BNL $ - Ext 9996061591</v>
          </cell>
          <cell r="C27">
            <v>176.84</v>
          </cell>
          <cell r="D27">
            <v>176.84</v>
          </cell>
          <cell r="E27">
            <v>0</v>
          </cell>
        </row>
        <row r="28">
          <cell r="A28">
            <v>1110291</v>
          </cell>
          <cell r="B28" t="str">
            <v>BNL $ - Cob 9996061591</v>
          </cell>
          <cell r="C28">
            <v>227.75</v>
          </cell>
          <cell r="D28">
            <v>227.75</v>
          </cell>
          <cell r="E28">
            <v>0</v>
          </cell>
        </row>
        <row r="29">
          <cell r="A29">
            <v>1110292</v>
          </cell>
          <cell r="B29" t="str">
            <v>BNL $ - Pag 9996061591</v>
          </cell>
          <cell r="C29">
            <v>-12.31</v>
          </cell>
          <cell r="D29">
            <v>-12.31</v>
          </cell>
          <cell r="E29">
            <v>0</v>
          </cell>
        </row>
        <row r="30">
          <cell r="A30">
            <v>1110300</v>
          </cell>
          <cell r="B30" t="str">
            <v>CITIBANK $ - Ext 807969013</v>
          </cell>
          <cell r="C30">
            <v>618286.76</v>
          </cell>
          <cell r="D30">
            <v>618286.76</v>
          </cell>
          <cell r="E30">
            <v>0</v>
          </cell>
        </row>
        <row r="31">
          <cell r="A31">
            <v>1110301</v>
          </cell>
          <cell r="B31" t="str">
            <v>CITIBANK $ - Cob 807969013</v>
          </cell>
          <cell r="C31">
            <v>23040678.48</v>
          </cell>
          <cell r="D31">
            <v>25665556.260000002</v>
          </cell>
          <cell r="E31">
            <v>2624877.7800000012</v>
          </cell>
        </row>
        <row r="32">
          <cell r="A32">
            <v>1110302</v>
          </cell>
          <cell r="B32" t="str">
            <v>CITIBANK $ - Pag 807969013</v>
          </cell>
          <cell r="C32">
            <v>-23998867.390000001</v>
          </cell>
          <cell r="D32">
            <v>-27034110.77</v>
          </cell>
          <cell r="E32">
            <v>-3035243.379999999</v>
          </cell>
        </row>
        <row r="33">
          <cell r="A33">
            <v>1110310</v>
          </cell>
          <cell r="B33" t="str">
            <v>CITIBANK U$S Cuenta Especial - Ext</v>
          </cell>
          <cell r="C33">
            <v>607.16</v>
          </cell>
          <cell r="D33">
            <v>607.16</v>
          </cell>
          <cell r="E33">
            <v>0</v>
          </cell>
        </row>
        <row r="34">
          <cell r="A34">
            <v>1110320</v>
          </cell>
          <cell r="B34" t="str">
            <v>CITIBANK  $  Cta especial - Ext</v>
          </cell>
          <cell r="C34">
            <v>321.41000000000003</v>
          </cell>
          <cell r="D34">
            <v>321.41000000000003</v>
          </cell>
          <cell r="E34">
            <v>0</v>
          </cell>
        </row>
        <row r="35">
          <cell r="A35">
            <v>1110330</v>
          </cell>
          <cell r="B35" t="str">
            <v>CIUDAD $ - Ext 0100245256</v>
          </cell>
          <cell r="C35">
            <v>491.76</v>
          </cell>
          <cell r="D35">
            <v>491.76</v>
          </cell>
          <cell r="E35">
            <v>0</v>
          </cell>
        </row>
        <row r="36">
          <cell r="A36">
            <v>1110331</v>
          </cell>
          <cell r="B36" t="str">
            <v>CIUDAD $ - Cob 0100245256</v>
          </cell>
          <cell r="C36">
            <v>6000</v>
          </cell>
          <cell r="D36">
            <v>6000</v>
          </cell>
          <cell r="E36">
            <v>0</v>
          </cell>
        </row>
        <row r="37">
          <cell r="A37">
            <v>1110380</v>
          </cell>
          <cell r="B37" t="str">
            <v>LLOYDS $ - Ext 1008897646</v>
          </cell>
          <cell r="C37">
            <v>26774.87</v>
          </cell>
          <cell r="D37">
            <v>26774.87</v>
          </cell>
          <cell r="E37">
            <v>0</v>
          </cell>
        </row>
        <row r="38">
          <cell r="A38">
            <v>1110381</v>
          </cell>
          <cell r="B38" t="str">
            <v>LLOYDS $ - Cob 1008897646</v>
          </cell>
          <cell r="C38">
            <v>583699.14</v>
          </cell>
          <cell r="D38">
            <v>767994.44</v>
          </cell>
          <cell r="E38">
            <v>184295.29999999993</v>
          </cell>
        </row>
        <row r="39">
          <cell r="A39">
            <v>1110382</v>
          </cell>
          <cell r="B39" t="str">
            <v>LLOYDS $ - Pag 1008897646</v>
          </cell>
          <cell r="C39">
            <v>-537521.54</v>
          </cell>
          <cell r="D39">
            <v>-772119.54</v>
          </cell>
          <cell r="E39">
            <v>-234598</v>
          </cell>
        </row>
        <row r="40">
          <cell r="A40">
            <v>1110390</v>
          </cell>
          <cell r="B40" t="str">
            <v>LLOYDS U$S - Ext 1008897646</v>
          </cell>
          <cell r="C40">
            <v>211.81</v>
          </cell>
          <cell r="D40">
            <v>211.81</v>
          </cell>
          <cell r="E40">
            <v>0</v>
          </cell>
        </row>
        <row r="41">
          <cell r="A41">
            <v>1110391</v>
          </cell>
          <cell r="B41" t="str">
            <v>LLOYDS U$S - Cob 1008897646</v>
          </cell>
          <cell r="C41">
            <v>0</v>
          </cell>
          <cell r="D41">
            <v>355.23</v>
          </cell>
          <cell r="E41">
            <v>355.23</v>
          </cell>
        </row>
        <row r="42">
          <cell r="A42">
            <v>1110400</v>
          </cell>
          <cell r="B42" t="str">
            <v>PROVINCIA $ - Ext 0422400</v>
          </cell>
          <cell r="C42">
            <v>31754.65</v>
          </cell>
          <cell r="D42">
            <v>31754.65</v>
          </cell>
          <cell r="E42">
            <v>0</v>
          </cell>
        </row>
        <row r="43">
          <cell r="A43">
            <v>1110401</v>
          </cell>
          <cell r="B43" t="str">
            <v>PROVINCIA $ - Cob 0422400</v>
          </cell>
          <cell r="C43">
            <v>938726.19</v>
          </cell>
          <cell r="D43">
            <v>1177272.49</v>
          </cell>
          <cell r="E43">
            <v>238546.30000000005</v>
          </cell>
        </row>
        <row r="44">
          <cell r="A44">
            <v>1110402</v>
          </cell>
          <cell r="B44" t="str">
            <v>PROVINCIA $ - Pag 0422400</v>
          </cell>
          <cell r="C44">
            <v>-828671.79</v>
          </cell>
          <cell r="D44">
            <v>-1223996.21</v>
          </cell>
          <cell r="E44">
            <v>-395324.41999999993</v>
          </cell>
        </row>
        <row r="45">
          <cell r="A45">
            <v>1110410</v>
          </cell>
          <cell r="B45" t="str">
            <v>RIO $ - Ext 0179636</v>
          </cell>
          <cell r="C45">
            <v>12738.16</v>
          </cell>
          <cell r="D45">
            <v>12738.16</v>
          </cell>
          <cell r="E45">
            <v>0</v>
          </cell>
        </row>
        <row r="46">
          <cell r="A46">
            <v>1110411</v>
          </cell>
          <cell r="B46" t="str">
            <v>RIO $ - Cob 0179636</v>
          </cell>
          <cell r="C46">
            <v>449602.59</v>
          </cell>
          <cell r="D46">
            <v>449602.59</v>
          </cell>
          <cell r="E46">
            <v>0</v>
          </cell>
        </row>
        <row r="47">
          <cell r="A47">
            <v>1110412</v>
          </cell>
          <cell r="B47" t="str">
            <v>RIO $ - Pag 0179636</v>
          </cell>
          <cell r="C47">
            <v>-476250.67</v>
          </cell>
          <cell r="D47">
            <v>-476250.67</v>
          </cell>
          <cell r="E47">
            <v>0</v>
          </cell>
        </row>
        <row r="48">
          <cell r="A48">
            <v>1110420</v>
          </cell>
          <cell r="B48" t="str">
            <v>RIO NEGRO $ - Ext 806463</v>
          </cell>
          <cell r="C48">
            <v>-4927.99</v>
          </cell>
          <cell r="D48">
            <v>-4927.99</v>
          </cell>
          <cell r="E48">
            <v>0</v>
          </cell>
        </row>
        <row r="49">
          <cell r="A49">
            <v>1110421</v>
          </cell>
          <cell r="B49" t="str">
            <v>RIO NEGRO $ - Cob 806463</v>
          </cell>
          <cell r="C49">
            <v>-4301.12</v>
          </cell>
          <cell r="D49">
            <v>-4301.12</v>
          </cell>
          <cell r="E49">
            <v>0</v>
          </cell>
        </row>
        <row r="50">
          <cell r="A50">
            <v>1110422</v>
          </cell>
          <cell r="B50" t="str">
            <v>RIO NEGRO $ - Pag 806463</v>
          </cell>
          <cell r="C50">
            <v>-1064.6199999999999</v>
          </cell>
          <cell r="D50">
            <v>-1064.6199999999999</v>
          </cell>
          <cell r="E50">
            <v>0</v>
          </cell>
        </row>
        <row r="51">
          <cell r="A51">
            <v>1110431</v>
          </cell>
          <cell r="B51" t="str">
            <v>RIO PROV $ - Cob 0198017</v>
          </cell>
          <cell r="C51">
            <v>-2287.87</v>
          </cell>
          <cell r="D51">
            <v>-2287.87</v>
          </cell>
          <cell r="E51">
            <v>0</v>
          </cell>
        </row>
        <row r="52">
          <cell r="A52">
            <v>1110440</v>
          </cell>
          <cell r="B52" t="str">
            <v>RIO U$S - Ext 0179636</v>
          </cell>
          <cell r="C52">
            <v>377.78</v>
          </cell>
          <cell r="D52">
            <v>377.78</v>
          </cell>
          <cell r="E52">
            <v>0</v>
          </cell>
        </row>
        <row r="53">
          <cell r="A53">
            <v>1110450</v>
          </cell>
          <cell r="B53" t="str">
            <v>SUDAMERIS $ - Ext 0806444</v>
          </cell>
          <cell r="C53">
            <v>24976</v>
          </cell>
          <cell r="D53">
            <v>24976</v>
          </cell>
          <cell r="E53">
            <v>0</v>
          </cell>
        </row>
        <row r="54">
          <cell r="A54">
            <v>1110451</v>
          </cell>
          <cell r="B54" t="str">
            <v>SUDAMERIS $ - Cob 0806444</v>
          </cell>
          <cell r="C54">
            <v>23171160.91</v>
          </cell>
          <cell r="D54">
            <v>27968247.670000002</v>
          </cell>
          <cell r="E54">
            <v>4797086.7600000016</v>
          </cell>
        </row>
        <row r="55">
          <cell r="A55">
            <v>1110452</v>
          </cell>
          <cell r="B55" t="str">
            <v>SUDAMERIS $ - Pag 0806444</v>
          </cell>
          <cell r="C55">
            <v>-24717708.670000002</v>
          </cell>
          <cell r="D55">
            <v>-28904380.120000001</v>
          </cell>
          <cell r="E55">
            <v>-4186671.4499999993</v>
          </cell>
        </row>
        <row r="56">
          <cell r="A56">
            <v>1110461</v>
          </cell>
          <cell r="B56" t="str">
            <v>LLOYDS $ MZA - Cob 2900085888</v>
          </cell>
          <cell r="C56">
            <v>50842.03</v>
          </cell>
          <cell r="D56">
            <v>50842.03</v>
          </cell>
          <cell r="E56">
            <v>0</v>
          </cell>
        </row>
        <row r="57">
          <cell r="A57">
            <v>1110500</v>
          </cell>
          <cell r="B57" t="str">
            <v>RIO PROV U$S - Ext 0000179636</v>
          </cell>
          <cell r="C57">
            <v>-96.01</v>
          </cell>
          <cell r="D57">
            <v>-96.01</v>
          </cell>
          <cell r="E57">
            <v>0</v>
          </cell>
        </row>
        <row r="58">
          <cell r="A58">
            <v>1120101</v>
          </cell>
          <cell r="B58" t="str">
            <v>Valores en cartera</v>
          </cell>
          <cell r="C58">
            <v>486188.51</v>
          </cell>
          <cell r="D58">
            <v>564232.81000000006</v>
          </cell>
          <cell r="E58">
            <v>78044.300000000047</v>
          </cell>
        </row>
        <row r="59">
          <cell r="A59">
            <v>1120102</v>
          </cell>
          <cell r="B59" t="str">
            <v>Valores Diferidos</v>
          </cell>
          <cell r="C59">
            <v>1794783.59</v>
          </cell>
          <cell r="D59">
            <v>2180530.2400000002</v>
          </cell>
          <cell r="E59">
            <v>385746.65000000014</v>
          </cell>
        </row>
        <row r="60">
          <cell r="A60">
            <v>1120103</v>
          </cell>
          <cell r="B60" t="str">
            <v>Deudores por Ventas</v>
          </cell>
          <cell r="C60">
            <v>11101240.91</v>
          </cell>
          <cell r="D60">
            <v>9340362.3900000006</v>
          </cell>
          <cell r="E60">
            <v>-1760878.5199999996</v>
          </cell>
        </row>
        <row r="61">
          <cell r="A61">
            <v>1120105</v>
          </cell>
          <cell r="B61" t="str">
            <v>Prov.Desp.no fact.</v>
          </cell>
          <cell r="C61">
            <v>1823968.77</v>
          </cell>
          <cell r="D61">
            <v>1500212.25</v>
          </cell>
          <cell r="E61">
            <v>-323756.52</v>
          </cell>
        </row>
        <row r="62">
          <cell r="A62">
            <v>1120106</v>
          </cell>
          <cell r="B62" t="str">
            <v>Cobranzas a aplicar</v>
          </cell>
          <cell r="C62">
            <v>-128748.19</v>
          </cell>
          <cell r="D62">
            <v>-88648.28</v>
          </cell>
          <cell r="E62">
            <v>40099.910000000003</v>
          </cell>
        </row>
        <row r="63">
          <cell r="A63">
            <v>1120108</v>
          </cell>
          <cell r="B63" t="str">
            <v>Ds cheque rechazado</v>
          </cell>
          <cell r="C63">
            <v>53262.87</v>
          </cell>
          <cell r="D63">
            <v>46789.07</v>
          </cell>
          <cell r="E63">
            <v>-6473.8000000000029</v>
          </cell>
        </row>
        <row r="64">
          <cell r="A64">
            <v>1120109</v>
          </cell>
          <cell r="B64" t="str">
            <v>ALL Do Brasil</v>
          </cell>
          <cell r="C64">
            <v>25612.7</v>
          </cell>
          <cell r="D64">
            <v>25612.7</v>
          </cell>
          <cell r="E64">
            <v>0</v>
          </cell>
        </row>
        <row r="65">
          <cell r="A65">
            <v>1120110</v>
          </cell>
          <cell r="B65" t="str">
            <v>Unidad Ejecutora Programa Ferroviario P</v>
          </cell>
          <cell r="C65">
            <v>1466047.5</v>
          </cell>
          <cell r="D65">
            <v>18505727.350000001</v>
          </cell>
          <cell r="E65">
            <v>17039679.850000001</v>
          </cell>
        </row>
        <row r="66">
          <cell r="A66">
            <v>1120111</v>
          </cell>
          <cell r="B66" t="str">
            <v>Ferrocarriles Argentinos</v>
          </cell>
          <cell r="C66">
            <v>2232863.44</v>
          </cell>
          <cell r="D66">
            <v>2232863.44</v>
          </cell>
          <cell r="E66">
            <v>0</v>
          </cell>
        </row>
        <row r="67">
          <cell r="A67">
            <v>1120112</v>
          </cell>
          <cell r="B67" t="str">
            <v>Peajes a facturar</v>
          </cell>
          <cell r="C67">
            <v>27247.24</v>
          </cell>
          <cell r="D67">
            <v>21035.52</v>
          </cell>
          <cell r="E67">
            <v>-6211.7200000000012</v>
          </cell>
        </row>
        <row r="68">
          <cell r="A68">
            <v>1120201</v>
          </cell>
          <cell r="B68" t="str">
            <v>Documentos a cobrar</v>
          </cell>
          <cell r="C68">
            <v>23231.89</v>
          </cell>
          <cell r="D68">
            <v>23231.89</v>
          </cell>
          <cell r="E68">
            <v>0</v>
          </cell>
        </row>
        <row r="69">
          <cell r="A69">
            <v>1120205</v>
          </cell>
          <cell r="B69" t="str">
            <v>Doc. en Litigio</v>
          </cell>
          <cell r="C69">
            <v>19602751.210000001</v>
          </cell>
          <cell r="D69">
            <v>2817524.21</v>
          </cell>
          <cell r="E69">
            <v>-16785227</v>
          </cell>
        </row>
        <row r="70">
          <cell r="A70">
            <v>1120301</v>
          </cell>
          <cell r="B70" t="str">
            <v>Prev.Incob.Ds Fletes</v>
          </cell>
          <cell r="C70">
            <v>-3696903.73</v>
          </cell>
          <cell r="D70">
            <v>-3478454.12</v>
          </cell>
          <cell r="E70">
            <v>218449.60999999987</v>
          </cell>
        </row>
        <row r="71">
          <cell r="A71">
            <v>1120305</v>
          </cell>
          <cell r="B71" t="str">
            <v>NC emitidas a clientes contra la prev d</v>
          </cell>
          <cell r="C71">
            <v>0.13</v>
          </cell>
          <cell r="D71">
            <v>0</v>
          </cell>
          <cell r="E71">
            <v>-0.13</v>
          </cell>
        </row>
        <row r="72">
          <cell r="A72">
            <v>1130101</v>
          </cell>
          <cell r="B72" t="str">
            <v>Deudores Varios-FI</v>
          </cell>
          <cell r="C72">
            <v>35000</v>
          </cell>
          <cell r="D72">
            <v>35000</v>
          </cell>
          <cell r="E72">
            <v>0</v>
          </cell>
        </row>
        <row r="73">
          <cell r="A73">
            <v>1130103</v>
          </cell>
          <cell r="B73" t="str">
            <v>Deposito en Garantia</v>
          </cell>
          <cell r="C73">
            <v>574106.99</v>
          </cell>
          <cell r="D73">
            <v>574106.99</v>
          </cell>
          <cell r="E73">
            <v>0</v>
          </cell>
        </row>
        <row r="74">
          <cell r="A74">
            <v>1130104</v>
          </cell>
          <cell r="B74" t="str">
            <v>Tickets al Personal</v>
          </cell>
          <cell r="C74">
            <v>59566.239999999998</v>
          </cell>
          <cell r="D74">
            <v>60107.24</v>
          </cell>
          <cell r="E74">
            <v>541</v>
          </cell>
        </row>
        <row r="75">
          <cell r="A75">
            <v>1130108</v>
          </cell>
          <cell r="B75" t="str">
            <v>Gastos a Recuperar</v>
          </cell>
          <cell r="C75">
            <v>42029.78</v>
          </cell>
          <cell r="D75">
            <v>42029.78</v>
          </cell>
          <cell r="E75">
            <v>0</v>
          </cell>
        </row>
        <row r="76">
          <cell r="A76">
            <v>1140101</v>
          </cell>
          <cell r="B76" t="str">
            <v>Ant.deGtos.a Rendir</v>
          </cell>
          <cell r="C76">
            <v>63689</v>
          </cell>
          <cell r="D76">
            <v>63689</v>
          </cell>
          <cell r="E76">
            <v>0</v>
          </cell>
        </row>
        <row r="77">
          <cell r="A77">
            <v>1140102</v>
          </cell>
          <cell r="B77" t="str">
            <v>Anticipo al Personal</v>
          </cell>
          <cell r="C77">
            <v>5043.92</v>
          </cell>
          <cell r="D77">
            <v>17419.96</v>
          </cell>
          <cell r="E77">
            <v>12376.039999999999</v>
          </cell>
        </row>
        <row r="78">
          <cell r="A78">
            <v>1140103</v>
          </cell>
          <cell r="B78" t="str">
            <v>Rend.Realizadas</v>
          </cell>
          <cell r="C78">
            <v>19518.7</v>
          </cell>
          <cell r="D78">
            <v>19518.7</v>
          </cell>
          <cell r="E78">
            <v>0</v>
          </cell>
        </row>
        <row r="79">
          <cell r="A79">
            <v>1140104</v>
          </cell>
          <cell r="B79" t="str">
            <v>Ant.Viaticos Conduc.</v>
          </cell>
          <cell r="C79">
            <v>15085.45</v>
          </cell>
          <cell r="D79">
            <v>15724.45</v>
          </cell>
          <cell r="E79">
            <v>639</v>
          </cell>
        </row>
        <row r="80">
          <cell r="A80">
            <v>1140201</v>
          </cell>
          <cell r="B80" t="str">
            <v>Anticipo Proveedor</v>
          </cell>
          <cell r="C80">
            <v>580484.51</v>
          </cell>
          <cell r="D80">
            <v>666493.76</v>
          </cell>
          <cell r="E80">
            <v>86009.25</v>
          </cell>
        </row>
        <row r="81">
          <cell r="A81">
            <v>1140301</v>
          </cell>
          <cell r="B81" t="str">
            <v>Ant.Hon.Direct.Sind.</v>
          </cell>
          <cell r="C81">
            <v>88537.919999999998</v>
          </cell>
          <cell r="D81">
            <v>95493.6</v>
          </cell>
          <cell r="E81">
            <v>6955.6800000000076</v>
          </cell>
        </row>
        <row r="82">
          <cell r="A82">
            <v>1150101</v>
          </cell>
          <cell r="B82" t="str">
            <v>Combustibles</v>
          </cell>
          <cell r="C82">
            <v>306120.12</v>
          </cell>
          <cell r="D82">
            <v>323260.2</v>
          </cell>
          <cell r="E82">
            <v>17140.080000000016</v>
          </cell>
        </row>
        <row r="83">
          <cell r="A83">
            <v>1150102</v>
          </cell>
          <cell r="B83" t="str">
            <v>Repuestos Generales</v>
          </cell>
          <cell r="C83">
            <v>88327.15</v>
          </cell>
          <cell r="D83">
            <v>95173.18</v>
          </cell>
          <cell r="E83">
            <v>6846.0299999999988</v>
          </cell>
        </row>
        <row r="84">
          <cell r="A84">
            <v>1150103</v>
          </cell>
          <cell r="B84" t="str">
            <v>Lubricantes</v>
          </cell>
          <cell r="C84">
            <v>33396.26</v>
          </cell>
          <cell r="D84">
            <v>31203.99</v>
          </cell>
          <cell r="E84">
            <v>-2192.2700000000004</v>
          </cell>
        </row>
        <row r="85">
          <cell r="A85">
            <v>1150105</v>
          </cell>
          <cell r="B85" t="str">
            <v>Repuestos Locomotora</v>
          </cell>
          <cell r="C85">
            <v>3838341.6</v>
          </cell>
          <cell r="D85">
            <v>3833699.75</v>
          </cell>
          <cell r="E85">
            <v>-4641.8500000000931</v>
          </cell>
        </row>
        <row r="86">
          <cell r="A86">
            <v>1150106</v>
          </cell>
          <cell r="B86" t="str">
            <v>Repuestos Vagones</v>
          </cell>
          <cell r="C86">
            <v>865093.7</v>
          </cell>
          <cell r="D86">
            <v>849029.93</v>
          </cell>
          <cell r="E86">
            <v>-16063.769999999902</v>
          </cell>
        </row>
        <row r="87">
          <cell r="A87">
            <v>1150107</v>
          </cell>
          <cell r="B87" t="str">
            <v>Materiales Generales</v>
          </cell>
          <cell r="C87">
            <v>174784.5</v>
          </cell>
          <cell r="D87">
            <v>164029.22</v>
          </cell>
          <cell r="E87">
            <v>-10755.279999999999</v>
          </cell>
        </row>
        <row r="88">
          <cell r="A88">
            <v>1150108</v>
          </cell>
          <cell r="B88" t="str">
            <v>Material Vias</v>
          </cell>
          <cell r="C88">
            <v>310318.65000000002</v>
          </cell>
          <cell r="D88">
            <v>310042.15999999997</v>
          </cell>
          <cell r="E88">
            <v>-276.49000000004889</v>
          </cell>
        </row>
        <row r="89">
          <cell r="A89">
            <v>1160001</v>
          </cell>
          <cell r="B89" t="str">
            <v>IVA CFI Serv - 27%</v>
          </cell>
          <cell r="C89">
            <v>0</v>
          </cell>
          <cell r="D89">
            <v>-516.24</v>
          </cell>
          <cell r="E89">
            <v>-516.24</v>
          </cell>
        </row>
        <row r="90">
          <cell r="A90">
            <v>1160002</v>
          </cell>
          <cell r="B90" t="str">
            <v>Ret. Sufr. I.V.A.</v>
          </cell>
          <cell r="C90">
            <v>0</v>
          </cell>
          <cell r="D90">
            <v>5588.59</v>
          </cell>
          <cell r="E90">
            <v>5588.59</v>
          </cell>
        </row>
        <row r="91">
          <cell r="A91">
            <v>1160003</v>
          </cell>
          <cell r="B91" t="str">
            <v>Perc.Sufr.IVA RG3337</v>
          </cell>
          <cell r="C91">
            <v>0</v>
          </cell>
          <cell r="D91">
            <v>9558.84</v>
          </cell>
          <cell r="E91">
            <v>9558.84</v>
          </cell>
        </row>
        <row r="92">
          <cell r="A92">
            <v>1160004</v>
          </cell>
          <cell r="B92" t="str">
            <v>IVA CF - 21%</v>
          </cell>
          <cell r="C92">
            <v>0</v>
          </cell>
          <cell r="D92">
            <v>185570.15</v>
          </cell>
          <cell r="E92">
            <v>185570.15</v>
          </cell>
        </row>
        <row r="93">
          <cell r="A93">
            <v>1160005</v>
          </cell>
          <cell r="B93" t="str">
            <v>IVA CF - 10,50%</v>
          </cell>
          <cell r="C93">
            <v>0</v>
          </cell>
          <cell r="D93">
            <v>24360.720000000001</v>
          </cell>
          <cell r="E93">
            <v>24360.720000000001</v>
          </cell>
        </row>
        <row r="94">
          <cell r="A94">
            <v>1160006</v>
          </cell>
          <cell r="B94" t="str">
            <v>IVA Saldo a Favor</v>
          </cell>
          <cell r="C94">
            <v>-430504.65</v>
          </cell>
          <cell r="D94">
            <v>0</v>
          </cell>
          <cell r="E94">
            <v>430504.65</v>
          </cell>
        </row>
        <row r="95">
          <cell r="A95">
            <v>1160008</v>
          </cell>
          <cell r="B95" t="str">
            <v>IVA CF Pendiente</v>
          </cell>
          <cell r="C95">
            <v>14728.33</v>
          </cell>
          <cell r="D95">
            <v>14728.33</v>
          </cell>
          <cell r="E95">
            <v>0</v>
          </cell>
        </row>
        <row r="96">
          <cell r="A96">
            <v>1160009</v>
          </cell>
          <cell r="B96" t="str">
            <v>Ret.Imp.a las Gcias.</v>
          </cell>
          <cell r="C96">
            <v>53115.48</v>
          </cell>
          <cell r="D96">
            <v>54594.86</v>
          </cell>
          <cell r="E96">
            <v>1479.3799999999974</v>
          </cell>
        </row>
        <row r="97">
          <cell r="A97">
            <v>1160010</v>
          </cell>
          <cell r="B97" t="str">
            <v>Anticipo Imp GMP</v>
          </cell>
          <cell r="C97">
            <v>0</v>
          </cell>
          <cell r="D97">
            <v>68393.66</v>
          </cell>
          <cell r="E97">
            <v>68393.66</v>
          </cell>
        </row>
        <row r="98">
          <cell r="A98">
            <v>1160011</v>
          </cell>
          <cell r="B98" t="str">
            <v>Percep.Sufr.IIBB CF</v>
          </cell>
          <cell r="C98">
            <v>6186.06</v>
          </cell>
          <cell r="D98">
            <v>6339.8</v>
          </cell>
          <cell r="E98">
            <v>153.73999999999978</v>
          </cell>
        </row>
        <row r="99">
          <cell r="A99">
            <v>1160012</v>
          </cell>
          <cell r="B99" t="str">
            <v>Percep.Sufr.IIBB BA</v>
          </cell>
          <cell r="C99">
            <v>11555.85</v>
          </cell>
          <cell r="D99">
            <v>13174.3</v>
          </cell>
          <cell r="E99">
            <v>1618.4499999999989</v>
          </cell>
        </row>
        <row r="100">
          <cell r="A100">
            <v>1160013</v>
          </cell>
          <cell r="B100" t="str">
            <v>Percep.Sufr.IIBB Mza</v>
          </cell>
          <cell r="C100">
            <v>0</v>
          </cell>
          <cell r="D100">
            <v>1272.67</v>
          </cell>
          <cell r="E100">
            <v>1272.67</v>
          </cell>
        </row>
        <row r="101">
          <cell r="A101">
            <v>1160014</v>
          </cell>
          <cell r="B101" t="str">
            <v>Percep.Sufr.IIBB Cba</v>
          </cell>
          <cell r="C101">
            <v>26.12</v>
          </cell>
          <cell r="D101">
            <v>26.12</v>
          </cell>
          <cell r="E101">
            <v>0</v>
          </cell>
        </row>
        <row r="102">
          <cell r="A102">
            <v>1160016</v>
          </cell>
          <cell r="B102" t="str">
            <v>Percep.Sufr.IIBB SLu</v>
          </cell>
          <cell r="C102">
            <v>0</v>
          </cell>
          <cell r="D102">
            <v>30.29</v>
          </cell>
          <cell r="E102">
            <v>30.29</v>
          </cell>
        </row>
        <row r="103">
          <cell r="A103">
            <v>1160017</v>
          </cell>
          <cell r="B103" t="str">
            <v>Percep.Sufr.IIBB SFe</v>
          </cell>
          <cell r="C103">
            <v>0</v>
          </cell>
          <cell r="D103">
            <v>12.43</v>
          </cell>
          <cell r="E103">
            <v>12.43</v>
          </cell>
        </row>
        <row r="104">
          <cell r="A104">
            <v>1160021</v>
          </cell>
          <cell r="B104" t="str">
            <v>Ret.Sufr.IIBB CF</v>
          </cell>
          <cell r="C104">
            <v>0</v>
          </cell>
          <cell r="D104">
            <v>19339.86</v>
          </cell>
          <cell r="E104">
            <v>19339.86</v>
          </cell>
        </row>
        <row r="105">
          <cell r="A105">
            <v>1160022</v>
          </cell>
          <cell r="B105" t="str">
            <v>Ret.Sufr.IIBB BA</v>
          </cell>
          <cell r="C105">
            <v>0</v>
          </cell>
          <cell r="D105">
            <v>16368.36</v>
          </cell>
          <cell r="E105">
            <v>16368.36</v>
          </cell>
        </row>
        <row r="106">
          <cell r="A106">
            <v>1160023</v>
          </cell>
          <cell r="B106" t="str">
            <v>Ret.Sufr.IIBB Mza</v>
          </cell>
          <cell r="C106">
            <v>0</v>
          </cell>
          <cell r="D106">
            <v>6249.99</v>
          </cell>
          <cell r="E106">
            <v>6249.99</v>
          </cell>
        </row>
        <row r="107">
          <cell r="A107">
            <v>1160024</v>
          </cell>
          <cell r="B107" t="str">
            <v>Ret.Sufr. IIBB Cdba</v>
          </cell>
          <cell r="C107">
            <v>0</v>
          </cell>
          <cell r="D107">
            <v>2596.83</v>
          </cell>
          <cell r="E107">
            <v>2596.83</v>
          </cell>
        </row>
        <row r="108">
          <cell r="A108">
            <v>1160025</v>
          </cell>
          <cell r="B108" t="str">
            <v>Ret.Sufr. IIBB SJuan</v>
          </cell>
          <cell r="C108">
            <v>410.61</v>
          </cell>
          <cell r="D108">
            <v>452.61</v>
          </cell>
          <cell r="E108">
            <v>42</v>
          </cell>
        </row>
        <row r="109">
          <cell r="A109">
            <v>1160026</v>
          </cell>
          <cell r="B109" t="str">
            <v>Ret.Sufr. IIBB SLuis</v>
          </cell>
          <cell r="C109">
            <v>0</v>
          </cell>
          <cell r="D109">
            <v>5954.23</v>
          </cell>
          <cell r="E109">
            <v>5954.23</v>
          </cell>
        </row>
        <row r="110">
          <cell r="A110">
            <v>1160027</v>
          </cell>
          <cell r="B110" t="str">
            <v>Ret.Sufr. IIBB SFe</v>
          </cell>
          <cell r="C110">
            <v>0</v>
          </cell>
          <cell r="D110">
            <v>287.38</v>
          </cell>
          <cell r="E110">
            <v>287.38</v>
          </cell>
        </row>
        <row r="111">
          <cell r="A111">
            <v>1160033</v>
          </cell>
          <cell r="B111" t="str">
            <v>Percep Gcias RG3543</v>
          </cell>
          <cell r="C111">
            <v>2970.84</v>
          </cell>
          <cell r="D111">
            <v>2970.84</v>
          </cell>
          <cell r="E111">
            <v>0</v>
          </cell>
        </row>
        <row r="112">
          <cell r="A112">
            <v>1160035</v>
          </cell>
          <cell r="B112" t="str">
            <v>Imp. al deb/cred bcario a recuperar</v>
          </cell>
          <cell r="C112">
            <v>21311.06</v>
          </cell>
          <cell r="D112">
            <v>42750.65</v>
          </cell>
          <cell r="E112">
            <v>21439.59</v>
          </cell>
        </row>
        <row r="113">
          <cell r="A113">
            <v>1160037</v>
          </cell>
          <cell r="B113" t="str">
            <v>Saldo a favor IGMP</v>
          </cell>
          <cell r="C113">
            <v>2031314.58</v>
          </cell>
          <cell r="D113">
            <v>2031314.58</v>
          </cell>
          <cell r="E113">
            <v>0</v>
          </cell>
        </row>
        <row r="114">
          <cell r="A114">
            <v>1170001</v>
          </cell>
          <cell r="B114" t="str">
            <v>Gastos a Devengar</v>
          </cell>
          <cell r="C114">
            <v>3296504.82</v>
          </cell>
          <cell r="D114">
            <v>2884854.17</v>
          </cell>
          <cell r="E114">
            <v>-411650.64999999991</v>
          </cell>
        </row>
        <row r="115">
          <cell r="A115">
            <v>1180103</v>
          </cell>
          <cell r="B115" t="str">
            <v>Soc. Afiliadas FMGU</v>
          </cell>
          <cell r="C115">
            <v>2104530.9700000002</v>
          </cell>
          <cell r="D115">
            <v>-756460.49</v>
          </cell>
          <cell r="E115">
            <v>-2860991.46</v>
          </cell>
        </row>
        <row r="116">
          <cell r="A116">
            <v>1180104</v>
          </cell>
          <cell r="B116" t="str">
            <v>Soc. Afiliadas RALPH</v>
          </cell>
          <cell r="C116">
            <v>142683.25</v>
          </cell>
          <cell r="D116">
            <v>142683.25</v>
          </cell>
          <cell r="E116">
            <v>0</v>
          </cell>
        </row>
        <row r="117">
          <cell r="A117">
            <v>1310101</v>
          </cell>
          <cell r="B117" t="str">
            <v>Inversiones</v>
          </cell>
          <cell r="C117">
            <v>14732.25</v>
          </cell>
          <cell r="D117">
            <v>14732.25</v>
          </cell>
          <cell r="E117">
            <v>0</v>
          </cell>
        </row>
        <row r="118">
          <cell r="A118">
            <v>1321101</v>
          </cell>
          <cell r="B118" t="str">
            <v>Inv.Edif.Inst.Conc.</v>
          </cell>
          <cell r="C118">
            <v>16957199.239999998</v>
          </cell>
          <cell r="D118">
            <v>16957199.239999998</v>
          </cell>
          <cell r="E118">
            <v>0</v>
          </cell>
        </row>
        <row r="119">
          <cell r="A119">
            <v>1321102</v>
          </cell>
          <cell r="B119" t="str">
            <v>Obras de Arte</v>
          </cell>
          <cell r="C119">
            <v>478153</v>
          </cell>
          <cell r="D119">
            <v>478153</v>
          </cell>
          <cell r="E119">
            <v>0</v>
          </cell>
        </row>
        <row r="120">
          <cell r="A120">
            <v>1321201</v>
          </cell>
          <cell r="B120" t="str">
            <v>Hardware</v>
          </cell>
          <cell r="C120">
            <v>1148164.77</v>
          </cell>
          <cell r="D120">
            <v>1148164.77</v>
          </cell>
          <cell r="E120">
            <v>0</v>
          </cell>
        </row>
        <row r="121">
          <cell r="A121">
            <v>1321202</v>
          </cell>
          <cell r="B121" t="str">
            <v>Software de Base</v>
          </cell>
          <cell r="C121">
            <v>1195356.46</v>
          </cell>
          <cell r="D121">
            <v>1195356.46</v>
          </cell>
          <cell r="E121">
            <v>0</v>
          </cell>
        </row>
        <row r="122">
          <cell r="A122">
            <v>1321203</v>
          </cell>
          <cell r="B122" t="str">
            <v>Bienes Arrendados</v>
          </cell>
          <cell r="C122">
            <v>98864</v>
          </cell>
          <cell r="D122">
            <v>98864</v>
          </cell>
          <cell r="E122">
            <v>0</v>
          </cell>
        </row>
        <row r="123">
          <cell r="A123">
            <v>1321301</v>
          </cell>
          <cell r="B123" t="str">
            <v>Señales y Cambios</v>
          </cell>
          <cell r="C123">
            <v>367255</v>
          </cell>
          <cell r="D123">
            <v>367255</v>
          </cell>
          <cell r="E123">
            <v>0</v>
          </cell>
        </row>
        <row r="124">
          <cell r="A124">
            <v>1321302</v>
          </cell>
          <cell r="B124" t="str">
            <v>Barreras Automaticas</v>
          </cell>
          <cell r="C124">
            <v>1971284.71</v>
          </cell>
          <cell r="D124">
            <v>1971284.71</v>
          </cell>
          <cell r="E124">
            <v>0</v>
          </cell>
        </row>
        <row r="125">
          <cell r="A125">
            <v>1321303</v>
          </cell>
          <cell r="B125" t="str">
            <v>Telemedidores</v>
          </cell>
          <cell r="C125">
            <v>857442.06</v>
          </cell>
          <cell r="D125">
            <v>857442.06</v>
          </cell>
          <cell r="E125">
            <v>0</v>
          </cell>
        </row>
        <row r="126">
          <cell r="A126">
            <v>1321304</v>
          </cell>
          <cell r="B126" t="str">
            <v>Inst.p/Comunicacion</v>
          </cell>
          <cell r="C126">
            <v>814853.95</v>
          </cell>
          <cell r="D126">
            <v>814853.95</v>
          </cell>
          <cell r="E126">
            <v>0</v>
          </cell>
        </row>
        <row r="127">
          <cell r="A127">
            <v>1321305</v>
          </cell>
          <cell r="B127" t="str">
            <v>Eq.p/Com.Moviles</v>
          </cell>
          <cell r="C127">
            <v>628827.38</v>
          </cell>
          <cell r="D127">
            <v>628827.38</v>
          </cell>
          <cell r="E127">
            <v>0</v>
          </cell>
        </row>
        <row r="128">
          <cell r="A128">
            <v>1321306</v>
          </cell>
          <cell r="B128" t="str">
            <v>Eq.p/Comunicaciones</v>
          </cell>
          <cell r="C128">
            <v>19051.86</v>
          </cell>
          <cell r="D128">
            <v>19051.86</v>
          </cell>
          <cell r="E128">
            <v>0</v>
          </cell>
        </row>
        <row r="129">
          <cell r="A129">
            <v>1321401</v>
          </cell>
          <cell r="B129" t="str">
            <v>Rodados</v>
          </cell>
          <cell r="C129">
            <v>923411.72</v>
          </cell>
          <cell r="D129">
            <v>923411.72</v>
          </cell>
          <cell r="E129">
            <v>0</v>
          </cell>
        </row>
        <row r="130">
          <cell r="A130">
            <v>1321402</v>
          </cell>
          <cell r="B130" t="str">
            <v>Equip.Biviales</v>
          </cell>
          <cell r="C130">
            <v>143394.81</v>
          </cell>
          <cell r="D130">
            <v>143394.81</v>
          </cell>
          <cell r="E130">
            <v>0</v>
          </cell>
        </row>
        <row r="131">
          <cell r="A131">
            <v>1321501</v>
          </cell>
          <cell r="B131" t="str">
            <v>Muebles y Utiles</v>
          </cell>
          <cell r="C131">
            <v>280464.09999999998</v>
          </cell>
          <cell r="D131">
            <v>280464.09999999998</v>
          </cell>
          <cell r="E131">
            <v>0</v>
          </cell>
        </row>
        <row r="132">
          <cell r="A132">
            <v>1321502</v>
          </cell>
          <cell r="B132" t="str">
            <v>Maq.y Eq.de Oficina</v>
          </cell>
          <cell r="C132">
            <v>474290.13</v>
          </cell>
          <cell r="D132">
            <v>474290.13</v>
          </cell>
          <cell r="E132">
            <v>0</v>
          </cell>
        </row>
        <row r="133">
          <cell r="A133">
            <v>1321601</v>
          </cell>
          <cell r="B133" t="str">
            <v>Maq.y Eq.de Taller</v>
          </cell>
          <cell r="C133">
            <v>637047.94999999995</v>
          </cell>
          <cell r="D133">
            <v>637047.94999999995</v>
          </cell>
          <cell r="E133">
            <v>0</v>
          </cell>
        </row>
        <row r="134">
          <cell r="A134">
            <v>1321602</v>
          </cell>
          <cell r="B134" t="str">
            <v>Repar.Maq.Concesion</v>
          </cell>
          <cell r="C134">
            <v>196091.61</v>
          </cell>
          <cell r="D134">
            <v>196091.61</v>
          </cell>
          <cell r="E134">
            <v>0</v>
          </cell>
        </row>
        <row r="135">
          <cell r="A135">
            <v>1321701</v>
          </cell>
          <cell r="B135" t="str">
            <v>Maq.p/Repar.de Vias</v>
          </cell>
          <cell r="C135">
            <v>383651.85</v>
          </cell>
          <cell r="D135">
            <v>757815.33</v>
          </cell>
          <cell r="E135">
            <v>374163.48</v>
          </cell>
        </row>
        <row r="136">
          <cell r="A136">
            <v>1321801</v>
          </cell>
          <cell r="B136" t="str">
            <v>Material de Traccion</v>
          </cell>
          <cell r="C136">
            <v>8586897.0800000001</v>
          </cell>
          <cell r="D136">
            <v>8586897.0800000001</v>
          </cell>
          <cell r="E136">
            <v>0</v>
          </cell>
        </row>
        <row r="137">
          <cell r="A137">
            <v>1321901</v>
          </cell>
          <cell r="B137" t="str">
            <v>Rep.Esp.Locomotoras</v>
          </cell>
          <cell r="C137">
            <v>16711098.539999999</v>
          </cell>
          <cell r="D137">
            <v>16849684.539999999</v>
          </cell>
          <cell r="E137">
            <v>138586</v>
          </cell>
        </row>
        <row r="138">
          <cell r="A138">
            <v>1322101</v>
          </cell>
          <cell r="B138" t="str">
            <v>Rep.Esp.Vagones</v>
          </cell>
          <cell r="C138">
            <v>8447901.6899999995</v>
          </cell>
          <cell r="D138">
            <v>8497663.1500000004</v>
          </cell>
          <cell r="E138">
            <v>49761.460000000894</v>
          </cell>
        </row>
        <row r="139">
          <cell r="A139">
            <v>1322102</v>
          </cell>
          <cell r="B139" t="str">
            <v>Modif.de Vagones</v>
          </cell>
          <cell r="C139">
            <v>4548356.41</v>
          </cell>
          <cell r="D139">
            <v>4548356.41</v>
          </cell>
          <cell r="E139">
            <v>0</v>
          </cell>
        </row>
        <row r="140">
          <cell r="A140">
            <v>1322103</v>
          </cell>
          <cell r="B140" t="str">
            <v>Material Remolcado</v>
          </cell>
          <cell r="C140">
            <v>140684</v>
          </cell>
          <cell r="D140">
            <v>140684</v>
          </cell>
          <cell r="E140">
            <v>0</v>
          </cell>
        </row>
        <row r="141">
          <cell r="A141">
            <v>1322104</v>
          </cell>
          <cell r="B141" t="str">
            <v>Reconst.Cuerpo Vag.</v>
          </cell>
          <cell r="C141">
            <v>3008750.68</v>
          </cell>
          <cell r="D141">
            <v>3008750.68</v>
          </cell>
          <cell r="E141">
            <v>0</v>
          </cell>
        </row>
        <row r="142">
          <cell r="A142">
            <v>1322401</v>
          </cell>
          <cell r="B142" t="str">
            <v>Bienes Importados</v>
          </cell>
          <cell r="C142">
            <v>84032.24</v>
          </cell>
          <cell r="D142">
            <v>84032.24</v>
          </cell>
          <cell r="E142">
            <v>0</v>
          </cell>
        </row>
        <row r="143">
          <cell r="A143">
            <v>1322501</v>
          </cell>
          <cell r="B143" t="str">
            <v>Mejoramientos Vias</v>
          </cell>
          <cell r="C143">
            <v>2431166.19</v>
          </cell>
          <cell r="D143">
            <v>2672319.2200000002</v>
          </cell>
          <cell r="E143">
            <v>241153.03000000026</v>
          </cell>
        </row>
        <row r="144">
          <cell r="A144">
            <v>1322601</v>
          </cell>
          <cell r="B144" t="str">
            <v>Obras en Curso</v>
          </cell>
          <cell r="C144">
            <v>11355279.279999999</v>
          </cell>
          <cell r="D144">
            <v>11355279.279999999</v>
          </cell>
          <cell r="E144">
            <v>0</v>
          </cell>
        </row>
        <row r="145">
          <cell r="A145">
            <v>1322602</v>
          </cell>
          <cell r="B145" t="str">
            <v>Obras en Curso I.E.</v>
          </cell>
          <cell r="C145">
            <v>4512874.33</v>
          </cell>
          <cell r="D145">
            <v>4181175.24</v>
          </cell>
          <cell r="E145">
            <v>-331699.08999999985</v>
          </cell>
        </row>
        <row r="146">
          <cell r="A146">
            <v>1322703</v>
          </cell>
          <cell r="B146" t="str">
            <v>Material Vias</v>
          </cell>
          <cell r="C146">
            <v>202931.82</v>
          </cell>
          <cell r="D146">
            <v>179157.52</v>
          </cell>
          <cell r="E146">
            <v>-23774.300000000017</v>
          </cell>
        </row>
        <row r="147">
          <cell r="A147">
            <v>1326101</v>
          </cell>
          <cell r="B147" t="str">
            <v>Am.Inv.Ed.Inst.Conc.</v>
          </cell>
          <cell r="C147">
            <v>-1530394.1</v>
          </cell>
          <cell r="D147">
            <v>-1530394.1</v>
          </cell>
          <cell r="E147">
            <v>0</v>
          </cell>
        </row>
        <row r="148">
          <cell r="A148">
            <v>1326102</v>
          </cell>
          <cell r="B148" t="str">
            <v>Am.Obras de Arte</v>
          </cell>
          <cell r="C148">
            <v>-89605.15</v>
          </cell>
          <cell r="D148">
            <v>-89605.15</v>
          </cell>
          <cell r="E148">
            <v>0</v>
          </cell>
        </row>
        <row r="149">
          <cell r="A149">
            <v>1326201</v>
          </cell>
          <cell r="B149" t="str">
            <v>Amort.Hardware</v>
          </cell>
          <cell r="C149">
            <v>-917352.91</v>
          </cell>
          <cell r="D149">
            <v>-917352.91</v>
          </cell>
          <cell r="E149">
            <v>0</v>
          </cell>
        </row>
        <row r="150">
          <cell r="A150">
            <v>1326202</v>
          </cell>
          <cell r="B150" t="str">
            <v>Amort.Software</v>
          </cell>
          <cell r="C150">
            <v>-1161723.72</v>
          </cell>
          <cell r="D150">
            <v>-1161723.72</v>
          </cell>
          <cell r="E150">
            <v>0</v>
          </cell>
        </row>
        <row r="151">
          <cell r="A151">
            <v>1326203</v>
          </cell>
          <cell r="B151" t="str">
            <v>Amort.Bs.Arrendados</v>
          </cell>
          <cell r="C151">
            <v>-98864</v>
          </cell>
          <cell r="D151">
            <v>-98864</v>
          </cell>
          <cell r="E151">
            <v>0</v>
          </cell>
        </row>
        <row r="152">
          <cell r="A152">
            <v>1326301</v>
          </cell>
          <cell r="B152" t="str">
            <v>Amort.Señales Cambio</v>
          </cell>
          <cell r="C152">
            <v>-213161.06</v>
          </cell>
          <cell r="D152">
            <v>-213161.06</v>
          </cell>
          <cell r="E152">
            <v>0</v>
          </cell>
        </row>
        <row r="153">
          <cell r="A153">
            <v>1326302</v>
          </cell>
          <cell r="B153" t="str">
            <v>Amort.Barreras Autom</v>
          </cell>
          <cell r="C153">
            <v>-1087868.6499999999</v>
          </cell>
          <cell r="D153">
            <v>-1087868.6499999999</v>
          </cell>
          <cell r="E153">
            <v>0</v>
          </cell>
        </row>
        <row r="154">
          <cell r="A154">
            <v>1326303</v>
          </cell>
          <cell r="B154" t="str">
            <v>Amort.Telemed.Cola</v>
          </cell>
          <cell r="C154">
            <v>-474289.75</v>
          </cell>
          <cell r="D154">
            <v>-474289.75</v>
          </cell>
          <cell r="E154">
            <v>0</v>
          </cell>
        </row>
        <row r="155">
          <cell r="A155">
            <v>1326304</v>
          </cell>
          <cell r="B155" t="str">
            <v>Amort.Instal.p/Comun</v>
          </cell>
          <cell r="C155">
            <v>-462194.32</v>
          </cell>
          <cell r="D155">
            <v>-462194.32</v>
          </cell>
          <cell r="E155">
            <v>0</v>
          </cell>
        </row>
        <row r="156">
          <cell r="A156">
            <v>1326305</v>
          </cell>
          <cell r="B156" t="str">
            <v>Amort.Eq.p/Com.Mov.</v>
          </cell>
          <cell r="C156">
            <v>-257340.75</v>
          </cell>
          <cell r="D156">
            <v>-257340.75</v>
          </cell>
          <cell r="E156">
            <v>0</v>
          </cell>
        </row>
        <row r="157">
          <cell r="A157">
            <v>1326401</v>
          </cell>
          <cell r="B157" t="str">
            <v>Amort.Rodados</v>
          </cell>
          <cell r="C157">
            <v>-923411.72</v>
          </cell>
          <cell r="D157">
            <v>-923411.72</v>
          </cell>
          <cell r="E157">
            <v>0</v>
          </cell>
        </row>
        <row r="158">
          <cell r="A158">
            <v>1326402</v>
          </cell>
          <cell r="B158" t="str">
            <v>Amort.Equip.Biviales</v>
          </cell>
          <cell r="C158">
            <v>-149377.23000000001</v>
          </cell>
          <cell r="D158">
            <v>-149377.23000000001</v>
          </cell>
          <cell r="E158">
            <v>0</v>
          </cell>
        </row>
        <row r="159">
          <cell r="A159">
            <v>1326501</v>
          </cell>
          <cell r="B159" t="str">
            <v>Amort.Muebles Utiles</v>
          </cell>
          <cell r="C159">
            <v>-138296.29</v>
          </cell>
          <cell r="D159">
            <v>-138296.29</v>
          </cell>
          <cell r="E159">
            <v>0</v>
          </cell>
        </row>
        <row r="160">
          <cell r="A160">
            <v>1326502</v>
          </cell>
          <cell r="B160" t="str">
            <v>Amort.Maq.Eq.Oficina</v>
          </cell>
          <cell r="C160">
            <v>-340220.08</v>
          </cell>
          <cell r="D160">
            <v>-340220.08</v>
          </cell>
          <cell r="E160">
            <v>0</v>
          </cell>
        </row>
        <row r="161">
          <cell r="A161">
            <v>1326601</v>
          </cell>
          <cell r="B161" t="str">
            <v>Amort.Maq.Eq.Taller</v>
          </cell>
          <cell r="C161">
            <v>-287509.64</v>
          </cell>
          <cell r="D161">
            <v>-287509.64</v>
          </cell>
          <cell r="E161">
            <v>0</v>
          </cell>
        </row>
        <row r="162">
          <cell r="A162">
            <v>1326602</v>
          </cell>
          <cell r="B162" t="str">
            <v>Amort.Rep.Maq.Eq.Con</v>
          </cell>
          <cell r="C162">
            <v>-174151.03</v>
          </cell>
          <cell r="D162">
            <v>-174151.03</v>
          </cell>
          <cell r="E162">
            <v>0</v>
          </cell>
        </row>
        <row r="163">
          <cell r="A163">
            <v>1326701</v>
          </cell>
          <cell r="B163" t="str">
            <v>Amort.Maq.Repar.Vias</v>
          </cell>
          <cell r="C163">
            <v>-109966.44</v>
          </cell>
          <cell r="D163">
            <v>-109966.44</v>
          </cell>
          <cell r="E163">
            <v>0</v>
          </cell>
        </row>
        <row r="164">
          <cell r="A164">
            <v>1326801</v>
          </cell>
          <cell r="B164" t="str">
            <v>Amort.Mat.Traccion</v>
          </cell>
          <cell r="C164">
            <v>-1978261.39</v>
          </cell>
          <cell r="D164">
            <v>-1978261.39</v>
          </cell>
          <cell r="E164">
            <v>0</v>
          </cell>
        </row>
        <row r="165">
          <cell r="A165">
            <v>1326901</v>
          </cell>
          <cell r="B165" t="str">
            <v>Amort.Rep.Esp.Loco.</v>
          </cell>
          <cell r="C165">
            <v>-12976590.960000001</v>
          </cell>
          <cell r="D165">
            <v>-12976590.960000001</v>
          </cell>
          <cell r="E165">
            <v>0</v>
          </cell>
        </row>
        <row r="166">
          <cell r="A166">
            <v>1327101</v>
          </cell>
          <cell r="B166" t="str">
            <v>Amort.Rep.Esp.Vagone</v>
          </cell>
          <cell r="C166">
            <v>-7503281.79</v>
          </cell>
          <cell r="D166">
            <v>-7503281.79</v>
          </cell>
          <cell r="E166">
            <v>0</v>
          </cell>
        </row>
        <row r="167">
          <cell r="A167">
            <v>1327102</v>
          </cell>
          <cell r="B167" t="str">
            <v>Amort.Modif.Vagones</v>
          </cell>
          <cell r="C167">
            <v>-2200993.2400000002</v>
          </cell>
          <cell r="D167">
            <v>-2200993.2400000002</v>
          </cell>
          <cell r="E167">
            <v>0</v>
          </cell>
        </row>
        <row r="168">
          <cell r="A168">
            <v>1327103</v>
          </cell>
          <cell r="B168" t="str">
            <v>Amort.Mat.Remolcado</v>
          </cell>
          <cell r="C168">
            <v>-51658.53</v>
          </cell>
          <cell r="D168">
            <v>-51658.53</v>
          </cell>
          <cell r="E168">
            <v>0</v>
          </cell>
        </row>
        <row r="169">
          <cell r="A169">
            <v>1327104</v>
          </cell>
          <cell r="B169" t="str">
            <v>Amort.Rec.Cuerpo Vag</v>
          </cell>
          <cell r="C169">
            <v>-812794.3</v>
          </cell>
          <cell r="D169">
            <v>-812794.3</v>
          </cell>
          <cell r="E169">
            <v>0</v>
          </cell>
        </row>
        <row r="170">
          <cell r="A170">
            <v>1327501</v>
          </cell>
          <cell r="B170" t="str">
            <v>Amort.Mej.Liv.Vias</v>
          </cell>
          <cell r="C170">
            <v>-1516931.52</v>
          </cell>
          <cell r="D170">
            <v>-1516931.52</v>
          </cell>
          <cell r="E170">
            <v>0</v>
          </cell>
        </row>
        <row r="171">
          <cell r="A171">
            <v>1331201</v>
          </cell>
          <cell r="B171" t="str">
            <v>Invest. y desarrollo</v>
          </cell>
          <cell r="C171">
            <v>9180</v>
          </cell>
          <cell r="D171">
            <v>0</v>
          </cell>
          <cell r="E171">
            <v>-9180</v>
          </cell>
        </row>
        <row r="172">
          <cell r="A172">
            <v>1331301</v>
          </cell>
          <cell r="B172" t="str">
            <v>Gtos de Organizacion</v>
          </cell>
          <cell r="C172">
            <v>12798183.470000001</v>
          </cell>
          <cell r="D172">
            <v>12807363.470000001</v>
          </cell>
          <cell r="E172">
            <v>9180</v>
          </cell>
        </row>
        <row r="173">
          <cell r="A173">
            <v>1331401</v>
          </cell>
          <cell r="B173" t="str">
            <v>Gtos de Reorganiz.</v>
          </cell>
          <cell r="C173">
            <v>4205526.05</v>
          </cell>
          <cell r="D173">
            <v>4205526.05</v>
          </cell>
          <cell r="E173">
            <v>0</v>
          </cell>
        </row>
        <row r="174">
          <cell r="A174">
            <v>1336301</v>
          </cell>
          <cell r="B174" t="str">
            <v>Am Acum Gtos Organiz</v>
          </cell>
          <cell r="C174">
            <v>-3196413.35</v>
          </cell>
          <cell r="D174">
            <v>-3196413.35</v>
          </cell>
          <cell r="E174">
            <v>0</v>
          </cell>
        </row>
        <row r="175">
          <cell r="A175">
            <v>1336401</v>
          </cell>
          <cell r="B175" t="str">
            <v>Am Acum Gtos Reorg</v>
          </cell>
          <cell r="C175">
            <v>-4205526.45</v>
          </cell>
          <cell r="D175">
            <v>-4205526.45</v>
          </cell>
          <cell r="E175">
            <v>0</v>
          </cell>
        </row>
        <row r="176">
          <cell r="A176">
            <v>2110101</v>
          </cell>
          <cell r="B176" t="str">
            <v>Proveed Comb/Lub</v>
          </cell>
          <cell r="C176">
            <v>-59520.82</v>
          </cell>
          <cell r="D176">
            <v>-47314.65</v>
          </cell>
          <cell r="E176">
            <v>12206.169999999998</v>
          </cell>
        </row>
        <row r="177">
          <cell r="A177">
            <v>2110102</v>
          </cell>
          <cell r="B177" t="str">
            <v>Proveed Logistica</v>
          </cell>
          <cell r="C177">
            <v>-529712.66</v>
          </cell>
          <cell r="D177">
            <v>-398245.24</v>
          </cell>
          <cell r="E177">
            <v>131467.42000000004</v>
          </cell>
        </row>
        <row r="178">
          <cell r="A178">
            <v>2110103</v>
          </cell>
          <cell r="B178" t="str">
            <v>Proveed Utilities</v>
          </cell>
          <cell r="C178">
            <v>-121255.85</v>
          </cell>
          <cell r="D178">
            <v>-106028.5</v>
          </cell>
          <cell r="E178">
            <v>15227.350000000006</v>
          </cell>
        </row>
        <row r="179">
          <cell r="A179">
            <v>2110104</v>
          </cell>
          <cell r="B179" t="str">
            <v>Proveed Empleados</v>
          </cell>
          <cell r="C179">
            <v>-107140.58</v>
          </cell>
          <cell r="D179">
            <v>-83159.22</v>
          </cell>
          <cell r="E179">
            <v>23981.360000000001</v>
          </cell>
        </row>
        <row r="180">
          <cell r="A180">
            <v>2110106</v>
          </cell>
          <cell r="B180" t="str">
            <v>Proveed Exterior</v>
          </cell>
          <cell r="C180">
            <v>-231725.68</v>
          </cell>
          <cell r="D180">
            <v>-232272.23</v>
          </cell>
          <cell r="E180">
            <v>-546.55000000001746</v>
          </cell>
        </row>
        <row r="181">
          <cell r="A181">
            <v>2110107</v>
          </cell>
          <cell r="B181" t="str">
            <v>Valores Dif. a pagar</v>
          </cell>
          <cell r="C181">
            <v>-163960.74</v>
          </cell>
          <cell r="D181">
            <v>-334485.95</v>
          </cell>
          <cell r="E181">
            <v>-170525.21000000002</v>
          </cell>
        </row>
        <row r="182">
          <cell r="A182">
            <v>2110108</v>
          </cell>
          <cell r="B182" t="str">
            <v>Proveedores</v>
          </cell>
          <cell r="C182">
            <v>-2889836.95</v>
          </cell>
          <cell r="D182">
            <v>-2488622.44</v>
          </cell>
          <cell r="E182">
            <v>401214.51000000024</v>
          </cell>
        </row>
        <row r="183">
          <cell r="A183">
            <v>2110109</v>
          </cell>
          <cell r="B183" t="str">
            <v>Proveed Bancarios</v>
          </cell>
          <cell r="C183">
            <v>0</v>
          </cell>
          <cell r="D183">
            <v>400</v>
          </cell>
          <cell r="E183">
            <v>400</v>
          </cell>
        </row>
        <row r="184">
          <cell r="A184">
            <v>2110122</v>
          </cell>
          <cell r="B184" t="str">
            <v>Dep en garantia</v>
          </cell>
          <cell r="C184">
            <v>-6677.34</v>
          </cell>
          <cell r="D184">
            <v>-6677.34</v>
          </cell>
          <cell r="E184">
            <v>0</v>
          </cell>
        </row>
        <row r="185">
          <cell r="A185">
            <v>2110123</v>
          </cell>
          <cell r="B185" t="str">
            <v>Prov de Aguas</v>
          </cell>
          <cell r="C185">
            <v>-52205.09</v>
          </cell>
          <cell r="D185">
            <v>-74616.63</v>
          </cell>
          <cell r="E185">
            <v>-22411.540000000008</v>
          </cell>
        </row>
        <row r="186">
          <cell r="A186">
            <v>2110124</v>
          </cell>
          <cell r="B186" t="str">
            <v>Prov Comunicaciones</v>
          </cell>
          <cell r="C186">
            <v>-159047.78</v>
          </cell>
          <cell r="D186">
            <v>-118780.78</v>
          </cell>
          <cell r="E186">
            <v>40267</v>
          </cell>
        </row>
        <row r="187">
          <cell r="A187">
            <v>2110125</v>
          </cell>
          <cell r="B187" t="str">
            <v>Prov Peajes</v>
          </cell>
          <cell r="C187">
            <v>-127613.32</v>
          </cell>
          <cell r="D187">
            <v>-93304.47</v>
          </cell>
          <cell r="E187">
            <v>34308.850000000006</v>
          </cell>
        </row>
        <row r="188">
          <cell r="A188">
            <v>2110127</v>
          </cell>
          <cell r="B188" t="str">
            <v>Prov Combustibles</v>
          </cell>
          <cell r="C188">
            <v>-252799.65</v>
          </cell>
          <cell r="D188">
            <v>-262799.65000000002</v>
          </cell>
          <cell r="E188">
            <v>-10000.000000000029</v>
          </cell>
        </row>
        <row r="189">
          <cell r="A189">
            <v>2110129</v>
          </cell>
          <cell r="B189" t="str">
            <v>Prov Telefonos</v>
          </cell>
          <cell r="C189">
            <v>-99193.63</v>
          </cell>
          <cell r="D189">
            <v>-48804.39</v>
          </cell>
          <cell r="E189">
            <v>50389.240000000005</v>
          </cell>
        </row>
        <row r="190">
          <cell r="A190">
            <v>2110131</v>
          </cell>
          <cell r="B190" t="str">
            <v>Prov Multimodal</v>
          </cell>
          <cell r="C190">
            <v>-295589.67</v>
          </cell>
          <cell r="D190">
            <v>-232641.01</v>
          </cell>
          <cell r="E190">
            <v>62948.659999999974</v>
          </cell>
        </row>
        <row r="191">
          <cell r="A191">
            <v>2110132</v>
          </cell>
          <cell r="B191" t="str">
            <v>Prov Seg y vigilanc</v>
          </cell>
          <cell r="C191">
            <v>-102600</v>
          </cell>
          <cell r="D191">
            <v>-94626.83</v>
          </cell>
          <cell r="E191">
            <v>7973.1699999999983</v>
          </cell>
        </row>
        <row r="192">
          <cell r="A192">
            <v>2110133</v>
          </cell>
          <cell r="B192" t="str">
            <v>Prov Energia Elect</v>
          </cell>
          <cell r="C192">
            <v>-52128.98</v>
          </cell>
          <cell r="D192">
            <v>-44210.48</v>
          </cell>
          <cell r="E192">
            <v>7918.5</v>
          </cell>
        </row>
        <row r="193">
          <cell r="A193">
            <v>2110137</v>
          </cell>
          <cell r="B193" t="str">
            <v>Prov Movim Carga</v>
          </cell>
          <cell r="C193">
            <v>-52238.6</v>
          </cell>
          <cell r="D193">
            <v>-52238.6</v>
          </cell>
          <cell r="E193">
            <v>0</v>
          </cell>
        </row>
        <row r="194">
          <cell r="A194">
            <v>2110138</v>
          </cell>
          <cell r="B194" t="str">
            <v>Prov Serv Aduaneros</v>
          </cell>
          <cell r="C194">
            <v>-11001.37</v>
          </cell>
          <cell r="D194">
            <v>-11001.37</v>
          </cell>
          <cell r="E194">
            <v>0</v>
          </cell>
        </row>
        <row r="195">
          <cell r="A195">
            <v>2110139</v>
          </cell>
          <cell r="B195" t="str">
            <v>Prov Servicios 3º</v>
          </cell>
          <cell r="C195">
            <v>-82582.37</v>
          </cell>
          <cell r="D195">
            <v>-64368.13</v>
          </cell>
          <cell r="E195">
            <v>18214.239999999998</v>
          </cell>
        </row>
        <row r="196">
          <cell r="A196">
            <v>2110141</v>
          </cell>
          <cell r="B196" t="str">
            <v>Prov Indem clientes</v>
          </cell>
          <cell r="C196">
            <v>-1400000</v>
          </cell>
          <cell r="D196">
            <v>-1400000</v>
          </cell>
          <cell r="E196">
            <v>0</v>
          </cell>
        </row>
        <row r="197">
          <cell r="A197">
            <v>2110142</v>
          </cell>
          <cell r="B197" t="str">
            <v>Prov Proveed vs</v>
          </cell>
          <cell r="C197">
            <v>-7317298.9000000004</v>
          </cell>
          <cell r="D197">
            <v>-7345184.9000000004</v>
          </cell>
          <cell r="E197">
            <v>-27886</v>
          </cell>
        </row>
        <row r="198">
          <cell r="A198">
            <v>2110143</v>
          </cell>
          <cell r="B198" t="str">
            <v>Prov Movil y Estad</v>
          </cell>
          <cell r="C198">
            <v>-6703.71</v>
          </cell>
          <cell r="D198">
            <v>3343.29</v>
          </cell>
          <cell r="E198">
            <v>10047</v>
          </cell>
        </row>
        <row r="199">
          <cell r="A199">
            <v>2110144</v>
          </cell>
          <cell r="B199" t="str">
            <v>Prov Acuerdo YPF</v>
          </cell>
          <cell r="C199">
            <v>-49580.24</v>
          </cell>
          <cell r="D199">
            <v>-49580.24</v>
          </cell>
          <cell r="E199">
            <v>0</v>
          </cell>
        </row>
        <row r="200">
          <cell r="A200">
            <v>2110146</v>
          </cell>
          <cell r="B200" t="str">
            <v>Seguros Retenidos</v>
          </cell>
          <cell r="C200">
            <v>-454.48</v>
          </cell>
          <cell r="D200">
            <v>-454.48</v>
          </cell>
          <cell r="E200">
            <v>0</v>
          </cell>
        </row>
        <row r="201">
          <cell r="A201">
            <v>2110147</v>
          </cell>
          <cell r="B201" t="str">
            <v>Ingresos a devengar</v>
          </cell>
          <cell r="C201">
            <v>-106519.43</v>
          </cell>
          <cell r="D201">
            <v>-13215.83</v>
          </cell>
          <cell r="E201">
            <v>93303.599999999991</v>
          </cell>
        </row>
        <row r="202">
          <cell r="A202">
            <v>2110198</v>
          </cell>
          <cell r="B202" t="str">
            <v>EM / RF - Inversion</v>
          </cell>
          <cell r="C202">
            <v>-67106.710000000006</v>
          </cell>
          <cell r="D202">
            <v>-92727.07</v>
          </cell>
          <cell r="E202">
            <v>-25620.36</v>
          </cell>
        </row>
        <row r="203">
          <cell r="A203">
            <v>2110199</v>
          </cell>
          <cell r="B203" t="str">
            <v>EM / RF</v>
          </cell>
          <cell r="C203">
            <v>-347881.58</v>
          </cell>
          <cell r="D203">
            <v>-652812.65</v>
          </cell>
          <cell r="E203">
            <v>-304931.07</v>
          </cell>
        </row>
        <row r="204">
          <cell r="A204">
            <v>2110213</v>
          </cell>
          <cell r="B204" t="str">
            <v>Prov Int Doc Ext</v>
          </cell>
          <cell r="C204">
            <v>-3745.82</v>
          </cell>
          <cell r="D204">
            <v>-3745.82</v>
          </cell>
          <cell r="E204">
            <v>0</v>
          </cell>
        </row>
        <row r="205">
          <cell r="A205">
            <v>2110215</v>
          </cell>
          <cell r="B205" t="str">
            <v>Prov Imp Int Doc Ext</v>
          </cell>
          <cell r="C205">
            <v>-4946.55</v>
          </cell>
          <cell r="D205">
            <v>-4946.55</v>
          </cell>
          <cell r="E205">
            <v>0</v>
          </cell>
        </row>
        <row r="206">
          <cell r="A206">
            <v>2120101</v>
          </cell>
          <cell r="B206" t="str">
            <v>Prest Citibank</v>
          </cell>
          <cell r="C206">
            <v>-7000000</v>
          </cell>
          <cell r="D206">
            <v>-7000000</v>
          </cell>
          <cell r="E206">
            <v>0</v>
          </cell>
        </row>
        <row r="207">
          <cell r="A207">
            <v>2120102</v>
          </cell>
          <cell r="B207" t="str">
            <v>Prest GEF</v>
          </cell>
          <cell r="C207">
            <v>-10000000</v>
          </cell>
          <cell r="D207">
            <v>-10000000</v>
          </cell>
          <cell r="E207">
            <v>0</v>
          </cell>
        </row>
        <row r="208">
          <cell r="A208">
            <v>2120103</v>
          </cell>
          <cell r="B208" t="str">
            <v>Prest Sudameris</v>
          </cell>
          <cell r="C208">
            <v>-330969.82</v>
          </cell>
          <cell r="D208">
            <v>-476538</v>
          </cell>
          <cell r="E208">
            <v>-145568.18</v>
          </cell>
        </row>
        <row r="209">
          <cell r="A209">
            <v>2120104</v>
          </cell>
          <cell r="B209" t="str">
            <v>Prest BBA</v>
          </cell>
          <cell r="C209">
            <v>-11172063.289999999</v>
          </cell>
          <cell r="D209">
            <v>-10538241.34</v>
          </cell>
          <cell r="E209">
            <v>633821.94999999925</v>
          </cell>
        </row>
        <row r="210">
          <cell r="A210">
            <v>2120105</v>
          </cell>
          <cell r="B210" t="str">
            <v>Prest Bco RIO</v>
          </cell>
          <cell r="C210">
            <v>-0.33</v>
          </cell>
          <cell r="D210">
            <v>0</v>
          </cell>
          <cell r="E210">
            <v>0.33</v>
          </cell>
        </row>
        <row r="211">
          <cell r="A211">
            <v>2120107</v>
          </cell>
          <cell r="B211" t="str">
            <v>Prest ABC Brasil</v>
          </cell>
          <cell r="C211">
            <v>-10411139.01</v>
          </cell>
          <cell r="D211">
            <v>-9648762.2599999998</v>
          </cell>
          <cell r="E211">
            <v>762376.75</v>
          </cell>
        </row>
        <row r="212">
          <cell r="A212">
            <v>2120108</v>
          </cell>
          <cell r="B212" t="str">
            <v>Prest The Capita</v>
          </cell>
          <cell r="C212">
            <v>-74267.27</v>
          </cell>
          <cell r="D212">
            <v>-74267.27</v>
          </cell>
          <cell r="E212">
            <v>0</v>
          </cell>
        </row>
        <row r="213">
          <cell r="A213">
            <v>2120109</v>
          </cell>
          <cell r="B213" t="str">
            <v>Prest IBM</v>
          </cell>
          <cell r="C213">
            <v>-155795.92000000001</v>
          </cell>
          <cell r="D213">
            <v>-228395.92</v>
          </cell>
          <cell r="E213">
            <v>-72600</v>
          </cell>
        </row>
        <row r="214">
          <cell r="A214">
            <v>2120110</v>
          </cell>
          <cell r="B214" t="str">
            <v>Prest Fibra</v>
          </cell>
          <cell r="C214">
            <v>-617354.29</v>
          </cell>
          <cell r="D214">
            <v>-489207.29</v>
          </cell>
          <cell r="E214">
            <v>128147.00000000006</v>
          </cell>
        </row>
        <row r="215">
          <cell r="A215">
            <v>2120111</v>
          </cell>
          <cell r="B215" t="str">
            <v>Regularizadora  ABC BRASIL</v>
          </cell>
          <cell r="C215">
            <v>65765.490000000005</v>
          </cell>
          <cell r="D215">
            <v>65670.89</v>
          </cell>
          <cell r="E215">
            <v>-94.600000000005821</v>
          </cell>
        </row>
        <row r="216">
          <cell r="A216">
            <v>2120112</v>
          </cell>
          <cell r="B216" t="str">
            <v>Prestamos HSBC</v>
          </cell>
          <cell r="C216">
            <v>-80430</v>
          </cell>
          <cell r="D216">
            <v>-80430</v>
          </cell>
          <cell r="E216">
            <v>0</v>
          </cell>
        </row>
        <row r="217">
          <cell r="A217">
            <v>2120201</v>
          </cell>
          <cell r="B217" t="str">
            <v>Prov Int Citibank</v>
          </cell>
          <cell r="C217">
            <v>-203911.44</v>
          </cell>
          <cell r="D217">
            <v>-311385.40999999997</v>
          </cell>
          <cell r="E217">
            <v>-107473.96999999997</v>
          </cell>
        </row>
        <row r="218">
          <cell r="A218">
            <v>2120202</v>
          </cell>
          <cell r="B218" t="str">
            <v>Prov Int GEF</v>
          </cell>
          <cell r="C218">
            <v>-209722.23</v>
          </cell>
          <cell r="D218">
            <v>-250000.01</v>
          </cell>
          <cell r="E218">
            <v>-40277.78</v>
          </cell>
        </row>
        <row r="219">
          <cell r="A219">
            <v>2120203</v>
          </cell>
          <cell r="B219" t="str">
            <v>Prov Int Sudameris</v>
          </cell>
          <cell r="C219">
            <v>-74181.19</v>
          </cell>
          <cell r="D219">
            <v>-100115.4</v>
          </cell>
          <cell r="E219">
            <v>-25934.209999999992</v>
          </cell>
        </row>
        <row r="220">
          <cell r="A220">
            <v>2120204</v>
          </cell>
          <cell r="B220" t="str">
            <v>Prov Int BBA</v>
          </cell>
          <cell r="C220">
            <v>-361901.7</v>
          </cell>
          <cell r="D220">
            <v>-398501.44</v>
          </cell>
          <cell r="E220">
            <v>-36599.739999999991</v>
          </cell>
        </row>
        <row r="221">
          <cell r="A221">
            <v>2120205</v>
          </cell>
          <cell r="B221" t="str">
            <v>Prov Int Banco RIO</v>
          </cell>
          <cell r="C221">
            <v>-1308.76</v>
          </cell>
          <cell r="D221">
            <v>0</v>
          </cell>
          <cell r="E221">
            <v>1308.76</v>
          </cell>
        </row>
        <row r="222">
          <cell r="A222">
            <v>2120207</v>
          </cell>
          <cell r="B222" t="str">
            <v>Prov Int ABC Brasil</v>
          </cell>
          <cell r="C222">
            <v>-344891.29</v>
          </cell>
          <cell r="D222">
            <v>-267993.96000000002</v>
          </cell>
          <cell r="E222">
            <v>76897.329999999958</v>
          </cell>
        </row>
        <row r="223">
          <cell r="A223">
            <v>2120209</v>
          </cell>
          <cell r="B223" t="str">
            <v>Prov Int IBM</v>
          </cell>
          <cell r="C223">
            <v>-16479.02</v>
          </cell>
          <cell r="D223">
            <v>0</v>
          </cell>
          <cell r="E223">
            <v>16479.02</v>
          </cell>
        </row>
        <row r="224">
          <cell r="A224">
            <v>2120210</v>
          </cell>
          <cell r="B224" t="str">
            <v>Prov Int Fibra</v>
          </cell>
          <cell r="C224">
            <v>-11087.35</v>
          </cell>
          <cell r="D224">
            <v>-7556.18</v>
          </cell>
          <cell r="E224">
            <v>3531.17</v>
          </cell>
        </row>
        <row r="225">
          <cell r="A225">
            <v>2120211</v>
          </cell>
          <cell r="B225" t="str">
            <v>Prov Intereses HSBC</v>
          </cell>
          <cell r="C225">
            <v>-1288.5999999999999</v>
          </cell>
          <cell r="D225">
            <v>-1797.26</v>
          </cell>
          <cell r="E225">
            <v>-508.66000000000008</v>
          </cell>
        </row>
        <row r="226">
          <cell r="A226">
            <v>2120301</v>
          </cell>
          <cell r="B226" t="str">
            <v>Prov Im Int Citibank</v>
          </cell>
          <cell r="C226">
            <v>-20984.92</v>
          </cell>
          <cell r="D226">
            <v>-31732.32</v>
          </cell>
          <cell r="E226">
            <v>-10747.400000000001</v>
          </cell>
        </row>
        <row r="227">
          <cell r="A227">
            <v>2120303</v>
          </cell>
          <cell r="B227" t="str">
            <v>Prov Imp Int GEF</v>
          </cell>
          <cell r="C227">
            <v>-31458.33</v>
          </cell>
          <cell r="D227">
            <v>-37500</v>
          </cell>
          <cell r="E227">
            <v>-6041.6699999999983</v>
          </cell>
        </row>
        <row r="228">
          <cell r="A228">
            <v>2120304</v>
          </cell>
          <cell r="B228" t="str">
            <v>Prov Imp Int BBA</v>
          </cell>
          <cell r="C228">
            <v>-44857.87</v>
          </cell>
          <cell r="D228">
            <v>-49417.87</v>
          </cell>
          <cell r="E228">
            <v>-4560</v>
          </cell>
        </row>
        <row r="229">
          <cell r="A229">
            <v>2120305</v>
          </cell>
          <cell r="B229" t="str">
            <v>Prov Imp Int RIO</v>
          </cell>
          <cell r="C229">
            <v>-461</v>
          </cell>
          <cell r="D229">
            <v>0</v>
          </cell>
          <cell r="E229">
            <v>461</v>
          </cell>
        </row>
        <row r="230">
          <cell r="A230">
            <v>2120307</v>
          </cell>
          <cell r="B230" t="str">
            <v>Prov Imp Int ABC Brasil</v>
          </cell>
          <cell r="C230">
            <v>-43111.41</v>
          </cell>
          <cell r="D230">
            <v>-33499.24</v>
          </cell>
          <cell r="E230">
            <v>9612.1700000000055</v>
          </cell>
        </row>
        <row r="231">
          <cell r="A231">
            <v>2120310</v>
          </cell>
          <cell r="B231" t="str">
            <v>Prov Imp Int Fibra</v>
          </cell>
          <cell r="C231">
            <v>-1605.74</v>
          </cell>
          <cell r="D231">
            <v>-944.53</v>
          </cell>
          <cell r="E231">
            <v>661.21</v>
          </cell>
        </row>
        <row r="232">
          <cell r="A232">
            <v>2120311</v>
          </cell>
          <cell r="B232" t="str">
            <v>Prov Imp s/Int HSBC</v>
          </cell>
          <cell r="C232">
            <v>-228.47</v>
          </cell>
          <cell r="D232">
            <v>-318.66000000000003</v>
          </cell>
          <cell r="E232">
            <v>-90.190000000000026</v>
          </cell>
        </row>
        <row r="233">
          <cell r="A233">
            <v>2160101</v>
          </cell>
          <cell r="B233" t="str">
            <v>Remunerac. a pagar</v>
          </cell>
          <cell r="C233">
            <v>11702.97</v>
          </cell>
          <cell r="D233">
            <v>-12236.03</v>
          </cell>
          <cell r="E233">
            <v>-23939</v>
          </cell>
        </row>
        <row r="234">
          <cell r="A234">
            <v>2160102</v>
          </cell>
          <cell r="B234" t="str">
            <v>Fondo Sepelio UF</v>
          </cell>
          <cell r="C234">
            <v>-6268.1</v>
          </cell>
          <cell r="D234">
            <v>-8491.06</v>
          </cell>
          <cell r="E234">
            <v>-2222.9599999999991</v>
          </cell>
        </row>
        <row r="235">
          <cell r="A235">
            <v>2160103</v>
          </cell>
          <cell r="B235" t="str">
            <v>Jubilacion a pagar</v>
          </cell>
          <cell r="C235">
            <v>-168023.92</v>
          </cell>
          <cell r="D235">
            <v>-316474.67</v>
          </cell>
          <cell r="E235">
            <v>-148450.74999999997</v>
          </cell>
        </row>
        <row r="236">
          <cell r="A236">
            <v>2160104</v>
          </cell>
          <cell r="B236" t="str">
            <v>Sindicato UF</v>
          </cell>
          <cell r="C236">
            <v>-3000</v>
          </cell>
          <cell r="D236">
            <v>-3000</v>
          </cell>
          <cell r="E236">
            <v>0</v>
          </cell>
        </row>
        <row r="237">
          <cell r="A237">
            <v>2160105</v>
          </cell>
          <cell r="B237" t="str">
            <v>ANSSAL</v>
          </cell>
          <cell r="C237">
            <v>-17297.73</v>
          </cell>
          <cell r="D237">
            <v>-21010.09</v>
          </cell>
          <cell r="E237">
            <v>-3712.3600000000006</v>
          </cell>
        </row>
        <row r="238">
          <cell r="A238">
            <v>2160106</v>
          </cell>
          <cell r="B238" t="str">
            <v>Cuota A Mutual UF</v>
          </cell>
          <cell r="C238">
            <v>-6386.66</v>
          </cell>
          <cell r="D238">
            <v>-6373.66</v>
          </cell>
          <cell r="E238">
            <v>13</v>
          </cell>
        </row>
        <row r="239">
          <cell r="A239">
            <v>2160108</v>
          </cell>
          <cell r="B239" t="str">
            <v>Ret Jud al Personal</v>
          </cell>
          <cell r="C239">
            <v>-6488.5</v>
          </cell>
          <cell r="D239">
            <v>-666</v>
          </cell>
          <cell r="E239">
            <v>5822.5</v>
          </cell>
        </row>
        <row r="240">
          <cell r="A240">
            <v>2160109</v>
          </cell>
          <cell r="B240" t="str">
            <v>Sind La Fraternidad</v>
          </cell>
          <cell r="C240">
            <v>-38705.699999999997</v>
          </cell>
          <cell r="D240">
            <v>-49531.49</v>
          </cell>
          <cell r="E240">
            <v>-10825.79</v>
          </cell>
        </row>
        <row r="241">
          <cell r="A241">
            <v>2160112</v>
          </cell>
          <cell r="B241" t="str">
            <v>Prov Vacaciones</v>
          </cell>
          <cell r="C241">
            <v>-92494.84</v>
          </cell>
          <cell r="D241">
            <v>-96529.93</v>
          </cell>
          <cell r="E241">
            <v>-4035.0899999999965</v>
          </cell>
        </row>
        <row r="242">
          <cell r="A242">
            <v>2160113</v>
          </cell>
          <cell r="B242" t="str">
            <v>Prov SAC</v>
          </cell>
          <cell r="C242">
            <v>-604344.93999999994</v>
          </cell>
          <cell r="D242">
            <v>0</v>
          </cell>
          <cell r="E242">
            <v>604344.93999999994</v>
          </cell>
        </row>
        <row r="243">
          <cell r="A243">
            <v>2160116</v>
          </cell>
          <cell r="B243" t="str">
            <v>Ret Prest Brios Pnal</v>
          </cell>
          <cell r="C243">
            <v>-1448.07</v>
          </cell>
          <cell r="D243">
            <v>-1448.07</v>
          </cell>
          <cell r="E243">
            <v>0</v>
          </cell>
        </row>
        <row r="244">
          <cell r="A244">
            <v>2160118</v>
          </cell>
          <cell r="B244" t="str">
            <v>Obras Sociales</v>
          </cell>
          <cell r="C244">
            <v>-73553.88</v>
          </cell>
          <cell r="D244">
            <v>-108233.51</v>
          </cell>
          <cell r="E244">
            <v>-34679.62999999999</v>
          </cell>
        </row>
        <row r="245">
          <cell r="A245">
            <v>2160120</v>
          </cell>
          <cell r="B245" t="str">
            <v>Indem a Pagar</v>
          </cell>
          <cell r="C245">
            <v>-37006.699999999997</v>
          </cell>
          <cell r="D245">
            <v>-35203.199999999997</v>
          </cell>
          <cell r="E245">
            <v>1803.5</v>
          </cell>
        </row>
        <row r="246">
          <cell r="A246">
            <v>2160121</v>
          </cell>
          <cell r="B246" t="str">
            <v>Fdo Asist Soc L5110</v>
          </cell>
          <cell r="C246">
            <v>-298070.65000000002</v>
          </cell>
          <cell r="D246">
            <v>-301119.28999999998</v>
          </cell>
          <cell r="E246">
            <v>-3048.6399999999558</v>
          </cell>
        </row>
        <row r="247">
          <cell r="A247">
            <v>2160122</v>
          </cell>
          <cell r="B247" t="str">
            <v>Prov Partic Rdos</v>
          </cell>
          <cell r="C247">
            <v>-807715</v>
          </cell>
          <cell r="D247">
            <v>-807715</v>
          </cell>
          <cell r="E247">
            <v>0</v>
          </cell>
        </row>
        <row r="248">
          <cell r="A248">
            <v>2170102</v>
          </cell>
          <cell r="B248" t="str">
            <v>I.V.A. Debito Fiscal 21%</v>
          </cell>
          <cell r="C248">
            <v>0</v>
          </cell>
          <cell r="D248">
            <v>-706953.88</v>
          </cell>
          <cell r="E248">
            <v>-706953.88</v>
          </cell>
        </row>
        <row r="249">
          <cell r="A249">
            <v>2170103</v>
          </cell>
          <cell r="B249" t="str">
            <v>IVA Acrecent 10,5%</v>
          </cell>
          <cell r="C249">
            <v>0</v>
          </cell>
          <cell r="D249">
            <v>156.44999999999999</v>
          </cell>
          <cell r="E249">
            <v>156.44999999999999</v>
          </cell>
        </row>
        <row r="250">
          <cell r="A250">
            <v>2170108</v>
          </cell>
          <cell r="B250" t="str">
            <v>Ag.Ret.Imp.IIBB CF</v>
          </cell>
          <cell r="C250">
            <v>-4627.71</v>
          </cell>
          <cell r="D250">
            <v>-4986.37</v>
          </cell>
          <cell r="E250">
            <v>-358.65999999999985</v>
          </cell>
        </row>
        <row r="251">
          <cell r="A251">
            <v>2170109</v>
          </cell>
          <cell r="B251" t="str">
            <v>Ag.Ret.Imp.IIBB BA</v>
          </cell>
          <cell r="C251">
            <v>377.38</v>
          </cell>
          <cell r="D251">
            <v>1750.63</v>
          </cell>
          <cell r="E251">
            <v>1373.25</v>
          </cell>
        </row>
        <row r="252">
          <cell r="A252">
            <v>2170112</v>
          </cell>
          <cell r="B252" t="str">
            <v>Prov Imp Ing Brutos</v>
          </cell>
          <cell r="C252">
            <v>-106988.68</v>
          </cell>
          <cell r="D252">
            <v>-160000</v>
          </cell>
          <cell r="E252">
            <v>-53011.320000000007</v>
          </cell>
        </row>
        <row r="253">
          <cell r="A253">
            <v>2170113</v>
          </cell>
          <cell r="B253" t="str">
            <v>Moratoria Impositiva</v>
          </cell>
          <cell r="C253">
            <v>-106852.12</v>
          </cell>
          <cell r="D253">
            <v>-100757.67</v>
          </cell>
          <cell r="E253">
            <v>6094.4499999999971</v>
          </cell>
        </row>
        <row r="254">
          <cell r="A254">
            <v>2170115</v>
          </cell>
          <cell r="B254" t="str">
            <v>Ag.Ret.Gcias.RG830</v>
          </cell>
          <cell r="C254">
            <v>-13903.79</v>
          </cell>
          <cell r="D254">
            <v>-2812.53</v>
          </cell>
          <cell r="E254">
            <v>11091.26</v>
          </cell>
        </row>
        <row r="255">
          <cell r="A255">
            <v>2170116</v>
          </cell>
          <cell r="B255" t="str">
            <v>Ag.Ret.Gcias.4ta.Cat</v>
          </cell>
          <cell r="C255">
            <v>-40557.129999999997</v>
          </cell>
          <cell r="D255">
            <v>-65425.69</v>
          </cell>
          <cell r="E255">
            <v>-24868.560000000005</v>
          </cell>
        </row>
        <row r="256">
          <cell r="A256">
            <v>2170117</v>
          </cell>
          <cell r="B256" t="str">
            <v>Agte.Per. IIBB BA</v>
          </cell>
          <cell r="C256">
            <v>2713.61</v>
          </cell>
          <cell r="D256">
            <v>-6192.5</v>
          </cell>
          <cell r="E256">
            <v>-8906.11</v>
          </cell>
        </row>
        <row r="257">
          <cell r="A257">
            <v>2181101</v>
          </cell>
          <cell r="B257" t="str">
            <v>Anticipos Clientes</v>
          </cell>
          <cell r="C257">
            <v>-235998.04</v>
          </cell>
          <cell r="D257">
            <v>-185758.19</v>
          </cell>
          <cell r="E257">
            <v>50239.850000000006</v>
          </cell>
        </row>
        <row r="258">
          <cell r="A258">
            <v>2182101</v>
          </cell>
          <cell r="B258" t="str">
            <v>Prev Siniest Operac</v>
          </cell>
          <cell r="C258">
            <v>-294156.11</v>
          </cell>
          <cell r="D258">
            <v>-294156.11</v>
          </cell>
          <cell r="E258">
            <v>0</v>
          </cell>
        </row>
        <row r="259">
          <cell r="A259">
            <v>2182102</v>
          </cell>
          <cell r="B259" t="str">
            <v>Prev Siniest Segurid</v>
          </cell>
          <cell r="C259">
            <v>15986.89</v>
          </cell>
          <cell r="D259">
            <v>15986.89</v>
          </cell>
          <cell r="E259">
            <v>0</v>
          </cell>
        </row>
        <row r="260">
          <cell r="A260">
            <v>2183101</v>
          </cell>
          <cell r="B260" t="str">
            <v>Prev Resp Civil Com</v>
          </cell>
          <cell r="C260">
            <v>-2835686.37</v>
          </cell>
          <cell r="D260">
            <v>-2824106.63</v>
          </cell>
          <cell r="E260">
            <v>11579.740000000224</v>
          </cell>
        </row>
        <row r="261">
          <cell r="A261">
            <v>2184101</v>
          </cell>
          <cell r="B261" t="str">
            <v>Honor direct y sind</v>
          </cell>
          <cell r="C261">
            <v>-8400.2000000000007</v>
          </cell>
          <cell r="D261">
            <v>-8400.2000000000007</v>
          </cell>
          <cell r="E261">
            <v>0</v>
          </cell>
        </row>
        <row r="262">
          <cell r="A262">
            <v>2184102</v>
          </cell>
          <cell r="B262" t="str">
            <v>Prov Hon direct sind</v>
          </cell>
          <cell r="C262">
            <v>-100176.18</v>
          </cell>
          <cell r="D262">
            <v>-105426.18</v>
          </cell>
          <cell r="E262">
            <v>-5250</v>
          </cell>
        </row>
        <row r="263">
          <cell r="A263">
            <v>2185101</v>
          </cell>
          <cell r="B263" t="str">
            <v>Provision reingreso de Stock</v>
          </cell>
          <cell r="C263">
            <v>-187465.16</v>
          </cell>
          <cell r="D263">
            <v>-103736.73</v>
          </cell>
          <cell r="E263">
            <v>83728.430000000008</v>
          </cell>
        </row>
        <row r="264">
          <cell r="A264">
            <v>2411101</v>
          </cell>
          <cell r="B264" t="str">
            <v>Capital Social</v>
          </cell>
          <cell r="C264">
            <v>-14884000</v>
          </cell>
          <cell r="D264">
            <v>-14884000</v>
          </cell>
          <cell r="E264">
            <v>0</v>
          </cell>
        </row>
        <row r="265">
          <cell r="A265">
            <v>2411102</v>
          </cell>
          <cell r="B265" t="str">
            <v>Ajuste de Capital</v>
          </cell>
          <cell r="C265">
            <v>-1537086.11</v>
          </cell>
          <cell r="D265">
            <v>-1537086.11</v>
          </cell>
          <cell r="E265">
            <v>0</v>
          </cell>
        </row>
        <row r="266">
          <cell r="A266">
            <v>2423101</v>
          </cell>
          <cell r="B266" t="str">
            <v>Reserva Legal</v>
          </cell>
          <cell r="C266">
            <v>-540192.05000000005</v>
          </cell>
          <cell r="D266">
            <v>-540192.05000000005</v>
          </cell>
          <cell r="E266">
            <v>0</v>
          </cell>
        </row>
        <row r="267">
          <cell r="A267">
            <v>2431102</v>
          </cell>
          <cell r="B267" t="str">
            <v>Rdos Acumulados</v>
          </cell>
          <cell r="C267">
            <v>14878188.470000001</v>
          </cell>
          <cell r="D267">
            <v>14878188.470000001</v>
          </cell>
          <cell r="E267">
            <v>0</v>
          </cell>
        </row>
        <row r="268">
          <cell r="A268">
            <v>2431103</v>
          </cell>
          <cell r="B268" t="str">
            <v>Aportes Irrevocables</v>
          </cell>
          <cell r="C268">
            <v>-48668286.619999997</v>
          </cell>
          <cell r="D268">
            <v>-48668286.619999997</v>
          </cell>
          <cell r="E268">
            <v>0</v>
          </cell>
        </row>
        <row r="269">
          <cell r="A269">
            <v>3200001</v>
          </cell>
          <cell r="B269" t="str">
            <v>Sueldo Conductores</v>
          </cell>
          <cell r="C269">
            <v>1254874.1100000001</v>
          </cell>
          <cell r="D269">
            <v>1254874.1100000001</v>
          </cell>
          <cell r="E269">
            <v>0</v>
          </cell>
        </row>
        <row r="270">
          <cell r="A270">
            <v>3200002</v>
          </cell>
          <cell r="B270" t="str">
            <v>SAC Conductores</v>
          </cell>
          <cell r="C270">
            <v>136530.01</v>
          </cell>
          <cell r="D270">
            <v>136530.01</v>
          </cell>
          <cell r="E270">
            <v>0</v>
          </cell>
        </row>
        <row r="271">
          <cell r="A271">
            <v>3200003</v>
          </cell>
          <cell r="B271" t="str">
            <v>Vac. Conductores</v>
          </cell>
          <cell r="C271">
            <v>-190344.31</v>
          </cell>
          <cell r="D271">
            <v>-190344.31</v>
          </cell>
          <cell r="E271">
            <v>0</v>
          </cell>
        </row>
        <row r="272">
          <cell r="A272">
            <v>3200004</v>
          </cell>
          <cell r="B272" t="str">
            <v>Cs. Soc. Conductores</v>
          </cell>
          <cell r="C272">
            <v>277654.40000000002</v>
          </cell>
          <cell r="D272">
            <v>277654.40000000002</v>
          </cell>
          <cell r="E272">
            <v>0</v>
          </cell>
        </row>
        <row r="273">
          <cell r="A273">
            <v>3200005</v>
          </cell>
          <cell r="B273" t="str">
            <v>Indem.  Conductores</v>
          </cell>
          <cell r="C273">
            <v>3562.13</v>
          </cell>
          <cell r="D273">
            <v>3562.13</v>
          </cell>
          <cell r="E273">
            <v>0</v>
          </cell>
        </row>
        <row r="274">
          <cell r="A274">
            <v>3200006</v>
          </cell>
          <cell r="B274" t="str">
            <v>Benef No Rem Conduct</v>
          </cell>
          <cell r="C274">
            <v>118310.06</v>
          </cell>
          <cell r="D274">
            <v>118310.06</v>
          </cell>
          <cell r="E274">
            <v>0</v>
          </cell>
        </row>
        <row r="275">
          <cell r="A275">
            <v>3200007</v>
          </cell>
          <cell r="B275" t="str">
            <v>Ropa de Trabajo</v>
          </cell>
          <cell r="C275">
            <v>35961.160000000003</v>
          </cell>
          <cell r="D275">
            <v>45899.360000000001</v>
          </cell>
          <cell r="E275">
            <v>9938.1999999999971</v>
          </cell>
        </row>
        <row r="276">
          <cell r="A276">
            <v>3200008</v>
          </cell>
          <cell r="B276" t="str">
            <v>Viaticos Conductores</v>
          </cell>
          <cell r="C276">
            <v>638129.15</v>
          </cell>
          <cell r="D276">
            <v>777146.13</v>
          </cell>
          <cell r="E276">
            <v>139016.97999999998</v>
          </cell>
        </row>
        <row r="277">
          <cell r="A277">
            <v>3200009</v>
          </cell>
          <cell r="B277" t="str">
            <v>Gratif. Conductores</v>
          </cell>
          <cell r="C277">
            <v>7812.95</v>
          </cell>
          <cell r="D277">
            <v>7812.95</v>
          </cell>
          <cell r="E277">
            <v>0</v>
          </cell>
        </row>
        <row r="278">
          <cell r="A278">
            <v>3200010</v>
          </cell>
          <cell r="B278" t="str">
            <v>C y D Conductores</v>
          </cell>
          <cell r="C278">
            <v>0</v>
          </cell>
          <cell r="D278">
            <v>135</v>
          </cell>
          <cell r="E278">
            <v>135</v>
          </cell>
        </row>
        <row r="279">
          <cell r="A279">
            <v>3200022</v>
          </cell>
          <cell r="B279" t="str">
            <v>Sueldos Patios</v>
          </cell>
          <cell r="C279">
            <v>2805.43</v>
          </cell>
          <cell r="D279">
            <v>2805.43</v>
          </cell>
          <cell r="E279">
            <v>0</v>
          </cell>
        </row>
        <row r="280">
          <cell r="A280">
            <v>3200023</v>
          </cell>
          <cell r="B280" t="str">
            <v>SAC Patios</v>
          </cell>
          <cell r="C280">
            <v>33.18</v>
          </cell>
          <cell r="D280">
            <v>33.18</v>
          </cell>
          <cell r="E280">
            <v>0</v>
          </cell>
        </row>
        <row r="281">
          <cell r="A281">
            <v>3200024</v>
          </cell>
          <cell r="B281" t="str">
            <v>Vac Patios</v>
          </cell>
          <cell r="C281">
            <v>5.13</v>
          </cell>
          <cell r="D281">
            <v>5.13</v>
          </cell>
          <cell r="E281">
            <v>0</v>
          </cell>
        </row>
        <row r="282">
          <cell r="A282">
            <v>3200025</v>
          </cell>
          <cell r="B282" t="str">
            <v>Cs Soc Patios</v>
          </cell>
          <cell r="C282">
            <v>260</v>
          </cell>
          <cell r="D282">
            <v>260</v>
          </cell>
          <cell r="E282">
            <v>0</v>
          </cell>
        </row>
        <row r="283">
          <cell r="A283">
            <v>3200027</v>
          </cell>
          <cell r="B283" t="str">
            <v>Benef no Rem Patios</v>
          </cell>
          <cell r="C283">
            <v>10</v>
          </cell>
          <cell r="D283">
            <v>10</v>
          </cell>
          <cell r="E283">
            <v>0</v>
          </cell>
        </row>
        <row r="284">
          <cell r="A284">
            <v>3200030</v>
          </cell>
          <cell r="B284" t="str">
            <v>C y D Patios</v>
          </cell>
          <cell r="C284">
            <v>58.23</v>
          </cell>
          <cell r="D284">
            <v>58.23</v>
          </cell>
          <cell r="E284">
            <v>0</v>
          </cell>
        </row>
        <row r="285">
          <cell r="A285">
            <v>3200041</v>
          </cell>
          <cell r="B285" t="str">
            <v>C y D  Adm. de UP</v>
          </cell>
          <cell r="C285">
            <v>24277.4</v>
          </cell>
          <cell r="D285">
            <v>24457.05</v>
          </cell>
          <cell r="E285">
            <v>179.64999999999782</v>
          </cell>
        </row>
        <row r="286">
          <cell r="A286">
            <v>3200042</v>
          </cell>
          <cell r="B286" t="str">
            <v>Mantenim Vehiculos</v>
          </cell>
          <cell r="C286">
            <v>45366.19</v>
          </cell>
          <cell r="D286">
            <v>54829.29</v>
          </cell>
          <cell r="E286">
            <v>9463.0999999999985</v>
          </cell>
        </row>
        <row r="287">
          <cell r="A287">
            <v>3200043</v>
          </cell>
          <cell r="B287" t="str">
            <v>Consumo Vehiculos</v>
          </cell>
          <cell r="C287">
            <v>47468.36</v>
          </cell>
          <cell r="D287">
            <v>55059.85</v>
          </cell>
          <cell r="E287">
            <v>7591.489999999998</v>
          </cell>
        </row>
        <row r="288">
          <cell r="A288">
            <v>3200044</v>
          </cell>
          <cell r="B288" t="str">
            <v>Combustibles</v>
          </cell>
          <cell r="C288">
            <v>1846662.13</v>
          </cell>
          <cell r="D288">
            <v>2145118.5299999998</v>
          </cell>
          <cell r="E288">
            <v>298456.39999999991</v>
          </cell>
        </row>
        <row r="289">
          <cell r="A289">
            <v>3200045</v>
          </cell>
          <cell r="B289" t="str">
            <v>Lubricantes</v>
          </cell>
          <cell r="C289">
            <v>123412.64</v>
          </cell>
          <cell r="D289">
            <v>151638.66</v>
          </cell>
          <cell r="E289">
            <v>28226.020000000004</v>
          </cell>
        </row>
        <row r="290">
          <cell r="A290">
            <v>3200046</v>
          </cell>
          <cell r="B290" t="str">
            <v>Seguridad</v>
          </cell>
          <cell r="C290">
            <v>479197.98</v>
          </cell>
          <cell r="D290">
            <v>574196.23</v>
          </cell>
          <cell r="E290">
            <v>94998.25</v>
          </cell>
        </row>
        <row r="291">
          <cell r="A291">
            <v>3200047</v>
          </cell>
          <cell r="B291" t="str">
            <v>Insumos Informatica</v>
          </cell>
          <cell r="C291">
            <v>8054.81</v>
          </cell>
          <cell r="D291">
            <v>8547.92</v>
          </cell>
          <cell r="E291">
            <v>493.10999999999967</v>
          </cell>
        </row>
        <row r="292">
          <cell r="A292">
            <v>3200048</v>
          </cell>
          <cell r="B292" t="str">
            <v>Serv Inf Prest por 3</v>
          </cell>
          <cell r="C292">
            <v>20467</v>
          </cell>
          <cell r="D292">
            <v>20467</v>
          </cell>
          <cell r="E292">
            <v>0</v>
          </cell>
        </row>
        <row r="293">
          <cell r="A293">
            <v>3200049</v>
          </cell>
          <cell r="B293" t="str">
            <v>Fletes</v>
          </cell>
          <cell r="C293">
            <v>8095.21</v>
          </cell>
          <cell r="D293">
            <v>12065.3</v>
          </cell>
          <cell r="E293">
            <v>3970.0899999999992</v>
          </cell>
        </row>
        <row r="294">
          <cell r="A294">
            <v>3200050</v>
          </cell>
          <cell r="B294" t="str">
            <v>Herramientas</v>
          </cell>
          <cell r="C294">
            <v>21931.759999999998</v>
          </cell>
          <cell r="D294">
            <v>26533.84</v>
          </cell>
          <cell r="E294">
            <v>4602.0800000000017</v>
          </cell>
        </row>
        <row r="295">
          <cell r="A295">
            <v>3200051</v>
          </cell>
          <cell r="B295" t="str">
            <v>Fletes de 3°</v>
          </cell>
          <cell r="C295">
            <v>125898.49</v>
          </cell>
          <cell r="D295">
            <v>125898.49</v>
          </cell>
          <cell r="E295">
            <v>0</v>
          </cell>
        </row>
        <row r="296">
          <cell r="A296">
            <v>3200052</v>
          </cell>
          <cell r="B296" t="str">
            <v>Elem. de Seguridad</v>
          </cell>
          <cell r="C296">
            <v>8908.5400000000009</v>
          </cell>
          <cell r="D296">
            <v>10340.51</v>
          </cell>
          <cell r="E296">
            <v>1431.9699999999993</v>
          </cell>
        </row>
        <row r="297">
          <cell r="A297">
            <v>3200053</v>
          </cell>
          <cell r="B297" t="str">
            <v>Energia Electrica</v>
          </cell>
          <cell r="C297">
            <v>149640.18</v>
          </cell>
          <cell r="D297">
            <v>169318.74</v>
          </cell>
          <cell r="E297">
            <v>19678.559999999998</v>
          </cell>
        </row>
        <row r="298">
          <cell r="A298">
            <v>3200054</v>
          </cell>
          <cell r="B298" t="str">
            <v>Agua</v>
          </cell>
          <cell r="C298">
            <v>113386.3</v>
          </cell>
          <cell r="D298">
            <v>136373.6</v>
          </cell>
          <cell r="E298">
            <v>22987.300000000003</v>
          </cell>
        </row>
        <row r="299">
          <cell r="A299">
            <v>3200055</v>
          </cell>
          <cell r="B299" t="str">
            <v>Gas</v>
          </cell>
          <cell r="C299">
            <v>1812.2</v>
          </cell>
          <cell r="D299">
            <v>2129.21</v>
          </cell>
          <cell r="E299">
            <v>317.01</v>
          </cell>
        </row>
        <row r="300">
          <cell r="A300">
            <v>3200056</v>
          </cell>
          <cell r="B300" t="str">
            <v>Seg. ART Operaciones</v>
          </cell>
          <cell r="C300">
            <v>67748.05</v>
          </cell>
          <cell r="D300">
            <v>85223.06</v>
          </cell>
          <cell r="E300">
            <v>17475.009999999995</v>
          </cell>
        </row>
        <row r="301">
          <cell r="A301">
            <v>3200058</v>
          </cell>
          <cell r="B301" t="str">
            <v>Seg. ART Adm. de UP</v>
          </cell>
          <cell r="C301">
            <v>38.9</v>
          </cell>
          <cell r="D301">
            <v>38.9</v>
          </cell>
          <cell r="E301">
            <v>0</v>
          </cell>
        </row>
        <row r="302">
          <cell r="A302">
            <v>3200060</v>
          </cell>
          <cell r="B302" t="str">
            <v>Siniestros Cargas</v>
          </cell>
          <cell r="C302">
            <v>53600</v>
          </cell>
          <cell r="D302">
            <v>60057.49</v>
          </cell>
          <cell r="E302">
            <v>6457.489999999998</v>
          </cell>
        </row>
        <row r="303">
          <cell r="A303">
            <v>3200063</v>
          </cell>
          <cell r="B303" t="str">
            <v>Papeleria y Utiles</v>
          </cell>
          <cell r="C303">
            <v>27583.11</v>
          </cell>
          <cell r="D303">
            <v>31530.74</v>
          </cell>
          <cell r="E303">
            <v>3947.630000000001</v>
          </cell>
        </row>
        <row r="304">
          <cell r="A304">
            <v>3200064</v>
          </cell>
          <cell r="B304" t="str">
            <v>Alquiler y Almacen</v>
          </cell>
          <cell r="C304">
            <v>1005.74</v>
          </cell>
          <cell r="D304">
            <v>1055.74</v>
          </cell>
          <cell r="E304">
            <v>50</v>
          </cell>
        </row>
        <row r="305">
          <cell r="A305">
            <v>3200065</v>
          </cell>
          <cell r="B305" t="str">
            <v>Gastos de Limpieza</v>
          </cell>
          <cell r="C305">
            <v>30722.959999999999</v>
          </cell>
          <cell r="D305">
            <v>35648.410000000003</v>
          </cell>
          <cell r="E305">
            <v>4925.4500000000044</v>
          </cell>
        </row>
        <row r="306">
          <cell r="A306">
            <v>3200066</v>
          </cell>
          <cell r="B306" t="str">
            <v>Movilidad y Comidas</v>
          </cell>
          <cell r="C306">
            <v>123789.04</v>
          </cell>
          <cell r="D306">
            <v>138182.91</v>
          </cell>
          <cell r="E306">
            <v>14393.87000000001</v>
          </cell>
        </row>
        <row r="307">
          <cell r="A307">
            <v>3200067</v>
          </cell>
          <cell r="B307" t="str">
            <v>Atencion a Terceros</v>
          </cell>
          <cell r="C307">
            <v>1152.3399999999999</v>
          </cell>
          <cell r="D307">
            <v>1152.3399999999999</v>
          </cell>
          <cell r="E307">
            <v>0</v>
          </cell>
        </row>
        <row r="308">
          <cell r="A308">
            <v>3200068</v>
          </cell>
          <cell r="B308" t="str">
            <v>Peajes</v>
          </cell>
          <cell r="C308">
            <v>357089.26</v>
          </cell>
          <cell r="D308">
            <v>422089.26</v>
          </cell>
          <cell r="E308">
            <v>65000</v>
          </cell>
        </row>
        <row r="309">
          <cell r="A309">
            <v>3200069</v>
          </cell>
          <cell r="B309" t="str">
            <v>Amort. Bs Uso</v>
          </cell>
          <cell r="C309">
            <v>1509591.41</v>
          </cell>
          <cell r="D309">
            <v>1509591.41</v>
          </cell>
          <cell r="E309">
            <v>0</v>
          </cell>
        </row>
        <row r="310">
          <cell r="A310">
            <v>3200070</v>
          </cell>
          <cell r="B310" t="str">
            <v>Amort. Bs Intangible</v>
          </cell>
          <cell r="C310">
            <v>178599.74</v>
          </cell>
          <cell r="D310">
            <v>178599.74</v>
          </cell>
          <cell r="E310">
            <v>0</v>
          </cell>
        </row>
        <row r="311">
          <cell r="A311">
            <v>3200071</v>
          </cell>
          <cell r="B311" t="str">
            <v>Remises</v>
          </cell>
          <cell r="C311">
            <v>78942.350000000006</v>
          </cell>
          <cell r="D311">
            <v>96661.36</v>
          </cell>
          <cell r="E311">
            <v>17719.009999999995</v>
          </cell>
        </row>
        <row r="312">
          <cell r="A312">
            <v>3200072</v>
          </cell>
          <cell r="B312" t="str">
            <v>Impuestos y Tasas</v>
          </cell>
          <cell r="C312">
            <v>1039.3</v>
          </cell>
          <cell r="D312">
            <v>1086.58</v>
          </cell>
          <cell r="E312">
            <v>47.279999999999973</v>
          </cell>
        </row>
        <row r="313">
          <cell r="A313">
            <v>3200073</v>
          </cell>
          <cell r="B313" t="str">
            <v>Telefonos</v>
          </cell>
          <cell r="C313">
            <v>10398.31</v>
          </cell>
          <cell r="D313">
            <v>11440.44</v>
          </cell>
          <cell r="E313">
            <v>1042.130000000001</v>
          </cell>
        </row>
        <row r="314">
          <cell r="A314">
            <v>3200074</v>
          </cell>
          <cell r="B314" t="str">
            <v>Pasajes Aereos</v>
          </cell>
          <cell r="C314">
            <v>23102.57</v>
          </cell>
          <cell r="D314">
            <v>27598.1</v>
          </cell>
          <cell r="E314">
            <v>4495.5299999999988</v>
          </cell>
        </row>
        <row r="315">
          <cell r="A315">
            <v>3200075</v>
          </cell>
          <cell r="B315" t="str">
            <v>Gastos Generales</v>
          </cell>
          <cell r="C315">
            <v>2772.33</v>
          </cell>
          <cell r="D315">
            <v>3056.03</v>
          </cell>
          <cell r="E315">
            <v>283.70000000000027</v>
          </cell>
        </row>
        <row r="316">
          <cell r="A316">
            <v>3200077</v>
          </cell>
          <cell r="B316" t="str">
            <v>Merienda Conductores</v>
          </cell>
          <cell r="C316">
            <v>156253.69</v>
          </cell>
          <cell r="D316">
            <v>159714.25</v>
          </cell>
          <cell r="E316">
            <v>3460.5599999999977</v>
          </cell>
        </row>
        <row r="317">
          <cell r="A317">
            <v>3200078</v>
          </cell>
          <cell r="B317" t="str">
            <v>Merienda Patios</v>
          </cell>
          <cell r="C317">
            <v>27.25</v>
          </cell>
          <cell r="D317">
            <v>27.25</v>
          </cell>
          <cell r="E317">
            <v>0</v>
          </cell>
        </row>
        <row r="318">
          <cell r="A318">
            <v>3200082</v>
          </cell>
          <cell r="B318" t="str">
            <v>H extras Conductores</v>
          </cell>
          <cell r="C318">
            <v>137694.76</v>
          </cell>
          <cell r="D318">
            <v>137694.76</v>
          </cell>
          <cell r="E318">
            <v>0</v>
          </cell>
        </row>
        <row r="319">
          <cell r="A319">
            <v>3200086</v>
          </cell>
          <cell r="B319" t="str">
            <v>Cont y Transf Conduc</v>
          </cell>
          <cell r="C319">
            <v>2628.4</v>
          </cell>
          <cell r="D319">
            <v>2628.4</v>
          </cell>
          <cell r="E319">
            <v>0</v>
          </cell>
        </row>
        <row r="320">
          <cell r="A320">
            <v>3200087</v>
          </cell>
          <cell r="B320" t="str">
            <v>Cont y Transf Patios</v>
          </cell>
          <cell r="C320">
            <v>680</v>
          </cell>
          <cell r="D320">
            <v>680</v>
          </cell>
          <cell r="E320">
            <v>0</v>
          </cell>
        </row>
        <row r="321">
          <cell r="A321">
            <v>3200088</v>
          </cell>
          <cell r="B321" t="str">
            <v>Cont y Transf Adm UP</v>
          </cell>
          <cell r="C321">
            <v>1420</v>
          </cell>
          <cell r="D321">
            <v>1420</v>
          </cell>
          <cell r="E321">
            <v>0</v>
          </cell>
        </row>
        <row r="322">
          <cell r="A322">
            <v>3200089</v>
          </cell>
          <cell r="B322" t="str">
            <v>Benef al Pnal B Logi</v>
          </cell>
          <cell r="C322">
            <v>2056.2800000000002</v>
          </cell>
          <cell r="D322">
            <v>2056.2800000000002</v>
          </cell>
          <cell r="E322">
            <v>0</v>
          </cell>
        </row>
        <row r="323">
          <cell r="A323">
            <v>3200090</v>
          </cell>
          <cell r="B323" t="str">
            <v>Benef al Pnal Conduc</v>
          </cell>
          <cell r="C323">
            <v>4875.53</v>
          </cell>
          <cell r="D323">
            <v>4875.53</v>
          </cell>
          <cell r="E323">
            <v>0</v>
          </cell>
        </row>
        <row r="324">
          <cell r="A324">
            <v>3200091</v>
          </cell>
          <cell r="B324" t="str">
            <v>Benef al Pnal Patios</v>
          </cell>
          <cell r="C324">
            <v>6378.89</v>
          </cell>
          <cell r="D324">
            <v>7097.7</v>
          </cell>
          <cell r="E324">
            <v>718.80999999999949</v>
          </cell>
        </row>
        <row r="325">
          <cell r="A325">
            <v>3200092</v>
          </cell>
          <cell r="B325" t="str">
            <v>Benef al Pnal Adm UP</v>
          </cell>
          <cell r="C325">
            <v>2858.18</v>
          </cell>
          <cell r="D325">
            <v>3937.93</v>
          </cell>
          <cell r="E325">
            <v>1079.75</v>
          </cell>
        </row>
        <row r="326">
          <cell r="A326">
            <v>3200093</v>
          </cell>
          <cell r="B326" t="str">
            <v>Arena</v>
          </cell>
          <cell r="C326">
            <v>1600</v>
          </cell>
          <cell r="D326">
            <v>1600</v>
          </cell>
          <cell r="E326">
            <v>0</v>
          </cell>
        </row>
        <row r="327">
          <cell r="A327">
            <v>3200094</v>
          </cell>
          <cell r="B327" t="str">
            <v>Mant Señalamiento</v>
          </cell>
          <cell r="C327">
            <v>11800.67</v>
          </cell>
          <cell r="D327">
            <v>14235.56</v>
          </cell>
          <cell r="E327">
            <v>2434.8899999999994</v>
          </cell>
        </row>
        <row r="328">
          <cell r="A328">
            <v>3200095</v>
          </cell>
          <cell r="B328" t="str">
            <v>Mant Locomotoras</v>
          </cell>
          <cell r="C328">
            <v>160290.04</v>
          </cell>
          <cell r="D328">
            <v>192172.59</v>
          </cell>
          <cell r="E328">
            <v>31882.549999999988</v>
          </cell>
        </row>
        <row r="329">
          <cell r="A329">
            <v>3200096</v>
          </cell>
          <cell r="B329" t="str">
            <v>Mant Vagones</v>
          </cell>
          <cell r="C329">
            <v>196901.82</v>
          </cell>
          <cell r="D329">
            <v>241671.77</v>
          </cell>
          <cell r="E329">
            <v>44769.949999999983</v>
          </cell>
        </row>
        <row r="330">
          <cell r="A330">
            <v>3200097</v>
          </cell>
          <cell r="B330" t="str">
            <v>Mant superestructura</v>
          </cell>
          <cell r="C330">
            <v>372424.56</v>
          </cell>
          <cell r="D330">
            <v>457913.37</v>
          </cell>
          <cell r="E330">
            <v>85488.81</v>
          </cell>
        </row>
        <row r="331">
          <cell r="A331">
            <v>3200098</v>
          </cell>
          <cell r="B331" t="str">
            <v>Mant Infraestructura</v>
          </cell>
          <cell r="C331">
            <v>130221.1</v>
          </cell>
          <cell r="D331">
            <v>162815.75</v>
          </cell>
          <cell r="E331">
            <v>32594.649999999994</v>
          </cell>
        </row>
        <row r="332">
          <cell r="A332">
            <v>3200099</v>
          </cell>
          <cell r="B332" t="str">
            <v>Mant telecomunicac.</v>
          </cell>
          <cell r="C332">
            <v>7855.58</v>
          </cell>
          <cell r="D332">
            <v>10740.26</v>
          </cell>
          <cell r="E332">
            <v>2884.6800000000003</v>
          </cell>
        </row>
        <row r="333">
          <cell r="A333">
            <v>3200100</v>
          </cell>
          <cell r="B333" t="str">
            <v>Mant Sistemas</v>
          </cell>
          <cell r="C333">
            <v>2134.19</v>
          </cell>
          <cell r="D333">
            <v>2200.31</v>
          </cell>
          <cell r="E333">
            <v>66.119999999999891</v>
          </cell>
        </row>
        <row r="334">
          <cell r="A334">
            <v>3200101</v>
          </cell>
          <cell r="B334" t="str">
            <v>Mant edificios</v>
          </cell>
          <cell r="C334">
            <v>80351.149999999994</v>
          </cell>
          <cell r="D334">
            <v>93248.69</v>
          </cell>
          <cell r="E334">
            <v>12897.540000000008</v>
          </cell>
        </row>
        <row r="335">
          <cell r="A335">
            <v>3200102</v>
          </cell>
          <cell r="B335" t="str">
            <v>Mant maq. y equipos</v>
          </cell>
          <cell r="C335">
            <v>101593.19</v>
          </cell>
          <cell r="D335">
            <v>104254.5</v>
          </cell>
          <cell r="E335">
            <v>2661.3099999999977</v>
          </cell>
        </row>
        <row r="336">
          <cell r="A336">
            <v>3200103</v>
          </cell>
          <cell r="B336" t="str">
            <v>Mant vehic. ferrov.</v>
          </cell>
          <cell r="C336">
            <v>41290.53</v>
          </cell>
          <cell r="D336">
            <v>48211.65</v>
          </cell>
          <cell r="E336">
            <v>6921.1200000000026</v>
          </cell>
        </row>
        <row r="337">
          <cell r="A337">
            <v>3200104</v>
          </cell>
          <cell r="B337" t="str">
            <v>Mant equip informat</v>
          </cell>
          <cell r="C337">
            <v>9872.68</v>
          </cell>
          <cell r="D337">
            <v>9953.67</v>
          </cell>
          <cell r="E337">
            <v>80.989999999999782</v>
          </cell>
        </row>
        <row r="338">
          <cell r="A338">
            <v>3200105</v>
          </cell>
          <cell r="B338" t="str">
            <v>Comunicaciones</v>
          </cell>
          <cell r="C338">
            <v>290603.27</v>
          </cell>
          <cell r="D338">
            <v>361190.14</v>
          </cell>
          <cell r="E338">
            <v>70586.87</v>
          </cell>
        </row>
        <row r="339">
          <cell r="A339">
            <v>3200106</v>
          </cell>
          <cell r="B339" t="str">
            <v>Correo y otros</v>
          </cell>
          <cell r="C339">
            <v>2827.35</v>
          </cell>
          <cell r="D339">
            <v>3900.01</v>
          </cell>
          <cell r="E339">
            <v>1072.6600000000003</v>
          </cell>
        </row>
        <row r="340">
          <cell r="A340">
            <v>3200107</v>
          </cell>
          <cell r="B340" t="str">
            <v>Serv prest por 3°</v>
          </cell>
          <cell r="C340">
            <v>29183.78</v>
          </cell>
          <cell r="D340">
            <v>29183.78</v>
          </cell>
          <cell r="E340">
            <v>0</v>
          </cell>
        </row>
        <row r="341">
          <cell r="A341">
            <v>3200115</v>
          </cell>
          <cell r="B341" t="str">
            <v>Alquiler de Equipos</v>
          </cell>
          <cell r="C341">
            <v>1172.06</v>
          </cell>
          <cell r="D341">
            <v>1552.06</v>
          </cell>
          <cell r="E341">
            <v>380</v>
          </cell>
        </row>
        <row r="342">
          <cell r="A342">
            <v>3200117</v>
          </cell>
          <cell r="B342" t="str">
            <v>Acc Materiales</v>
          </cell>
          <cell r="C342">
            <v>3.3</v>
          </cell>
          <cell r="D342">
            <v>3.3</v>
          </cell>
          <cell r="E342">
            <v>0</v>
          </cell>
        </row>
        <row r="343">
          <cell r="A343">
            <v>3200119</v>
          </cell>
          <cell r="B343" t="str">
            <v>Acc Otros</v>
          </cell>
          <cell r="C343">
            <v>161.55000000000001</v>
          </cell>
          <cell r="D343">
            <v>218.63</v>
          </cell>
          <cell r="E343">
            <v>57.079999999999984</v>
          </cell>
        </row>
        <row r="344">
          <cell r="A344">
            <v>3200122</v>
          </cell>
          <cell r="B344" t="str">
            <v>Conting laborales</v>
          </cell>
          <cell r="C344">
            <v>2404</v>
          </cell>
          <cell r="D344">
            <v>2404</v>
          </cell>
          <cell r="E344">
            <v>0</v>
          </cell>
        </row>
        <row r="345">
          <cell r="A345">
            <v>3200123</v>
          </cell>
          <cell r="B345" t="str">
            <v>Imp a los Ing Brutos</v>
          </cell>
          <cell r="C345">
            <v>581702.54</v>
          </cell>
          <cell r="D345">
            <v>691460.06</v>
          </cell>
          <cell r="E345">
            <v>109757.52000000002</v>
          </cell>
        </row>
        <row r="346">
          <cell r="A346">
            <v>3200124</v>
          </cell>
          <cell r="B346" t="str">
            <v>Diferencias de Inventarios</v>
          </cell>
          <cell r="C346">
            <v>5106.97</v>
          </cell>
          <cell r="D346">
            <v>220.92</v>
          </cell>
          <cell r="E346">
            <v>-4886.05</v>
          </cell>
        </row>
        <row r="347">
          <cell r="A347">
            <v>3200125</v>
          </cell>
          <cell r="B347" t="str">
            <v>Sueldos operaciones</v>
          </cell>
          <cell r="C347">
            <v>2296226.19</v>
          </cell>
          <cell r="D347">
            <v>2966241.47</v>
          </cell>
          <cell r="E347">
            <v>670015.28000000026</v>
          </cell>
        </row>
        <row r="348">
          <cell r="A348">
            <v>3200126</v>
          </cell>
          <cell r="B348" t="str">
            <v>SAC Operaciones</v>
          </cell>
          <cell r="C348">
            <v>226013.83</v>
          </cell>
          <cell r="D348">
            <v>303640.8</v>
          </cell>
          <cell r="E348">
            <v>77626.97</v>
          </cell>
        </row>
        <row r="349">
          <cell r="A349">
            <v>3200127</v>
          </cell>
          <cell r="B349" t="str">
            <v>Vacaciones Operaciones</v>
          </cell>
          <cell r="C349">
            <v>26950.97</v>
          </cell>
          <cell r="D349">
            <v>43380.22</v>
          </cell>
          <cell r="E349">
            <v>16429.25</v>
          </cell>
        </row>
        <row r="350">
          <cell r="A350">
            <v>3200128</v>
          </cell>
          <cell r="B350" t="str">
            <v>Cs Soc operaciones</v>
          </cell>
          <cell r="C350">
            <v>469091.27</v>
          </cell>
          <cell r="D350">
            <v>626766.47</v>
          </cell>
          <cell r="E350">
            <v>157675.19999999995</v>
          </cell>
        </row>
        <row r="351">
          <cell r="A351">
            <v>3200129</v>
          </cell>
          <cell r="B351" t="str">
            <v>Indemniz operaciones</v>
          </cell>
          <cell r="C351">
            <v>184683.16</v>
          </cell>
          <cell r="D351">
            <v>246601.55</v>
          </cell>
          <cell r="E351">
            <v>61918.389999999985</v>
          </cell>
        </row>
        <row r="352">
          <cell r="A352">
            <v>3200130</v>
          </cell>
          <cell r="B352" t="str">
            <v>Benef n/remun operaciones</v>
          </cell>
          <cell r="C352">
            <v>160874.06</v>
          </cell>
          <cell r="D352">
            <v>234081.09</v>
          </cell>
          <cell r="E352">
            <v>73207.03</v>
          </cell>
        </row>
        <row r="353">
          <cell r="A353">
            <v>3200131</v>
          </cell>
          <cell r="B353" t="str">
            <v>Gratif operaciones</v>
          </cell>
          <cell r="C353">
            <v>3728.47</v>
          </cell>
          <cell r="D353">
            <v>15676.8</v>
          </cell>
          <cell r="E353">
            <v>11948.33</v>
          </cell>
        </row>
        <row r="354">
          <cell r="A354">
            <v>3200132</v>
          </cell>
          <cell r="B354" t="str">
            <v>C y D operaciones</v>
          </cell>
          <cell r="C354">
            <v>13856.55</v>
          </cell>
          <cell r="D354">
            <v>13856.55</v>
          </cell>
          <cell r="E354">
            <v>0</v>
          </cell>
        </row>
        <row r="355">
          <cell r="A355">
            <v>3200134</v>
          </cell>
          <cell r="B355" t="str">
            <v>Merienda operaciones</v>
          </cell>
          <cell r="C355">
            <v>228766.69</v>
          </cell>
          <cell r="D355">
            <v>323338.84999999998</v>
          </cell>
          <cell r="E355">
            <v>94572.159999999974</v>
          </cell>
        </row>
        <row r="356">
          <cell r="A356">
            <v>3200135</v>
          </cell>
          <cell r="B356" t="str">
            <v>H extras operaciones</v>
          </cell>
          <cell r="C356">
            <v>193776.6</v>
          </cell>
          <cell r="D356">
            <v>258237.43</v>
          </cell>
          <cell r="E356">
            <v>64460.829999999987</v>
          </cell>
        </row>
        <row r="357">
          <cell r="A357">
            <v>3200136</v>
          </cell>
          <cell r="B357" t="str">
            <v>Cont y transf operaciones</v>
          </cell>
          <cell r="C357">
            <v>1362.23</v>
          </cell>
          <cell r="D357">
            <v>2022.56</v>
          </cell>
          <cell r="E357">
            <v>660.32999999999993</v>
          </cell>
        </row>
        <row r="358">
          <cell r="A358">
            <v>3200137</v>
          </cell>
          <cell r="B358" t="str">
            <v>Benef al pnal operaciones</v>
          </cell>
          <cell r="C358">
            <v>55351.73</v>
          </cell>
          <cell r="D358">
            <v>59231.41</v>
          </cell>
          <cell r="E358">
            <v>3879.6800000000003</v>
          </cell>
        </row>
        <row r="359">
          <cell r="A359">
            <v>3200147</v>
          </cell>
          <cell r="B359" t="str">
            <v>Fletes Combustibles</v>
          </cell>
          <cell r="C359">
            <v>85988.83</v>
          </cell>
          <cell r="D359">
            <v>110193.5</v>
          </cell>
          <cell r="E359">
            <v>24204.67</v>
          </cell>
        </row>
        <row r="360">
          <cell r="A360">
            <v>3200148</v>
          </cell>
          <cell r="B360" t="str">
            <v>Multas Aduaneras</v>
          </cell>
          <cell r="C360">
            <v>478.21</v>
          </cell>
          <cell r="D360">
            <v>478.21</v>
          </cell>
          <cell r="E360">
            <v>0</v>
          </cell>
        </row>
        <row r="361">
          <cell r="A361">
            <v>3200199</v>
          </cell>
          <cell r="B361" t="str">
            <v>Mat. Inversiones</v>
          </cell>
          <cell r="C361">
            <v>-74720.600000000006</v>
          </cell>
          <cell r="D361">
            <v>-86385.3</v>
          </cell>
          <cell r="E361">
            <v>-11664.699999999997</v>
          </cell>
        </row>
        <row r="362">
          <cell r="A362">
            <v>3200211</v>
          </cell>
          <cell r="B362" t="str">
            <v>Camion Palmira</v>
          </cell>
          <cell r="C362">
            <v>680674.18</v>
          </cell>
          <cell r="D362">
            <v>838453.49</v>
          </cell>
          <cell r="E362">
            <v>157779.30999999994</v>
          </cell>
        </row>
        <row r="363">
          <cell r="A363">
            <v>3200212</v>
          </cell>
          <cell r="B363" t="str">
            <v>Camion Albardon</v>
          </cell>
          <cell r="C363">
            <v>16421.95</v>
          </cell>
          <cell r="D363">
            <v>19739.28</v>
          </cell>
          <cell r="E363">
            <v>3317.3299999999981</v>
          </cell>
        </row>
        <row r="364">
          <cell r="A364">
            <v>3200213</v>
          </cell>
          <cell r="B364" t="str">
            <v>Camion V Mercedes</v>
          </cell>
          <cell r="C364">
            <v>70746.649999999994</v>
          </cell>
          <cell r="D364">
            <v>74131.81</v>
          </cell>
          <cell r="E364">
            <v>3385.1600000000035</v>
          </cell>
        </row>
        <row r="365">
          <cell r="A365">
            <v>3200215</v>
          </cell>
          <cell r="B365" t="str">
            <v>Camion P. Vargas</v>
          </cell>
          <cell r="C365">
            <v>10039.73</v>
          </cell>
          <cell r="D365">
            <v>14399.73</v>
          </cell>
          <cell r="E365">
            <v>4360</v>
          </cell>
        </row>
        <row r="366">
          <cell r="A366">
            <v>3200216</v>
          </cell>
          <cell r="B366" t="str">
            <v>Camion J Daract</v>
          </cell>
          <cell r="C366">
            <v>0</v>
          </cell>
          <cell r="D366">
            <v>1173.1300000000001</v>
          </cell>
          <cell r="E366">
            <v>1173.1300000000001</v>
          </cell>
        </row>
        <row r="367">
          <cell r="A367">
            <v>3200231</v>
          </cell>
          <cell r="B367" t="str">
            <v>Manip Palmira</v>
          </cell>
          <cell r="C367">
            <v>131758.73000000001</v>
          </cell>
          <cell r="D367">
            <v>176967.44</v>
          </cell>
          <cell r="E367">
            <v>45208.709999999992</v>
          </cell>
        </row>
        <row r="368">
          <cell r="A368">
            <v>3200232</v>
          </cell>
          <cell r="B368" t="str">
            <v>Manip Albardon</v>
          </cell>
          <cell r="C368">
            <v>3326.86</v>
          </cell>
          <cell r="D368">
            <v>3421.91</v>
          </cell>
          <cell r="E368">
            <v>95.049999999999727</v>
          </cell>
        </row>
        <row r="369">
          <cell r="A369">
            <v>3200233</v>
          </cell>
          <cell r="B369" t="str">
            <v>Manip V Mercedes</v>
          </cell>
          <cell r="C369">
            <v>57729.84</v>
          </cell>
          <cell r="D369">
            <v>68649.84</v>
          </cell>
          <cell r="E369">
            <v>10920</v>
          </cell>
        </row>
        <row r="370">
          <cell r="A370">
            <v>3200235</v>
          </cell>
          <cell r="B370" t="str">
            <v>Manip P. Vargas</v>
          </cell>
          <cell r="C370">
            <v>908</v>
          </cell>
          <cell r="D370">
            <v>2483</v>
          </cell>
          <cell r="E370">
            <v>1575</v>
          </cell>
        </row>
        <row r="371">
          <cell r="A371">
            <v>3200236</v>
          </cell>
          <cell r="B371" t="str">
            <v>Manip J Daract</v>
          </cell>
          <cell r="C371">
            <v>2590.6999999999998</v>
          </cell>
          <cell r="D371">
            <v>2590.6999999999998</v>
          </cell>
          <cell r="E371">
            <v>0</v>
          </cell>
        </row>
        <row r="372">
          <cell r="A372">
            <v>3200241</v>
          </cell>
          <cell r="B372" t="str">
            <v>Dep.Fiscal Palmira</v>
          </cell>
          <cell r="C372">
            <v>11400</v>
          </cell>
          <cell r="D372">
            <v>22800</v>
          </cell>
          <cell r="E372">
            <v>11400</v>
          </cell>
        </row>
        <row r="373">
          <cell r="A373">
            <v>3200251</v>
          </cell>
          <cell r="B373" t="str">
            <v>ATA Palmira</v>
          </cell>
          <cell r="C373">
            <v>73832.31</v>
          </cell>
          <cell r="D373">
            <v>89252.41</v>
          </cell>
          <cell r="E373">
            <v>15420.100000000006</v>
          </cell>
        </row>
        <row r="374">
          <cell r="A374">
            <v>3200252</v>
          </cell>
          <cell r="B374" t="str">
            <v>ATA Albardon</v>
          </cell>
          <cell r="C374">
            <v>7021.9</v>
          </cell>
          <cell r="D374">
            <v>8671.1</v>
          </cell>
          <cell r="E374">
            <v>1649.2000000000007</v>
          </cell>
        </row>
        <row r="375">
          <cell r="A375">
            <v>3200253</v>
          </cell>
          <cell r="B375" t="str">
            <v>ATA V. Mercedez</v>
          </cell>
          <cell r="C375">
            <v>3913</v>
          </cell>
          <cell r="D375">
            <v>10969.3</v>
          </cell>
          <cell r="E375">
            <v>7056.2999999999993</v>
          </cell>
        </row>
        <row r="376">
          <cell r="A376">
            <v>3200256</v>
          </cell>
          <cell r="B376" t="str">
            <v>ATA J Daract</v>
          </cell>
          <cell r="C376">
            <v>7053.4</v>
          </cell>
          <cell r="D376">
            <v>7053.4</v>
          </cell>
          <cell r="E376">
            <v>0</v>
          </cell>
        </row>
        <row r="377">
          <cell r="A377">
            <v>3200257</v>
          </cell>
          <cell r="B377" t="str">
            <v>Gastos Aduaneros</v>
          </cell>
          <cell r="C377">
            <v>213.54</v>
          </cell>
          <cell r="D377">
            <v>717.35</v>
          </cell>
          <cell r="E377">
            <v>503.81000000000006</v>
          </cell>
        </row>
        <row r="378">
          <cell r="A378">
            <v>3200291</v>
          </cell>
          <cell r="B378" t="str">
            <v>Manip Junin</v>
          </cell>
          <cell r="C378">
            <v>508.43</v>
          </cell>
          <cell r="D378">
            <v>508.43</v>
          </cell>
          <cell r="E378">
            <v>0</v>
          </cell>
        </row>
        <row r="379">
          <cell r="A379">
            <v>3200311</v>
          </cell>
          <cell r="B379" t="str">
            <v>ATA Junin</v>
          </cell>
          <cell r="C379">
            <v>0</v>
          </cell>
          <cell r="D379">
            <v>1800</v>
          </cell>
          <cell r="E379">
            <v>1800</v>
          </cell>
        </row>
        <row r="380">
          <cell r="A380">
            <v>3200332</v>
          </cell>
          <cell r="B380" t="str">
            <v>Camion Alianza</v>
          </cell>
          <cell r="C380">
            <v>200278.36</v>
          </cell>
          <cell r="D380">
            <v>319049.44</v>
          </cell>
          <cell r="E380">
            <v>118771.08000000002</v>
          </cell>
        </row>
        <row r="381">
          <cell r="A381">
            <v>3200333</v>
          </cell>
          <cell r="B381" t="str">
            <v>Camion Palermo</v>
          </cell>
          <cell r="C381">
            <v>129504.27</v>
          </cell>
          <cell r="D381">
            <v>129504.27</v>
          </cell>
          <cell r="E381">
            <v>0</v>
          </cell>
        </row>
        <row r="382">
          <cell r="A382">
            <v>3200334</v>
          </cell>
          <cell r="B382" t="str">
            <v>Camion Retiro</v>
          </cell>
          <cell r="C382">
            <v>183570</v>
          </cell>
          <cell r="D382">
            <v>203607.46</v>
          </cell>
          <cell r="E382">
            <v>20037.459999999992</v>
          </cell>
        </row>
        <row r="383">
          <cell r="A383">
            <v>3200336</v>
          </cell>
          <cell r="B383" t="str">
            <v>Camion M. Coronado</v>
          </cell>
          <cell r="C383">
            <v>107099.15</v>
          </cell>
          <cell r="D383">
            <v>107099.15</v>
          </cell>
          <cell r="E383">
            <v>0</v>
          </cell>
        </row>
        <row r="384">
          <cell r="A384">
            <v>3200351</v>
          </cell>
          <cell r="B384" t="str">
            <v>Manip Alianza</v>
          </cell>
          <cell r="C384">
            <v>10364.450000000001</v>
          </cell>
          <cell r="D384">
            <v>11646.95</v>
          </cell>
          <cell r="E384">
            <v>1282.5</v>
          </cell>
        </row>
        <row r="385">
          <cell r="A385">
            <v>3200352</v>
          </cell>
          <cell r="B385" t="str">
            <v>Manip Palermo</v>
          </cell>
          <cell r="C385">
            <v>2750.02</v>
          </cell>
          <cell r="D385">
            <v>2750.02</v>
          </cell>
          <cell r="E385">
            <v>0</v>
          </cell>
        </row>
        <row r="386">
          <cell r="A386">
            <v>3200353</v>
          </cell>
          <cell r="B386" t="str">
            <v>Manip Retiro</v>
          </cell>
          <cell r="C386">
            <v>62769.17</v>
          </cell>
          <cell r="D386">
            <v>63200.76</v>
          </cell>
          <cell r="E386">
            <v>431.59000000000378</v>
          </cell>
        </row>
        <row r="387">
          <cell r="A387">
            <v>3200355</v>
          </cell>
          <cell r="B387" t="str">
            <v>Manip M. Coronado</v>
          </cell>
          <cell r="C387">
            <v>-743.8</v>
          </cell>
          <cell r="D387">
            <v>-743.8</v>
          </cell>
          <cell r="E387">
            <v>0</v>
          </cell>
        </row>
        <row r="388">
          <cell r="A388">
            <v>3200372</v>
          </cell>
          <cell r="B388" t="str">
            <v>ATA Palermo</v>
          </cell>
          <cell r="C388">
            <v>694.1</v>
          </cell>
          <cell r="D388">
            <v>694.1</v>
          </cell>
          <cell r="E388">
            <v>0</v>
          </cell>
        </row>
        <row r="389">
          <cell r="A389">
            <v>3200373</v>
          </cell>
          <cell r="B389" t="str">
            <v>ATA Retiro</v>
          </cell>
          <cell r="C389">
            <v>11500.86</v>
          </cell>
          <cell r="D389">
            <v>12120.76</v>
          </cell>
          <cell r="E389">
            <v>619.89999999999964</v>
          </cell>
        </row>
        <row r="390">
          <cell r="A390">
            <v>3200376</v>
          </cell>
          <cell r="B390" t="str">
            <v>ATA Zarate</v>
          </cell>
          <cell r="C390">
            <v>720</v>
          </cell>
          <cell r="D390">
            <v>720</v>
          </cell>
          <cell r="E390">
            <v>0</v>
          </cell>
        </row>
        <row r="391">
          <cell r="A391">
            <v>3200521</v>
          </cell>
          <cell r="B391" t="str">
            <v>Manip Rosario</v>
          </cell>
          <cell r="C391">
            <v>346.62</v>
          </cell>
          <cell r="D391">
            <v>346.62</v>
          </cell>
          <cell r="E391">
            <v>0</v>
          </cell>
        </row>
        <row r="392">
          <cell r="A392">
            <v>3200555</v>
          </cell>
          <cell r="B392" t="str">
            <v>Acond. Cga Rosario</v>
          </cell>
          <cell r="C392">
            <v>1124.78</v>
          </cell>
          <cell r="D392">
            <v>1124.78</v>
          </cell>
          <cell r="E392">
            <v>0</v>
          </cell>
        </row>
        <row r="393">
          <cell r="A393">
            <v>3900001</v>
          </cell>
          <cell r="B393" t="str">
            <v>Liq.Ordenes Inversión</v>
          </cell>
          <cell r="C393">
            <v>96982.13</v>
          </cell>
          <cell r="D393">
            <v>122896.75</v>
          </cell>
          <cell r="E393">
            <v>25914.619999999995</v>
          </cell>
        </row>
        <row r="394">
          <cell r="A394">
            <v>4100001</v>
          </cell>
          <cell r="B394" t="str">
            <v>Sueldo Adm</v>
          </cell>
          <cell r="C394">
            <v>1507472.65</v>
          </cell>
          <cell r="D394">
            <v>1800395.41</v>
          </cell>
          <cell r="E394">
            <v>292922.76</v>
          </cell>
        </row>
        <row r="395">
          <cell r="A395">
            <v>4100002</v>
          </cell>
          <cell r="B395" t="str">
            <v>SAC Adm</v>
          </cell>
          <cell r="C395">
            <v>89294.21</v>
          </cell>
          <cell r="D395">
            <v>117950.29</v>
          </cell>
          <cell r="E395">
            <v>28656.079999999987</v>
          </cell>
        </row>
        <row r="396">
          <cell r="A396">
            <v>4100003</v>
          </cell>
          <cell r="B396" t="str">
            <v>Vac Adm</v>
          </cell>
          <cell r="C396">
            <v>292790.21000000002</v>
          </cell>
          <cell r="D396">
            <v>296267.92</v>
          </cell>
          <cell r="E396">
            <v>3477.7099999999627</v>
          </cell>
        </row>
        <row r="397">
          <cell r="A397">
            <v>4100004</v>
          </cell>
          <cell r="B397" t="str">
            <v>Cs Soc Adm</v>
          </cell>
          <cell r="C397">
            <v>287545.11</v>
          </cell>
          <cell r="D397">
            <v>337158.05</v>
          </cell>
          <cell r="E397">
            <v>49612.94</v>
          </cell>
        </row>
        <row r="398">
          <cell r="A398">
            <v>4100005</v>
          </cell>
          <cell r="B398" t="str">
            <v>Temp Adm</v>
          </cell>
          <cell r="C398">
            <v>773.95</v>
          </cell>
          <cell r="D398">
            <v>5786.23</v>
          </cell>
          <cell r="E398">
            <v>5012.28</v>
          </cell>
        </row>
        <row r="399">
          <cell r="A399">
            <v>4100006</v>
          </cell>
          <cell r="B399" t="str">
            <v>Indem Adm</v>
          </cell>
          <cell r="C399">
            <v>184998.24</v>
          </cell>
          <cell r="D399">
            <v>197247.74</v>
          </cell>
          <cell r="E399">
            <v>12249.5</v>
          </cell>
        </row>
        <row r="400">
          <cell r="A400">
            <v>4100007</v>
          </cell>
          <cell r="B400" t="str">
            <v>Benef No Rem Adm</v>
          </cell>
          <cell r="C400">
            <v>37561.78</v>
          </cell>
          <cell r="D400">
            <v>48582.02</v>
          </cell>
          <cell r="E400">
            <v>11020.239999999998</v>
          </cell>
        </row>
        <row r="401">
          <cell r="A401">
            <v>4100008</v>
          </cell>
          <cell r="B401" t="str">
            <v>Gratif  Adm</v>
          </cell>
          <cell r="C401">
            <v>10218.43</v>
          </cell>
          <cell r="D401">
            <v>17106.7</v>
          </cell>
          <cell r="E401">
            <v>6888.27</v>
          </cell>
        </row>
        <row r="402">
          <cell r="A402">
            <v>4100009</v>
          </cell>
          <cell r="B402" t="str">
            <v>C y D  Administracion</v>
          </cell>
          <cell r="C402">
            <v>38443.58</v>
          </cell>
          <cell r="D402">
            <v>55048.800000000003</v>
          </cell>
          <cell r="E402">
            <v>16605.22</v>
          </cell>
        </row>
        <row r="403">
          <cell r="A403">
            <v>4100010</v>
          </cell>
          <cell r="B403" t="str">
            <v>Seguros ART  Adm</v>
          </cell>
          <cell r="C403">
            <v>16876.849999999999</v>
          </cell>
          <cell r="D403">
            <v>25442.65</v>
          </cell>
          <cell r="E403">
            <v>8565.8000000000029</v>
          </cell>
        </row>
        <row r="404">
          <cell r="A404">
            <v>4100011</v>
          </cell>
          <cell r="B404" t="str">
            <v>Cont y Transf  Adm</v>
          </cell>
          <cell r="C404">
            <v>60980.86</v>
          </cell>
          <cell r="D404">
            <v>65401.7</v>
          </cell>
          <cell r="E404">
            <v>4420.8399999999965</v>
          </cell>
        </row>
        <row r="405">
          <cell r="A405">
            <v>4100012</v>
          </cell>
          <cell r="B405" t="str">
            <v>Benef Admnistracion</v>
          </cell>
          <cell r="C405">
            <v>141056.78</v>
          </cell>
          <cell r="D405">
            <v>174221.95</v>
          </cell>
          <cell r="E405">
            <v>33165.170000000013</v>
          </cell>
        </row>
        <row r="406">
          <cell r="A406">
            <v>4100013</v>
          </cell>
          <cell r="B406" t="str">
            <v>Insumos Informatica</v>
          </cell>
          <cell r="C406">
            <v>4863.32</v>
          </cell>
          <cell r="D406">
            <v>5445.05</v>
          </cell>
          <cell r="E406">
            <v>581.73000000000047</v>
          </cell>
        </row>
        <row r="407">
          <cell r="A407">
            <v>4100014</v>
          </cell>
          <cell r="B407" t="str">
            <v>Serv Inf Prest por 3</v>
          </cell>
          <cell r="C407">
            <v>21735.94</v>
          </cell>
          <cell r="D407">
            <v>24311.78</v>
          </cell>
          <cell r="E407">
            <v>2575.84</v>
          </cell>
        </row>
        <row r="408">
          <cell r="A408">
            <v>4100015</v>
          </cell>
          <cell r="B408" t="str">
            <v>Serv Prest por 3°Ext</v>
          </cell>
          <cell r="C408">
            <v>22756.77</v>
          </cell>
          <cell r="D408">
            <v>27866.77</v>
          </cell>
          <cell r="E408">
            <v>5110</v>
          </cell>
        </row>
        <row r="409">
          <cell r="A409">
            <v>4100016</v>
          </cell>
          <cell r="B409" t="str">
            <v>Fletes</v>
          </cell>
          <cell r="C409">
            <v>6274.45</v>
          </cell>
          <cell r="D409">
            <v>6274.45</v>
          </cell>
          <cell r="E409">
            <v>0</v>
          </cell>
        </row>
        <row r="410">
          <cell r="A410">
            <v>4100017</v>
          </cell>
          <cell r="B410" t="str">
            <v>Elem de Seguridad</v>
          </cell>
          <cell r="C410">
            <v>233.04</v>
          </cell>
          <cell r="D410">
            <v>511.46</v>
          </cell>
          <cell r="E410">
            <v>278.41999999999996</v>
          </cell>
        </row>
        <row r="411">
          <cell r="A411">
            <v>4100018</v>
          </cell>
          <cell r="B411" t="str">
            <v>Energia Electrica</v>
          </cell>
          <cell r="C411">
            <v>-7115.9</v>
          </cell>
          <cell r="D411">
            <v>-3430.48</v>
          </cell>
          <cell r="E411">
            <v>3685.4199999999996</v>
          </cell>
        </row>
        <row r="412">
          <cell r="A412">
            <v>4100020</v>
          </cell>
          <cell r="B412" t="str">
            <v>Gas</v>
          </cell>
          <cell r="C412">
            <v>110.19</v>
          </cell>
          <cell r="D412">
            <v>110.19</v>
          </cell>
          <cell r="E412">
            <v>0</v>
          </cell>
        </row>
        <row r="413">
          <cell r="A413">
            <v>4100022</v>
          </cell>
          <cell r="B413" t="str">
            <v>Seguros</v>
          </cell>
          <cell r="C413">
            <v>160580.23000000001</v>
          </cell>
          <cell r="D413">
            <v>196041.08</v>
          </cell>
          <cell r="E413">
            <v>35460.849999999977</v>
          </cell>
        </row>
        <row r="414">
          <cell r="A414">
            <v>4100025</v>
          </cell>
          <cell r="B414" t="str">
            <v>Siniest Bienes</v>
          </cell>
          <cell r="C414">
            <v>1406.96</v>
          </cell>
          <cell r="D414">
            <v>1406.96</v>
          </cell>
          <cell r="E414">
            <v>0</v>
          </cell>
        </row>
        <row r="415">
          <cell r="A415">
            <v>4100026</v>
          </cell>
          <cell r="B415" t="str">
            <v>Papeleria Y Utiles</v>
          </cell>
          <cell r="C415">
            <v>40000.79</v>
          </cell>
          <cell r="D415">
            <v>50485.599999999999</v>
          </cell>
          <cell r="E415">
            <v>10484.809999999998</v>
          </cell>
        </row>
        <row r="416">
          <cell r="A416">
            <v>4100027</v>
          </cell>
          <cell r="B416" t="str">
            <v>Suscrip y Adhesiones</v>
          </cell>
          <cell r="C416">
            <v>23234.33</v>
          </cell>
          <cell r="D416">
            <v>25848.93</v>
          </cell>
          <cell r="E416">
            <v>2614.5999999999985</v>
          </cell>
        </row>
        <row r="417">
          <cell r="A417">
            <v>4100029</v>
          </cell>
          <cell r="B417" t="str">
            <v>Gastos de Limpieza</v>
          </cell>
          <cell r="C417">
            <v>8423.35</v>
          </cell>
          <cell r="D417">
            <v>8981.49</v>
          </cell>
          <cell r="E417">
            <v>558.13999999999942</v>
          </cell>
        </row>
        <row r="418">
          <cell r="A418">
            <v>4100030</v>
          </cell>
          <cell r="B418" t="str">
            <v>Movilidad y Comidas</v>
          </cell>
          <cell r="C418">
            <v>37094.300000000003</v>
          </cell>
          <cell r="D418">
            <v>42788.55</v>
          </cell>
          <cell r="E418">
            <v>5694.25</v>
          </cell>
        </row>
        <row r="419">
          <cell r="A419">
            <v>4100032</v>
          </cell>
          <cell r="B419" t="str">
            <v>Remises</v>
          </cell>
          <cell r="C419">
            <v>8561.3799999999992</v>
          </cell>
          <cell r="D419">
            <v>11498.03</v>
          </cell>
          <cell r="E419">
            <v>2936.6500000000015</v>
          </cell>
        </row>
        <row r="420">
          <cell r="A420">
            <v>4100033</v>
          </cell>
          <cell r="B420" t="str">
            <v>Impuestos y Tasas</v>
          </cell>
          <cell r="C420">
            <v>33199.54</v>
          </cell>
          <cell r="D420">
            <v>36517.519999999997</v>
          </cell>
          <cell r="E420">
            <v>3317.9799999999959</v>
          </cell>
        </row>
        <row r="421">
          <cell r="A421">
            <v>4100034</v>
          </cell>
          <cell r="B421" t="str">
            <v>Gastos Notariales</v>
          </cell>
          <cell r="C421">
            <v>3322.17</v>
          </cell>
          <cell r="D421">
            <v>5527.41</v>
          </cell>
          <cell r="E421">
            <v>2205.2399999999998</v>
          </cell>
        </row>
        <row r="422">
          <cell r="A422">
            <v>4100035</v>
          </cell>
          <cell r="B422" t="str">
            <v>Donaciones</v>
          </cell>
          <cell r="C422">
            <v>0</v>
          </cell>
          <cell r="D422">
            <v>300</v>
          </cell>
          <cell r="E422">
            <v>300</v>
          </cell>
        </row>
        <row r="423">
          <cell r="A423">
            <v>4100037</v>
          </cell>
          <cell r="B423" t="str">
            <v>Telefonos</v>
          </cell>
          <cell r="C423">
            <v>167415.04999999999</v>
          </cell>
          <cell r="D423">
            <v>197871.99</v>
          </cell>
          <cell r="E423">
            <v>30456.940000000002</v>
          </cell>
        </row>
        <row r="424">
          <cell r="A424">
            <v>4100038</v>
          </cell>
          <cell r="B424" t="str">
            <v>Pasajes Aereos</v>
          </cell>
          <cell r="C424">
            <v>44075.23</v>
          </cell>
          <cell r="D424">
            <v>53152.95</v>
          </cell>
          <cell r="E424">
            <v>9077.7199999999939</v>
          </cell>
        </row>
        <row r="425">
          <cell r="A425">
            <v>4100039</v>
          </cell>
          <cell r="B425" t="str">
            <v>Gastos Generales</v>
          </cell>
          <cell r="C425">
            <v>1201.04</v>
          </cell>
          <cell r="D425">
            <v>3617.76</v>
          </cell>
          <cell r="E425">
            <v>2416.7200000000003</v>
          </cell>
        </row>
        <row r="426">
          <cell r="A426">
            <v>4100040</v>
          </cell>
          <cell r="B426" t="str">
            <v>Hon Dir y Sind</v>
          </cell>
          <cell r="C426">
            <v>32750</v>
          </cell>
          <cell r="D426">
            <v>38000</v>
          </cell>
          <cell r="E426">
            <v>5250</v>
          </cell>
        </row>
        <row r="427">
          <cell r="A427">
            <v>4100041</v>
          </cell>
          <cell r="B427" t="str">
            <v>Plan Part Rdos</v>
          </cell>
          <cell r="C427">
            <v>665000</v>
          </cell>
          <cell r="D427">
            <v>665000</v>
          </cell>
          <cell r="E427">
            <v>0</v>
          </cell>
        </row>
        <row r="428">
          <cell r="A428">
            <v>4100042</v>
          </cell>
          <cell r="B428" t="str">
            <v>Mant Sistemas</v>
          </cell>
          <cell r="C428">
            <v>24228.560000000001</v>
          </cell>
          <cell r="D428">
            <v>30020.7</v>
          </cell>
          <cell r="E428">
            <v>5792.1399999999994</v>
          </cell>
        </row>
        <row r="429">
          <cell r="A429">
            <v>4100043</v>
          </cell>
          <cell r="B429" t="str">
            <v>Mant Edificios</v>
          </cell>
          <cell r="C429">
            <v>16525.61</v>
          </cell>
          <cell r="D429">
            <v>19152.46</v>
          </cell>
          <cell r="E429">
            <v>2626.8499999999985</v>
          </cell>
        </row>
        <row r="430">
          <cell r="A430">
            <v>4100045</v>
          </cell>
          <cell r="B430" t="str">
            <v>Mant equip Informati</v>
          </cell>
          <cell r="C430">
            <v>3381.5</v>
          </cell>
          <cell r="D430">
            <v>3783.02</v>
          </cell>
          <cell r="E430">
            <v>401.52</v>
          </cell>
        </row>
        <row r="431">
          <cell r="A431">
            <v>4100046</v>
          </cell>
          <cell r="B431" t="str">
            <v>Correo y Otros</v>
          </cell>
          <cell r="C431">
            <v>43770.84</v>
          </cell>
          <cell r="D431">
            <v>56844.81</v>
          </cell>
          <cell r="E431">
            <v>13073.970000000001</v>
          </cell>
        </row>
        <row r="432">
          <cell r="A432">
            <v>4100047</v>
          </cell>
          <cell r="B432" t="str">
            <v>Alq Software</v>
          </cell>
          <cell r="C432">
            <v>2345</v>
          </cell>
          <cell r="D432">
            <v>2345</v>
          </cell>
          <cell r="E432">
            <v>0</v>
          </cell>
        </row>
        <row r="433">
          <cell r="A433">
            <v>4100049</v>
          </cell>
          <cell r="B433" t="str">
            <v>Serv Prest por 3°</v>
          </cell>
          <cell r="C433">
            <v>274857.58</v>
          </cell>
          <cell r="D433">
            <v>376906.13</v>
          </cell>
          <cell r="E433">
            <v>102048.54999999999</v>
          </cell>
        </row>
        <row r="434">
          <cell r="A434">
            <v>4100050</v>
          </cell>
          <cell r="B434" t="str">
            <v>Abogados Externos</v>
          </cell>
          <cell r="C434">
            <v>34642.300000000003</v>
          </cell>
          <cell r="D434">
            <v>52739.86</v>
          </cell>
          <cell r="E434">
            <v>18097.559999999998</v>
          </cell>
        </row>
        <row r="435">
          <cell r="A435">
            <v>4100051</v>
          </cell>
          <cell r="B435" t="str">
            <v>Costas Judiciales</v>
          </cell>
          <cell r="C435">
            <v>22687.42</v>
          </cell>
          <cell r="D435">
            <v>26191.1</v>
          </cell>
          <cell r="E435">
            <v>3503.6800000000003</v>
          </cell>
        </row>
        <row r="436">
          <cell r="A436">
            <v>4100053</v>
          </cell>
          <cell r="B436" t="str">
            <v>Conting Laborales</v>
          </cell>
          <cell r="C436">
            <v>26000</v>
          </cell>
          <cell r="D436">
            <v>26000</v>
          </cell>
          <cell r="E436">
            <v>0</v>
          </cell>
        </row>
        <row r="437">
          <cell r="A437">
            <v>4100056</v>
          </cell>
          <cell r="B437" t="str">
            <v>Impuestos</v>
          </cell>
          <cell r="C437">
            <v>2652.65</v>
          </cell>
          <cell r="D437">
            <v>2627.03</v>
          </cell>
          <cell r="E437">
            <v>-25.619999999999891</v>
          </cell>
        </row>
        <row r="438">
          <cell r="A438">
            <v>4100057</v>
          </cell>
          <cell r="B438" t="str">
            <v>Gastos Por Juicios</v>
          </cell>
          <cell r="C438">
            <v>83.2</v>
          </cell>
          <cell r="D438">
            <v>15553.46</v>
          </cell>
          <cell r="E438">
            <v>15470.259999999998</v>
          </cell>
        </row>
        <row r="439">
          <cell r="A439">
            <v>4100058</v>
          </cell>
          <cell r="B439" t="str">
            <v>Ajuste de Cuentas</v>
          </cell>
          <cell r="C439">
            <v>4.24</v>
          </cell>
          <cell r="D439">
            <v>7.51</v>
          </cell>
          <cell r="E439">
            <v>3.2699999999999996</v>
          </cell>
        </row>
        <row r="440">
          <cell r="A440">
            <v>4100060</v>
          </cell>
          <cell r="B440" t="str">
            <v>Impuesto al deb/cred bancario</v>
          </cell>
          <cell r="C440">
            <v>67151.62</v>
          </cell>
          <cell r="D440">
            <v>138475.91</v>
          </cell>
          <cell r="E440">
            <v>71324.290000000008</v>
          </cell>
        </row>
        <row r="441">
          <cell r="A441">
            <v>4200001</v>
          </cell>
          <cell r="B441" t="str">
            <v>Sueldos Comercial</v>
          </cell>
          <cell r="C441">
            <v>223487.17</v>
          </cell>
          <cell r="D441">
            <v>270398.56</v>
          </cell>
          <cell r="E441">
            <v>46911.389999999985</v>
          </cell>
        </row>
        <row r="442">
          <cell r="A442">
            <v>4200002</v>
          </cell>
          <cell r="B442" t="str">
            <v>SAC Comercial</v>
          </cell>
          <cell r="C442">
            <v>21781.96</v>
          </cell>
          <cell r="D442">
            <v>26119.38</v>
          </cell>
          <cell r="E442">
            <v>4337.4200000000019</v>
          </cell>
        </row>
        <row r="443">
          <cell r="A443">
            <v>4200003</v>
          </cell>
          <cell r="B443" t="str">
            <v>Vac Comercial</v>
          </cell>
          <cell r="C443">
            <v>3977.61</v>
          </cell>
          <cell r="D443">
            <v>4403.17</v>
          </cell>
          <cell r="E443">
            <v>425.55999999999995</v>
          </cell>
        </row>
        <row r="444">
          <cell r="A444">
            <v>4200004</v>
          </cell>
          <cell r="B444" t="str">
            <v>Cs Soc Comercial</v>
          </cell>
          <cell r="C444">
            <v>49514.94</v>
          </cell>
          <cell r="D444">
            <v>59989.29</v>
          </cell>
          <cell r="E444">
            <v>10474.349999999999</v>
          </cell>
        </row>
        <row r="445">
          <cell r="A445">
            <v>4200006</v>
          </cell>
          <cell r="B445" t="str">
            <v>Indem Comercial</v>
          </cell>
          <cell r="C445">
            <v>54835</v>
          </cell>
          <cell r="D445">
            <v>54835</v>
          </cell>
          <cell r="E445">
            <v>0</v>
          </cell>
        </row>
        <row r="446">
          <cell r="A446">
            <v>4200007</v>
          </cell>
          <cell r="B446" t="str">
            <v>Benef No Rem Comerc</v>
          </cell>
          <cell r="C446">
            <v>29168.46</v>
          </cell>
          <cell r="D446">
            <v>35462.370000000003</v>
          </cell>
          <cell r="E446">
            <v>6293.9100000000035</v>
          </cell>
        </row>
        <row r="447">
          <cell r="A447">
            <v>4200008</v>
          </cell>
          <cell r="B447" t="str">
            <v>Gratif Pers Comercia</v>
          </cell>
          <cell r="C447">
            <v>18898</v>
          </cell>
          <cell r="D447">
            <v>18898</v>
          </cell>
          <cell r="E447">
            <v>0</v>
          </cell>
        </row>
        <row r="448">
          <cell r="A448">
            <v>4200010</v>
          </cell>
          <cell r="B448" t="str">
            <v>Seg. ART Comercial</v>
          </cell>
          <cell r="C448">
            <v>3003.9</v>
          </cell>
          <cell r="D448">
            <v>3844.02</v>
          </cell>
          <cell r="E448">
            <v>840.11999999999989</v>
          </cell>
        </row>
        <row r="449">
          <cell r="A449">
            <v>4200011</v>
          </cell>
          <cell r="B449" t="str">
            <v>H Extras Comercial</v>
          </cell>
          <cell r="C449">
            <v>568.95000000000005</v>
          </cell>
          <cell r="D449">
            <v>741.4</v>
          </cell>
          <cell r="E449">
            <v>172.44999999999993</v>
          </cell>
        </row>
        <row r="450">
          <cell r="A450">
            <v>4200013</v>
          </cell>
          <cell r="B450" t="str">
            <v>Benef al Pnal Comerc</v>
          </cell>
          <cell r="C450">
            <v>9717.08</v>
          </cell>
          <cell r="D450">
            <v>10455.469999999999</v>
          </cell>
          <cell r="E450">
            <v>738.38999999999942</v>
          </cell>
        </row>
        <row r="451">
          <cell r="A451">
            <v>4200014</v>
          </cell>
          <cell r="B451" t="str">
            <v>Insumos Informatica</v>
          </cell>
          <cell r="C451">
            <v>281.02</v>
          </cell>
          <cell r="D451">
            <v>281.02</v>
          </cell>
          <cell r="E451">
            <v>0</v>
          </cell>
        </row>
        <row r="452">
          <cell r="A452">
            <v>4200015</v>
          </cell>
          <cell r="B452" t="str">
            <v>Serv. Inf. Prest 3°</v>
          </cell>
          <cell r="C452">
            <v>1157.5</v>
          </cell>
          <cell r="D452">
            <v>1157.5</v>
          </cell>
          <cell r="E452">
            <v>0</v>
          </cell>
        </row>
        <row r="453">
          <cell r="A453">
            <v>4200020</v>
          </cell>
          <cell r="B453" t="str">
            <v>Agua</v>
          </cell>
          <cell r="C453">
            <v>270.01</v>
          </cell>
          <cell r="D453">
            <v>270.01</v>
          </cell>
          <cell r="E453">
            <v>0</v>
          </cell>
        </row>
        <row r="454">
          <cell r="A454">
            <v>4200022</v>
          </cell>
          <cell r="B454" t="str">
            <v>Seguros</v>
          </cell>
          <cell r="C454">
            <v>8856.1200000000008</v>
          </cell>
          <cell r="D454">
            <v>8856.1200000000008</v>
          </cell>
          <cell r="E454">
            <v>0</v>
          </cell>
        </row>
        <row r="455">
          <cell r="A455">
            <v>4200025</v>
          </cell>
          <cell r="B455" t="str">
            <v>Siniest Bienes</v>
          </cell>
          <cell r="C455">
            <v>4435.25</v>
          </cell>
          <cell r="D455">
            <v>4435.25</v>
          </cell>
          <cell r="E455">
            <v>0</v>
          </cell>
        </row>
        <row r="456">
          <cell r="A456">
            <v>4200026</v>
          </cell>
          <cell r="B456" t="str">
            <v>Papeleria y Ut de Of</v>
          </cell>
          <cell r="C456">
            <v>2458.44</v>
          </cell>
          <cell r="D456">
            <v>2892.4</v>
          </cell>
          <cell r="E456">
            <v>433.96000000000004</v>
          </cell>
        </row>
        <row r="457">
          <cell r="A457">
            <v>4200027</v>
          </cell>
          <cell r="B457" t="str">
            <v>Suscrip y Adhesiones</v>
          </cell>
          <cell r="C457">
            <v>0</v>
          </cell>
          <cell r="D457">
            <v>60</v>
          </cell>
          <cell r="E457">
            <v>60</v>
          </cell>
        </row>
        <row r="458">
          <cell r="A458">
            <v>4200029</v>
          </cell>
          <cell r="B458" t="str">
            <v>Gastos Limpieza</v>
          </cell>
          <cell r="C458">
            <v>4.7</v>
          </cell>
          <cell r="D458">
            <v>3034.7</v>
          </cell>
          <cell r="E458">
            <v>3030</v>
          </cell>
        </row>
        <row r="459">
          <cell r="A459">
            <v>4200030</v>
          </cell>
          <cell r="B459" t="str">
            <v>Movilidad y Comidas</v>
          </cell>
          <cell r="C459">
            <v>17992.22</v>
          </cell>
          <cell r="D459">
            <v>22205.47</v>
          </cell>
          <cell r="E459">
            <v>4213.25</v>
          </cell>
        </row>
        <row r="460">
          <cell r="A460">
            <v>4200031</v>
          </cell>
          <cell r="B460" t="str">
            <v>Atenciones a Terceros</v>
          </cell>
          <cell r="C460">
            <v>378.98</v>
          </cell>
          <cell r="D460">
            <v>378.98</v>
          </cell>
          <cell r="E460">
            <v>0</v>
          </cell>
        </row>
        <row r="461">
          <cell r="A461">
            <v>4200032</v>
          </cell>
          <cell r="B461" t="str">
            <v>Remises</v>
          </cell>
          <cell r="C461">
            <v>3804.05</v>
          </cell>
          <cell r="D461">
            <v>4817.6499999999996</v>
          </cell>
          <cell r="E461">
            <v>1013.5999999999995</v>
          </cell>
        </row>
        <row r="462">
          <cell r="A462">
            <v>4200033</v>
          </cell>
          <cell r="B462" t="str">
            <v>Impuestos y Tasas</v>
          </cell>
          <cell r="C462">
            <v>891.07</v>
          </cell>
          <cell r="D462">
            <v>891.07</v>
          </cell>
          <cell r="E462">
            <v>0</v>
          </cell>
        </row>
        <row r="463">
          <cell r="A463">
            <v>4200034</v>
          </cell>
          <cell r="B463" t="str">
            <v>Gastos Notariales</v>
          </cell>
          <cell r="C463">
            <v>0</v>
          </cell>
          <cell r="D463">
            <v>20</v>
          </cell>
          <cell r="E463">
            <v>20</v>
          </cell>
        </row>
        <row r="464">
          <cell r="A464">
            <v>4200035</v>
          </cell>
          <cell r="B464" t="str">
            <v>Donaciones</v>
          </cell>
          <cell r="C464">
            <v>100</v>
          </cell>
          <cell r="D464">
            <v>100</v>
          </cell>
          <cell r="E464">
            <v>0</v>
          </cell>
        </row>
        <row r="465">
          <cell r="A465">
            <v>4200036</v>
          </cell>
          <cell r="B465" t="str">
            <v>Prom y Publicidad</v>
          </cell>
          <cell r="C465">
            <v>11338.45</v>
          </cell>
          <cell r="D465">
            <v>11722.82</v>
          </cell>
          <cell r="E465">
            <v>384.36999999999898</v>
          </cell>
        </row>
        <row r="466">
          <cell r="A466">
            <v>4200037</v>
          </cell>
          <cell r="B466" t="str">
            <v>Telefonos</v>
          </cell>
          <cell r="C466">
            <v>90.11</v>
          </cell>
          <cell r="D466">
            <v>90.11</v>
          </cell>
          <cell r="E466">
            <v>0</v>
          </cell>
        </row>
        <row r="467">
          <cell r="A467">
            <v>4200038</v>
          </cell>
          <cell r="B467" t="str">
            <v>Pasajes Aereos</v>
          </cell>
          <cell r="C467">
            <v>23630.52</v>
          </cell>
          <cell r="D467">
            <v>25428.06</v>
          </cell>
          <cell r="E467">
            <v>1797.5400000000009</v>
          </cell>
        </row>
        <row r="468">
          <cell r="A468">
            <v>4200046</v>
          </cell>
          <cell r="B468" t="str">
            <v>Correo y Otros</v>
          </cell>
          <cell r="C468">
            <v>1500.95</v>
          </cell>
          <cell r="D468">
            <v>1524.95</v>
          </cell>
          <cell r="E468">
            <v>24</v>
          </cell>
        </row>
        <row r="469">
          <cell r="A469">
            <v>4200048</v>
          </cell>
          <cell r="B469" t="str">
            <v>Alquileres Hardware</v>
          </cell>
          <cell r="C469">
            <v>283</v>
          </cell>
          <cell r="D469">
            <v>283</v>
          </cell>
          <cell r="E469">
            <v>0</v>
          </cell>
        </row>
        <row r="470">
          <cell r="A470">
            <v>4200049</v>
          </cell>
          <cell r="B470" t="str">
            <v>Serv Prest por 3°</v>
          </cell>
          <cell r="C470">
            <v>9863.35</v>
          </cell>
          <cell r="D470">
            <v>9863.35</v>
          </cell>
          <cell r="E470">
            <v>0</v>
          </cell>
        </row>
        <row r="471">
          <cell r="A471">
            <v>4200054</v>
          </cell>
          <cell r="B471" t="str">
            <v>Conting Resp Civil</v>
          </cell>
          <cell r="C471">
            <v>3731.56</v>
          </cell>
          <cell r="D471">
            <v>3731.56</v>
          </cell>
          <cell r="E471">
            <v>0</v>
          </cell>
        </row>
        <row r="472">
          <cell r="A472">
            <v>4200063</v>
          </cell>
          <cell r="B472" t="str">
            <v>Ajuste de Cuentas</v>
          </cell>
          <cell r="C472">
            <v>5.92</v>
          </cell>
          <cell r="D472">
            <v>5.51</v>
          </cell>
          <cell r="E472">
            <v>-0.41000000000000014</v>
          </cell>
        </row>
        <row r="473">
          <cell r="A473">
            <v>4300001</v>
          </cell>
          <cell r="B473" t="str">
            <v>Gastos Bancarios</v>
          </cell>
          <cell r="C473">
            <v>159742.49</v>
          </cell>
          <cell r="D473">
            <v>194633.5</v>
          </cell>
          <cell r="E473">
            <v>34891.010000000009</v>
          </cell>
        </row>
        <row r="474">
          <cell r="A474">
            <v>4300002</v>
          </cell>
          <cell r="B474" t="str">
            <v>Intereses por Financiamiento Bancario</v>
          </cell>
          <cell r="C474">
            <v>3396791.07</v>
          </cell>
          <cell r="D474">
            <v>4092566.6</v>
          </cell>
          <cell r="E474">
            <v>695775.53000000026</v>
          </cell>
        </row>
        <row r="475">
          <cell r="A475">
            <v>4300003</v>
          </cell>
          <cell r="B475" t="str">
            <v>Diferencia de Cambio</v>
          </cell>
          <cell r="C475">
            <v>1213.6199999999999</v>
          </cell>
          <cell r="D475">
            <v>2306.25</v>
          </cell>
          <cell r="E475">
            <v>1092.6300000000001</v>
          </cell>
        </row>
        <row r="476">
          <cell r="A476">
            <v>4300005</v>
          </cell>
          <cell r="B476" t="str">
            <v>Imp. sobre Intereses</v>
          </cell>
          <cell r="C476">
            <v>225781.7</v>
          </cell>
          <cell r="D476">
            <v>274567.99</v>
          </cell>
          <cell r="E476">
            <v>48786.289999999979</v>
          </cell>
        </row>
        <row r="477">
          <cell r="A477">
            <v>4300006</v>
          </cell>
          <cell r="B477" t="str">
            <v>Acrec Benef del Exte</v>
          </cell>
          <cell r="C477">
            <v>4673.88</v>
          </cell>
          <cell r="D477">
            <v>4673.88</v>
          </cell>
          <cell r="E477">
            <v>0</v>
          </cell>
        </row>
        <row r="478">
          <cell r="A478">
            <v>4300012</v>
          </cell>
          <cell r="B478" t="str">
            <v>Intereses por Financiamiento de Proveed</v>
          </cell>
          <cell r="C478">
            <v>0</v>
          </cell>
          <cell r="D478">
            <v>2243.21</v>
          </cell>
          <cell r="E478">
            <v>2243.21</v>
          </cell>
        </row>
        <row r="479">
          <cell r="A479">
            <v>4500003</v>
          </cell>
          <cell r="B479" t="str">
            <v>Revalorización de Stock</v>
          </cell>
          <cell r="C479">
            <v>28166.11</v>
          </cell>
          <cell r="D479">
            <v>28926.6</v>
          </cell>
          <cell r="E479">
            <v>760.48999999999796</v>
          </cell>
        </row>
        <row r="480">
          <cell r="A480">
            <v>4800003</v>
          </cell>
          <cell r="B480" t="str">
            <v>Rdos Ext Perdida</v>
          </cell>
          <cell r="C480">
            <v>135358.64000000001</v>
          </cell>
          <cell r="D480">
            <v>135358.64000000001</v>
          </cell>
          <cell r="E480">
            <v>0</v>
          </cell>
        </row>
        <row r="481">
          <cell r="A481">
            <v>5110011</v>
          </cell>
          <cell r="B481" t="str">
            <v>Fletes Ferroviarios</v>
          </cell>
          <cell r="C481">
            <v>-18381602.5</v>
          </cell>
          <cell r="D481">
            <v>-21373522.59</v>
          </cell>
          <cell r="E481">
            <v>-2991920.09</v>
          </cell>
        </row>
        <row r="482">
          <cell r="A482">
            <v>5110014</v>
          </cell>
          <cell r="B482" t="str">
            <v>Ingresos otro FC</v>
          </cell>
          <cell r="C482">
            <v>-45695.3</v>
          </cell>
          <cell r="D482">
            <v>-45695.3</v>
          </cell>
          <cell r="E482">
            <v>0</v>
          </cell>
        </row>
        <row r="483">
          <cell r="A483">
            <v>5110015</v>
          </cell>
          <cell r="B483" t="str">
            <v>Ingresos ALL Brasil</v>
          </cell>
          <cell r="C483">
            <v>-3998.22</v>
          </cell>
          <cell r="D483">
            <v>-11328.29</v>
          </cell>
          <cell r="E483">
            <v>-7330.0700000000015</v>
          </cell>
        </row>
        <row r="484">
          <cell r="A484">
            <v>5110017</v>
          </cell>
          <cell r="B484" t="str">
            <v>Otros Ingresos</v>
          </cell>
          <cell r="C484">
            <v>-88615.97</v>
          </cell>
          <cell r="D484">
            <v>-86292.05</v>
          </cell>
          <cell r="E484">
            <v>2323.9199999999983</v>
          </cell>
        </row>
        <row r="485">
          <cell r="A485">
            <v>5110111</v>
          </cell>
          <cell r="B485" t="str">
            <v>Camion Palmira</v>
          </cell>
          <cell r="C485">
            <v>-310274.63</v>
          </cell>
          <cell r="D485">
            <v>-357419.97</v>
          </cell>
          <cell r="E485">
            <v>-47145.339999999967</v>
          </cell>
        </row>
        <row r="486">
          <cell r="A486">
            <v>5110112</v>
          </cell>
          <cell r="B486" t="str">
            <v>Camion Albardon</v>
          </cell>
          <cell r="C486">
            <v>-3701.69</v>
          </cell>
          <cell r="D486">
            <v>-3701.69</v>
          </cell>
          <cell r="E486">
            <v>0</v>
          </cell>
        </row>
        <row r="487">
          <cell r="A487">
            <v>5110113</v>
          </cell>
          <cell r="B487" t="str">
            <v>Camion V Mercedes</v>
          </cell>
          <cell r="C487">
            <v>-1532.78</v>
          </cell>
          <cell r="D487">
            <v>-1662.78</v>
          </cell>
          <cell r="E487">
            <v>-130</v>
          </cell>
        </row>
        <row r="488">
          <cell r="A488">
            <v>5110115</v>
          </cell>
          <cell r="B488" t="str">
            <v>Camion P Vargas</v>
          </cell>
          <cell r="C488">
            <v>-50</v>
          </cell>
          <cell r="D488">
            <v>-50</v>
          </cell>
          <cell r="E488">
            <v>0</v>
          </cell>
        </row>
        <row r="489">
          <cell r="A489">
            <v>5110131</v>
          </cell>
          <cell r="B489" t="str">
            <v>Manip Palmira</v>
          </cell>
          <cell r="C489">
            <v>-68710.83</v>
          </cell>
          <cell r="D489">
            <v>-76477.210000000006</v>
          </cell>
          <cell r="E489">
            <v>-7766.3800000000047</v>
          </cell>
        </row>
        <row r="490">
          <cell r="A490">
            <v>5110132</v>
          </cell>
          <cell r="B490" t="str">
            <v>Manip Albardon</v>
          </cell>
          <cell r="C490">
            <v>-1301.24</v>
          </cell>
          <cell r="D490">
            <v>-1301.24</v>
          </cell>
          <cell r="E490">
            <v>0</v>
          </cell>
        </row>
        <row r="491">
          <cell r="A491">
            <v>5110133</v>
          </cell>
          <cell r="B491" t="str">
            <v>Manip V Mercedes</v>
          </cell>
          <cell r="C491">
            <v>-40.71</v>
          </cell>
          <cell r="D491">
            <v>-215.71</v>
          </cell>
          <cell r="E491">
            <v>-175</v>
          </cell>
        </row>
        <row r="492">
          <cell r="A492">
            <v>5110135</v>
          </cell>
          <cell r="B492" t="str">
            <v>Manip P Vargas</v>
          </cell>
          <cell r="C492">
            <v>-24</v>
          </cell>
          <cell r="D492">
            <v>-24</v>
          </cell>
          <cell r="E492">
            <v>0</v>
          </cell>
        </row>
        <row r="493">
          <cell r="A493">
            <v>5110181</v>
          </cell>
          <cell r="B493" t="str">
            <v>Dep.Fiscal Palmira</v>
          </cell>
          <cell r="C493">
            <v>-411.71</v>
          </cell>
          <cell r="D493">
            <v>-3395.72</v>
          </cell>
          <cell r="E493">
            <v>-2984.0099999999998</v>
          </cell>
        </row>
        <row r="494">
          <cell r="A494">
            <v>5110311</v>
          </cell>
          <cell r="B494" t="str">
            <v>Camion Alianza</v>
          </cell>
          <cell r="C494">
            <v>-58396.17</v>
          </cell>
          <cell r="D494">
            <v>-78761.25</v>
          </cell>
          <cell r="E494">
            <v>-20365.080000000002</v>
          </cell>
        </row>
        <row r="495">
          <cell r="A495">
            <v>5110312</v>
          </cell>
          <cell r="B495" t="str">
            <v>Camion Palermo</v>
          </cell>
          <cell r="C495">
            <v>-103201.15</v>
          </cell>
          <cell r="D495">
            <v>-103201.15</v>
          </cell>
          <cell r="E495">
            <v>0</v>
          </cell>
        </row>
        <row r="496">
          <cell r="A496">
            <v>5110313</v>
          </cell>
          <cell r="B496" t="str">
            <v>Camion Retiro</v>
          </cell>
          <cell r="C496">
            <v>-1140</v>
          </cell>
          <cell r="D496">
            <v>-1605</v>
          </cell>
          <cell r="E496">
            <v>-465</v>
          </cell>
        </row>
        <row r="497">
          <cell r="A497">
            <v>5110331</v>
          </cell>
          <cell r="B497" t="str">
            <v>Manip Alianza</v>
          </cell>
          <cell r="C497">
            <v>-377.36</v>
          </cell>
          <cell r="D497">
            <v>-696.91</v>
          </cell>
          <cell r="E497">
            <v>-319.54999999999995</v>
          </cell>
        </row>
        <row r="498">
          <cell r="A498">
            <v>5110332</v>
          </cell>
          <cell r="B498" t="str">
            <v>Manip Palermo</v>
          </cell>
          <cell r="C498">
            <v>-46760.88</v>
          </cell>
          <cell r="D498">
            <v>-48460.32</v>
          </cell>
          <cell r="E498">
            <v>-1699.4400000000023</v>
          </cell>
        </row>
        <row r="499">
          <cell r="A499">
            <v>5110333</v>
          </cell>
          <cell r="B499" t="str">
            <v>Manip Retiro</v>
          </cell>
          <cell r="C499">
            <v>-255</v>
          </cell>
          <cell r="D499">
            <v>-315</v>
          </cell>
          <cell r="E499">
            <v>-60</v>
          </cell>
        </row>
        <row r="500">
          <cell r="A500">
            <v>5110385</v>
          </cell>
          <cell r="B500" t="str">
            <v>Dep.F. M Coronado</v>
          </cell>
          <cell r="C500">
            <v>-2600</v>
          </cell>
          <cell r="D500">
            <v>-2600</v>
          </cell>
          <cell r="E500">
            <v>0</v>
          </cell>
        </row>
        <row r="501">
          <cell r="A501">
            <v>5120001</v>
          </cell>
          <cell r="B501" t="str">
            <v>Arrendamientos</v>
          </cell>
          <cell r="C501">
            <v>-1458466.71</v>
          </cell>
          <cell r="D501">
            <v>-1610141</v>
          </cell>
          <cell r="E501">
            <v>-151674.29000000004</v>
          </cell>
        </row>
        <row r="502">
          <cell r="A502">
            <v>5120002</v>
          </cell>
          <cell r="B502" t="str">
            <v>Peajes</v>
          </cell>
          <cell r="C502">
            <v>-1485601.7</v>
          </cell>
          <cell r="D502">
            <v>-1660832.15</v>
          </cell>
          <cell r="E502">
            <v>-175230.44999999995</v>
          </cell>
        </row>
        <row r="503">
          <cell r="A503">
            <v>5120003</v>
          </cell>
          <cell r="B503" t="str">
            <v>Cruces</v>
          </cell>
          <cell r="C503">
            <v>-13530</v>
          </cell>
          <cell r="D503">
            <v>-90680</v>
          </cell>
          <cell r="E503">
            <v>-77150</v>
          </cell>
        </row>
        <row r="504">
          <cell r="A504">
            <v>5120004</v>
          </cell>
          <cell r="B504" t="str">
            <v>Ing.Otros Servicios</v>
          </cell>
          <cell r="C504">
            <v>-18000</v>
          </cell>
          <cell r="D504">
            <v>-18000</v>
          </cell>
          <cell r="E504">
            <v>0</v>
          </cell>
        </row>
        <row r="505">
          <cell r="A505">
            <v>5120005</v>
          </cell>
          <cell r="B505" t="str">
            <v>Arrendamientos a devengar</v>
          </cell>
          <cell r="C505">
            <v>23320.43</v>
          </cell>
          <cell r="D505">
            <v>-69983.17</v>
          </cell>
          <cell r="E505">
            <v>-93303.6</v>
          </cell>
        </row>
        <row r="506">
          <cell r="A506">
            <v>5120006</v>
          </cell>
          <cell r="B506" t="str">
            <v>Peajes a facturar</v>
          </cell>
          <cell r="C506">
            <v>468282.47</v>
          </cell>
          <cell r="D506">
            <v>468282.47</v>
          </cell>
          <cell r="E506">
            <v>0</v>
          </cell>
        </row>
        <row r="507">
          <cell r="A507">
            <v>5210201</v>
          </cell>
          <cell r="B507" t="str">
            <v>Int Gan Op Fcieras</v>
          </cell>
          <cell r="C507">
            <v>-908.94</v>
          </cell>
          <cell r="D507">
            <v>-908.94</v>
          </cell>
          <cell r="E507">
            <v>0</v>
          </cell>
        </row>
        <row r="508">
          <cell r="A508">
            <v>5210202</v>
          </cell>
          <cell r="B508" t="str">
            <v>Descuentos Obtenidos</v>
          </cell>
          <cell r="C508">
            <v>-356.5</v>
          </cell>
          <cell r="D508">
            <v>-356.5</v>
          </cell>
          <cell r="E508">
            <v>0</v>
          </cell>
        </row>
        <row r="509">
          <cell r="A509">
            <v>5210203</v>
          </cell>
          <cell r="B509" t="str">
            <v>Int Cobrados s/serv</v>
          </cell>
          <cell r="C509">
            <v>-14481.27</v>
          </cell>
          <cell r="D509">
            <v>-24386.54</v>
          </cell>
          <cell r="E509">
            <v>-9905.27</v>
          </cell>
        </row>
        <row r="510">
          <cell r="A510">
            <v>5310101</v>
          </cell>
          <cell r="B510" t="str">
            <v>Ing Varios</v>
          </cell>
          <cell r="C510">
            <v>-15.83</v>
          </cell>
          <cell r="D510">
            <v>-15.83</v>
          </cell>
          <cell r="E510">
            <v>0</v>
          </cell>
        </row>
        <row r="511">
          <cell r="A511">
            <v>8000001</v>
          </cell>
          <cell r="B511" t="str">
            <v>Carga Inicial Estoque</v>
          </cell>
          <cell r="C511">
            <v>-2763.55</v>
          </cell>
          <cell r="D511">
            <v>0</v>
          </cell>
          <cell r="E511">
            <v>2763.55</v>
          </cell>
        </row>
        <row r="512">
          <cell r="E512">
            <v>0</v>
          </cell>
        </row>
        <row r="513">
          <cell r="E513">
            <v>0</v>
          </cell>
        </row>
        <row r="514">
          <cell r="E514">
            <v>0</v>
          </cell>
        </row>
        <row r="515">
          <cell r="E515">
            <v>0</v>
          </cell>
        </row>
        <row r="516">
          <cell r="E516">
            <v>0</v>
          </cell>
        </row>
        <row r="517">
          <cell r="E517">
            <v>0</v>
          </cell>
        </row>
        <row r="518">
          <cell r="E518">
            <v>0</v>
          </cell>
        </row>
        <row r="519">
          <cell r="E519">
            <v>0</v>
          </cell>
        </row>
        <row r="520">
          <cell r="E520">
            <v>0</v>
          </cell>
        </row>
        <row r="521">
          <cell r="E521">
            <v>0</v>
          </cell>
        </row>
        <row r="522">
          <cell r="E522">
            <v>0</v>
          </cell>
        </row>
        <row r="523">
          <cell r="E523">
            <v>0</v>
          </cell>
        </row>
        <row r="524">
          <cell r="E524">
            <v>0</v>
          </cell>
        </row>
        <row r="525">
          <cell r="E525">
            <v>0</v>
          </cell>
        </row>
        <row r="526">
          <cell r="E526">
            <v>0</v>
          </cell>
        </row>
        <row r="527">
          <cell r="E527">
            <v>0</v>
          </cell>
        </row>
        <row r="528">
          <cell r="E528">
            <v>0</v>
          </cell>
        </row>
        <row r="529">
          <cell r="E529">
            <v>0</v>
          </cell>
        </row>
        <row r="530">
          <cell r="E530">
            <v>0</v>
          </cell>
        </row>
        <row r="531">
          <cell r="E531">
            <v>0</v>
          </cell>
        </row>
        <row r="532">
          <cell r="E532">
            <v>0</v>
          </cell>
        </row>
        <row r="533">
          <cell r="E533">
            <v>0</v>
          </cell>
        </row>
        <row r="534">
          <cell r="E534">
            <v>0</v>
          </cell>
        </row>
        <row r="535">
          <cell r="E535">
            <v>0</v>
          </cell>
        </row>
        <row r="536">
          <cell r="E536">
            <v>0</v>
          </cell>
        </row>
        <row r="537">
          <cell r="E537">
            <v>0</v>
          </cell>
        </row>
        <row r="538">
          <cell r="E538">
            <v>0</v>
          </cell>
        </row>
        <row r="539">
          <cell r="E539">
            <v>0</v>
          </cell>
        </row>
        <row r="540">
          <cell r="E540">
            <v>0</v>
          </cell>
        </row>
        <row r="541">
          <cell r="E541">
            <v>0</v>
          </cell>
        </row>
        <row r="542">
          <cell r="E542">
            <v>0</v>
          </cell>
        </row>
        <row r="543">
          <cell r="E543">
            <v>0</v>
          </cell>
        </row>
        <row r="544">
          <cell r="E544">
            <v>0</v>
          </cell>
        </row>
        <row r="545">
          <cell r="E545">
            <v>0</v>
          </cell>
        </row>
        <row r="546">
          <cell r="E546">
            <v>0</v>
          </cell>
        </row>
        <row r="547">
          <cell r="E547">
            <v>0</v>
          </cell>
        </row>
        <row r="548">
          <cell r="E548">
            <v>0</v>
          </cell>
        </row>
        <row r="549">
          <cell r="E549">
            <v>0</v>
          </cell>
        </row>
        <row r="550">
          <cell r="E550">
            <v>0</v>
          </cell>
        </row>
        <row r="551">
          <cell r="E551">
            <v>0</v>
          </cell>
        </row>
        <row r="552">
          <cell r="E552">
            <v>0</v>
          </cell>
        </row>
        <row r="553">
          <cell r="E553">
            <v>0</v>
          </cell>
        </row>
        <row r="554">
          <cell r="E554">
            <v>0</v>
          </cell>
        </row>
        <row r="555">
          <cell r="E555">
            <v>0</v>
          </cell>
        </row>
        <row r="556">
          <cell r="E556">
            <v>0</v>
          </cell>
        </row>
        <row r="557">
          <cell r="E557">
            <v>0</v>
          </cell>
        </row>
        <row r="558">
          <cell r="E558">
            <v>0</v>
          </cell>
        </row>
        <row r="559">
          <cell r="E559">
            <v>0</v>
          </cell>
        </row>
        <row r="560">
          <cell r="E560">
            <v>0</v>
          </cell>
        </row>
        <row r="561">
          <cell r="E561">
            <v>0</v>
          </cell>
        </row>
        <row r="562">
          <cell r="E562">
            <v>0</v>
          </cell>
        </row>
        <row r="563">
          <cell r="E563">
            <v>0</v>
          </cell>
        </row>
        <row r="564">
          <cell r="E564">
            <v>0</v>
          </cell>
        </row>
        <row r="565">
          <cell r="E565">
            <v>0</v>
          </cell>
        </row>
        <row r="566">
          <cell r="E566">
            <v>0</v>
          </cell>
        </row>
        <row r="567">
          <cell r="E567">
            <v>0</v>
          </cell>
        </row>
        <row r="568">
          <cell r="E568">
            <v>0</v>
          </cell>
        </row>
        <row r="569">
          <cell r="E569">
            <v>0</v>
          </cell>
        </row>
        <row r="570">
          <cell r="E570">
            <v>0</v>
          </cell>
        </row>
        <row r="571">
          <cell r="E571">
            <v>0</v>
          </cell>
        </row>
        <row r="572">
          <cell r="E572">
            <v>0</v>
          </cell>
        </row>
        <row r="573">
          <cell r="E573">
            <v>0</v>
          </cell>
        </row>
        <row r="574">
          <cell r="E574">
            <v>0</v>
          </cell>
        </row>
        <row r="575">
          <cell r="E575">
            <v>0</v>
          </cell>
        </row>
        <row r="576">
          <cell r="E576">
            <v>0</v>
          </cell>
        </row>
        <row r="577">
          <cell r="E577">
            <v>0</v>
          </cell>
        </row>
        <row r="578">
          <cell r="E578">
            <v>0</v>
          </cell>
        </row>
        <row r="579">
          <cell r="E579">
            <v>0</v>
          </cell>
        </row>
        <row r="580">
          <cell r="E580">
            <v>0</v>
          </cell>
        </row>
        <row r="581">
          <cell r="E581">
            <v>0</v>
          </cell>
        </row>
        <row r="582">
          <cell r="E582">
            <v>0</v>
          </cell>
        </row>
        <row r="583">
          <cell r="E583">
            <v>0</v>
          </cell>
        </row>
        <row r="584">
          <cell r="E584">
            <v>0</v>
          </cell>
        </row>
        <row r="585">
          <cell r="E585">
            <v>0</v>
          </cell>
        </row>
        <row r="586">
          <cell r="E586">
            <v>0</v>
          </cell>
        </row>
        <row r="587">
          <cell r="E587">
            <v>0</v>
          </cell>
        </row>
        <row r="588">
          <cell r="E588">
            <v>0</v>
          </cell>
        </row>
        <row r="589">
          <cell r="E589">
            <v>0</v>
          </cell>
        </row>
        <row r="590">
          <cell r="E590">
            <v>0</v>
          </cell>
        </row>
        <row r="591">
          <cell r="E591">
            <v>0</v>
          </cell>
        </row>
        <row r="592">
          <cell r="E592">
            <v>0</v>
          </cell>
        </row>
        <row r="593">
          <cell r="E593">
            <v>0</v>
          </cell>
        </row>
        <row r="594">
          <cell r="E594">
            <v>0</v>
          </cell>
        </row>
        <row r="595">
          <cell r="E595">
            <v>0</v>
          </cell>
        </row>
        <row r="596">
          <cell r="E596">
            <v>0</v>
          </cell>
        </row>
        <row r="597">
          <cell r="E597">
            <v>0</v>
          </cell>
        </row>
        <row r="598">
          <cell r="E598">
            <v>0</v>
          </cell>
        </row>
        <row r="599">
          <cell r="E599">
            <v>0</v>
          </cell>
        </row>
        <row r="600">
          <cell r="E600">
            <v>0</v>
          </cell>
        </row>
        <row r="601">
          <cell r="E601">
            <v>0</v>
          </cell>
        </row>
        <row r="602">
          <cell r="E602">
            <v>0</v>
          </cell>
        </row>
        <row r="603">
          <cell r="E603">
            <v>0</v>
          </cell>
        </row>
        <row r="604">
          <cell r="E604">
            <v>0</v>
          </cell>
        </row>
        <row r="605">
          <cell r="E605">
            <v>0</v>
          </cell>
        </row>
        <row r="606">
          <cell r="E606">
            <v>0</v>
          </cell>
        </row>
        <row r="607">
          <cell r="E607">
            <v>0</v>
          </cell>
        </row>
        <row r="608">
          <cell r="E608">
            <v>0</v>
          </cell>
        </row>
        <row r="609">
          <cell r="E609">
            <v>0</v>
          </cell>
        </row>
        <row r="610">
          <cell r="E610">
            <v>0</v>
          </cell>
        </row>
        <row r="611">
          <cell r="E611">
            <v>0</v>
          </cell>
        </row>
        <row r="612">
          <cell r="E612">
            <v>0</v>
          </cell>
        </row>
        <row r="613">
          <cell r="E613">
            <v>0</v>
          </cell>
        </row>
        <row r="614">
          <cell r="E614">
            <v>0</v>
          </cell>
        </row>
        <row r="615">
          <cell r="E615">
            <v>0</v>
          </cell>
        </row>
        <row r="616">
          <cell r="E616">
            <v>0</v>
          </cell>
        </row>
        <row r="617">
          <cell r="E617">
            <v>0</v>
          </cell>
        </row>
        <row r="618">
          <cell r="E618">
            <v>0</v>
          </cell>
        </row>
        <row r="619">
          <cell r="E619">
            <v>0</v>
          </cell>
        </row>
        <row r="620">
          <cell r="E620">
            <v>0</v>
          </cell>
        </row>
        <row r="621">
          <cell r="E621">
            <v>0</v>
          </cell>
        </row>
        <row r="622">
          <cell r="E622">
            <v>0</v>
          </cell>
        </row>
        <row r="623">
          <cell r="E623">
            <v>0</v>
          </cell>
        </row>
        <row r="624">
          <cell r="E624">
            <v>0</v>
          </cell>
        </row>
        <row r="625">
          <cell r="E625">
            <v>0</v>
          </cell>
        </row>
        <row r="626">
          <cell r="E626">
            <v>0</v>
          </cell>
        </row>
        <row r="627">
          <cell r="E627">
            <v>0</v>
          </cell>
        </row>
        <row r="628">
          <cell r="E628">
            <v>0</v>
          </cell>
        </row>
        <row r="629">
          <cell r="E629">
            <v>0</v>
          </cell>
        </row>
        <row r="630">
          <cell r="E630">
            <v>0</v>
          </cell>
        </row>
        <row r="631">
          <cell r="E631">
            <v>0</v>
          </cell>
        </row>
        <row r="632">
          <cell r="E632">
            <v>0</v>
          </cell>
        </row>
        <row r="633">
          <cell r="E633">
            <v>0</v>
          </cell>
        </row>
        <row r="634">
          <cell r="E634">
            <v>0</v>
          </cell>
        </row>
        <row r="635">
          <cell r="E635">
            <v>0</v>
          </cell>
        </row>
        <row r="636">
          <cell r="E636">
            <v>0</v>
          </cell>
        </row>
        <row r="637">
          <cell r="E637">
            <v>0</v>
          </cell>
        </row>
        <row r="638">
          <cell r="E638">
            <v>0</v>
          </cell>
        </row>
        <row r="639">
          <cell r="E639">
            <v>0</v>
          </cell>
        </row>
        <row r="640">
          <cell r="E640">
            <v>0</v>
          </cell>
        </row>
        <row r="641">
          <cell r="E641">
            <v>0</v>
          </cell>
        </row>
        <row r="642">
          <cell r="E642">
            <v>0</v>
          </cell>
        </row>
        <row r="643">
          <cell r="E643">
            <v>0</v>
          </cell>
        </row>
        <row r="644">
          <cell r="E644">
            <v>0</v>
          </cell>
        </row>
        <row r="645">
          <cell r="E645">
            <v>0</v>
          </cell>
        </row>
        <row r="646">
          <cell r="E646">
            <v>0</v>
          </cell>
        </row>
        <row r="647">
          <cell r="E647">
            <v>0</v>
          </cell>
        </row>
        <row r="648">
          <cell r="E648">
            <v>0</v>
          </cell>
        </row>
        <row r="649">
          <cell r="E649">
            <v>0</v>
          </cell>
        </row>
        <row r="650">
          <cell r="E650">
            <v>0</v>
          </cell>
        </row>
        <row r="651">
          <cell r="E651">
            <v>0</v>
          </cell>
        </row>
        <row r="652">
          <cell r="E652">
            <v>0</v>
          </cell>
        </row>
        <row r="653">
          <cell r="E653">
            <v>0</v>
          </cell>
        </row>
        <row r="654">
          <cell r="E654">
            <v>0</v>
          </cell>
        </row>
        <row r="655">
          <cell r="E655">
            <v>0</v>
          </cell>
        </row>
        <row r="656">
          <cell r="E656">
            <v>0</v>
          </cell>
        </row>
        <row r="657">
          <cell r="E657">
            <v>0</v>
          </cell>
        </row>
        <row r="658">
          <cell r="E658">
            <v>0</v>
          </cell>
        </row>
        <row r="659">
          <cell r="E659">
            <v>0</v>
          </cell>
        </row>
        <row r="660">
          <cell r="E660">
            <v>0</v>
          </cell>
        </row>
        <row r="661">
          <cell r="E661">
            <v>0</v>
          </cell>
        </row>
        <row r="662">
          <cell r="E662">
            <v>0</v>
          </cell>
        </row>
        <row r="663">
          <cell r="E663">
            <v>0</v>
          </cell>
        </row>
        <row r="664">
          <cell r="E664">
            <v>0</v>
          </cell>
        </row>
        <row r="665">
          <cell r="E665">
            <v>0</v>
          </cell>
        </row>
        <row r="666">
          <cell r="E666">
            <v>0</v>
          </cell>
        </row>
        <row r="667">
          <cell r="E667">
            <v>0</v>
          </cell>
        </row>
        <row r="668">
          <cell r="E668">
            <v>0</v>
          </cell>
        </row>
        <row r="669">
          <cell r="E669">
            <v>0</v>
          </cell>
        </row>
        <row r="670">
          <cell r="E670">
            <v>0</v>
          </cell>
        </row>
        <row r="671">
          <cell r="E671">
            <v>0</v>
          </cell>
        </row>
        <row r="672">
          <cell r="E672">
            <v>0</v>
          </cell>
        </row>
        <row r="673">
          <cell r="E673">
            <v>0</v>
          </cell>
        </row>
        <row r="674">
          <cell r="E674">
            <v>0</v>
          </cell>
        </row>
        <row r="675">
          <cell r="E675">
            <v>0</v>
          </cell>
        </row>
        <row r="676">
          <cell r="E676">
            <v>0</v>
          </cell>
        </row>
        <row r="677">
          <cell r="E677">
            <v>0</v>
          </cell>
        </row>
        <row r="678">
          <cell r="E678">
            <v>0</v>
          </cell>
        </row>
        <row r="679">
          <cell r="E679">
            <v>0</v>
          </cell>
        </row>
        <row r="680">
          <cell r="E680">
            <v>0</v>
          </cell>
        </row>
        <row r="681">
          <cell r="E681">
            <v>0</v>
          </cell>
        </row>
        <row r="682">
          <cell r="E682">
            <v>0</v>
          </cell>
        </row>
        <row r="683">
          <cell r="E683">
            <v>0</v>
          </cell>
        </row>
        <row r="684">
          <cell r="E684">
            <v>0</v>
          </cell>
        </row>
        <row r="685">
          <cell r="E685">
            <v>0</v>
          </cell>
        </row>
        <row r="686">
          <cell r="E686">
            <v>0</v>
          </cell>
        </row>
        <row r="687">
          <cell r="E687">
            <v>0</v>
          </cell>
        </row>
        <row r="688">
          <cell r="E688">
            <v>0</v>
          </cell>
        </row>
        <row r="689">
          <cell r="E689">
            <v>0</v>
          </cell>
        </row>
        <row r="690">
          <cell r="E690">
            <v>0</v>
          </cell>
        </row>
        <row r="691">
          <cell r="E691">
            <v>0</v>
          </cell>
        </row>
        <row r="692">
          <cell r="E692">
            <v>0</v>
          </cell>
        </row>
        <row r="693">
          <cell r="E693">
            <v>0</v>
          </cell>
        </row>
        <row r="694">
          <cell r="E694">
            <v>0</v>
          </cell>
        </row>
        <row r="695">
          <cell r="E695">
            <v>0</v>
          </cell>
        </row>
        <row r="696">
          <cell r="E696">
            <v>0</v>
          </cell>
        </row>
        <row r="697">
          <cell r="E697">
            <v>0</v>
          </cell>
        </row>
        <row r="698">
          <cell r="E698">
            <v>0</v>
          </cell>
        </row>
        <row r="699">
          <cell r="E699">
            <v>0</v>
          </cell>
        </row>
        <row r="700">
          <cell r="E700">
            <v>0</v>
          </cell>
        </row>
        <row r="701">
          <cell r="E701">
            <v>0</v>
          </cell>
        </row>
        <row r="702">
          <cell r="E702">
            <v>0</v>
          </cell>
        </row>
        <row r="703">
          <cell r="E703">
            <v>0</v>
          </cell>
        </row>
        <row r="704">
          <cell r="E704">
            <v>0</v>
          </cell>
        </row>
        <row r="705">
          <cell r="E705">
            <v>0</v>
          </cell>
        </row>
        <row r="706">
          <cell r="E706">
            <v>0</v>
          </cell>
        </row>
        <row r="707">
          <cell r="E707">
            <v>0</v>
          </cell>
        </row>
        <row r="708">
          <cell r="E708">
            <v>0</v>
          </cell>
        </row>
        <row r="709">
          <cell r="E709">
            <v>0</v>
          </cell>
        </row>
        <row r="710">
          <cell r="E710">
            <v>0</v>
          </cell>
        </row>
        <row r="711">
          <cell r="E711">
            <v>0</v>
          </cell>
        </row>
        <row r="712">
          <cell r="E712">
            <v>0</v>
          </cell>
        </row>
        <row r="713">
          <cell r="E713">
            <v>0</v>
          </cell>
        </row>
        <row r="714">
          <cell r="E714">
            <v>0</v>
          </cell>
        </row>
        <row r="715">
          <cell r="E715">
            <v>0</v>
          </cell>
        </row>
        <row r="716">
          <cell r="E716">
            <v>0</v>
          </cell>
        </row>
        <row r="717">
          <cell r="E717">
            <v>0</v>
          </cell>
        </row>
        <row r="718">
          <cell r="E718">
            <v>0</v>
          </cell>
        </row>
        <row r="719">
          <cell r="E719">
            <v>0</v>
          </cell>
        </row>
        <row r="720">
          <cell r="E720">
            <v>0</v>
          </cell>
        </row>
        <row r="721">
          <cell r="E721">
            <v>0</v>
          </cell>
        </row>
        <row r="722">
          <cell r="E722">
            <v>0</v>
          </cell>
        </row>
        <row r="723">
          <cell r="E723">
            <v>0</v>
          </cell>
        </row>
        <row r="724">
          <cell r="E724">
            <v>0</v>
          </cell>
        </row>
        <row r="725">
          <cell r="E725">
            <v>0</v>
          </cell>
        </row>
        <row r="726">
          <cell r="E726">
            <v>0</v>
          </cell>
        </row>
        <row r="727">
          <cell r="E727">
            <v>0</v>
          </cell>
        </row>
        <row r="728">
          <cell r="E728">
            <v>0</v>
          </cell>
        </row>
        <row r="729">
          <cell r="E729">
            <v>0</v>
          </cell>
        </row>
        <row r="730">
          <cell r="E730">
            <v>0</v>
          </cell>
        </row>
        <row r="731">
          <cell r="E731">
            <v>0</v>
          </cell>
        </row>
        <row r="732">
          <cell r="E732">
            <v>0</v>
          </cell>
        </row>
        <row r="733">
          <cell r="E733">
            <v>0</v>
          </cell>
        </row>
        <row r="734">
          <cell r="E734">
            <v>0</v>
          </cell>
        </row>
        <row r="735">
          <cell r="E735">
            <v>0</v>
          </cell>
        </row>
        <row r="736">
          <cell r="E736">
            <v>0</v>
          </cell>
        </row>
        <row r="737">
          <cell r="E737">
            <v>0</v>
          </cell>
        </row>
        <row r="738">
          <cell r="E738">
            <v>0</v>
          </cell>
        </row>
        <row r="739">
          <cell r="E739">
            <v>0</v>
          </cell>
        </row>
        <row r="740">
          <cell r="E740">
            <v>0</v>
          </cell>
        </row>
        <row r="741">
          <cell r="E741">
            <v>0</v>
          </cell>
        </row>
        <row r="742">
          <cell r="E742">
            <v>0</v>
          </cell>
        </row>
        <row r="743">
          <cell r="E743">
            <v>0</v>
          </cell>
        </row>
        <row r="744">
          <cell r="E744">
            <v>0</v>
          </cell>
        </row>
        <row r="745">
          <cell r="E745">
            <v>0</v>
          </cell>
        </row>
        <row r="746">
          <cell r="E746">
            <v>0</v>
          </cell>
        </row>
        <row r="747">
          <cell r="E747">
            <v>0</v>
          </cell>
        </row>
        <row r="748">
          <cell r="E748">
            <v>0</v>
          </cell>
        </row>
        <row r="749">
          <cell r="E749">
            <v>0</v>
          </cell>
        </row>
        <row r="750">
          <cell r="E750">
            <v>0</v>
          </cell>
        </row>
        <row r="751">
          <cell r="E751">
            <v>0</v>
          </cell>
        </row>
        <row r="752">
          <cell r="E752">
            <v>0</v>
          </cell>
        </row>
        <row r="753">
          <cell r="E753">
            <v>0</v>
          </cell>
        </row>
        <row r="754">
          <cell r="E754">
            <v>0</v>
          </cell>
        </row>
        <row r="755">
          <cell r="E755">
            <v>0</v>
          </cell>
        </row>
        <row r="756">
          <cell r="E756">
            <v>0</v>
          </cell>
        </row>
        <row r="757">
          <cell r="E757">
            <v>0</v>
          </cell>
        </row>
        <row r="758">
          <cell r="E758">
            <v>0</v>
          </cell>
        </row>
        <row r="759">
          <cell r="E759">
            <v>0</v>
          </cell>
        </row>
        <row r="760">
          <cell r="E760">
            <v>0</v>
          </cell>
        </row>
        <row r="761">
          <cell r="E761">
            <v>0</v>
          </cell>
        </row>
        <row r="762">
          <cell r="E762">
            <v>0</v>
          </cell>
        </row>
        <row r="763">
          <cell r="E763">
            <v>0</v>
          </cell>
        </row>
        <row r="764">
          <cell r="E764">
            <v>0</v>
          </cell>
        </row>
        <row r="765">
          <cell r="E765">
            <v>0</v>
          </cell>
        </row>
        <row r="766">
          <cell r="E766">
            <v>0</v>
          </cell>
        </row>
        <row r="767">
          <cell r="E767">
            <v>0</v>
          </cell>
        </row>
        <row r="768">
          <cell r="E768">
            <v>0</v>
          </cell>
        </row>
        <row r="769">
          <cell r="E769">
            <v>0</v>
          </cell>
        </row>
        <row r="770">
          <cell r="E770">
            <v>0</v>
          </cell>
        </row>
        <row r="771">
          <cell r="E771">
            <v>0</v>
          </cell>
        </row>
        <row r="772">
          <cell r="E772">
            <v>0</v>
          </cell>
        </row>
        <row r="773">
          <cell r="E773">
            <v>0</v>
          </cell>
        </row>
        <row r="774">
          <cell r="E774">
            <v>0</v>
          </cell>
        </row>
        <row r="775">
          <cell r="E775">
            <v>0</v>
          </cell>
        </row>
        <row r="776">
          <cell r="E776">
            <v>0</v>
          </cell>
        </row>
        <row r="777">
          <cell r="E777">
            <v>0</v>
          </cell>
        </row>
        <row r="778">
          <cell r="E778">
            <v>0</v>
          </cell>
        </row>
        <row r="779">
          <cell r="E779">
            <v>0</v>
          </cell>
        </row>
        <row r="780">
          <cell r="E780">
            <v>0</v>
          </cell>
        </row>
        <row r="781">
          <cell r="E781">
            <v>0</v>
          </cell>
        </row>
        <row r="782">
          <cell r="E782">
            <v>0</v>
          </cell>
        </row>
        <row r="783">
          <cell r="E783">
            <v>0</v>
          </cell>
        </row>
        <row r="784">
          <cell r="E784">
            <v>0</v>
          </cell>
        </row>
        <row r="785">
          <cell r="E785">
            <v>0</v>
          </cell>
        </row>
        <row r="786">
          <cell r="E786">
            <v>0</v>
          </cell>
        </row>
        <row r="787">
          <cell r="E787">
            <v>0</v>
          </cell>
        </row>
        <row r="788">
          <cell r="E788">
            <v>0</v>
          </cell>
        </row>
        <row r="789">
          <cell r="E789">
            <v>0</v>
          </cell>
        </row>
        <row r="790">
          <cell r="E790">
            <v>0</v>
          </cell>
        </row>
        <row r="791">
          <cell r="E791">
            <v>0</v>
          </cell>
        </row>
        <row r="792">
          <cell r="E792">
            <v>0</v>
          </cell>
        </row>
        <row r="793">
          <cell r="E793">
            <v>0</v>
          </cell>
        </row>
        <row r="794">
          <cell r="E794">
            <v>0</v>
          </cell>
        </row>
        <row r="795">
          <cell r="E795">
            <v>0</v>
          </cell>
        </row>
        <row r="796">
          <cell r="E796">
            <v>0</v>
          </cell>
        </row>
        <row r="797">
          <cell r="E797">
            <v>0</v>
          </cell>
        </row>
        <row r="798">
          <cell r="E798">
            <v>0</v>
          </cell>
        </row>
        <row r="799">
          <cell r="E799">
            <v>0</v>
          </cell>
        </row>
        <row r="800">
          <cell r="E800">
            <v>0</v>
          </cell>
        </row>
        <row r="801">
          <cell r="E801">
            <v>0</v>
          </cell>
        </row>
        <row r="802">
          <cell r="E802">
            <v>0</v>
          </cell>
        </row>
        <row r="803">
          <cell r="E803">
            <v>0</v>
          </cell>
        </row>
        <row r="804">
          <cell r="E804">
            <v>0</v>
          </cell>
        </row>
        <row r="805">
          <cell r="E805">
            <v>0</v>
          </cell>
        </row>
        <row r="806">
          <cell r="E806">
            <v>0</v>
          </cell>
        </row>
        <row r="807">
          <cell r="E807">
            <v>0</v>
          </cell>
        </row>
        <row r="808">
          <cell r="E808">
            <v>0</v>
          </cell>
        </row>
        <row r="809">
          <cell r="E809">
            <v>0</v>
          </cell>
        </row>
        <row r="810">
          <cell r="E810">
            <v>0</v>
          </cell>
        </row>
        <row r="811">
          <cell r="E811">
            <v>0</v>
          </cell>
        </row>
        <row r="812">
          <cell r="E812">
            <v>0</v>
          </cell>
        </row>
        <row r="813">
          <cell r="E813">
            <v>0</v>
          </cell>
        </row>
        <row r="814">
          <cell r="E814">
            <v>0</v>
          </cell>
        </row>
        <row r="815">
          <cell r="E815">
            <v>0</v>
          </cell>
        </row>
        <row r="816">
          <cell r="E816">
            <v>0</v>
          </cell>
        </row>
        <row r="817">
          <cell r="E817">
            <v>0</v>
          </cell>
        </row>
        <row r="818">
          <cell r="E818">
            <v>0</v>
          </cell>
        </row>
        <row r="819">
          <cell r="E819">
            <v>0</v>
          </cell>
        </row>
        <row r="820">
          <cell r="E820">
            <v>0</v>
          </cell>
        </row>
        <row r="821">
          <cell r="E821">
            <v>0</v>
          </cell>
        </row>
        <row r="822">
          <cell r="E822">
            <v>0</v>
          </cell>
        </row>
        <row r="823">
          <cell r="E823">
            <v>0</v>
          </cell>
        </row>
        <row r="824">
          <cell r="E824">
            <v>0</v>
          </cell>
        </row>
        <row r="825">
          <cell r="E825">
            <v>0</v>
          </cell>
        </row>
        <row r="826">
          <cell r="E826">
            <v>0</v>
          </cell>
        </row>
        <row r="827">
          <cell r="E827">
            <v>0</v>
          </cell>
        </row>
        <row r="828">
          <cell r="E828">
            <v>0</v>
          </cell>
        </row>
        <row r="829">
          <cell r="E829">
            <v>0</v>
          </cell>
        </row>
        <row r="830">
          <cell r="E830">
            <v>0</v>
          </cell>
        </row>
        <row r="831">
          <cell r="E831">
            <v>0</v>
          </cell>
        </row>
        <row r="832">
          <cell r="E832">
            <v>0</v>
          </cell>
        </row>
        <row r="833">
          <cell r="E833">
            <v>0</v>
          </cell>
        </row>
        <row r="834">
          <cell r="E834">
            <v>0</v>
          </cell>
        </row>
        <row r="835">
          <cell r="E835">
            <v>0</v>
          </cell>
        </row>
        <row r="836">
          <cell r="E836">
            <v>0</v>
          </cell>
        </row>
        <row r="837">
          <cell r="E837">
            <v>0</v>
          </cell>
        </row>
        <row r="838">
          <cell r="E838">
            <v>0</v>
          </cell>
        </row>
        <row r="839">
          <cell r="E839">
            <v>0</v>
          </cell>
        </row>
        <row r="840">
          <cell r="E840">
            <v>0</v>
          </cell>
        </row>
        <row r="841">
          <cell r="E841">
            <v>0</v>
          </cell>
        </row>
        <row r="842">
          <cell r="E842">
            <v>0</v>
          </cell>
        </row>
        <row r="843">
          <cell r="E843">
            <v>0</v>
          </cell>
        </row>
        <row r="844">
          <cell r="E844">
            <v>0</v>
          </cell>
        </row>
        <row r="845">
          <cell r="E845">
            <v>0</v>
          </cell>
        </row>
        <row r="846">
          <cell r="E846">
            <v>0</v>
          </cell>
        </row>
        <row r="847">
          <cell r="E847">
            <v>0</v>
          </cell>
        </row>
        <row r="848">
          <cell r="E848">
            <v>0</v>
          </cell>
        </row>
        <row r="849">
          <cell r="E849">
            <v>0</v>
          </cell>
        </row>
        <row r="850">
          <cell r="E850">
            <v>0</v>
          </cell>
        </row>
        <row r="851">
          <cell r="E851">
            <v>0</v>
          </cell>
        </row>
        <row r="852">
          <cell r="E852">
            <v>0</v>
          </cell>
        </row>
        <row r="853">
          <cell r="E853">
            <v>0</v>
          </cell>
        </row>
        <row r="854">
          <cell r="E854">
            <v>0</v>
          </cell>
        </row>
        <row r="855">
          <cell r="E855">
            <v>0</v>
          </cell>
        </row>
        <row r="856">
          <cell r="E856">
            <v>0</v>
          </cell>
        </row>
        <row r="857">
          <cell r="E857">
            <v>0</v>
          </cell>
        </row>
        <row r="858">
          <cell r="E858">
            <v>0</v>
          </cell>
        </row>
        <row r="859">
          <cell r="E859">
            <v>0</v>
          </cell>
        </row>
        <row r="860">
          <cell r="E860">
            <v>0</v>
          </cell>
        </row>
        <row r="861">
          <cell r="E861">
            <v>0</v>
          </cell>
        </row>
        <row r="862">
          <cell r="E862">
            <v>0</v>
          </cell>
        </row>
        <row r="863">
          <cell r="E863">
            <v>0</v>
          </cell>
        </row>
        <row r="864">
          <cell r="E864">
            <v>0</v>
          </cell>
        </row>
        <row r="865">
          <cell r="E865">
            <v>0</v>
          </cell>
        </row>
        <row r="866">
          <cell r="E866">
            <v>0</v>
          </cell>
        </row>
        <row r="867">
          <cell r="E867">
            <v>0</v>
          </cell>
        </row>
        <row r="868">
          <cell r="E868">
            <v>0</v>
          </cell>
        </row>
        <row r="869">
          <cell r="E869">
            <v>0</v>
          </cell>
        </row>
        <row r="870">
          <cell r="E870">
            <v>0</v>
          </cell>
        </row>
        <row r="871">
          <cell r="E871">
            <v>0</v>
          </cell>
        </row>
        <row r="872">
          <cell r="E872">
            <v>0</v>
          </cell>
        </row>
        <row r="873">
          <cell r="E873">
            <v>0</v>
          </cell>
        </row>
        <row r="874">
          <cell r="E874">
            <v>0</v>
          </cell>
        </row>
        <row r="875">
          <cell r="E875">
            <v>0</v>
          </cell>
        </row>
        <row r="876">
          <cell r="E876">
            <v>0</v>
          </cell>
        </row>
        <row r="877">
          <cell r="E877">
            <v>0</v>
          </cell>
        </row>
        <row r="878">
          <cell r="E878">
            <v>0</v>
          </cell>
        </row>
        <row r="879">
          <cell r="E879">
            <v>0</v>
          </cell>
        </row>
        <row r="880">
          <cell r="E880">
            <v>0</v>
          </cell>
        </row>
        <row r="881">
          <cell r="E881">
            <v>0</v>
          </cell>
        </row>
        <row r="882">
          <cell r="E882">
            <v>0</v>
          </cell>
        </row>
        <row r="883">
          <cell r="E883">
            <v>0</v>
          </cell>
        </row>
        <row r="884">
          <cell r="E884">
            <v>0</v>
          </cell>
        </row>
        <row r="885">
          <cell r="E885">
            <v>0</v>
          </cell>
        </row>
        <row r="886">
          <cell r="E886">
            <v>0</v>
          </cell>
        </row>
        <row r="887">
          <cell r="E887">
            <v>0</v>
          </cell>
        </row>
        <row r="888">
          <cell r="E888">
            <v>0</v>
          </cell>
        </row>
        <row r="889">
          <cell r="E889">
            <v>0</v>
          </cell>
        </row>
        <row r="890">
          <cell r="E890">
            <v>0</v>
          </cell>
        </row>
        <row r="891">
          <cell r="E891">
            <v>0</v>
          </cell>
        </row>
        <row r="892">
          <cell r="E892">
            <v>0</v>
          </cell>
        </row>
        <row r="893">
          <cell r="E893">
            <v>0</v>
          </cell>
        </row>
        <row r="894">
          <cell r="E894">
            <v>0</v>
          </cell>
        </row>
        <row r="895">
          <cell r="E895">
            <v>0</v>
          </cell>
        </row>
        <row r="896">
          <cell r="E896">
            <v>0</v>
          </cell>
        </row>
        <row r="897">
          <cell r="E897">
            <v>0</v>
          </cell>
        </row>
        <row r="898">
          <cell r="E898">
            <v>0</v>
          </cell>
        </row>
        <row r="899">
          <cell r="E899">
            <v>0</v>
          </cell>
        </row>
        <row r="900">
          <cell r="E900">
            <v>0</v>
          </cell>
        </row>
        <row r="901">
          <cell r="E901">
            <v>0</v>
          </cell>
        </row>
        <row r="902">
          <cell r="E902">
            <v>0</v>
          </cell>
        </row>
        <row r="903">
          <cell r="E903">
            <v>0</v>
          </cell>
        </row>
        <row r="904">
          <cell r="E904">
            <v>0</v>
          </cell>
        </row>
        <row r="905">
          <cell r="E905">
            <v>0</v>
          </cell>
        </row>
        <row r="906">
          <cell r="E906">
            <v>0</v>
          </cell>
        </row>
        <row r="907">
          <cell r="E907">
            <v>0</v>
          </cell>
        </row>
        <row r="908">
          <cell r="E908">
            <v>0</v>
          </cell>
        </row>
        <row r="909">
          <cell r="E909">
            <v>0</v>
          </cell>
        </row>
        <row r="910">
          <cell r="E910">
            <v>0</v>
          </cell>
        </row>
        <row r="911">
          <cell r="E911">
            <v>0</v>
          </cell>
        </row>
        <row r="912">
          <cell r="E912">
            <v>0</v>
          </cell>
        </row>
        <row r="913">
          <cell r="E913">
            <v>0</v>
          </cell>
        </row>
        <row r="914">
          <cell r="E914">
            <v>0</v>
          </cell>
        </row>
        <row r="915">
          <cell r="E915">
            <v>0</v>
          </cell>
        </row>
        <row r="916">
          <cell r="E916">
            <v>0</v>
          </cell>
        </row>
        <row r="917">
          <cell r="E917">
            <v>0</v>
          </cell>
        </row>
        <row r="918">
          <cell r="E918">
            <v>0</v>
          </cell>
        </row>
        <row r="919">
          <cell r="E919">
            <v>0</v>
          </cell>
        </row>
        <row r="920">
          <cell r="E920">
            <v>0</v>
          </cell>
        </row>
        <row r="921">
          <cell r="E921">
            <v>0</v>
          </cell>
        </row>
        <row r="922">
          <cell r="E922">
            <v>0</v>
          </cell>
        </row>
        <row r="923">
          <cell r="E923">
            <v>0</v>
          </cell>
        </row>
        <row r="924">
          <cell r="E924">
            <v>0</v>
          </cell>
        </row>
        <row r="925">
          <cell r="E925">
            <v>0</v>
          </cell>
        </row>
        <row r="926">
          <cell r="E926">
            <v>0</v>
          </cell>
        </row>
        <row r="927">
          <cell r="E927">
            <v>0</v>
          </cell>
        </row>
        <row r="928">
          <cell r="E928">
            <v>0</v>
          </cell>
        </row>
        <row r="929">
          <cell r="E929">
            <v>0</v>
          </cell>
        </row>
        <row r="930">
          <cell r="E930">
            <v>0</v>
          </cell>
        </row>
        <row r="931">
          <cell r="E931">
            <v>0</v>
          </cell>
        </row>
        <row r="932">
          <cell r="E932">
            <v>0</v>
          </cell>
        </row>
        <row r="933">
          <cell r="E933">
            <v>0</v>
          </cell>
        </row>
        <row r="934">
          <cell r="E934">
            <v>0</v>
          </cell>
        </row>
        <row r="935">
          <cell r="E935">
            <v>0</v>
          </cell>
        </row>
        <row r="936">
          <cell r="E936">
            <v>0</v>
          </cell>
        </row>
        <row r="937">
          <cell r="E937">
            <v>0</v>
          </cell>
        </row>
        <row r="938">
          <cell r="E938">
            <v>0</v>
          </cell>
        </row>
        <row r="939">
          <cell r="E939">
            <v>0</v>
          </cell>
        </row>
        <row r="940">
          <cell r="E940">
            <v>0</v>
          </cell>
        </row>
        <row r="941">
          <cell r="E941">
            <v>0</v>
          </cell>
        </row>
        <row r="942">
          <cell r="E942">
            <v>0</v>
          </cell>
        </row>
        <row r="943">
          <cell r="E943">
            <v>0</v>
          </cell>
        </row>
        <row r="944">
          <cell r="E944">
            <v>0</v>
          </cell>
        </row>
        <row r="945">
          <cell r="E945">
            <v>0</v>
          </cell>
        </row>
        <row r="946">
          <cell r="E946">
            <v>0</v>
          </cell>
        </row>
        <row r="947">
          <cell r="E947">
            <v>0</v>
          </cell>
        </row>
        <row r="948">
          <cell r="E948">
            <v>0</v>
          </cell>
        </row>
        <row r="949">
          <cell r="E949">
            <v>0</v>
          </cell>
        </row>
        <row r="950">
          <cell r="E950">
            <v>0</v>
          </cell>
        </row>
        <row r="951">
          <cell r="E951">
            <v>0</v>
          </cell>
        </row>
        <row r="952">
          <cell r="E952">
            <v>0</v>
          </cell>
        </row>
        <row r="953">
          <cell r="E953">
            <v>0</v>
          </cell>
        </row>
        <row r="954">
          <cell r="E954">
            <v>0</v>
          </cell>
        </row>
        <row r="955">
          <cell r="E955">
            <v>0</v>
          </cell>
        </row>
        <row r="956">
          <cell r="E956">
            <v>0</v>
          </cell>
        </row>
        <row r="957">
          <cell r="E957">
            <v>0</v>
          </cell>
        </row>
        <row r="958">
          <cell r="E958">
            <v>0</v>
          </cell>
        </row>
        <row r="959">
          <cell r="E959">
            <v>0</v>
          </cell>
        </row>
        <row r="960">
          <cell r="E960">
            <v>0</v>
          </cell>
        </row>
        <row r="961">
          <cell r="E961">
            <v>0</v>
          </cell>
        </row>
        <row r="962">
          <cell r="E962">
            <v>0</v>
          </cell>
        </row>
        <row r="963">
          <cell r="E963">
            <v>0</v>
          </cell>
        </row>
        <row r="964">
          <cell r="E964">
            <v>0</v>
          </cell>
        </row>
        <row r="965">
          <cell r="E965">
            <v>0</v>
          </cell>
        </row>
        <row r="966">
          <cell r="E966">
            <v>0</v>
          </cell>
        </row>
        <row r="967">
          <cell r="E967">
            <v>0</v>
          </cell>
        </row>
        <row r="968">
          <cell r="E968">
            <v>0</v>
          </cell>
        </row>
        <row r="969">
          <cell r="E969">
            <v>0</v>
          </cell>
        </row>
        <row r="970">
          <cell r="E970">
            <v>0</v>
          </cell>
        </row>
        <row r="971">
          <cell r="E971">
            <v>0</v>
          </cell>
        </row>
        <row r="972">
          <cell r="E972">
            <v>0</v>
          </cell>
        </row>
        <row r="973">
          <cell r="E973">
            <v>0</v>
          </cell>
        </row>
        <row r="974">
          <cell r="E974">
            <v>0</v>
          </cell>
        </row>
        <row r="975">
          <cell r="E975">
            <v>0</v>
          </cell>
        </row>
        <row r="976">
          <cell r="E976">
            <v>0</v>
          </cell>
        </row>
        <row r="977">
          <cell r="E977">
            <v>0</v>
          </cell>
        </row>
        <row r="978">
          <cell r="E978">
            <v>0</v>
          </cell>
        </row>
        <row r="979">
          <cell r="E979">
            <v>0</v>
          </cell>
        </row>
        <row r="980">
          <cell r="E980">
            <v>0</v>
          </cell>
        </row>
        <row r="981">
          <cell r="E981">
            <v>0</v>
          </cell>
        </row>
        <row r="982">
          <cell r="E982">
            <v>0</v>
          </cell>
        </row>
        <row r="983">
          <cell r="E983">
            <v>0</v>
          </cell>
        </row>
        <row r="984">
          <cell r="E984">
            <v>0</v>
          </cell>
        </row>
        <row r="985">
          <cell r="E985">
            <v>0</v>
          </cell>
        </row>
        <row r="986">
          <cell r="E986">
            <v>0</v>
          </cell>
        </row>
        <row r="987">
          <cell r="E987">
            <v>0</v>
          </cell>
        </row>
        <row r="988">
          <cell r="E988">
            <v>0</v>
          </cell>
        </row>
        <row r="989">
          <cell r="E989">
            <v>0</v>
          </cell>
        </row>
        <row r="990">
          <cell r="E990">
            <v>0</v>
          </cell>
        </row>
        <row r="991">
          <cell r="E991">
            <v>0</v>
          </cell>
        </row>
        <row r="992">
          <cell r="E992">
            <v>0</v>
          </cell>
        </row>
        <row r="993">
          <cell r="E993">
            <v>0</v>
          </cell>
        </row>
        <row r="994">
          <cell r="E994">
            <v>0</v>
          </cell>
        </row>
        <row r="995">
          <cell r="E995">
            <v>0</v>
          </cell>
        </row>
        <row r="996">
          <cell r="E996">
            <v>0</v>
          </cell>
        </row>
        <row r="997">
          <cell r="E997">
            <v>0</v>
          </cell>
        </row>
        <row r="998">
          <cell r="E998">
            <v>0</v>
          </cell>
        </row>
        <row r="999">
          <cell r="E999">
            <v>0</v>
          </cell>
        </row>
        <row r="1000">
          <cell r="E1000">
            <v>0</v>
          </cell>
        </row>
      </sheetData>
      <sheetData sheetId="1"/>
      <sheetData sheetId="2" refreshError="1">
        <row r="7">
          <cell r="C7" t="str">
            <v>CTA</v>
          </cell>
          <cell r="E7" t="str">
            <v>ACUM</v>
          </cell>
          <cell r="F7" t="str">
            <v>INCRE</v>
          </cell>
          <cell r="G7" t="str">
            <v>rei</v>
          </cell>
          <cell r="H7" t="str">
            <v>R/ACUM</v>
          </cell>
        </row>
        <row r="11">
          <cell r="C11">
            <v>3200123</v>
          </cell>
          <cell r="E11">
            <v>66099.016300000018</v>
          </cell>
          <cell r="F11">
            <v>66099.016300000018</v>
          </cell>
        </row>
        <row r="12">
          <cell r="C12">
            <v>2170112</v>
          </cell>
          <cell r="E12">
            <v>-66099.016300000018</v>
          </cell>
          <cell r="F12">
            <v>-66099.016300000018</v>
          </cell>
        </row>
        <row r="18">
          <cell r="C18" t="str">
            <v>CUENTA</v>
          </cell>
          <cell r="E18" t="str">
            <v>ACUMULADO</v>
          </cell>
          <cell r="F18" t="str">
            <v>MES</v>
          </cell>
        </row>
        <row r="20">
          <cell r="C20">
            <v>1130101</v>
          </cell>
          <cell r="E20">
            <v>14732.25</v>
          </cell>
        </row>
        <row r="21">
          <cell r="C21">
            <v>1310101</v>
          </cell>
          <cell r="E21">
            <v>-14732.25</v>
          </cell>
        </row>
        <row r="23">
          <cell r="C23">
            <v>8888888</v>
          </cell>
          <cell r="E23">
            <v>1677500</v>
          </cell>
        </row>
        <row r="24">
          <cell r="C24">
            <v>7777777</v>
          </cell>
          <cell r="E24">
            <v>-915000</v>
          </cell>
        </row>
        <row r="25">
          <cell r="C25">
            <v>7777777</v>
          </cell>
          <cell r="E25">
            <v>-1385016</v>
          </cell>
        </row>
        <row r="26">
          <cell r="C26">
            <v>7777777</v>
          </cell>
          <cell r="E26">
            <v>-1830000</v>
          </cell>
        </row>
        <row r="27">
          <cell r="C27">
            <v>2431102</v>
          </cell>
          <cell r="E27">
            <v>2452516</v>
          </cell>
        </row>
        <row r="29">
          <cell r="C29">
            <v>2431102</v>
          </cell>
          <cell r="E29">
            <v>3889136</v>
          </cell>
        </row>
        <row r="30">
          <cell r="C30">
            <v>8888888</v>
          </cell>
          <cell r="E30">
            <v>376553</v>
          </cell>
        </row>
        <row r="31">
          <cell r="C31">
            <v>7777777</v>
          </cell>
          <cell r="E31">
            <v>-389538</v>
          </cell>
        </row>
        <row r="32">
          <cell r="C32">
            <v>7777777</v>
          </cell>
          <cell r="E32">
            <v>-3876151</v>
          </cell>
        </row>
        <row r="34">
          <cell r="C34">
            <v>2110142</v>
          </cell>
          <cell r="E34">
            <v>6820000</v>
          </cell>
        </row>
        <row r="35">
          <cell r="C35">
            <v>6666666</v>
          </cell>
          <cell r="E35">
            <v>-2510000</v>
          </cell>
        </row>
        <row r="36">
          <cell r="C36">
            <v>7777777</v>
          </cell>
          <cell r="E36">
            <v>-4310000</v>
          </cell>
        </row>
        <row r="38">
          <cell r="C38">
            <v>1110210</v>
          </cell>
          <cell r="E38">
            <v>1130447.3500000001</v>
          </cell>
        </row>
        <row r="39">
          <cell r="C39">
            <v>1310101</v>
          </cell>
          <cell r="E39">
            <v>0</v>
          </cell>
        </row>
        <row r="40">
          <cell r="C40">
            <v>2110109</v>
          </cell>
          <cell r="E40">
            <v>-1130447.3500000001</v>
          </cell>
        </row>
        <row r="42">
          <cell r="C42">
            <v>4300002</v>
          </cell>
          <cell r="E42">
            <v>153750</v>
          </cell>
        </row>
        <row r="43">
          <cell r="C43">
            <v>8888888</v>
          </cell>
          <cell r="E43">
            <v>-153750</v>
          </cell>
        </row>
        <row r="45">
          <cell r="C45">
            <v>4300002</v>
          </cell>
          <cell r="E45">
            <v>320672.33</v>
          </cell>
        </row>
        <row r="46">
          <cell r="C46">
            <v>7777777</v>
          </cell>
          <cell r="E46">
            <v>-320672.33</v>
          </cell>
        </row>
        <row r="48">
          <cell r="C48">
            <v>4300002</v>
          </cell>
          <cell r="E48">
            <v>153750</v>
          </cell>
        </row>
        <row r="49">
          <cell r="C49">
            <v>8888888</v>
          </cell>
          <cell r="E49">
            <v>-153750</v>
          </cell>
        </row>
        <row r="51">
          <cell r="C51">
            <v>4300002</v>
          </cell>
          <cell r="E51">
            <v>-1281418</v>
          </cell>
        </row>
        <row r="52">
          <cell r="C52">
            <v>7777777</v>
          </cell>
          <cell r="E52">
            <v>1281418</v>
          </cell>
        </row>
        <row r="54">
          <cell r="C54">
            <v>4300002</v>
          </cell>
          <cell r="E54">
            <v>153750</v>
          </cell>
        </row>
        <row r="55">
          <cell r="C55">
            <v>8888888</v>
          </cell>
          <cell r="E55">
            <v>-153750</v>
          </cell>
        </row>
        <row r="57">
          <cell r="C57">
            <v>4300002</v>
          </cell>
          <cell r="E57">
            <v>153750</v>
          </cell>
        </row>
        <row r="58">
          <cell r="C58">
            <v>8888888</v>
          </cell>
          <cell r="E58">
            <v>-153750</v>
          </cell>
        </row>
        <row r="60">
          <cell r="C60">
            <v>4300002</v>
          </cell>
          <cell r="E60">
            <v>135204.89057727999</v>
          </cell>
        </row>
        <row r="61">
          <cell r="C61">
            <v>7777777</v>
          </cell>
          <cell r="E61">
            <v>-135204.89057727999</v>
          </cell>
        </row>
        <row r="63">
          <cell r="C63">
            <v>4300002</v>
          </cell>
          <cell r="E63">
            <v>26980</v>
          </cell>
        </row>
        <row r="64">
          <cell r="C64">
            <v>8888888</v>
          </cell>
          <cell r="E64">
            <v>-26980</v>
          </cell>
        </row>
        <row r="66">
          <cell r="C66">
            <v>4300002</v>
          </cell>
          <cell r="E66">
            <v>26980</v>
          </cell>
        </row>
        <row r="67">
          <cell r="C67">
            <v>8888888</v>
          </cell>
          <cell r="E67">
            <v>-26980</v>
          </cell>
        </row>
        <row r="69">
          <cell r="C69">
            <v>4300002</v>
          </cell>
          <cell r="E69">
            <v>153750</v>
          </cell>
        </row>
        <row r="70">
          <cell r="C70">
            <v>8888888</v>
          </cell>
          <cell r="E70">
            <v>-153750</v>
          </cell>
        </row>
        <row r="72">
          <cell r="C72">
            <v>4300002</v>
          </cell>
          <cell r="E72">
            <v>-3086473.9214841835</v>
          </cell>
        </row>
        <row r="73">
          <cell r="C73">
            <v>7777777</v>
          </cell>
          <cell r="E73">
            <v>3086473.9214841835</v>
          </cell>
        </row>
        <row r="75">
          <cell r="C75">
            <v>4300002</v>
          </cell>
          <cell r="E75">
            <v>153750</v>
          </cell>
          <cell r="F75">
            <v>153750</v>
          </cell>
        </row>
        <row r="76">
          <cell r="C76">
            <v>8888888</v>
          </cell>
          <cell r="E76">
            <v>-153750</v>
          </cell>
          <cell r="F76">
            <v>-153750</v>
          </cell>
        </row>
        <row r="78">
          <cell r="C78">
            <v>4300002</v>
          </cell>
          <cell r="E78">
            <v>2000885</v>
          </cell>
          <cell r="F78">
            <v>2000885</v>
          </cell>
        </row>
        <row r="79">
          <cell r="C79">
            <v>7777777</v>
          </cell>
          <cell r="E79">
            <v>-2000885</v>
          </cell>
          <cell r="F79">
            <v>-2000885</v>
          </cell>
        </row>
        <row r="81">
          <cell r="C81">
            <v>4300002</v>
          </cell>
          <cell r="E81">
            <v>26980</v>
          </cell>
          <cell r="F81">
            <v>26980</v>
          </cell>
        </row>
        <row r="82">
          <cell r="C82">
            <v>8888888</v>
          </cell>
          <cell r="E82">
            <v>-26980</v>
          </cell>
          <cell r="F82">
            <v>-26980</v>
          </cell>
        </row>
        <row r="84">
          <cell r="C84">
            <v>4300002</v>
          </cell>
          <cell r="E84">
            <v>-2795274.9612678979</v>
          </cell>
        </row>
        <row r="85">
          <cell r="C85">
            <v>8888888</v>
          </cell>
          <cell r="E85">
            <v>890355.79917925503</v>
          </cell>
        </row>
        <row r="86">
          <cell r="C86">
            <v>8888888</v>
          </cell>
          <cell r="E86">
            <v>-33764</v>
          </cell>
        </row>
        <row r="87">
          <cell r="C87">
            <v>4300002</v>
          </cell>
          <cell r="E87">
            <v>26980.478763007723</v>
          </cell>
        </row>
        <row r="88">
          <cell r="C88">
            <v>4300002</v>
          </cell>
          <cell r="E88">
            <v>767108.50181358308</v>
          </cell>
        </row>
        <row r="89">
          <cell r="C89">
            <v>7777777</v>
          </cell>
          <cell r="E89">
            <v>1144594.181512052</v>
          </cell>
        </row>
        <row r="91">
          <cell r="C91">
            <v>2431103</v>
          </cell>
          <cell r="E91">
            <v>2083692.27</v>
          </cell>
        </row>
        <row r="92">
          <cell r="C92">
            <v>1120103</v>
          </cell>
          <cell r="E92">
            <v>-2083692.27</v>
          </cell>
        </row>
        <row r="94">
          <cell r="C94">
            <v>3200041</v>
          </cell>
          <cell r="E94">
            <v>28443.800000000003</v>
          </cell>
        </row>
        <row r="95">
          <cell r="C95">
            <v>4100011</v>
          </cell>
          <cell r="E95">
            <v>-28443.800000000003</v>
          </cell>
        </row>
        <row r="97">
          <cell r="C97">
            <v>5120001</v>
          </cell>
          <cell r="E97">
            <v>88411.5</v>
          </cell>
        </row>
        <row r="98">
          <cell r="C98">
            <v>5120003</v>
          </cell>
          <cell r="E98">
            <v>-88411.5</v>
          </cell>
        </row>
        <row r="100">
          <cell r="C100">
            <v>4100035</v>
          </cell>
          <cell r="E100">
            <v>23000</v>
          </cell>
        </row>
        <row r="101">
          <cell r="C101">
            <v>3200102</v>
          </cell>
          <cell r="E101">
            <v>-23000</v>
          </cell>
        </row>
        <row r="103">
          <cell r="C103">
            <v>5110011</v>
          </cell>
          <cell r="E103">
            <v>56273.42</v>
          </cell>
        </row>
        <row r="104">
          <cell r="C104">
            <v>3200051</v>
          </cell>
          <cell r="E104">
            <v>-56273.42</v>
          </cell>
        </row>
        <row r="106">
          <cell r="C106">
            <v>5120004</v>
          </cell>
          <cell r="E106">
            <v>27185</v>
          </cell>
        </row>
        <row r="107">
          <cell r="C107">
            <v>5110385</v>
          </cell>
          <cell r="E107">
            <v>-27185</v>
          </cell>
        </row>
        <row r="109">
          <cell r="C109">
            <v>3200102</v>
          </cell>
          <cell r="E109">
            <v>5400</v>
          </cell>
        </row>
        <row r="110">
          <cell r="C110">
            <v>4100026</v>
          </cell>
          <cell r="E110">
            <v>-5400</v>
          </cell>
        </row>
        <row r="112">
          <cell r="C112">
            <v>5110011</v>
          </cell>
          <cell r="E112">
            <v>69625.070000000007</v>
          </cell>
        </row>
        <row r="113">
          <cell r="C113">
            <v>3200051</v>
          </cell>
          <cell r="E113">
            <v>-69625.070000000007</v>
          </cell>
        </row>
        <row r="115">
          <cell r="C115">
            <v>4100021</v>
          </cell>
          <cell r="E115">
            <v>837033</v>
          </cell>
        </row>
        <row r="116">
          <cell r="C116">
            <v>5310203</v>
          </cell>
          <cell r="E116">
            <v>-837033</v>
          </cell>
        </row>
        <row r="118">
          <cell r="C118">
            <v>4100021</v>
          </cell>
          <cell r="E118">
            <v>558021.86</v>
          </cell>
        </row>
        <row r="119">
          <cell r="C119">
            <v>5310203</v>
          </cell>
          <cell r="E119">
            <v>-558021.86</v>
          </cell>
        </row>
        <row r="121">
          <cell r="C121">
            <v>3200118</v>
          </cell>
          <cell r="E121">
            <v>3577.9</v>
          </cell>
        </row>
        <row r="122">
          <cell r="C122">
            <v>3200115</v>
          </cell>
          <cell r="E122">
            <v>-3577.9</v>
          </cell>
        </row>
        <row r="124">
          <cell r="C124">
            <v>4100041</v>
          </cell>
          <cell r="E124">
            <v>133000</v>
          </cell>
          <cell r="F124">
            <v>133000</v>
          </cell>
        </row>
        <row r="125">
          <cell r="C125">
            <v>2160122</v>
          </cell>
          <cell r="E125">
            <v>-133000</v>
          </cell>
          <cell r="F125">
            <v>-133000</v>
          </cell>
        </row>
        <row r="127">
          <cell r="C127">
            <v>4100021</v>
          </cell>
          <cell r="E127">
            <v>289604</v>
          </cell>
          <cell r="F127">
            <v>289604</v>
          </cell>
        </row>
        <row r="128">
          <cell r="C128">
            <v>2130101</v>
          </cell>
          <cell r="E128">
            <v>-10000</v>
          </cell>
          <cell r="F128">
            <v>-10000</v>
          </cell>
        </row>
        <row r="129">
          <cell r="C129">
            <v>2130101</v>
          </cell>
          <cell r="E129">
            <v>-279604</v>
          </cell>
          <cell r="F129">
            <v>-279604</v>
          </cell>
        </row>
        <row r="132">
          <cell r="C132">
            <v>3200366</v>
          </cell>
          <cell r="E132">
            <v>11400</v>
          </cell>
          <cell r="F132">
            <v>11400</v>
          </cell>
        </row>
        <row r="133">
          <cell r="C133">
            <v>3200212</v>
          </cell>
          <cell r="E133">
            <v>55391</v>
          </cell>
          <cell r="F133">
            <v>55391</v>
          </cell>
        </row>
        <row r="134">
          <cell r="C134">
            <v>3200355</v>
          </cell>
          <cell r="E134">
            <v>-69688</v>
          </cell>
          <cell r="F134">
            <v>-69688</v>
          </cell>
        </row>
        <row r="135">
          <cell r="C135">
            <v>3200375</v>
          </cell>
          <cell r="E135">
            <v>-49444</v>
          </cell>
          <cell r="F135">
            <v>-49444</v>
          </cell>
        </row>
        <row r="136">
          <cell r="C136">
            <v>2110131</v>
          </cell>
          <cell r="E136">
            <v>52341</v>
          </cell>
          <cell r="F136">
            <v>52341</v>
          </cell>
        </row>
        <row r="138">
          <cell r="C138">
            <v>3200130</v>
          </cell>
          <cell r="E138">
            <v>-35000</v>
          </cell>
          <cell r="F138">
            <v>-35000</v>
          </cell>
        </row>
        <row r="139">
          <cell r="C139">
            <v>3200125</v>
          </cell>
          <cell r="E139">
            <v>20000</v>
          </cell>
          <cell r="F139">
            <v>20000</v>
          </cell>
        </row>
        <row r="140">
          <cell r="C140">
            <v>1170001</v>
          </cell>
          <cell r="E140">
            <v>35000</v>
          </cell>
          <cell r="F140">
            <v>35000</v>
          </cell>
        </row>
        <row r="141">
          <cell r="C141">
            <v>2160122</v>
          </cell>
          <cell r="E141">
            <v>-20000</v>
          </cell>
          <cell r="F141">
            <v>-20000</v>
          </cell>
        </row>
        <row r="143">
          <cell r="C143">
            <v>2110124</v>
          </cell>
          <cell r="E143">
            <v>10000</v>
          </cell>
          <cell r="F143">
            <v>10000</v>
          </cell>
        </row>
        <row r="144">
          <cell r="C144">
            <v>3200105</v>
          </cell>
          <cell r="E144">
            <v>-10000</v>
          </cell>
          <cell r="F144">
            <v>-10000</v>
          </cell>
        </row>
        <row r="146">
          <cell r="C146">
            <v>2110124</v>
          </cell>
          <cell r="E146">
            <v>2500</v>
          </cell>
          <cell r="F146">
            <v>2500</v>
          </cell>
        </row>
        <row r="147">
          <cell r="C147">
            <v>3200105</v>
          </cell>
          <cell r="E147">
            <v>-2500</v>
          </cell>
          <cell r="F147">
            <v>-2500</v>
          </cell>
        </row>
        <row r="149">
          <cell r="C149">
            <v>3200060</v>
          </cell>
          <cell r="E149">
            <v>126000</v>
          </cell>
          <cell r="F149">
            <v>126000</v>
          </cell>
        </row>
        <row r="150">
          <cell r="C150">
            <v>2182101</v>
          </cell>
          <cell r="E150">
            <v>-126000</v>
          </cell>
          <cell r="F150">
            <v>-126000</v>
          </cell>
        </row>
        <row r="152">
          <cell r="C152">
            <v>2170102</v>
          </cell>
          <cell r="E152">
            <v>260474.63</v>
          </cell>
          <cell r="F152">
            <v>260474.63</v>
          </cell>
        </row>
        <row r="153">
          <cell r="C153">
            <v>2170103</v>
          </cell>
          <cell r="E153">
            <v>-156.44999999999999</v>
          </cell>
          <cell r="F153">
            <v>-156.44999999999999</v>
          </cell>
        </row>
        <row r="154">
          <cell r="C154">
            <v>1160001</v>
          </cell>
          <cell r="E154">
            <v>516.24</v>
          </cell>
          <cell r="F154">
            <v>516.24</v>
          </cell>
        </row>
        <row r="155">
          <cell r="C155">
            <v>1160002</v>
          </cell>
          <cell r="E155">
            <v>-5588.59</v>
          </cell>
          <cell r="F155">
            <v>-5588.59</v>
          </cell>
        </row>
        <row r="156">
          <cell r="C156">
            <v>1160003</v>
          </cell>
          <cell r="E156">
            <v>-9558.84</v>
          </cell>
          <cell r="F156">
            <v>-9558.84</v>
          </cell>
        </row>
        <row r="157">
          <cell r="C157">
            <v>1160004</v>
          </cell>
          <cell r="E157">
            <v>-185570.15</v>
          </cell>
          <cell r="F157">
            <v>-185570.15</v>
          </cell>
        </row>
        <row r="158">
          <cell r="C158">
            <v>1160005</v>
          </cell>
          <cell r="E158">
            <v>-24360.720000000001</v>
          </cell>
          <cell r="F158">
            <v>-24360.720000000001</v>
          </cell>
        </row>
        <row r="159">
          <cell r="C159">
            <v>1160035</v>
          </cell>
          <cell r="E159">
            <v>-35756.120000000003</v>
          </cell>
          <cell r="F159">
            <v>-35756.120000000003</v>
          </cell>
        </row>
        <row r="161">
          <cell r="C161">
            <v>1110302</v>
          </cell>
          <cell r="E161">
            <v>18652.09</v>
          </cell>
          <cell r="F161">
            <v>18652.09</v>
          </cell>
        </row>
        <row r="162">
          <cell r="C162">
            <v>4100060</v>
          </cell>
          <cell r="E162">
            <v>-11657.56</v>
          </cell>
          <cell r="F162">
            <v>-11657.56</v>
          </cell>
        </row>
        <row r="163">
          <cell r="C163">
            <v>1160035</v>
          </cell>
          <cell r="E163">
            <v>-6994.53</v>
          </cell>
          <cell r="F163">
            <v>-6994.53</v>
          </cell>
        </row>
        <row r="165">
          <cell r="C165">
            <v>5120003</v>
          </cell>
          <cell r="E165">
            <v>69000</v>
          </cell>
          <cell r="F165">
            <v>69000</v>
          </cell>
        </row>
        <row r="166">
          <cell r="C166">
            <v>1120301</v>
          </cell>
          <cell r="E166">
            <v>-69000</v>
          </cell>
          <cell r="F166">
            <v>-69000</v>
          </cell>
        </row>
        <row r="168">
          <cell r="C168">
            <v>4100037</v>
          </cell>
          <cell r="E168">
            <v>1000</v>
          </cell>
          <cell r="F168">
            <v>1000</v>
          </cell>
        </row>
        <row r="169">
          <cell r="C169">
            <v>2110129</v>
          </cell>
          <cell r="E169">
            <v>-1000</v>
          </cell>
          <cell r="F169">
            <v>-1000</v>
          </cell>
        </row>
        <row r="171">
          <cell r="C171">
            <v>2110127</v>
          </cell>
          <cell r="E171">
            <v>25000</v>
          </cell>
          <cell r="F171">
            <v>25000</v>
          </cell>
        </row>
        <row r="172">
          <cell r="C172">
            <v>3200044</v>
          </cell>
          <cell r="E172">
            <v>-25000</v>
          </cell>
          <cell r="F172">
            <v>-25000</v>
          </cell>
        </row>
        <row r="174">
          <cell r="C174">
            <v>4100038</v>
          </cell>
          <cell r="E174">
            <v>5000</v>
          </cell>
          <cell r="F174">
            <v>5000</v>
          </cell>
        </row>
        <row r="175">
          <cell r="C175">
            <v>2110143</v>
          </cell>
          <cell r="E175">
            <v>-5000</v>
          </cell>
          <cell r="F175">
            <v>-5000</v>
          </cell>
        </row>
        <row r="177">
          <cell r="C177">
            <v>1322501</v>
          </cell>
          <cell r="E177">
            <v>43004.11</v>
          </cell>
          <cell r="F177">
            <v>43004.11</v>
          </cell>
        </row>
        <row r="178">
          <cell r="C178">
            <v>3200097</v>
          </cell>
          <cell r="E178">
            <v>-7400</v>
          </cell>
          <cell r="F178">
            <v>-7400</v>
          </cell>
        </row>
        <row r="179">
          <cell r="C179">
            <v>3200098</v>
          </cell>
          <cell r="E179">
            <v>-25394.11</v>
          </cell>
          <cell r="F179">
            <v>-25394.11</v>
          </cell>
        </row>
        <row r="180">
          <cell r="C180">
            <v>3200098</v>
          </cell>
          <cell r="E180">
            <v>-10210</v>
          </cell>
          <cell r="F180">
            <v>-10210</v>
          </cell>
        </row>
        <row r="182">
          <cell r="C182">
            <v>3200070</v>
          </cell>
          <cell r="E182">
            <v>35719.870000000003</v>
          </cell>
          <cell r="F182">
            <v>35719.870000000003</v>
          </cell>
        </row>
        <row r="183">
          <cell r="C183">
            <v>3200069</v>
          </cell>
          <cell r="E183">
            <v>307467</v>
          </cell>
          <cell r="F183">
            <v>307467</v>
          </cell>
        </row>
        <row r="184">
          <cell r="C184">
            <v>1326402</v>
          </cell>
          <cell r="E184">
            <v>5982.42</v>
          </cell>
          <cell r="F184">
            <v>5982.42</v>
          </cell>
        </row>
        <row r="185">
          <cell r="C185">
            <v>1326501</v>
          </cell>
          <cell r="E185">
            <v>-2337.1999999999998</v>
          </cell>
          <cell r="F185">
            <v>-2337.1999999999998</v>
          </cell>
        </row>
        <row r="186">
          <cell r="C186">
            <v>1326502</v>
          </cell>
          <cell r="E186">
            <v>-6715.15</v>
          </cell>
          <cell r="F186">
            <v>-6715.15</v>
          </cell>
        </row>
        <row r="187">
          <cell r="C187">
            <v>1326303</v>
          </cell>
          <cell r="E187">
            <v>-7145.35</v>
          </cell>
          <cell r="F187">
            <v>-7145.35</v>
          </cell>
        </row>
        <row r="188">
          <cell r="C188">
            <v>1326201</v>
          </cell>
          <cell r="E188">
            <v>-11138.59</v>
          </cell>
          <cell r="F188">
            <v>-11138.59</v>
          </cell>
        </row>
        <row r="189">
          <cell r="C189">
            <v>1326202</v>
          </cell>
          <cell r="E189">
            <v>-4517.07</v>
          </cell>
          <cell r="F189">
            <v>-4517.07</v>
          </cell>
        </row>
        <row r="190">
          <cell r="C190">
            <v>1326701</v>
          </cell>
          <cell r="E190">
            <v>-6315.13</v>
          </cell>
          <cell r="F190">
            <v>-6315.13</v>
          </cell>
        </row>
        <row r="191">
          <cell r="C191">
            <v>1326601</v>
          </cell>
          <cell r="E191">
            <v>-5308.73</v>
          </cell>
          <cell r="F191">
            <v>-5308.73</v>
          </cell>
        </row>
        <row r="192">
          <cell r="C192">
            <v>1326301</v>
          </cell>
          <cell r="E192">
            <v>-3060.46</v>
          </cell>
          <cell r="F192">
            <v>-3060.46</v>
          </cell>
        </row>
        <row r="193">
          <cell r="C193">
            <v>1326901</v>
          </cell>
          <cell r="E193">
            <v>-35941.410000000003</v>
          </cell>
          <cell r="F193">
            <v>-35941.410000000003</v>
          </cell>
        </row>
        <row r="194">
          <cell r="C194">
            <v>1327101</v>
          </cell>
          <cell r="E194">
            <v>-9425.19</v>
          </cell>
          <cell r="F194">
            <v>-9425.19</v>
          </cell>
        </row>
        <row r="195">
          <cell r="C195">
            <v>1327102</v>
          </cell>
          <cell r="E195">
            <v>-43911.05</v>
          </cell>
          <cell r="F195">
            <v>-43911.05</v>
          </cell>
        </row>
        <row r="196">
          <cell r="C196">
            <v>1326304</v>
          </cell>
          <cell r="E196">
            <v>-6780.13</v>
          </cell>
          <cell r="F196">
            <v>-6780.13</v>
          </cell>
        </row>
        <row r="197">
          <cell r="C197">
            <v>1326305</v>
          </cell>
          <cell r="E197">
            <v>-5240.2299999999996</v>
          </cell>
          <cell r="F197">
            <v>-5240.2299999999996</v>
          </cell>
        </row>
        <row r="198">
          <cell r="C198">
            <v>1326101</v>
          </cell>
          <cell r="E198">
            <v>-62342.68</v>
          </cell>
          <cell r="F198">
            <v>-62342.68</v>
          </cell>
        </row>
        <row r="199">
          <cell r="C199">
            <v>1327103</v>
          </cell>
          <cell r="E199">
            <v>-586.17999999999995</v>
          </cell>
          <cell r="F199">
            <v>-586.17999999999995</v>
          </cell>
        </row>
        <row r="200">
          <cell r="C200">
            <v>1327104</v>
          </cell>
          <cell r="E200">
            <v>-12536.46</v>
          </cell>
          <cell r="F200">
            <v>-12536.46</v>
          </cell>
        </row>
        <row r="201">
          <cell r="C201">
            <v>1326102</v>
          </cell>
          <cell r="E201">
            <v>-1411.76</v>
          </cell>
          <cell r="F201">
            <v>-1411.76</v>
          </cell>
        </row>
        <row r="202">
          <cell r="C202">
            <v>1326602</v>
          </cell>
          <cell r="E202">
            <v>-3083.22</v>
          </cell>
          <cell r="F202">
            <v>-3083.22</v>
          </cell>
        </row>
        <row r="203">
          <cell r="C203">
            <v>1326302</v>
          </cell>
          <cell r="E203">
            <v>-16090.63</v>
          </cell>
          <cell r="F203">
            <v>-16090.63</v>
          </cell>
        </row>
        <row r="204">
          <cell r="C204">
            <v>1326801</v>
          </cell>
          <cell r="E204">
            <v>-36020.730000000003</v>
          </cell>
          <cell r="F204">
            <v>-36020.730000000003</v>
          </cell>
        </row>
        <row r="205">
          <cell r="C205">
            <v>1336301</v>
          </cell>
          <cell r="E205">
            <v>-35719.870000000003</v>
          </cell>
          <cell r="F205">
            <v>-35719.870000000003</v>
          </cell>
        </row>
        <row r="206">
          <cell r="C206">
            <v>1327501</v>
          </cell>
          <cell r="E206">
            <v>-33542.07</v>
          </cell>
          <cell r="F206">
            <v>-33542.07</v>
          </cell>
        </row>
        <row r="208">
          <cell r="C208">
            <v>4300002</v>
          </cell>
          <cell r="E208">
            <v>7372.84</v>
          </cell>
          <cell r="F208">
            <v>7372.84</v>
          </cell>
        </row>
        <row r="209">
          <cell r="C209">
            <v>5110017</v>
          </cell>
          <cell r="E209">
            <v>-7372.84</v>
          </cell>
          <cell r="F209">
            <v>-7372.84</v>
          </cell>
        </row>
        <row r="210">
          <cell r="C210">
            <v>1130108</v>
          </cell>
          <cell r="E210">
            <v>57930</v>
          </cell>
          <cell r="F210">
            <v>57930</v>
          </cell>
        </row>
        <row r="211">
          <cell r="C211">
            <v>5110011</v>
          </cell>
          <cell r="E211">
            <v>-57930</v>
          </cell>
          <cell r="F211">
            <v>-57930</v>
          </cell>
        </row>
        <row r="212">
          <cell r="C212">
            <v>1130108</v>
          </cell>
          <cell r="E212">
            <v>97569</v>
          </cell>
          <cell r="F212">
            <v>97569</v>
          </cell>
        </row>
        <row r="213">
          <cell r="C213">
            <v>5110011</v>
          </cell>
          <cell r="E213">
            <v>-97569</v>
          </cell>
          <cell r="F213">
            <v>-97569</v>
          </cell>
        </row>
        <row r="215">
          <cell r="C215">
            <v>3200102</v>
          </cell>
          <cell r="E215">
            <v>8917</v>
          </cell>
          <cell r="F215">
            <v>8917</v>
          </cell>
        </row>
        <row r="216">
          <cell r="C216">
            <v>3200115</v>
          </cell>
          <cell r="E216">
            <v>-8917</v>
          </cell>
          <cell r="F216">
            <v>-8917</v>
          </cell>
        </row>
        <row r="218">
          <cell r="C218">
            <v>1110401</v>
          </cell>
          <cell r="E218">
            <v>22399.73</v>
          </cell>
          <cell r="F218">
            <v>22399.73</v>
          </cell>
        </row>
        <row r="219">
          <cell r="C219">
            <v>1120106</v>
          </cell>
          <cell r="E219">
            <v>-1225.1300000000001</v>
          </cell>
          <cell r="F219">
            <v>-1225.1300000000001</v>
          </cell>
        </row>
        <row r="220">
          <cell r="C220">
            <v>1120101</v>
          </cell>
          <cell r="E220">
            <v>-21174.6</v>
          </cell>
          <cell r="F220">
            <v>-21174.6</v>
          </cell>
        </row>
        <row r="221">
          <cell r="C221">
            <v>1110301</v>
          </cell>
          <cell r="E221">
            <v>37913.19</v>
          </cell>
          <cell r="F221">
            <v>37913.19</v>
          </cell>
        </row>
        <row r="222">
          <cell r="C222">
            <v>1120101</v>
          </cell>
          <cell r="E222">
            <v>-37913.19</v>
          </cell>
          <cell r="F222">
            <v>-37913.19</v>
          </cell>
        </row>
        <row r="223">
          <cell r="C223">
            <v>1110301</v>
          </cell>
          <cell r="E223">
            <v>38041.629999999997</v>
          </cell>
          <cell r="F223">
            <v>38041.629999999997</v>
          </cell>
        </row>
        <row r="224">
          <cell r="C224">
            <v>1120101</v>
          </cell>
          <cell r="E224">
            <v>-38041.635999999999</v>
          </cell>
          <cell r="F224">
            <v>-38041.635999999999</v>
          </cell>
        </row>
        <row r="225">
          <cell r="C225">
            <v>1110401</v>
          </cell>
          <cell r="E225">
            <v>63727.81</v>
          </cell>
          <cell r="F225">
            <v>63727.81</v>
          </cell>
        </row>
        <row r="226">
          <cell r="C226">
            <v>1120101</v>
          </cell>
          <cell r="E226">
            <v>-63727.81</v>
          </cell>
          <cell r="F226">
            <v>-63727.81</v>
          </cell>
        </row>
        <row r="227">
          <cell r="C227">
            <v>1110401</v>
          </cell>
          <cell r="E227">
            <v>71274.649999999994</v>
          </cell>
          <cell r="F227">
            <v>71274.649999999994</v>
          </cell>
        </row>
        <row r="228">
          <cell r="C228">
            <v>1120101</v>
          </cell>
          <cell r="E228">
            <v>-71274.649999999994</v>
          </cell>
          <cell r="F228">
            <v>-71274.649999999994</v>
          </cell>
        </row>
        <row r="229">
          <cell r="C229">
            <v>1110301</v>
          </cell>
          <cell r="E229">
            <v>80862.84</v>
          </cell>
          <cell r="F229">
            <v>80862.84</v>
          </cell>
        </row>
        <row r="230">
          <cell r="C230">
            <v>1120101</v>
          </cell>
          <cell r="E230">
            <v>-80862.84</v>
          </cell>
          <cell r="F230">
            <v>-80862.84</v>
          </cell>
        </row>
        <row r="231">
          <cell r="C231">
            <v>1110301</v>
          </cell>
          <cell r="E231">
            <v>133943.85999999999</v>
          </cell>
          <cell r="F231">
            <v>133943.85999999999</v>
          </cell>
        </row>
        <row r="232">
          <cell r="C232">
            <v>1120101</v>
          </cell>
          <cell r="E232">
            <v>-133943.85999999999</v>
          </cell>
          <cell r="F232">
            <v>-133943.85999999999</v>
          </cell>
        </row>
        <row r="233">
          <cell r="C233">
            <v>1120106</v>
          </cell>
          <cell r="E233">
            <v>6110.5</v>
          </cell>
          <cell r="F233">
            <v>6110.5</v>
          </cell>
        </row>
        <row r="234">
          <cell r="C234">
            <v>1120101</v>
          </cell>
          <cell r="E234">
            <v>-6110.5</v>
          </cell>
          <cell r="F234">
            <v>-6110.5</v>
          </cell>
        </row>
        <row r="235">
          <cell r="C235">
            <v>1120106</v>
          </cell>
          <cell r="E235">
            <v>8173.72</v>
          </cell>
          <cell r="F235">
            <v>8173.72</v>
          </cell>
        </row>
        <row r="236">
          <cell r="C236">
            <v>1120101</v>
          </cell>
          <cell r="E236">
            <v>-8173.73</v>
          </cell>
          <cell r="F236">
            <v>-8173.73</v>
          </cell>
        </row>
        <row r="238">
          <cell r="C238">
            <v>3200115</v>
          </cell>
          <cell r="E238">
            <v>4500</v>
          </cell>
          <cell r="F238">
            <v>4500</v>
          </cell>
        </row>
        <row r="239">
          <cell r="C239">
            <v>2110126</v>
          </cell>
          <cell r="E239">
            <v>-4500</v>
          </cell>
          <cell r="F239">
            <v>-4500</v>
          </cell>
        </row>
        <row r="241">
          <cell r="C241">
            <v>1120301</v>
          </cell>
          <cell r="E241">
            <v>-74100</v>
          </cell>
          <cell r="F241">
            <v>-74100</v>
          </cell>
        </row>
        <row r="242">
          <cell r="C242">
            <v>5110011</v>
          </cell>
          <cell r="E242">
            <v>74100</v>
          </cell>
          <cell r="F242">
            <v>74100</v>
          </cell>
        </row>
        <row r="244">
          <cell r="C244">
            <v>1120301</v>
          </cell>
          <cell r="E244">
            <v>59792</v>
          </cell>
          <cell r="F244">
            <v>59792</v>
          </cell>
        </row>
        <row r="245">
          <cell r="C245">
            <v>1120105</v>
          </cell>
          <cell r="E245">
            <v>-59792</v>
          </cell>
          <cell r="F245">
            <v>-59792</v>
          </cell>
        </row>
        <row r="247">
          <cell r="C247">
            <v>1120301</v>
          </cell>
          <cell r="E247">
            <v>240000</v>
          </cell>
          <cell r="F247">
            <v>240000</v>
          </cell>
        </row>
        <row r="248">
          <cell r="C248">
            <v>5110011</v>
          </cell>
          <cell r="E248">
            <v>-240000</v>
          </cell>
          <cell r="F248">
            <v>-240000</v>
          </cell>
        </row>
        <row r="250">
          <cell r="C250">
            <v>1120301</v>
          </cell>
          <cell r="E250">
            <v>-20000</v>
          </cell>
          <cell r="F250">
            <v>-20000</v>
          </cell>
        </row>
        <row r="251">
          <cell r="C251">
            <v>5110011</v>
          </cell>
          <cell r="E251">
            <v>20000</v>
          </cell>
          <cell r="F251">
            <v>20000</v>
          </cell>
        </row>
        <row r="253">
          <cell r="C253">
            <v>1160035</v>
          </cell>
          <cell r="E253">
            <v>3008.87</v>
          </cell>
          <cell r="F253">
            <v>3008.87</v>
          </cell>
        </row>
        <row r="254">
          <cell r="C254">
            <v>2170102</v>
          </cell>
          <cell r="E254">
            <v>-3008.87</v>
          </cell>
          <cell r="F254">
            <v>-3008.87</v>
          </cell>
        </row>
        <row r="256">
          <cell r="C256">
            <v>1110451</v>
          </cell>
          <cell r="E256">
            <v>8023.65</v>
          </cell>
          <cell r="F256">
            <v>8023.65</v>
          </cell>
        </row>
        <row r="257">
          <cell r="C257">
            <v>4100060</v>
          </cell>
          <cell r="E257">
            <v>-5014.78</v>
          </cell>
          <cell r="F257">
            <v>-5014.78</v>
          </cell>
        </row>
        <row r="258">
          <cell r="C258">
            <v>1160035</v>
          </cell>
          <cell r="E258">
            <v>-3008.87</v>
          </cell>
          <cell r="F258">
            <v>-3008.87</v>
          </cell>
        </row>
        <row r="260">
          <cell r="C260">
            <v>1120301</v>
          </cell>
          <cell r="E260">
            <v>-40000</v>
          </cell>
          <cell r="F260">
            <v>-40000</v>
          </cell>
        </row>
        <row r="261">
          <cell r="C261">
            <v>5120005</v>
          </cell>
          <cell r="E261">
            <v>40000</v>
          </cell>
          <cell r="F261">
            <v>40000</v>
          </cell>
        </row>
        <row r="263">
          <cell r="C263">
            <v>1120301</v>
          </cell>
          <cell r="E263">
            <v>-1300000</v>
          </cell>
          <cell r="F263">
            <v>-1300000</v>
          </cell>
        </row>
        <row r="264">
          <cell r="C264">
            <v>4200057</v>
          </cell>
          <cell r="E264">
            <v>1300000</v>
          </cell>
          <cell r="F264">
            <v>1300000</v>
          </cell>
        </row>
        <row r="266">
          <cell r="C266">
            <v>1321103</v>
          </cell>
          <cell r="E266">
            <v>2580000</v>
          </cell>
          <cell r="F266">
            <v>2580000</v>
          </cell>
        </row>
        <row r="267">
          <cell r="C267">
            <v>4200057</v>
          </cell>
          <cell r="E267">
            <v>-2580000</v>
          </cell>
          <cell r="F267">
            <v>-2580000</v>
          </cell>
        </row>
        <row r="269">
          <cell r="C269">
            <v>5120003</v>
          </cell>
          <cell r="E269">
            <v>16150</v>
          </cell>
          <cell r="F269">
            <v>16150</v>
          </cell>
        </row>
        <row r="270">
          <cell r="C270">
            <v>5120005</v>
          </cell>
          <cell r="E270">
            <v>-16150</v>
          </cell>
          <cell r="F270">
            <v>-16150</v>
          </cell>
        </row>
        <row r="272">
          <cell r="C272">
            <v>3200124</v>
          </cell>
          <cell r="E272">
            <v>4886</v>
          </cell>
          <cell r="F272">
            <v>4886</v>
          </cell>
        </row>
        <row r="273">
          <cell r="C273">
            <v>2183101</v>
          </cell>
          <cell r="E273">
            <v>-4886</v>
          </cell>
          <cell r="F273">
            <v>-4886</v>
          </cell>
        </row>
        <row r="276">
          <cell r="C276">
            <v>1120301</v>
          </cell>
          <cell r="E276">
            <v>-300000</v>
          </cell>
          <cell r="F276">
            <v>-300000</v>
          </cell>
        </row>
        <row r="277">
          <cell r="C277">
            <v>2110199</v>
          </cell>
          <cell r="E277">
            <v>100000</v>
          </cell>
          <cell r="F277">
            <v>100000</v>
          </cell>
        </row>
        <row r="278">
          <cell r="C278">
            <v>2182101</v>
          </cell>
          <cell r="E278">
            <v>200000</v>
          </cell>
          <cell r="F278">
            <v>200000</v>
          </cell>
        </row>
        <row r="285">
          <cell r="E285">
            <v>-1.5999999828636646E-2</v>
          </cell>
          <cell r="F285">
            <v>-1.5999999828636646E-2</v>
          </cell>
        </row>
        <row r="332">
          <cell r="H332" t="e">
            <v>#REF!</v>
          </cell>
        </row>
      </sheetData>
      <sheetData sheetId="3"/>
      <sheetData sheetId="4"/>
      <sheetData sheetId="5"/>
      <sheetData sheetId="6"/>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ecast - P&amp;L"/>
      <sheetName val="Forecast - AR &amp; Cash"/>
      <sheetName val="Forecast - Assumptions"/>
      <sheetName val="Cash Op. Expenses"/>
      <sheetName val="GAAP Adj. to Cash Op. Exp."/>
      <sheetName val="GAAP Op. Expenses"/>
      <sheetName val="Annual GAAP P&amp;L"/>
      <sheetName val="Monthly GAAP P&amp;L"/>
      <sheetName val="Pay., Bonus, &amp; Comm. Alloc."/>
      <sheetName val="GAAP Revenues - Summary"/>
      <sheetName val="GAAP Revenues - Water Sch."/>
      <sheetName val="Projected Expenses"/>
      <sheetName val="Recurring Commissions Cash"/>
      <sheetName val="GAAP Comm. - Summary"/>
      <sheetName val="GAAP Comm. - Water Sch."/>
      <sheetName val="GAAP Pre. Exp. - Water Sch."/>
      <sheetName val="GAAP Cont. Roy. - Water Sch."/>
      <sheetName val="GAAP Cap. Software - Water Sch."/>
      <sheetName val="GAAP Fixed Assets - Water Sch."/>
      <sheetName val="GAAP Forecast - Assumptions"/>
      <sheetName val="Source Files--&gt;"/>
      <sheetName val="2010 to 2012 Renewals"/>
      <sheetName val="2010 Payroll Projection"/>
      <sheetName val="2009 Board - New"/>
      <sheetName val="2009 ACV"/>
      <sheetName val="Channel Sales - ADP Waterfall"/>
      <sheetName val="ADP"/>
      <sheetName val="2010 and 2011"/>
      <sheetName val="2009 Board Proj - as of 01-"/>
      <sheetName val="2009 Board-Delayed Billings"/>
      <sheetName val="Billings Actual vs. Project"/>
      <sheetName val="2009 Board"/>
      <sheetName val="2009 Existing Client Billing"/>
      <sheetName val="2009 Renewals"/>
      <sheetName val="Recurring 2010-2012"/>
      <sheetName val="Rev. Rec. Forecast"/>
      <sheetName val="Payroll by Dept"/>
      <sheetName val="Fixed Asset Depreciation"/>
      <sheetName val="FAD - Computer Equip"/>
      <sheetName val="FAD - Furnitures &amp; Fixtures"/>
      <sheetName val="FAD - LH Improvement"/>
      <sheetName val="FAD - Office Equipment"/>
      <sheetName val="FAD - Software"/>
      <sheetName val="Lease Amort. Schedule"/>
      <sheetName val="Stock Based Compensation"/>
      <sheetName val="Commission Amortization"/>
      <sheetName val="Rollforward"/>
      <sheetName val="2010 Costs Amortization"/>
      <sheetName val="2009 Costs Amortization"/>
      <sheetName val="2008 Costs Amortization"/>
      <sheetName val="2007 Costs Amortization"/>
      <sheetName val="Expense Forecast by Department"/>
    </sheetNames>
    <sheetDataSet>
      <sheetData sheetId="0"/>
      <sheetData sheetId="1"/>
      <sheetData sheetId="2"/>
      <sheetData sheetId="3"/>
      <sheetData sheetId="4">
        <row r="5">
          <cell r="F5">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Statement"/>
      <sheetName val="BalanceSheet"/>
      <sheetName val="CashFlow"/>
      <sheetName val="Financial Summary"/>
      <sheetName val="Valuation Metrics"/>
      <sheetName val="Review"/>
      <sheetName val="RDocs"/>
      <sheetName val="Acquisitions"/>
      <sheetName val="Summary"/>
      <sheetName val="Spheris"/>
      <sheetName val="Competition"/>
      <sheetName val="Heartland"/>
      <sheetName val="%%TOBA_CACHE%%"/>
      <sheetName val="Inputs &amp; Lookup"/>
      <sheetName val="Disclosu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C2" t="str">
            <v>Transcend Services, Inc.</v>
          </cell>
        </row>
        <row r="3">
          <cell r="C3" t="str">
            <v>TRCR</v>
          </cell>
        </row>
      </sheetData>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EXT &lt;&gt; Client Model"/>
      <sheetName val="RevBuild"/>
      <sheetName val="Metrics"/>
      <sheetName val="IS"/>
      <sheetName val="BS"/>
      <sheetName val="CF"/>
      <sheetName val="XLinkMeta"/>
      <sheetName val="Calendar"/>
      <sheetName val="INT &lt;&gt; Internal Model"/>
      <sheetName val="intRevSummary"/>
      <sheetName val="intRevBuild"/>
      <sheetName val="INT &lt;&gt; Results Charts"/>
      <sheetName val="RC--ThisQ"/>
      <sheetName val="RC--QtrGuide"/>
      <sheetName val="RC--YrGuide"/>
      <sheetName val="RC--QtrEst"/>
      <sheetName val="RC--YrEst"/>
      <sheetName val="RC--Setup"/>
      <sheetName val="Exhibits"/>
      <sheetName val="Exhibit X"/>
      <sheetName val="ExhibitX2"/>
      <sheetName val="Exhibit X3"/>
      <sheetName val="Exhibit X5"/>
      <sheetName val="Exhibit X6"/>
      <sheetName val="Exhibit X7"/>
      <sheetName val="Exhibit X8"/>
      <sheetName val="Exhibit X9"/>
      <sheetName val="Exhibit x10"/>
      <sheetName val="Exhibit x11"/>
    </sheetNames>
    <sheetDataSet>
      <sheetData sheetId="0" refreshError="1"/>
      <sheetData sheetId="1" refreshError="1"/>
      <sheetData sheetId="2">
        <row r="1">
          <cell r="A1" t="str">
            <v>SNOW</v>
          </cell>
        </row>
      </sheetData>
      <sheetData sheetId="3" refreshError="1"/>
      <sheetData sheetId="4">
        <row r="18">
          <cell r="G18">
            <v>96.665999999999997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6">
          <cell r="N6" t="str">
            <v>SNOW</v>
          </cell>
        </row>
      </sheetData>
      <sheetData sheetId="21">
        <row r="5">
          <cell r="I5" t="str">
            <v>3Q19</v>
          </cell>
        </row>
      </sheetData>
      <sheetData sheetId="22">
        <row r="6">
          <cell r="J6" t="str">
            <v>3Q19</v>
          </cell>
        </row>
      </sheetData>
      <sheetData sheetId="23">
        <row r="5">
          <cell r="J5">
            <v>2019</v>
          </cell>
        </row>
      </sheetData>
      <sheetData sheetId="24">
        <row r="9">
          <cell r="H9">
            <v>2019</v>
          </cell>
        </row>
      </sheetData>
      <sheetData sheetId="25">
        <row r="6">
          <cell r="I6">
            <v>2019</v>
          </cell>
        </row>
      </sheetData>
      <sheetData sheetId="26">
        <row r="5">
          <cell r="I5">
            <v>2019</v>
          </cell>
        </row>
      </sheetData>
      <sheetData sheetId="27">
        <row r="6">
          <cell r="J6">
            <v>2019</v>
          </cell>
        </row>
      </sheetData>
      <sheetData sheetId="28">
        <row r="6">
          <cell r="J6">
            <v>2019</v>
          </cell>
        </row>
      </sheetData>
      <sheetData sheetId="29">
        <row r="6">
          <cell r="J6">
            <v>2019</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Pipeline"/>
      <sheetName val="Completed Deals"/>
      <sheetName val="Sheet2"/>
      <sheetName val="Sheet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Pipeline"/>
      <sheetName val="Completed Deals"/>
      <sheetName val="Sheet2"/>
      <sheetName val="Sheet3"/>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EW)"/>
      <sheetName val="VAR"/>
      <sheetName val="JBL Preview"/>
      <sheetName val="%%TOBA_CACHE%%"/>
      <sheetName val="Analyst day 5-8-08"/>
      <sheetName val="Income"/>
      <sheetName val="Rev by segment"/>
      <sheetName val="Insert"/>
      <sheetName val="Balance"/>
      <sheetName val="CF output"/>
      <sheetName val="CF input"/>
      <sheetName val="EndMarket"/>
      <sheetName val="Geography"/>
      <sheetName val="DCF"/>
      <sheetName val="ROIC"/>
      <sheetName val="EPS Surprise History"/>
      <sheetName val="ROIC vs. FLEX"/>
      <sheetName val="PrevRev"/>
      <sheetName val="MktSht"/>
      <sheetName val="GETalone (Old)"/>
      <sheetName val="JBL ex GET (Old)"/>
      <sheetName val="Old Segments"/>
      <sheetName val="Marketing Sheet(old)"/>
    </sheetNames>
    <sheetDataSet>
      <sheetData sheetId="0">
        <row r="109">
          <cell r="A109" t="str">
            <v>Auxiliary "E" Build</v>
          </cell>
        </row>
      </sheetData>
      <sheetData sheetId="1"/>
      <sheetData sheetId="2"/>
      <sheetData sheetId="3"/>
      <sheetData sheetId="4"/>
      <sheetData sheetId="5">
        <row r="11">
          <cell r="I11">
            <v>34639</v>
          </cell>
          <cell r="J11">
            <v>34731</v>
          </cell>
          <cell r="K11">
            <v>34820</v>
          </cell>
          <cell r="L11">
            <v>34912</v>
          </cell>
          <cell r="N11">
            <v>35004</v>
          </cell>
          <cell r="O11">
            <v>35096</v>
          </cell>
          <cell r="P11">
            <v>35186</v>
          </cell>
          <cell r="Q11">
            <v>35278</v>
          </cell>
          <cell r="S11">
            <v>35370</v>
          </cell>
          <cell r="T11">
            <v>35462</v>
          </cell>
          <cell r="U11">
            <v>35551</v>
          </cell>
          <cell r="V11">
            <v>35643</v>
          </cell>
          <cell r="X11">
            <v>35735</v>
          </cell>
          <cell r="Y11">
            <v>35827</v>
          </cell>
          <cell r="Z11">
            <v>35916</v>
          </cell>
          <cell r="AA11">
            <v>36008</v>
          </cell>
          <cell r="AC11">
            <v>36100</v>
          </cell>
          <cell r="AD11">
            <v>36192</v>
          </cell>
          <cell r="AE11">
            <v>36281</v>
          </cell>
          <cell r="AF11">
            <v>36373</v>
          </cell>
          <cell r="AH11">
            <v>36465</v>
          </cell>
          <cell r="AI11">
            <v>36557</v>
          </cell>
          <cell r="AJ11">
            <v>36647</v>
          </cell>
          <cell r="AK11">
            <v>36739</v>
          </cell>
          <cell r="AM11">
            <v>36831</v>
          </cell>
          <cell r="AN11">
            <v>36923</v>
          </cell>
          <cell r="AO11">
            <v>37012</v>
          </cell>
          <cell r="AP11">
            <v>37104</v>
          </cell>
          <cell r="AR11">
            <v>37196</v>
          </cell>
          <cell r="AS11">
            <v>37288</v>
          </cell>
          <cell r="AT11">
            <v>37377</v>
          </cell>
          <cell r="AU11">
            <v>37469</v>
          </cell>
          <cell r="AW11">
            <v>37561</v>
          </cell>
          <cell r="AX11">
            <v>37653</v>
          </cell>
          <cell r="AY11">
            <v>37742</v>
          </cell>
          <cell r="AZ11">
            <v>37834</v>
          </cell>
          <cell r="BB11">
            <v>37926</v>
          </cell>
          <cell r="BC11">
            <v>38018</v>
          </cell>
          <cell r="BD11">
            <v>38108</v>
          </cell>
          <cell r="BE11">
            <v>38200</v>
          </cell>
          <cell r="BG11">
            <v>38292</v>
          </cell>
          <cell r="BH11">
            <v>38384</v>
          </cell>
          <cell r="BI11">
            <v>38473</v>
          </cell>
          <cell r="BJ11">
            <v>38565</v>
          </cell>
          <cell r="BL11">
            <v>38657</v>
          </cell>
          <cell r="BM11">
            <v>38749</v>
          </cell>
          <cell r="BN11">
            <v>38838</v>
          </cell>
          <cell r="BO11">
            <v>38930</v>
          </cell>
          <cell r="BQ11">
            <v>39022</v>
          </cell>
          <cell r="BR11">
            <v>39114</v>
          </cell>
          <cell r="BS11">
            <v>39203</v>
          </cell>
          <cell r="BT11">
            <v>39295</v>
          </cell>
          <cell r="BV11" t="str">
            <v xml:space="preserve">PLACEHOLDER </v>
          </cell>
          <cell r="BW11">
            <v>39387</v>
          </cell>
          <cell r="BX11">
            <v>39479</v>
          </cell>
          <cell r="BY11">
            <v>39569</v>
          </cell>
          <cell r="BZ11">
            <v>39661</v>
          </cell>
          <cell r="CB11">
            <v>39753</v>
          </cell>
          <cell r="CC11">
            <v>39845</v>
          </cell>
          <cell r="CD11">
            <v>39934</v>
          </cell>
          <cell r="CE11">
            <v>40026</v>
          </cell>
        </row>
        <row r="12">
          <cell r="G12">
            <v>1993</v>
          </cell>
          <cell r="H12">
            <v>1994</v>
          </cell>
          <cell r="I12" t="str">
            <v>1Q95</v>
          </cell>
          <cell r="J12" t="str">
            <v>2Q95</v>
          </cell>
          <cell r="K12" t="str">
            <v>3Q95</v>
          </cell>
          <cell r="L12" t="str">
            <v>4Q95</v>
          </cell>
          <cell r="M12">
            <v>1995</v>
          </cell>
          <cell r="N12" t="str">
            <v>1Q96</v>
          </cell>
          <cell r="O12" t="str">
            <v>2Q96</v>
          </cell>
          <cell r="P12" t="str">
            <v>3Q96</v>
          </cell>
          <cell r="Q12" t="str">
            <v>4Q96</v>
          </cell>
          <cell r="R12">
            <v>1996</v>
          </cell>
          <cell r="S12" t="str">
            <v>1Q97</v>
          </cell>
          <cell r="T12" t="str">
            <v>2Q97</v>
          </cell>
          <cell r="U12" t="str">
            <v>3Q97</v>
          </cell>
          <cell r="V12" t="str">
            <v>4Q97</v>
          </cell>
          <cell r="W12">
            <v>1997</v>
          </cell>
          <cell r="X12" t="str">
            <v>1Q98</v>
          </cell>
          <cell r="Y12" t="str">
            <v>2Q98</v>
          </cell>
          <cell r="Z12" t="str">
            <v>3Q98</v>
          </cell>
          <cell r="AA12" t="str">
            <v>4Q98</v>
          </cell>
          <cell r="AB12">
            <v>1998</v>
          </cell>
          <cell r="AC12" t="str">
            <v>1Q99</v>
          </cell>
          <cell r="AD12" t="str">
            <v>2Q99</v>
          </cell>
          <cell r="AE12" t="str">
            <v>3Q99</v>
          </cell>
          <cell r="AF12" t="str">
            <v>4Q99</v>
          </cell>
          <cell r="AG12" t="str">
            <v>1999</v>
          </cell>
          <cell r="AH12" t="str">
            <v>1Q00</v>
          </cell>
          <cell r="AI12" t="str">
            <v>2Q00</v>
          </cell>
          <cell r="AJ12" t="str">
            <v>3Q00</v>
          </cell>
          <cell r="AK12" t="str">
            <v>4Q00</v>
          </cell>
          <cell r="AL12">
            <v>2000</v>
          </cell>
          <cell r="AM12" t="str">
            <v>1Q01</v>
          </cell>
          <cell r="AN12" t="str">
            <v>2Q01</v>
          </cell>
          <cell r="AO12" t="str">
            <v>3Q01</v>
          </cell>
          <cell r="AP12" t="str">
            <v>4Q01</v>
          </cell>
          <cell r="AQ12">
            <v>2001</v>
          </cell>
          <cell r="AR12" t="str">
            <v>1Q02</v>
          </cell>
          <cell r="AS12" t="str">
            <v>2Q02</v>
          </cell>
          <cell r="AT12" t="str">
            <v>3Q02</v>
          </cell>
          <cell r="AU12" t="str">
            <v>4Q02</v>
          </cell>
          <cell r="AV12">
            <v>2002</v>
          </cell>
          <cell r="AW12" t="str">
            <v>1Q03</v>
          </cell>
          <cell r="AX12" t="str">
            <v>2Q03</v>
          </cell>
          <cell r="AY12" t="str">
            <v>3Q03</v>
          </cell>
          <cell r="AZ12" t="str">
            <v>4Q03</v>
          </cell>
          <cell r="BA12">
            <v>2003</v>
          </cell>
          <cell r="BB12" t="str">
            <v>1Q04</v>
          </cell>
          <cell r="BC12" t="str">
            <v>2Q04</v>
          </cell>
          <cell r="BD12" t="str">
            <v>3Q04</v>
          </cell>
          <cell r="BE12" t="str">
            <v>4Q04</v>
          </cell>
          <cell r="BF12" t="str">
            <v>FY04</v>
          </cell>
          <cell r="BG12" t="str">
            <v>1Q05</v>
          </cell>
          <cell r="BH12" t="str">
            <v>2Q05</v>
          </cell>
          <cell r="BI12" t="str">
            <v>3Q05</v>
          </cell>
          <cell r="BJ12" t="str">
            <v>4Q05</v>
          </cell>
          <cell r="BK12" t="str">
            <v>FY05</v>
          </cell>
          <cell r="BL12" t="str">
            <v>1Q06</v>
          </cell>
          <cell r="BM12" t="str">
            <v>2Q06</v>
          </cell>
          <cell r="BN12" t="str">
            <v>3Q06</v>
          </cell>
          <cell r="BO12" t="str">
            <v>4Q06</v>
          </cell>
          <cell r="BP12" t="str">
            <v>FY06</v>
          </cell>
          <cell r="BQ12" t="str">
            <v>1Q07</v>
          </cell>
          <cell r="BR12" t="str">
            <v>2Q07</v>
          </cell>
          <cell r="BS12" t="str">
            <v>3Q07</v>
          </cell>
          <cell r="BT12" t="str">
            <v>4Q07</v>
          </cell>
          <cell r="BU12" t="str">
            <v>FY07</v>
          </cell>
          <cell r="BV12" t="str">
            <v xml:space="preserve">PLACEHOLDER </v>
          </cell>
          <cell r="BW12" t="str">
            <v>1Q08</v>
          </cell>
          <cell r="BX12" t="str">
            <v>2Q08</v>
          </cell>
          <cell r="BY12" t="str">
            <v>3Q08E</v>
          </cell>
          <cell r="BZ12" t="str">
            <v>4Q08E</v>
          </cell>
          <cell r="CA12" t="str">
            <v>FY08E</v>
          </cell>
          <cell r="CB12" t="str">
            <v>1Q09E</v>
          </cell>
          <cell r="CC12" t="str">
            <v>2Q09E</v>
          </cell>
          <cell r="CD12" t="str">
            <v>3Q09E</v>
          </cell>
          <cell r="CE12" t="str">
            <v>4Q09E</v>
          </cell>
          <cell r="CF12" t="str">
            <v>FY09E</v>
          </cell>
          <cell r="CH12" t="str">
            <v>CY08</v>
          </cell>
        </row>
        <row r="13">
          <cell r="BV13" t="str">
            <v xml:space="preserve">PLACEHOLDER </v>
          </cell>
        </row>
        <row r="14">
          <cell r="A14" t="str">
            <v>Revenue</v>
          </cell>
          <cell r="G14">
            <v>334662</v>
          </cell>
          <cell r="H14">
            <v>375815</v>
          </cell>
          <cell r="I14">
            <v>107191</v>
          </cell>
          <cell r="J14">
            <v>114447</v>
          </cell>
          <cell r="K14">
            <v>132441</v>
          </cell>
          <cell r="L14">
            <v>205395</v>
          </cell>
          <cell r="M14">
            <v>559474</v>
          </cell>
          <cell r="N14">
            <v>233855</v>
          </cell>
          <cell r="O14">
            <v>235628</v>
          </cell>
          <cell r="P14">
            <v>219701</v>
          </cell>
          <cell r="Q14">
            <v>174101</v>
          </cell>
          <cell r="R14">
            <v>863285</v>
          </cell>
          <cell r="S14">
            <v>203070</v>
          </cell>
          <cell r="T14">
            <v>222187</v>
          </cell>
          <cell r="U14">
            <v>247637</v>
          </cell>
          <cell r="V14">
            <v>305208</v>
          </cell>
          <cell r="W14">
            <v>978102</v>
          </cell>
          <cell r="X14">
            <v>319512</v>
          </cell>
          <cell r="Y14">
            <v>330688</v>
          </cell>
          <cell r="Z14">
            <v>309599</v>
          </cell>
          <cell r="AA14">
            <v>317575</v>
          </cell>
          <cell r="AB14">
            <v>1277374</v>
          </cell>
          <cell r="AC14">
            <v>495115</v>
          </cell>
          <cell r="AD14">
            <v>558703</v>
          </cell>
          <cell r="AE14">
            <v>582238</v>
          </cell>
          <cell r="AF14">
            <v>602335</v>
          </cell>
          <cell r="AG14">
            <v>2238391</v>
          </cell>
          <cell r="AH14">
            <v>689822</v>
          </cell>
          <cell r="AI14">
            <v>837562</v>
          </cell>
          <cell r="AJ14">
            <v>965849</v>
          </cell>
          <cell r="AK14">
            <v>1065088</v>
          </cell>
          <cell r="AL14">
            <v>3558321</v>
          </cell>
          <cell r="AM14">
            <v>1128954.9999999998</v>
          </cell>
          <cell r="AN14">
            <v>1211175</v>
          </cell>
          <cell r="AO14">
            <v>1046463.9999999994</v>
          </cell>
          <cell r="AP14">
            <v>944061</v>
          </cell>
          <cell r="AQ14">
            <v>4330655</v>
          </cell>
          <cell r="AR14">
            <v>884566.99999999965</v>
          </cell>
          <cell r="AS14">
            <v>822074</v>
          </cell>
          <cell r="AT14">
            <v>850602</v>
          </cell>
          <cell r="AU14">
            <v>988223</v>
          </cell>
          <cell r="AV14">
            <v>3545465.9999999995</v>
          </cell>
          <cell r="AW14">
            <v>1068246</v>
          </cell>
          <cell r="AX14">
            <v>1145916.9999999993</v>
          </cell>
          <cell r="AY14">
            <v>1219304</v>
          </cell>
          <cell r="AZ14">
            <v>1296015</v>
          </cell>
          <cell r="BA14">
            <v>4729481.9999999991</v>
          </cell>
          <cell r="BB14">
            <v>1508994</v>
          </cell>
          <cell r="BC14">
            <v>1491875.9999999998</v>
          </cell>
          <cell r="BD14">
            <v>1625849.9999999998</v>
          </cell>
          <cell r="BE14">
            <v>1626177.0000000002</v>
          </cell>
          <cell r="BF14">
            <v>6252897</v>
          </cell>
          <cell r="BG14">
            <v>1833374.9999999998</v>
          </cell>
          <cell r="BH14">
            <v>1716005.9999999995</v>
          </cell>
          <cell r="BI14">
            <v>1938415</v>
          </cell>
          <cell r="BJ14">
            <v>2036590</v>
          </cell>
          <cell r="BK14">
            <v>7524385.9999999991</v>
          </cell>
          <cell r="BL14">
            <v>2404407.0000000005</v>
          </cell>
          <cell r="BM14">
            <v>2314962</v>
          </cell>
          <cell r="BN14">
            <v>2592464.0000000014</v>
          </cell>
          <cell r="BO14">
            <v>2953613.9999999972</v>
          </cell>
          <cell r="BP14">
            <v>10265447</v>
          </cell>
          <cell r="BQ14">
            <v>3224003</v>
          </cell>
          <cell r="BR14">
            <v>2934862.0000000019</v>
          </cell>
          <cell r="BS14">
            <v>3001896</v>
          </cell>
          <cell r="BT14">
            <v>3129831</v>
          </cell>
          <cell r="BU14">
            <v>12290592.000000002</v>
          </cell>
          <cell r="BV14" t="str">
            <v xml:space="preserve">PLACEHOLDER </v>
          </cell>
          <cell r="BW14">
            <v>3367947.0000000005</v>
          </cell>
          <cell r="BX14">
            <v>3058613</v>
          </cell>
          <cell r="BY14">
            <v>3101433.5819999999</v>
          </cell>
          <cell r="BZ14">
            <v>3178969.4215499996</v>
          </cell>
          <cell r="CA14">
            <v>12706963.00355</v>
          </cell>
          <cell r="CB14">
            <v>3465076.6694894996</v>
          </cell>
          <cell r="CC14">
            <v>3222521.3026252342</v>
          </cell>
          <cell r="CD14">
            <v>3319196.9417039915</v>
          </cell>
          <cell r="CE14">
            <v>3435368.8346636309</v>
          </cell>
          <cell r="CF14">
            <v>13442163.748482358</v>
          </cell>
          <cell r="CH14">
            <v>12804092.6730395</v>
          </cell>
        </row>
        <row r="15">
          <cell r="A15" t="str">
            <v>Consensus</v>
          </cell>
          <cell r="BU15">
            <v>12290592.000000002</v>
          </cell>
          <cell r="BW15">
            <v>3367947</v>
          </cell>
          <cell r="BX15">
            <v>3058613</v>
          </cell>
          <cell r="BY15">
            <v>3085105</v>
          </cell>
          <cell r="BZ15">
            <v>3187459</v>
          </cell>
          <cell r="CA15">
            <v>12700141</v>
          </cell>
          <cell r="CB15">
            <v>3455939</v>
          </cell>
          <cell r="CC15">
            <v>3244492</v>
          </cell>
        </row>
        <row r="16">
          <cell r="A16" t="str">
            <v>Difference</v>
          </cell>
          <cell r="BY16">
            <v>5.2927151588033627E-3</v>
          </cell>
          <cell r="BZ16">
            <v>-2.6634314198238362E-3</v>
          </cell>
          <cell r="CA16">
            <v>5.3715967011713772E-4</v>
          </cell>
          <cell r="CB16">
            <v>2.6440482570726509E-3</v>
          </cell>
          <cell r="CC16">
            <v>-6.7716910304497224E-3</v>
          </cell>
        </row>
        <row r="17">
          <cell r="A17" t="str">
            <v>Consensus Sequential Growth/Surprise</v>
          </cell>
          <cell r="BU17" t="str">
            <v>actual</v>
          </cell>
          <cell r="BW17" t="str">
            <v>actual</v>
          </cell>
          <cell r="BX17" t="str">
            <v>actual</v>
          </cell>
          <cell r="BY17">
            <v>8.6614422942685731E-3</v>
          </cell>
          <cell r="BZ17">
            <v>3.3176828665475E-2</v>
          </cell>
          <cell r="CA17">
            <v>3.332215405083816E-2</v>
          </cell>
          <cell r="CB17">
            <v>8.4230103038188009E-2</v>
          </cell>
          <cell r="CC17">
            <v>-0.74453102528546733</v>
          </cell>
        </row>
        <row r="18">
          <cell r="A18" t="str">
            <v>Current QTR/YR Check</v>
          </cell>
          <cell r="BX18" t="str">
            <v>Feb2008</v>
          </cell>
          <cell r="BY18" t="str">
            <v>May2008</v>
          </cell>
          <cell r="BZ18" t="str">
            <v>Aug2008</v>
          </cell>
          <cell r="CA18" t="str">
            <v>Aug2008</v>
          </cell>
          <cell r="CB18" t="str">
            <v>Nov2008</v>
          </cell>
          <cell r="CC18" t="str">
            <v>Feb2009</v>
          </cell>
        </row>
        <row r="19">
          <cell r="F19" t="str">
            <v>% Sequential Increase</v>
          </cell>
          <cell r="H19">
            <v>0.12296884617913006</v>
          </cell>
          <cell r="J19">
            <v>6.7692250282206601E-2</v>
          </cell>
          <cell r="K19">
            <v>0.15722561535033686</v>
          </cell>
          <cell r="L19">
            <v>0.550841506784153</v>
          </cell>
          <cell r="M19">
            <v>0.48869523568777185</v>
          </cell>
          <cell r="N19">
            <v>0.13856228243141255</v>
          </cell>
          <cell r="O19">
            <v>7.5816210899917191E-3</v>
          </cell>
          <cell r="P19">
            <v>-6.7593834349058635E-2</v>
          </cell>
          <cell r="Q19">
            <v>-0.20755481313239355</v>
          </cell>
          <cell r="R19">
            <v>0.54302970289950925</v>
          </cell>
          <cell r="S19">
            <v>0.16639192193037378</v>
          </cell>
          <cell r="T19">
            <v>9.4139951740779049E-2</v>
          </cell>
          <cell r="U19">
            <v>0.11454315509008173</v>
          </cell>
          <cell r="V19">
            <v>0.23248141432823033</v>
          </cell>
          <cell r="W19">
            <v>0.13300011004477086</v>
          </cell>
          <cell r="X19">
            <v>4.6866399308012952E-2</v>
          </cell>
          <cell r="Y19">
            <v>3.4978341971506621E-2</v>
          </cell>
          <cell r="Z19">
            <v>-6.3773103348171101E-2</v>
          </cell>
          <cell r="AA19">
            <v>2.5762357113556567E-2</v>
          </cell>
          <cell r="AB19">
            <v>0.30597217877072125</v>
          </cell>
          <cell r="AC19" t="str">
            <v>NA</v>
          </cell>
          <cell r="AD19">
            <v>0.12843076860931291</v>
          </cell>
          <cell r="AE19">
            <v>4.2124348714791315E-2</v>
          </cell>
          <cell r="AF19">
            <v>3.4516812712327205E-2</v>
          </cell>
          <cell r="AG19" t="str">
            <v>NA</v>
          </cell>
          <cell r="AH19">
            <v>0.14524641603094612</v>
          </cell>
          <cell r="AI19">
            <v>0.21417119198865797</v>
          </cell>
          <cell r="AJ19">
            <v>0.15316716852006174</v>
          </cell>
          <cell r="AK19">
            <v>0.10274794507215934</v>
          </cell>
          <cell r="AL19">
            <v>0.58967803212218062</v>
          </cell>
          <cell r="AM19">
            <v>5.9964059307775368E-2</v>
          </cell>
          <cell r="AN19">
            <v>7.282841211562939E-2</v>
          </cell>
          <cell r="AO19">
            <v>-0.1359927343282355</v>
          </cell>
          <cell r="AP19">
            <v>-9.7856209100360303E-2</v>
          </cell>
          <cell r="AQ19">
            <v>0.21705011998636436</v>
          </cell>
          <cell r="AR19">
            <v>-6.3019232867368102E-2</v>
          </cell>
          <cell r="AS19">
            <v>-7.0648125014837415E-2</v>
          </cell>
          <cell r="AT19">
            <v>3.4702472040230026E-2</v>
          </cell>
          <cell r="AU19">
            <v>0.16179247168475963</v>
          </cell>
          <cell r="AV19">
            <v>-0.18130952477165707</v>
          </cell>
          <cell r="AW19">
            <v>8.0976662150142209E-2</v>
          </cell>
          <cell r="AX19">
            <v>7.2708907873279438E-2</v>
          </cell>
          <cell r="AY19">
            <v>6.4042160121545288E-2</v>
          </cell>
          <cell r="AZ19">
            <v>6.2913760637215876E-2</v>
          </cell>
          <cell r="BA19">
            <v>0.33395215184689397</v>
          </cell>
          <cell r="BB19">
            <v>0.16433374613719751</v>
          </cell>
          <cell r="BC19">
            <v>-1.1343981487004107E-2</v>
          </cell>
          <cell r="BD19">
            <v>8.9802369633937396E-2</v>
          </cell>
          <cell r="BE19">
            <v>2.0112556508933288E-4</v>
          </cell>
          <cell r="BF19">
            <v>0.32211032836154185</v>
          </cell>
          <cell r="BG19">
            <v>0.12741417447178235</v>
          </cell>
          <cell r="BH19">
            <v>-6.4017999590918431E-2</v>
          </cell>
          <cell r="BI19">
            <v>0.12960852118232724</v>
          </cell>
          <cell r="BJ19">
            <v>5.0647049264476489E-2</v>
          </cell>
          <cell r="BK19">
            <v>0.20334398599561121</v>
          </cell>
          <cell r="BL19">
            <v>0.18060434353502691</v>
          </cell>
          <cell r="BM19">
            <v>-3.7200440690781628E-2</v>
          </cell>
          <cell r="BN19">
            <v>0.11987324197978254</v>
          </cell>
          <cell r="BO19">
            <v>0.13930762394386012</v>
          </cell>
          <cell r="BP19">
            <v>0.36429032216050605</v>
          </cell>
          <cell r="BQ19">
            <v>9.1545137583991285E-2</v>
          </cell>
          <cell r="BR19">
            <v>-8.9683849549767228E-2</v>
          </cell>
          <cell r="BS19">
            <v>2.284059693436969E-2</v>
          </cell>
          <cell r="BT19">
            <v>4.2618065382678205E-2</v>
          </cell>
          <cell r="BU19">
            <v>0.19727781946563083</v>
          </cell>
          <cell r="BV19" t="str">
            <v xml:space="preserve">PLACEHOLDER </v>
          </cell>
          <cell r="BW19">
            <v>7.6079507168278479E-2</v>
          </cell>
          <cell r="BX19">
            <v>-9.184645720375062E-2</v>
          </cell>
          <cell r="BY19">
            <v>1.4E-2</v>
          </cell>
          <cell r="BZ19">
            <v>2.5000000000000001E-2</v>
          </cell>
          <cell r="CA19">
            <v>3.3877213038232767E-2</v>
          </cell>
          <cell r="CB19">
            <v>0.09</v>
          </cell>
          <cell r="CC19">
            <v>-7.0000000000000007E-2</v>
          </cell>
          <cell r="CD19">
            <v>0.03</v>
          </cell>
          <cell r="CE19">
            <v>3.5000000000000003E-2</v>
          </cell>
          <cell r="CF19">
            <v>5.7858100690697079E-2</v>
          </cell>
        </row>
        <row r="20">
          <cell r="BV20" t="str">
            <v xml:space="preserve">PLACEHOLDER </v>
          </cell>
        </row>
        <row r="21">
          <cell r="A21" t="str">
            <v>Cost of revenue</v>
          </cell>
          <cell r="G21">
            <v>304454</v>
          </cell>
          <cell r="H21">
            <v>351608</v>
          </cell>
          <cell r="I21">
            <v>98127</v>
          </cell>
          <cell r="J21">
            <v>108651</v>
          </cell>
          <cell r="K21">
            <v>124610</v>
          </cell>
          <cell r="L21">
            <v>191950</v>
          </cell>
          <cell r="M21">
            <v>523338</v>
          </cell>
          <cell r="N21">
            <v>216537</v>
          </cell>
          <cell r="O21">
            <v>217360</v>
          </cell>
          <cell r="P21">
            <v>201142</v>
          </cell>
          <cell r="Q21">
            <v>155272</v>
          </cell>
          <cell r="R21">
            <v>790311</v>
          </cell>
          <cell r="S21">
            <v>179978</v>
          </cell>
          <cell r="T21">
            <v>195711</v>
          </cell>
          <cell r="U21">
            <v>215603</v>
          </cell>
          <cell r="V21">
            <v>265953</v>
          </cell>
          <cell r="W21">
            <v>857245</v>
          </cell>
          <cell r="X21">
            <v>278167</v>
          </cell>
          <cell r="Y21">
            <v>286628</v>
          </cell>
          <cell r="Z21">
            <v>269826</v>
          </cell>
          <cell r="AA21">
            <v>281026</v>
          </cell>
          <cell r="AB21">
            <v>1115647</v>
          </cell>
          <cell r="AC21">
            <v>440420</v>
          </cell>
          <cell r="AD21">
            <v>498601</v>
          </cell>
          <cell r="AE21">
            <v>518417</v>
          </cell>
          <cell r="AF21">
            <v>535365</v>
          </cell>
          <cell r="AG21">
            <v>1992803</v>
          </cell>
          <cell r="AH21">
            <v>616435</v>
          </cell>
          <cell r="AI21">
            <v>753479</v>
          </cell>
          <cell r="AJ21">
            <v>871307</v>
          </cell>
          <cell r="AK21">
            <v>958751</v>
          </cell>
          <cell r="AL21">
            <v>3199972</v>
          </cell>
          <cell r="AM21">
            <v>1017481.9999999998</v>
          </cell>
          <cell r="AN21">
            <v>1102737</v>
          </cell>
          <cell r="AO21">
            <v>956198.99999999942</v>
          </cell>
          <cell r="AP21">
            <v>860171</v>
          </cell>
          <cell r="AQ21">
            <v>3936588.9999999995</v>
          </cell>
          <cell r="AR21">
            <v>802958.99999999965</v>
          </cell>
          <cell r="AS21">
            <v>748575.38393187348</v>
          </cell>
          <cell r="AT21">
            <v>766737</v>
          </cell>
          <cell r="AU21">
            <v>892597</v>
          </cell>
          <cell r="AV21">
            <v>3210868.3839318734</v>
          </cell>
          <cell r="AW21">
            <v>970702</v>
          </cell>
          <cell r="AX21">
            <v>1041029.9999999993</v>
          </cell>
          <cell r="AY21">
            <v>1106672.9999999995</v>
          </cell>
          <cell r="AZ21">
            <v>1175611</v>
          </cell>
          <cell r="BA21">
            <v>4294015.9999999991</v>
          </cell>
          <cell r="BB21">
            <v>1375545</v>
          </cell>
          <cell r="BC21">
            <v>1360548.9999999998</v>
          </cell>
          <cell r="BD21">
            <v>1489935</v>
          </cell>
          <cell r="BE21">
            <v>1488488.0000000002</v>
          </cell>
          <cell r="BF21">
            <v>5714517</v>
          </cell>
          <cell r="BG21">
            <v>1678516.9999999998</v>
          </cell>
          <cell r="BH21">
            <v>1575554.9999999995</v>
          </cell>
          <cell r="BI21">
            <v>1776333</v>
          </cell>
          <cell r="BJ21">
            <v>1865476</v>
          </cell>
          <cell r="BK21">
            <v>6895880.9999999991</v>
          </cell>
          <cell r="BL21">
            <v>2208585.0000000005</v>
          </cell>
          <cell r="BM21">
            <v>2130314</v>
          </cell>
          <cell r="BN21">
            <v>2404821.0000000005</v>
          </cell>
          <cell r="BO21">
            <v>2756826.9999999986</v>
          </cell>
          <cell r="BP21">
            <v>9500546.9999999981</v>
          </cell>
          <cell r="BQ21">
            <v>3032018</v>
          </cell>
          <cell r="BR21">
            <v>2763352.0000000019</v>
          </cell>
          <cell r="BS21">
            <v>2782907</v>
          </cell>
          <cell r="BT21">
            <v>2900285</v>
          </cell>
          <cell r="BU21">
            <v>11478562.000000002</v>
          </cell>
          <cell r="BV21" t="str">
            <v xml:space="preserve">PLACEHOLDER </v>
          </cell>
          <cell r="BW21">
            <v>3128233.0000000005</v>
          </cell>
          <cell r="BX21">
            <v>2870708</v>
          </cell>
          <cell r="BY21">
            <v>2906043.266334</v>
          </cell>
          <cell r="BZ21">
            <v>2956441.5620414997</v>
          </cell>
          <cell r="CA21">
            <v>11861425.8283755</v>
          </cell>
          <cell r="CB21">
            <v>3208660.9959472767</v>
          </cell>
          <cell r="CC21">
            <v>2996944.8114414676</v>
          </cell>
          <cell r="CD21">
            <v>3070257.1710761921</v>
          </cell>
          <cell r="CE21">
            <v>3177716.1720638587</v>
          </cell>
          <cell r="CF21">
            <v>12453579.150528796</v>
          </cell>
          <cell r="CH21">
            <v>11941853.824322777</v>
          </cell>
        </row>
        <row r="22">
          <cell r="BV22" t="str">
            <v xml:space="preserve">PLACEHOLDER </v>
          </cell>
        </row>
        <row r="23">
          <cell r="A23" t="str">
            <v>Gross Profit</v>
          </cell>
          <cell r="G23">
            <v>30208</v>
          </cell>
          <cell r="H23">
            <v>24207</v>
          </cell>
          <cell r="I23">
            <v>9064</v>
          </cell>
          <cell r="J23">
            <v>5796</v>
          </cell>
          <cell r="K23">
            <v>7831</v>
          </cell>
          <cell r="L23">
            <v>13445</v>
          </cell>
          <cell r="M23">
            <v>36136</v>
          </cell>
          <cell r="N23">
            <v>17318</v>
          </cell>
          <cell r="O23">
            <v>18268</v>
          </cell>
          <cell r="P23">
            <v>18559</v>
          </cell>
          <cell r="Q23">
            <v>18829</v>
          </cell>
          <cell r="R23">
            <v>72974</v>
          </cell>
          <cell r="S23">
            <v>23092</v>
          </cell>
          <cell r="T23">
            <v>26476</v>
          </cell>
          <cell r="U23">
            <v>32034</v>
          </cell>
          <cell r="V23">
            <v>39255</v>
          </cell>
          <cell r="W23">
            <v>120857</v>
          </cell>
          <cell r="X23">
            <v>41345</v>
          </cell>
          <cell r="Y23">
            <v>44060</v>
          </cell>
          <cell r="Z23">
            <v>39773</v>
          </cell>
          <cell r="AA23">
            <v>36549</v>
          </cell>
          <cell r="AB23">
            <v>161727</v>
          </cell>
          <cell r="AC23">
            <v>54695</v>
          </cell>
          <cell r="AD23">
            <v>60102</v>
          </cell>
          <cell r="AE23">
            <v>63820.999999999985</v>
          </cell>
          <cell r="AF23">
            <v>66970</v>
          </cell>
          <cell r="AG23">
            <v>245588</v>
          </cell>
          <cell r="AH23">
            <v>73386.999999999985</v>
          </cell>
          <cell r="AI23">
            <v>84083</v>
          </cell>
          <cell r="AJ23">
            <v>94542</v>
          </cell>
          <cell r="AK23">
            <v>106337.00000000001</v>
          </cell>
          <cell r="AL23">
            <v>358349</v>
          </cell>
          <cell r="AM23">
            <v>111473</v>
          </cell>
          <cell r="AN23">
            <v>108437.99999999999</v>
          </cell>
          <cell r="AO23">
            <v>90264.999999999971</v>
          </cell>
          <cell r="AP23">
            <v>83890.000000000029</v>
          </cell>
          <cell r="AQ23">
            <v>394066.00000000047</v>
          </cell>
          <cell r="AR23">
            <v>81608</v>
          </cell>
          <cell r="AS23">
            <v>73498.616068126517</v>
          </cell>
          <cell r="AT23">
            <v>83865</v>
          </cell>
          <cell r="AU23">
            <v>95626</v>
          </cell>
          <cell r="AV23">
            <v>334597.61606812617</v>
          </cell>
          <cell r="AW23">
            <v>97544.000000000044</v>
          </cell>
          <cell r="AX23">
            <v>104886.99999999996</v>
          </cell>
          <cell r="AY23">
            <v>112631.00000000038</v>
          </cell>
          <cell r="AZ23">
            <v>120404</v>
          </cell>
          <cell r="BA23">
            <v>435466</v>
          </cell>
          <cell r="BB23">
            <v>133448.99999999997</v>
          </cell>
          <cell r="BC23">
            <v>131326.99999999994</v>
          </cell>
          <cell r="BD23">
            <v>135914.99999999988</v>
          </cell>
          <cell r="BE23">
            <v>137689</v>
          </cell>
          <cell r="BF23">
            <v>538380</v>
          </cell>
          <cell r="BG23">
            <v>154858.00000000003</v>
          </cell>
          <cell r="BH23">
            <v>140450.99999999994</v>
          </cell>
          <cell r="BI23">
            <v>162081.99999999994</v>
          </cell>
          <cell r="BJ23">
            <v>171114.00000000003</v>
          </cell>
          <cell r="BK23">
            <v>628505</v>
          </cell>
          <cell r="BL23">
            <v>195822</v>
          </cell>
          <cell r="BM23">
            <v>184648.00000000012</v>
          </cell>
          <cell r="BN23">
            <v>187643.00000000111</v>
          </cell>
          <cell r="BO23">
            <v>196786.99999999878</v>
          </cell>
          <cell r="BP23">
            <v>764900</v>
          </cell>
          <cell r="BQ23">
            <v>191985</v>
          </cell>
          <cell r="BR23">
            <v>171510</v>
          </cell>
          <cell r="BS23">
            <v>218989.00000000003</v>
          </cell>
          <cell r="BT23">
            <v>229546</v>
          </cell>
          <cell r="BU23">
            <v>812030</v>
          </cell>
          <cell r="BV23" t="str">
            <v xml:space="preserve">PLACEHOLDER </v>
          </cell>
          <cell r="BW23">
            <v>239714.00000000006</v>
          </cell>
          <cell r="BX23">
            <v>187905</v>
          </cell>
          <cell r="BY23">
            <v>195390.31566600001</v>
          </cell>
          <cell r="BZ23">
            <v>222527.8595085</v>
          </cell>
          <cell r="CA23">
            <v>845537.17517450009</v>
          </cell>
          <cell r="CB23">
            <v>256415.67354222297</v>
          </cell>
          <cell r="CC23">
            <v>225576.49118376643</v>
          </cell>
          <cell r="CD23">
            <v>248939.77062779936</v>
          </cell>
          <cell r="CE23">
            <v>257652.6625997723</v>
          </cell>
          <cell r="CF23">
            <v>988584.59795356111</v>
          </cell>
          <cell r="CH23">
            <v>862238.84871672303</v>
          </cell>
        </row>
        <row r="24">
          <cell r="F24" t="str">
            <v>% of revenue</v>
          </cell>
          <cell r="G24">
            <v>9.0264206871410554E-2</v>
          </cell>
          <cell r="H24">
            <v>6.4412011228929131E-2</v>
          </cell>
          <cell r="I24">
            <v>8.4559338004123477E-2</v>
          </cell>
          <cell r="J24">
            <v>5.0643529319248211E-2</v>
          </cell>
          <cell r="K24">
            <v>5.9128215582787809E-2</v>
          </cell>
          <cell r="L24">
            <v>6.5459237079773122E-2</v>
          </cell>
          <cell r="M24">
            <v>6.4589239178228119E-2</v>
          </cell>
          <cell r="N24">
            <v>7.4054435440764579E-2</v>
          </cell>
          <cell r="O24">
            <v>7.7528986368343322E-2</v>
          </cell>
          <cell r="P24">
            <v>8.4473898616756415E-2</v>
          </cell>
          <cell r="Q24">
            <v>0.10814986703120602</v>
          </cell>
          <cell r="R24">
            <v>8.4530601134040317E-2</v>
          </cell>
          <cell r="S24">
            <v>0.11371448269069778</v>
          </cell>
          <cell r="T24">
            <v>0.11916088700058959</v>
          </cell>
          <cell r="U24">
            <v>0.12935869841744166</v>
          </cell>
          <cell r="V24">
            <v>0.12861720531571913</v>
          </cell>
          <cell r="W24">
            <v>0.1235627777062106</v>
          </cell>
          <cell r="X24">
            <v>0.12940046070257141</v>
          </cell>
          <cell r="Y24">
            <v>0.13323737178246564</v>
          </cell>
          <cell r="Z24">
            <v>0.12846617721633469</v>
          </cell>
          <cell r="AA24">
            <v>0.1150877745414469</v>
          </cell>
          <cell r="AB24">
            <v>0.12660896495466481</v>
          </cell>
          <cell r="AC24">
            <v>0.11046928491360593</v>
          </cell>
          <cell r="AD24">
            <v>0.10757414941391043</v>
          </cell>
          <cell r="AE24">
            <v>0.10961325093861958</v>
          </cell>
          <cell r="AF24">
            <v>0.11118397569458857</v>
          </cell>
          <cell r="AG24">
            <v>0.10971630961704189</v>
          </cell>
          <cell r="AH24">
            <v>0.10638541536802246</v>
          </cell>
          <cell r="AI24">
            <v>0.10039018007025151</v>
          </cell>
          <cell r="AJ24">
            <v>9.7884866060843873E-2</v>
          </cell>
          <cell r="AK24">
            <v>9.9838698774185802E-2</v>
          </cell>
          <cell r="AL24">
            <v>0.10070732797856068</v>
          </cell>
          <cell r="AM24">
            <v>9.8739985207559222E-2</v>
          </cell>
          <cell r="AN24">
            <v>8.953124032447829E-2</v>
          </cell>
          <cell r="AO24">
            <v>8.6257147880863583E-2</v>
          </cell>
          <cell r="AP24">
            <v>8.8860783360397294E-2</v>
          </cell>
          <cell r="AQ24">
            <v>9.0994549323370366E-2</v>
          </cell>
          <cell r="AR24">
            <v>9.2257567826970741E-2</v>
          </cell>
          <cell r="AS24">
            <v>8.940632603406326E-2</v>
          </cell>
          <cell r="AT24">
            <v>9.8594877510280954E-2</v>
          </cell>
          <cell r="AU24">
            <v>9.6765608572154257E-2</v>
          </cell>
          <cell r="AV24">
            <v>9.43733816846999E-2</v>
          </cell>
          <cell r="AW24">
            <v>9.1312300724739476E-2</v>
          </cell>
          <cell r="AX24">
            <v>9.1531062022816675E-2</v>
          </cell>
          <cell r="AY24">
            <v>9.2373189950988741E-2</v>
          </cell>
          <cell r="AZ24">
            <v>9.2903245718606656E-2</v>
          </cell>
          <cell r="BA24">
            <v>9.2074776899457506E-2</v>
          </cell>
          <cell r="BB24">
            <v>8.8435739307114528E-2</v>
          </cell>
          <cell r="BC24">
            <v>8.8028093487662495E-2</v>
          </cell>
          <cell r="BD24">
            <v>8.359627271888545E-2</v>
          </cell>
          <cell r="BE24">
            <v>8.4670364911076698E-2</v>
          </cell>
          <cell r="BF24">
            <v>8.6100890515228387E-2</v>
          </cell>
          <cell r="BG24">
            <v>8.4466080316356468E-2</v>
          </cell>
          <cell r="BH24">
            <v>8.1847615917426855E-2</v>
          </cell>
          <cell r="BI24">
            <v>8.3615737600049492E-2</v>
          </cell>
          <cell r="BJ24">
            <v>8.401985672128412E-2</v>
          </cell>
          <cell r="BK24">
            <v>8.3529074664696903E-2</v>
          </cell>
          <cell r="BL24">
            <v>8.144295038236038E-2</v>
          </cell>
          <cell r="BM24">
            <v>7.9762864358032703E-2</v>
          </cell>
          <cell r="BN24">
            <v>7.2380175771004349E-2</v>
          </cell>
          <cell r="BO24">
            <v>6.6625835332578653E-2</v>
          </cell>
          <cell r="BP24">
            <v>7.4512098693802611E-2</v>
          </cell>
          <cell r="BQ24">
            <v>5.9548641859204228E-2</v>
          </cell>
          <cell r="BR24">
            <v>5.8438863564964853E-2</v>
          </cell>
          <cell r="BS24">
            <v>7.2950228788738858E-2</v>
          </cell>
          <cell r="BT24">
            <v>7.3341340155426926E-2</v>
          </cell>
          <cell r="BU24">
            <v>6.6069234093849988E-2</v>
          </cell>
          <cell r="BV24" t="str">
            <v xml:space="preserve">PLACEHOLDER </v>
          </cell>
          <cell r="BW24">
            <v>7.1175110534696662E-2</v>
          </cell>
          <cell r="BX24">
            <v>6.1434709131230399E-2</v>
          </cell>
          <cell r="BY24">
            <v>6.3E-2</v>
          </cell>
          <cell r="BZ24">
            <v>7.0000000000000007E-2</v>
          </cell>
          <cell r="CA24">
            <v>6.6541247892063476E-2</v>
          </cell>
          <cell r="CB24">
            <v>7.3999999999999996E-2</v>
          </cell>
          <cell r="CC24">
            <v>7.0000000000000007E-2</v>
          </cell>
          <cell r="CD24">
            <v>7.4999999999999997E-2</v>
          </cell>
          <cell r="CE24">
            <v>7.4999999999999997E-2</v>
          </cell>
          <cell r="CF24">
            <v>7.354356162081227E-2</v>
          </cell>
        </row>
        <row r="25">
          <cell r="BV25" t="str">
            <v xml:space="preserve">PLACEHOLDER </v>
          </cell>
        </row>
        <row r="26">
          <cell r="A26" t="str">
            <v>SG&amp;A</v>
          </cell>
          <cell r="G26">
            <v>11812</v>
          </cell>
          <cell r="H26">
            <v>14038</v>
          </cell>
          <cell r="I26">
            <v>4089</v>
          </cell>
          <cell r="J26">
            <v>4663</v>
          </cell>
          <cell r="K26">
            <v>4464</v>
          </cell>
          <cell r="L26">
            <v>4682</v>
          </cell>
          <cell r="M26">
            <v>17898</v>
          </cell>
          <cell r="N26">
            <v>5561</v>
          </cell>
          <cell r="O26">
            <v>6070</v>
          </cell>
          <cell r="P26">
            <v>6612</v>
          </cell>
          <cell r="Q26">
            <v>7213</v>
          </cell>
          <cell r="R26">
            <v>25456</v>
          </cell>
          <cell r="S26">
            <v>7727</v>
          </cell>
          <cell r="T26">
            <v>7918</v>
          </cell>
          <cell r="U26">
            <v>9252</v>
          </cell>
          <cell r="V26">
            <v>10989</v>
          </cell>
          <cell r="W26">
            <v>35886</v>
          </cell>
          <cell r="X26">
            <v>11077</v>
          </cell>
          <cell r="Y26">
            <v>12858</v>
          </cell>
          <cell r="Z26">
            <v>12941</v>
          </cell>
          <cell r="AA26">
            <v>15138</v>
          </cell>
          <cell r="AB26">
            <v>52014</v>
          </cell>
          <cell r="AC26">
            <v>20825</v>
          </cell>
          <cell r="AD26">
            <v>22452</v>
          </cell>
          <cell r="AE26">
            <v>22586</v>
          </cell>
          <cell r="AF26">
            <v>25836</v>
          </cell>
          <cell r="AG26">
            <v>91699</v>
          </cell>
          <cell r="AH26">
            <v>27050.999999999996</v>
          </cell>
          <cell r="AI26">
            <v>31612</v>
          </cell>
          <cell r="AJ26">
            <v>34327</v>
          </cell>
          <cell r="AK26">
            <v>39726.999999999993</v>
          </cell>
          <cell r="AL26">
            <v>132717</v>
          </cell>
          <cell r="AM26">
            <v>44080.000000000015</v>
          </cell>
          <cell r="AN26">
            <v>46892.000000000015</v>
          </cell>
          <cell r="AO26">
            <v>46008.999999999978</v>
          </cell>
          <cell r="AP26">
            <v>47130</v>
          </cell>
          <cell r="AQ26">
            <v>184111</v>
          </cell>
          <cell r="AR26">
            <v>49603</v>
          </cell>
          <cell r="AS26">
            <v>49736.477090024338</v>
          </cell>
          <cell r="AT26">
            <v>49404</v>
          </cell>
          <cell r="AU26">
            <v>55106.000000000007</v>
          </cell>
          <cell r="AV26">
            <v>203849.47709002433</v>
          </cell>
          <cell r="AW26">
            <v>55839.999999999964</v>
          </cell>
          <cell r="AX26">
            <v>60309.999999999978</v>
          </cell>
          <cell r="AY26">
            <v>62462.000000000007</v>
          </cell>
          <cell r="AZ26">
            <v>65051</v>
          </cell>
          <cell r="BA26">
            <v>243662.99999999994</v>
          </cell>
          <cell r="BB26">
            <v>66008.999999999985</v>
          </cell>
          <cell r="BC26">
            <v>65986.000000000044</v>
          </cell>
          <cell r="BD26">
            <v>65912.999999999971</v>
          </cell>
          <cell r="BE26">
            <v>65596</v>
          </cell>
          <cell r="BF26">
            <v>263504</v>
          </cell>
          <cell r="BG26">
            <v>68089</v>
          </cell>
          <cell r="BH26">
            <v>66136.999999999985</v>
          </cell>
          <cell r="BI26">
            <v>71688</v>
          </cell>
          <cell r="BJ26">
            <v>72952</v>
          </cell>
          <cell r="BK26">
            <v>278866</v>
          </cell>
          <cell r="BL26">
            <v>94542</v>
          </cell>
          <cell r="BM26">
            <v>87063.000000000015</v>
          </cell>
          <cell r="BN26">
            <v>93535.999999999985</v>
          </cell>
          <cell r="BO26">
            <v>107068.99999999994</v>
          </cell>
          <cell r="BP26">
            <v>382209.99999999994</v>
          </cell>
          <cell r="BQ26">
            <v>109756.00000000001</v>
          </cell>
          <cell r="BR26">
            <v>119974.99999999999</v>
          </cell>
          <cell r="BS26">
            <v>140733</v>
          </cell>
          <cell r="BT26">
            <v>121502.99999999999</v>
          </cell>
          <cell r="BU26">
            <v>491967</v>
          </cell>
          <cell r="BV26" t="str">
            <v xml:space="preserve">PLACEHOLDER </v>
          </cell>
          <cell r="BW26">
            <v>116150</v>
          </cell>
          <cell r="BX26">
            <v>124910</v>
          </cell>
          <cell r="BY26">
            <v>127158.776862</v>
          </cell>
          <cell r="BZ26">
            <v>127158.77686199998</v>
          </cell>
          <cell r="CA26">
            <v>495377.553724</v>
          </cell>
          <cell r="CB26">
            <v>128207.83677111148</v>
          </cell>
          <cell r="CC26">
            <v>135345.89471025983</v>
          </cell>
          <cell r="CD26">
            <v>129448.68072645567</v>
          </cell>
          <cell r="CE26">
            <v>130544.01571721798</v>
          </cell>
          <cell r="CF26">
            <v>523546.42792504496</v>
          </cell>
          <cell r="CH26">
            <v>507435.39049511147</v>
          </cell>
          <cell r="CI26" t="str">
            <v>May</v>
          </cell>
          <cell r="CJ26" t="str">
            <v>Aug</v>
          </cell>
        </row>
        <row r="27">
          <cell r="F27" t="str">
            <v>% of revenue</v>
          </cell>
          <cell r="G27">
            <v>3.5295312882848963E-2</v>
          </cell>
          <cell r="H27">
            <v>3.7353485092399184E-2</v>
          </cell>
          <cell r="I27">
            <v>3.8146859344534524E-2</v>
          </cell>
          <cell r="J27">
            <v>4.0743750382273014E-2</v>
          </cell>
          <cell r="K27">
            <v>3.3705574557727595E-2</v>
          </cell>
          <cell r="L27">
            <v>2.2795102120304778E-2</v>
          </cell>
          <cell r="M27">
            <v>3.1990762752156489E-2</v>
          </cell>
          <cell r="N27">
            <v>2.3779692544525454E-2</v>
          </cell>
          <cell r="O27">
            <v>2.5760945218734614E-2</v>
          </cell>
          <cell r="P27">
            <v>3.0095447904197069E-2</v>
          </cell>
          <cell r="Q27">
            <v>4.1429974554999686E-2</v>
          </cell>
          <cell r="R27">
            <v>2.9487365122757837E-2</v>
          </cell>
          <cell r="S27">
            <v>3.8050918402521297E-2</v>
          </cell>
          <cell r="T27">
            <v>3.5636648408772793E-2</v>
          </cell>
          <cell r="U27">
            <v>3.736113747137948E-2</v>
          </cell>
          <cell r="V27">
            <v>3.6004953998584568E-2</v>
          </cell>
          <cell r="W27">
            <v>3.6689425029291421E-2</v>
          </cell>
          <cell r="X27">
            <v>3.4668494454042416E-2</v>
          </cell>
          <cell r="Y27">
            <v>3.8882572092123091E-2</v>
          </cell>
          <cell r="Z27">
            <v>4.1799230617669957E-2</v>
          </cell>
          <cell r="AA27">
            <v>4.7667480122805639E-2</v>
          </cell>
          <cell r="AB27">
            <v>4.0719476050084004E-2</v>
          </cell>
          <cell r="AC27">
            <v>4.2060935338254751E-2</v>
          </cell>
          <cell r="AD27">
            <v>4.0185930628616633E-2</v>
          </cell>
          <cell r="AE27">
            <v>3.8791696866229963E-2</v>
          </cell>
          <cell r="AF27">
            <v>4.0816706893177644E-2</v>
          </cell>
          <cell r="AG27">
            <v>4.0966479940278529E-2</v>
          </cell>
          <cell r="AH27">
            <v>3.9214464021153278E-2</v>
          </cell>
          <cell r="AI27">
            <v>3.7742877542199862E-2</v>
          </cell>
          <cell r="AJ27">
            <v>3.5540752229385755E-2</v>
          </cell>
          <cell r="AK27">
            <v>3.729926541281095E-2</v>
          </cell>
          <cell r="AL27">
            <v>3.7297646839619024E-2</v>
          </cell>
          <cell r="AM27">
            <v>3.9044957504949289E-2</v>
          </cell>
          <cell r="AN27">
            <v>3.8716122773339953E-2</v>
          </cell>
          <cell r="AO27">
            <v>4.3966156504189349E-2</v>
          </cell>
          <cell r="AP27">
            <v>4.9922621525515833E-2</v>
          </cell>
          <cell r="AQ27">
            <v>4.2513430416415067E-2</v>
          </cell>
          <cell r="AR27">
            <v>5.6076023636423264E-2</v>
          </cell>
          <cell r="AS27">
            <v>6.0501216545012171E-2</v>
          </cell>
          <cell r="AT27">
            <v>5.808121777282442E-2</v>
          </cell>
          <cell r="AU27">
            <v>5.5762717524283495E-2</v>
          </cell>
          <cell r="AV27">
            <v>5.7495820602996718E-2</v>
          </cell>
          <cell r="AW27">
            <v>5.2272603875886232E-2</v>
          </cell>
          <cell r="AX27">
            <v>5.2630338846530782E-2</v>
          </cell>
          <cell r="AY27">
            <v>5.1227585573409097E-2</v>
          </cell>
          <cell r="AZ27">
            <v>5.0193091900942503E-2</v>
          </cell>
          <cell r="BA27">
            <v>5.1520018471367474E-2</v>
          </cell>
          <cell r="BB27">
            <v>4.3743712698658829E-2</v>
          </cell>
          <cell r="BC27">
            <v>4.4230217524780915E-2</v>
          </cell>
          <cell r="BD27">
            <v>4.0540640280468665E-2</v>
          </cell>
          <cell r="BE27">
            <v>4.0337552431254399E-2</v>
          </cell>
          <cell r="BF27">
            <v>4.2141106754197293E-2</v>
          </cell>
          <cell r="BG27">
            <v>3.7138610486125323E-2</v>
          </cell>
          <cell r="BH27">
            <v>3.8541240531793017E-2</v>
          </cell>
          <cell r="BI27">
            <v>3.6982792642442405E-2</v>
          </cell>
          <cell r="BJ27">
            <v>3.5820661006879147E-2</v>
          </cell>
          <cell r="BK27">
            <v>3.7061628683057998E-2</v>
          </cell>
          <cell r="BL27">
            <v>3.9320298102609078E-2</v>
          </cell>
          <cell r="BM27">
            <v>3.7608824680491523E-2</v>
          </cell>
          <cell r="BN27">
            <v>3.6079960994636735E-2</v>
          </cell>
          <cell r="BO27">
            <v>3.6250166744875953E-2</v>
          </cell>
          <cell r="BP27">
            <v>3.7232669946082222E-2</v>
          </cell>
          <cell r="BQ27">
            <v>3.4043392639522982E-2</v>
          </cell>
          <cell r="BR27">
            <v>4.0879264510562986E-2</v>
          </cell>
          <cell r="BS27">
            <v>4.6881370973544716E-2</v>
          </cell>
          <cell r="BT27">
            <v>3.8820945923278283E-2</v>
          </cell>
          <cell r="BU27">
            <v>4.0027933560889496E-2</v>
          </cell>
          <cell r="BV27" t="str">
            <v xml:space="preserve">PLACEHOLDER </v>
          </cell>
          <cell r="BW27">
            <v>3.4486884740169602E-2</v>
          </cell>
          <cell r="BX27">
            <v>4.0838772345504315E-2</v>
          </cell>
          <cell r="BY27">
            <v>4.1000000000000002E-2</v>
          </cell>
          <cell r="BZ27">
            <v>0.04</v>
          </cell>
          <cell r="CA27">
            <v>3.8984732511269937E-2</v>
          </cell>
          <cell r="CB27">
            <v>3.6999999999999998E-2</v>
          </cell>
          <cell r="CC27">
            <v>4.2000000000000003E-2</v>
          </cell>
          <cell r="CD27">
            <v>3.9E-2</v>
          </cell>
          <cell r="CE27">
            <v>3.7999999999999999E-2</v>
          </cell>
          <cell r="CF27">
            <v>3.8948076940675133E-2</v>
          </cell>
          <cell r="CI27">
            <v>121343</v>
          </cell>
          <cell r="CJ27">
            <v>116380.99999999999</v>
          </cell>
        </row>
        <row r="28">
          <cell r="BV28" t="str">
            <v xml:space="preserve">PLACEHOLDER </v>
          </cell>
          <cell r="CI28">
            <v>4.0422119886898145E-2</v>
          </cell>
          <cell r="CJ28">
            <v>3.7184435836950934E-2</v>
          </cell>
        </row>
        <row r="29">
          <cell r="A29" t="str">
            <v>R&amp;D</v>
          </cell>
          <cell r="G29">
            <v>1663</v>
          </cell>
          <cell r="H29">
            <v>1768</v>
          </cell>
          <cell r="I29">
            <v>349</v>
          </cell>
          <cell r="J29">
            <v>474</v>
          </cell>
          <cell r="K29">
            <v>405</v>
          </cell>
          <cell r="L29">
            <v>591</v>
          </cell>
          <cell r="M29">
            <v>1819</v>
          </cell>
          <cell r="N29">
            <v>399</v>
          </cell>
          <cell r="O29">
            <v>528</v>
          </cell>
          <cell r="P29">
            <v>576</v>
          </cell>
          <cell r="Q29">
            <v>609</v>
          </cell>
          <cell r="R29">
            <v>2112</v>
          </cell>
          <cell r="S29">
            <v>705</v>
          </cell>
          <cell r="T29">
            <v>804</v>
          </cell>
          <cell r="U29">
            <v>723</v>
          </cell>
          <cell r="V29">
            <v>885</v>
          </cell>
          <cell r="W29">
            <v>3117</v>
          </cell>
          <cell r="X29">
            <v>912</v>
          </cell>
          <cell r="Y29">
            <v>879</v>
          </cell>
          <cell r="Z29">
            <v>1065</v>
          </cell>
          <cell r="AA29">
            <v>928</v>
          </cell>
          <cell r="AB29">
            <v>3784</v>
          </cell>
          <cell r="AC29">
            <v>1457</v>
          </cell>
          <cell r="AD29">
            <v>1432</v>
          </cell>
          <cell r="AE29">
            <v>1387</v>
          </cell>
          <cell r="AF29">
            <v>1587</v>
          </cell>
          <cell r="AG29">
            <v>5863</v>
          </cell>
          <cell r="AH29">
            <v>1181.9999999999998</v>
          </cell>
          <cell r="AI29">
            <v>1203</v>
          </cell>
          <cell r="AJ29">
            <v>1142</v>
          </cell>
          <cell r="AK29">
            <v>1312</v>
          </cell>
          <cell r="AL29">
            <v>4839</v>
          </cell>
          <cell r="AM29">
            <v>1428.0000000000005</v>
          </cell>
          <cell r="AN29">
            <v>1553</v>
          </cell>
          <cell r="AO29">
            <v>1737</v>
          </cell>
          <cell r="AP29">
            <v>1730.0000000000002</v>
          </cell>
          <cell r="AQ29">
            <v>6448</v>
          </cell>
          <cell r="AR29">
            <v>1878</v>
          </cell>
          <cell r="AS29">
            <v>1859.1673552311433</v>
          </cell>
          <cell r="AT29">
            <v>2074</v>
          </cell>
          <cell r="AU29">
            <v>2053.0000000000009</v>
          </cell>
          <cell r="AV29">
            <v>7864.167355231144</v>
          </cell>
          <cell r="AW29">
            <v>2616.0000000000005</v>
          </cell>
          <cell r="AX29">
            <v>2430.9999999999991</v>
          </cell>
          <cell r="AY29">
            <v>2353.0000000000005</v>
          </cell>
          <cell r="AZ29">
            <v>2506.0000000000005</v>
          </cell>
          <cell r="BA29">
            <v>9906</v>
          </cell>
          <cell r="BB29">
            <v>2906.0000000000005</v>
          </cell>
          <cell r="BC29">
            <v>3183.9999999999995</v>
          </cell>
          <cell r="BD29">
            <v>3317.9999999999977</v>
          </cell>
          <cell r="BE29">
            <v>4405</v>
          </cell>
          <cell r="BF29">
            <v>13812.999999999998</v>
          </cell>
          <cell r="BG29">
            <v>5918.9999999999991</v>
          </cell>
          <cell r="BH29">
            <v>6175</v>
          </cell>
          <cell r="BI29">
            <v>5666.9999999999991</v>
          </cell>
          <cell r="BJ29">
            <v>4745.9999999999991</v>
          </cell>
          <cell r="BK29">
            <v>22507</v>
          </cell>
          <cell r="BL29">
            <v>6601.0000000000045</v>
          </cell>
          <cell r="BM29">
            <v>8576.9999999999982</v>
          </cell>
          <cell r="BN29">
            <v>9577.9999999999964</v>
          </cell>
          <cell r="BO29">
            <v>10219.000000000013</v>
          </cell>
          <cell r="BP29">
            <v>34975.000000000015</v>
          </cell>
          <cell r="BQ29">
            <v>8708.0000000000018</v>
          </cell>
          <cell r="BR29">
            <v>7766.0000000000018</v>
          </cell>
          <cell r="BS29">
            <v>10498.000000000002</v>
          </cell>
          <cell r="BT29">
            <v>9409.0000000000055</v>
          </cell>
          <cell r="BU29">
            <v>36381.000000000015</v>
          </cell>
          <cell r="BV29" t="str">
            <v xml:space="preserve">PLACEHOLDER </v>
          </cell>
          <cell r="BW29">
            <v>6512</v>
          </cell>
          <cell r="BX29">
            <v>9863</v>
          </cell>
          <cell r="BY29">
            <v>7133.2972386000001</v>
          </cell>
          <cell r="BZ29">
            <v>7311.6296695649989</v>
          </cell>
          <cell r="CA29">
            <v>30819.926908164998</v>
          </cell>
          <cell r="CB29">
            <v>10395.230008468499</v>
          </cell>
          <cell r="CC29">
            <v>9989.8160381382258</v>
          </cell>
          <cell r="CD29">
            <v>9957.5908251119745</v>
          </cell>
          <cell r="CE29">
            <v>9619.0327370581672</v>
          </cell>
          <cell r="CF29">
            <v>39961.669608776865</v>
          </cell>
          <cell r="CH29">
            <v>34703.156916633496</v>
          </cell>
        </row>
        <row r="30">
          <cell r="F30" t="str">
            <v>% of revenue</v>
          </cell>
          <cell r="G30">
            <v>4.9691927975091289E-3</v>
          </cell>
          <cell r="H30">
            <v>4.7044423453028754E-3</v>
          </cell>
          <cell r="I30">
            <v>3.2558703622505621E-3</v>
          </cell>
          <cell r="J30">
            <v>4.1416550892552882E-3</v>
          </cell>
          <cell r="K30">
            <v>3.0579654336648017E-3</v>
          </cell>
          <cell r="L30">
            <v>2.8773826042503468E-3</v>
          </cell>
          <cell r="M30">
            <v>3.2512681554460084E-3</v>
          </cell>
          <cell r="N30">
            <v>1.7061854568001539E-3</v>
          </cell>
          <cell r="O30">
            <v>2.2408202760283158E-3</v>
          </cell>
          <cell r="P30">
            <v>2.6217450079881292E-3</v>
          </cell>
          <cell r="Q30">
            <v>3.4979695693878841E-3</v>
          </cell>
          <cell r="R30">
            <v>2.4464690108133469E-3</v>
          </cell>
          <cell r="S30">
            <v>3.4717092628157777E-3</v>
          </cell>
          <cell r="T30">
            <v>3.6185735439067091E-3</v>
          </cell>
          <cell r="U30">
            <v>2.9195960215961268E-3</v>
          </cell>
          <cell r="V30">
            <v>2.8996618699378782E-3</v>
          </cell>
          <cell r="W30">
            <v>3.1867842004208152E-3</v>
          </cell>
          <cell r="X30">
            <v>2.8543528881544355E-3</v>
          </cell>
          <cell r="Y30">
            <v>2.6580946390555448E-3</v>
          </cell>
          <cell r="Z30">
            <v>3.4399335915167683E-3</v>
          </cell>
          <cell r="AA30">
            <v>2.9221443753444068E-3</v>
          </cell>
          <cell r="AB30">
            <v>2.962327399806165E-3</v>
          </cell>
          <cell r="AC30">
            <v>2.9427506740858185E-3</v>
          </cell>
          <cell r="AD30">
            <v>2.5630791314884653E-3</v>
          </cell>
          <cell r="AE30">
            <v>2.3821873529381457E-3</v>
          </cell>
          <cell r="AF30">
            <v>2.0632006635044591E-3</v>
          </cell>
          <cell r="AG30">
            <v>2.619292161199719E-3</v>
          </cell>
          <cell r="AH30">
            <v>1.7134855078556495E-3</v>
          </cell>
          <cell r="AI30">
            <v>1.4363115805158305E-3</v>
          </cell>
          <cell r="AJ30">
            <v>1.1823794402644719E-3</v>
          </cell>
          <cell r="AK30">
            <v>1.2318230981853142E-3</v>
          </cell>
          <cell r="AL30">
            <v>1.3599110366939913E-3</v>
          </cell>
          <cell r="AM30">
            <v>1.2648865543799361E-3</v>
          </cell>
          <cell r="AN30">
            <v>1.2648865543799361E-3</v>
          </cell>
          <cell r="AO30">
            <v>1.659875542780259E-3</v>
          </cell>
          <cell r="AP30">
            <v>1.8325087044163463E-3</v>
          </cell>
          <cell r="AQ30">
            <v>1.4889202672574934E-3</v>
          </cell>
          <cell r="AR30">
            <v>2.1230726445820394E-3</v>
          </cell>
          <cell r="AS30">
            <v>2.2615571776155715E-3</v>
          </cell>
          <cell r="AT30">
            <v>2.4382731289134046E-3</v>
          </cell>
          <cell r="AU30">
            <v>2.0774663208607781E-3</v>
          </cell>
          <cell r="AV30">
            <v>2.2180913186676011E-3</v>
          </cell>
          <cell r="AW30">
            <v>2.4488741357327811E-3</v>
          </cell>
          <cell r="AX30">
            <v>2.1214450959362681E-3</v>
          </cell>
          <cell r="AY30">
            <v>1.9297894536555284E-3</v>
          </cell>
          <cell r="AZ30">
            <v>1.9336195954522135E-3</v>
          </cell>
          <cell r="BA30">
            <v>2.0945211336040612E-3</v>
          </cell>
          <cell r="BB30">
            <v>1.9257863185672046E-3</v>
          </cell>
          <cell r="BC30">
            <v>2.1342256326933339E-3</v>
          </cell>
          <cell r="BD30">
            <v>2.0407786696189675E-3</v>
          </cell>
          <cell r="BE30">
            <v>2.7088072208621811E-3</v>
          </cell>
          <cell r="BF30">
            <v>2.2090560583358397E-3</v>
          </cell>
          <cell r="BG30">
            <v>3.2284720801799959E-3</v>
          </cell>
          <cell r="BH30">
            <v>3.5984722664139878E-3</v>
          </cell>
          <cell r="BI30">
            <v>2.9235225686965894E-3</v>
          </cell>
          <cell r="BJ30">
            <v>2.3303659548559105E-3</v>
          </cell>
          <cell r="BK30">
            <v>2.9912075217831732E-3</v>
          </cell>
          <cell r="BL30">
            <v>2.745375470958121E-3</v>
          </cell>
          <cell r="BM30">
            <v>3.7050284194729754E-3</v>
          </cell>
          <cell r="BN30">
            <v>3.6945546784834782E-3</v>
          </cell>
          <cell r="BO30">
            <v>3.4598292126188537E-3</v>
          </cell>
          <cell r="BP30">
            <v>3.4070605985301971E-3</v>
          </cell>
          <cell r="BQ30">
            <v>2.7009900425030626E-3</v>
          </cell>
          <cell r="BR30">
            <v>2.6461210101190436E-3</v>
          </cell>
          <cell r="BS30">
            <v>3.4971231515015847E-3</v>
          </cell>
          <cell r="BT30">
            <v>3.0062326048914479E-3</v>
          </cell>
          <cell r="BU30">
            <v>2.9600689698266779E-3</v>
          </cell>
          <cell r="BV30" t="str">
            <v xml:space="preserve">PLACEHOLDER </v>
          </cell>
          <cell r="BW30">
            <v>1.9335221130261252E-3</v>
          </cell>
          <cell r="BX30">
            <v>3.2246642514106886E-3</v>
          </cell>
          <cell r="BY30">
            <v>2.3E-3</v>
          </cell>
          <cell r="BZ30">
            <v>2.3E-3</v>
          </cell>
          <cell r="CA30">
            <v>2.4254361092854917E-3</v>
          </cell>
          <cell r="CB30">
            <v>3.0000000000000001E-3</v>
          </cell>
          <cell r="CC30">
            <v>3.0999999999999999E-3</v>
          </cell>
          <cell r="CD30">
            <v>3.0000000000000001E-3</v>
          </cell>
          <cell r="CE30">
            <v>2.8E-3</v>
          </cell>
          <cell r="CF30">
            <v>2.9728599023567618E-3</v>
          </cell>
        </row>
        <row r="31">
          <cell r="BV31" t="str">
            <v xml:space="preserve">PLACEHOLDER </v>
          </cell>
        </row>
        <row r="32">
          <cell r="A32" t="str">
            <v>Amortization of Intangibles</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11498</v>
          </cell>
          <cell r="BC32">
            <v>11952</v>
          </cell>
          <cell r="BD32">
            <v>10792</v>
          </cell>
          <cell r="BE32">
            <v>10806</v>
          </cell>
          <cell r="BF32">
            <v>45048</v>
          </cell>
          <cell r="BG32">
            <v>10545</v>
          </cell>
          <cell r="BH32">
            <v>10365</v>
          </cell>
          <cell r="BI32">
            <v>11491</v>
          </cell>
          <cell r="BJ32">
            <v>7360</v>
          </cell>
          <cell r="BK32">
            <v>39761</v>
          </cell>
          <cell r="BL32">
            <v>5856</v>
          </cell>
          <cell r="BM32">
            <v>5662</v>
          </cell>
          <cell r="BN32">
            <v>7273</v>
          </cell>
          <cell r="BO32">
            <v>5532</v>
          </cell>
          <cell r="BP32">
            <v>24323</v>
          </cell>
          <cell r="BQ32">
            <v>5766</v>
          </cell>
          <cell r="BR32">
            <v>6092</v>
          </cell>
          <cell r="BS32">
            <v>8804</v>
          </cell>
          <cell r="BT32">
            <v>8685</v>
          </cell>
          <cell r="BU32">
            <v>29347</v>
          </cell>
          <cell r="BV32" t="str">
            <v xml:space="preserve">PLACEHOLDER </v>
          </cell>
          <cell r="BW32">
            <v>9000</v>
          </cell>
          <cell r="BX32">
            <v>9722</v>
          </cell>
          <cell r="BY32">
            <v>9000</v>
          </cell>
          <cell r="BZ32">
            <v>8900</v>
          </cell>
          <cell r="CA32">
            <v>36622</v>
          </cell>
          <cell r="CB32">
            <v>9000</v>
          </cell>
          <cell r="CC32">
            <v>8900</v>
          </cell>
          <cell r="CD32">
            <v>8800</v>
          </cell>
          <cell r="CE32">
            <v>8700</v>
          </cell>
          <cell r="CF32">
            <v>35400</v>
          </cell>
        </row>
        <row r="33">
          <cell r="F33" t="str">
            <v>% of revenue</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7.6196459362992824E-3</v>
          </cell>
          <cell r="BC33">
            <v>8.011389686542315E-3</v>
          </cell>
          <cell r="BD33">
            <v>6.6377587108281833E-3</v>
          </cell>
          <cell r="BE33">
            <v>6.6450331052523796E-3</v>
          </cell>
          <cell r="BF33">
            <v>7.2043406440246817E-3</v>
          </cell>
          <cell r="BG33">
            <v>5.7516874616485997E-3</v>
          </cell>
          <cell r="BH33">
            <v>6.0401886706689849E-3</v>
          </cell>
          <cell r="BI33">
            <v>5.9280391453842441E-3</v>
          </cell>
          <cell r="BJ33">
            <v>3.6138839923597777E-3</v>
          </cell>
          <cell r="BK33">
            <v>5.2842849901639823E-3</v>
          </cell>
          <cell r="BL33">
            <v>2.4355277621467574E-3</v>
          </cell>
          <cell r="BM33">
            <v>2.4458284844416454E-3</v>
          </cell>
          <cell r="BN33">
            <v>2.8054391497818278E-3</v>
          </cell>
          <cell r="BO33">
            <v>1.8729597029266537E-3</v>
          </cell>
          <cell r="BP33">
            <v>2.369404858843458E-3</v>
          </cell>
          <cell r="BQ33">
            <v>1.7884598742619036E-3</v>
          </cell>
          <cell r="BR33">
            <v>2.0757364400779306E-3</v>
          </cell>
          <cell r="BS33">
            <v>2.9328131287692846E-3</v>
          </cell>
          <cell r="BT33">
            <v>2.7749102108069095E-3</v>
          </cell>
          <cell r="BU33">
            <v>2.3877613055579418E-3</v>
          </cell>
          <cell r="BV33" t="str">
            <v xml:space="preserve">PLACEHOLDER </v>
          </cell>
          <cell r="BW33">
            <v>2.6722510775852469E-3</v>
          </cell>
          <cell r="BX33">
            <v>3.1785649246897207E-3</v>
          </cell>
          <cell r="BY33">
            <v>2.9018838424378678E-3</v>
          </cell>
          <cell r="BZ33">
            <v>2.7996494523248811E-3</v>
          </cell>
          <cell r="CA33">
            <v>2.8820419158982953E-3</v>
          </cell>
          <cell r="CB33">
            <v>2.5973451263708821E-3</v>
          </cell>
          <cell r="CC33">
            <v>2.7618126194385727E-3</v>
          </cell>
          <cell r="CD33">
            <v>2.6512437057990006E-3</v>
          </cell>
          <cell r="CE33">
            <v>2.5324791656182815E-3</v>
          </cell>
          <cell r="CF33">
            <v>2.6335045951212071E-3</v>
          </cell>
        </row>
        <row r="34">
          <cell r="BV34" t="str">
            <v xml:space="preserve">PLACEHOLDER </v>
          </cell>
        </row>
        <row r="35">
          <cell r="A35" t="str">
            <v>Stock-based Compensation</v>
          </cell>
          <cell r="G35">
            <v>1663</v>
          </cell>
          <cell r="H35">
            <v>1768</v>
          </cell>
          <cell r="I35">
            <v>349</v>
          </cell>
          <cell r="J35">
            <v>474</v>
          </cell>
          <cell r="K35">
            <v>405</v>
          </cell>
          <cell r="L35">
            <v>591</v>
          </cell>
          <cell r="M35">
            <v>1819</v>
          </cell>
          <cell r="N35">
            <v>399</v>
          </cell>
          <cell r="O35">
            <v>528</v>
          </cell>
          <cell r="P35">
            <v>576</v>
          </cell>
          <cell r="Q35">
            <v>609</v>
          </cell>
          <cell r="R35">
            <v>2112</v>
          </cell>
          <cell r="S35">
            <v>705</v>
          </cell>
          <cell r="T35">
            <v>804</v>
          </cell>
          <cell r="U35">
            <v>723</v>
          </cell>
          <cell r="V35">
            <v>885</v>
          </cell>
          <cell r="W35">
            <v>3117</v>
          </cell>
          <cell r="X35">
            <v>912</v>
          </cell>
          <cell r="Y35">
            <v>879</v>
          </cell>
          <cell r="Z35">
            <v>1065</v>
          </cell>
          <cell r="AA35">
            <v>928</v>
          </cell>
          <cell r="AB35">
            <v>3784</v>
          </cell>
          <cell r="AC35">
            <v>1457</v>
          </cell>
          <cell r="AD35">
            <v>1432</v>
          </cell>
          <cell r="AE35">
            <v>1387</v>
          </cell>
          <cell r="AF35">
            <v>1587</v>
          </cell>
          <cell r="AG35">
            <v>5863</v>
          </cell>
          <cell r="AH35">
            <v>1056.2524390349972</v>
          </cell>
          <cell r="AI35">
            <v>1082.2306133754876</v>
          </cell>
          <cell r="AJ35">
            <v>1030.2154829585163</v>
          </cell>
          <cell r="AK35">
            <v>1181.0116272082682</v>
          </cell>
          <cell r="AL35">
            <v>4349.7101625772684</v>
          </cell>
          <cell r="AM35">
            <v>1286.9993011236058</v>
          </cell>
          <cell r="AN35">
            <v>1553</v>
          </cell>
          <cell r="AO35">
            <v>1587.1713341309398</v>
          </cell>
          <cell r="AP35">
            <v>1576.270844786513</v>
          </cell>
          <cell r="AQ35">
            <v>6003.4414800410577</v>
          </cell>
          <cell r="AR35">
            <v>1704.7402876209489</v>
          </cell>
          <cell r="AS35">
            <v>1692.9460325174607</v>
          </cell>
          <cell r="AT35">
            <v>1869.5142240436771</v>
          </cell>
          <cell r="AU35">
            <v>1854.3402056013679</v>
          </cell>
          <cell r="AV35">
            <v>7121.5407497834549</v>
          </cell>
          <cell r="AW35">
            <v>2377.1270213040821</v>
          </cell>
          <cell r="AX35">
            <v>2208.4879882225318</v>
          </cell>
          <cell r="AY35">
            <v>2135.6458840453238</v>
          </cell>
          <cell r="AZ35">
            <v>2273.1844662291724</v>
          </cell>
          <cell r="BA35">
            <v>8994.4453598011096</v>
          </cell>
          <cell r="BB35">
            <v>2649.0057415735255</v>
          </cell>
          <cell r="BC35">
            <v>2903.7185503352821</v>
          </cell>
          <cell r="BD35">
            <v>3040.6275671187364</v>
          </cell>
          <cell r="BE35">
            <v>4032.0270425667068</v>
          </cell>
          <cell r="BF35">
            <v>12625.378901594249</v>
          </cell>
          <cell r="BG35">
            <v>0</v>
          </cell>
          <cell r="BH35">
            <v>0</v>
          </cell>
          <cell r="BI35">
            <v>0</v>
          </cell>
          <cell r="BJ35">
            <v>0</v>
          </cell>
          <cell r="BK35">
            <v>0</v>
          </cell>
          <cell r="BL35">
            <v>-17137</v>
          </cell>
          <cell r="BM35">
            <v>-7152</v>
          </cell>
          <cell r="BN35">
            <v>-8848</v>
          </cell>
          <cell r="BO35">
            <v>-10711</v>
          </cell>
          <cell r="BP35">
            <v>-43848</v>
          </cell>
          <cell r="BQ35">
            <v>-11518</v>
          </cell>
          <cell r="BR35">
            <v>-11843.99999999982</v>
          </cell>
          <cell r="BS35">
            <v>-19390</v>
          </cell>
          <cell r="BT35">
            <v>-5122</v>
          </cell>
          <cell r="BU35">
            <v>-47873.999999999818</v>
          </cell>
          <cell r="BV35" t="str">
            <v xml:space="preserve">PLACEHOLDER </v>
          </cell>
          <cell r="BW35">
            <v>-5031</v>
          </cell>
          <cell r="BX35">
            <v>-14714</v>
          </cell>
          <cell r="BY35">
            <v>-15000</v>
          </cell>
          <cell r="BZ35">
            <v>-15000</v>
          </cell>
          <cell r="CA35">
            <v>-49745</v>
          </cell>
          <cell r="CB35">
            <v>-17000</v>
          </cell>
          <cell r="CC35">
            <v>-17000</v>
          </cell>
          <cell r="CD35">
            <v>-17000</v>
          </cell>
          <cell r="CE35">
            <v>-17000</v>
          </cell>
          <cell r="CF35">
            <v>-68000</v>
          </cell>
          <cell r="CH35">
            <v>-61714</v>
          </cell>
        </row>
        <row r="36">
          <cell r="F36" t="str">
            <v>% of revenue</v>
          </cell>
          <cell r="G36">
            <v>5.4622373166389668E-3</v>
          </cell>
          <cell r="H36">
            <v>5.0283270005233097E-3</v>
          </cell>
          <cell r="I36">
            <v>3.5566154065649618E-3</v>
          </cell>
          <cell r="J36">
            <v>4.3625921528563935E-3</v>
          </cell>
          <cell r="K36">
            <v>3.2501404381670815E-3</v>
          </cell>
          <cell r="L36">
            <v>3.0789268038551704E-3</v>
          </cell>
          <cell r="M36">
            <v>3.4757651842595035E-3</v>
          </cell>
          <cell r="N36">
            <v>1.8426412114326881E-3</v>
          </cell>
          <cell r="O36">
            <v>2.4291497975708503E-3</v>
          </cell>
          <cell r="P36">
            <v>2.8636485666842328E-3</v>
          </cell>
          <cell r="Q36">
            <v>3.9221495182647226E-3</v>
          </cell>
          <cell r="R36">
            <v>2.6723656889502995E-3</v>
          </cell>
          <cell r="S36">
            <v>3.9171454288857528E-3</v>
          </cell>
          <cell r="T36">
            <v>4.1080981651516781E-3</v>
          </cell>
          <cell r="U36">
            <v>3.3533856207937736E-3</v>
          </cell>
          <cell r="V36">
            <v>3.3276556384022743E-3</v>
          </cell>
          <cell r="W36">
            <v>3.6360667020513388E-3</v>
          </cell>
          <cell r="X36">
            <v>3.2786060172486312E-3</v>
          </cell>
          <cell r="Y36">
            <v>3.0666927166920189E-3</v>
          </cell>
          <cell r="Z36">
            <v>3.9469880589713367E-3</v>
          </cell>
          <cell r="AA36">
            <v>3.3021855629016533E-3</v>
          </cell>
          <cell r="AB36">
            <v>3.3917538432855555E-3</v>
          </cell>
          <cell r="AC36">
            <v>3.3082058035511556E-3</v>
          </cell>
          <cell r="AD36">
            <v>2.8720359566065854E-3</v>
          </cell>
          <cell r="AE36">
            <v>2.6754523867851556E-3</v>
          </cell>
          <cell r="AF36">
            <v>2.0632006635044591E-3</v>
          </cell>
          <cell r="AG36">
            <v>2.9420871004309005E-3</v>
          </cell>
          <cell r="AH36">
            <v>1.7134855078556495E-3</v>
          </cell>
          <cell r="AI36">
            <v>1.4363115805158305E-3</v>
          </cell>
          <cell r="AJ36">
            <v>1.1823794402644719E-3</v>
          </cell>
          <cell r="AK36">
            <v>1.2318230981853142E-3</v>
          </cell>
          <cell r="AL36">
            <v>1.3592963196481934E-3</v>
          </cell>
          <cell r="AM36">
            <v>1.2648865543799361E-3</v>
          </cell>
          <cell r="AN36">
            <v>1.2648865543799361E-3</v>
          </cell>
          <cell r="AO36">
            <v>1.659875542780259E-3</v>
          </cell>
          <cell r="AP36">
            <v>1.8325087044163463E-3</v>
          </cell>
          <cell r="AQ36">
            <v>1.525036390652176E-3</v>
          </cell>
          <cell r="AR36">
            <v>2.1230726445820394E-3</v>
          </cell>
          <cell r="AS36">
            <v>2.2615571776155715E-3</v>
          </cell>
          <cell r="AT36">
            <v>2.4382731289134046E-3</v>
          </cell>
          <cell r="AU36">
            <v>2.0774663208607781E-3</v>
          </cell>
          <cell r="AV36">
            <v>2.2179485105716986E-3</v>
          </cell>
          <cell r="AW36">
            <v>2.4488741357327811E-3</v>
          </cell>
          <cell r="AX36">
            <v>2.1214450959362681E-3</v>
          </cell>
          <cell r="AY36">
            <v>1.9297894536555284E-3</v>
          </cell>
          <cell r="AZ36">
            <v>1.9336195954522135E-3</v>
          </cell>
          <cell r="BA36">
            <v>2.0946464474750704E-3</v>
          </cell>
          <cell r="BB36">
            <v>1.9257863185672046E-3</v>
          </cell>
          <cell r="BC36">
            <v>2.1342256326933339E-3</v>
          </cell>
          <cell r="BD36">
            <v>2.0407786696189675E-3</v>
          </cell>
          <cell r="BE36">
            <v>2.7088072208621811E-3</v>
          </cell>
          <cell r="BF36">
            <v>2.2093518842614783E-3</v>
          </cell>
          <cell r="BK36">
            <v>0</v>
          </cell>
          <cell r="BL36">
            <v>-7.1273291085910198E-3</v>
          </cell>
          <cell r="BM36">
            <v>-3.0894675592947102E-3</v>
          </cell>
          <cell r="BN36">
            <v>-3.4129692832764484E-3</v>
          </cell>
          <cell r="BO36">
            <v>-3.6264048044192679E-3</v>
          </cell>
          <cell r="BP36">
            <v>-4.2714165296455185E-3</v>
          </cell>
          <cell r="BQ36">
            <v>-3.572577320802745E-3</v>
          </cell>
          <cell r="BR36">
            <v>-4.0356241622263034E-3</v>
          </cell>
          <cell r="BS36">
            <v>-6.4592510866465728E-3</v>
          </cell>
          <cell r="BT36">
            <v>-1.6365100863273449E-3</v>
          </cell>
          <cell r="BU36">
            <v>-3.8951744553883012E-3</v>
          </cell>
          <cell r="BV36" t="str">
            <v xml:space="preserve">PLACEHOLDER </v>
          </cell>
          <cell r="BW36">
            <v>-1.4937883523701528E-3</v>
          </cell>
          <cell r="BX36">
            <v>-4.8106772579597354E-3</v>
          </cell>
          <cell r="BY36">
            <v>-4.8364730707297797E-3</v>
          </cell>
          <cell r="BZ36">
            <v>-4.7185103129071026E-3</v>
          </cell>
          <cell r="CA36">
            <v>-3.9147827837464014E-3</v>
          </cell>
          <cell r="CB36">
            <v>-4.9060963498116662E-3</v>
          </cell>
          <cell r="CC36">
            <v>-5.2753724191523304E-3</v>
          </cell>
          <cell r="CD36">
            <v>-5.1217207952935244E-3</v>
          </cell>
          <cell r="CE36">
            <v>-4.948522507529975E-3</v>
          </cell>
          <cell r="CF36">
            <v>-5.0587093917582515E-3</v>
          </cell>
        </row>
        <row r="38">
          <cell r="A38" t="str">
            <v xml:space="preserve">Operating Income </v>
          </cell>
          <cell r="G38">
            <v>16733</v>
          </cell>
          <cell r="H38">
            <v>8401</v>
          </cell>
          <cell r="I38">
            <v>4626</v>
          </cell>
          <cell r="J38">
            <v>659</v>
          </cell>
          <cell r="K38">
            <v>2962</v>
          </cell>
          <cell r="L38">
            <v>8172</v>
          </cell>
          <cell r="M38">
            <v>16419</v>
          </cell>
          <cell r="N38">
            <v>11358</v>
          </cell>
          <cell r="O38">
            <v>11670</v>
          </cell>
          <cell r="P38">
            <v>11371</v>
          </cell>
          <cell r="Q38">
            <v>11007</v>
          </cell>
          <cell r="R38">
            <v>45406</v>
          </cell>
          <cell r="S38">
            <v>14660</v>
          </cell>
          <cell r="T38">
            <v>17754</v>
          </cell>
          <cell r="U38">
            <v>22059</v>
          </cell>
          <cell r="V38">
            <v>27381</v>
          </cell>
          <cell r="W38">
            <v>81854</v>
          </cell>
          <cell r="X38">
            <v>29356</v>
          </cell>
          <cell r="Y38">
            <v>30323</v>
          </cell>
          <cell r="Z38">
            <v>25767</v>
          </cell>
          <cell r="AA38">
            <v>20483</v>
          </cell>
          <cell r="AB38">
            <v>105929</v>
          </cell>
          <cell r="AC38">
            <v>32413</v>
          </cell>
          <cell r="AD38">
            <v>36218</v>
          </cell>
          <cell r="AE38">
            <v>39847.999999999985</v>
          </cell>
          <cell r="AF38">
            <v>39547</v>
          </cell>
          <cell r="AG38">
            <v>148026</v>
          </cell>
          <cell r="AH38">
            <v>45153.999999999985</v>
          </cell>
          <cell r="AI38">
            <v>51268</v>
          </cell>
          <cell r="AJ38">
            <v>59073</v>
          </cell>
          <cell r="AK38">
            <v>65298.000000000029</v>
          </cell>
          <cell r="AL38">
            <v>220793.00000000003</v>
          </cell>
          <cell r="AM38">
            <v>65964.999999999985</v>
          </cell>
          <cell r="AN38">
            <v>59992.999999999971</v>
          </cell>
          <cell r="AO38">
            <v>42518.999999999993</v>
          </cell>
          <cell r="AP38">
            <v>35030.000000000029</v>
          </cell>
          <cell r="AQ38">
            <v>203506.99999999997</v>
          </cell>
          <cell r="AR38">
            <v>30127</v>
          </cell>
          <cell r="AS38">
            <v>21902.971622871035</v>
          </cell>
          <cell r="AT38">
            <v>32387</v>
          </cell>
          <cell r="AU38">
            <v>38466.999999999993</v>
          </cell>
          <cell r="AV38">
            <v>122883.97162287103</v>
          </cell>
          <cell r="AW38">
            <v>39088.00000000008</v>
          </cell>
          <cell r="AX38">
            <v>42145.999999999978</v>
          </cell>
          <cell r="AY38">
            <v>47816.000000000371</v>
          </cell>
          <cell r="AZ38">
            <v>52847</v>
          </cell>
          <cell r="BA38">
            <v>181897.00000000006</v>
          </cell>
          <cell r="BB38">
            <v>53035.999999999985</v>
          </cell>
          <cell r="BC38">
            <v>50204.999999999898</v>
          </cell>
          <cell r="BD38">
            <v>55891.999999999913</v>
          </cell>
          <cell r="BE38">
            <v>56882</v>
          </cell>
          <cell r="BF38">
            <v>261063</v>
          </cell>
          <cell r="BG38">
            <v>80850.000000000029</v>
          </cell>
          <cell r="BH38">
            <v>68138.999999999956</v>
          </cell>
          <cell r="BI38">
            <v>84726.999999999942</v>
          </cell>
          <cell r="BJ38">
            <v>93416.000000000029</v>
          </cell>
          <cell r="BK38">
            <v>327132</v>
          </cell>
          <cell r="BL38">
            <v>111816</v>
          </cell>
          <cell r="BM38">
            <v>96160.000000000102</v>
          </cell>
          <cell r="BN38">
            <v>93377.00000000112</v>
          </cell>
          <cell r="BO38">
            <v>90209.999999998821</v>
          </cell>
          <cell r="BP38">
            <v>391563.00000000006</v>
          </cell>
          <cell r="BQ38">
            <v>85038.999999999985</v>
          </cell>
          <cell r="BR38">
            <v>55612.999999999833</v>
          </cell>
          <cell r="BS38">
            <v>87148.000000000029</v>
          </cell>
          <cell r="BT38">
            <v>103756.00000000001</v>
          </cell>
          <cell r="BU38">
            <v>331555.99999999988</v>
          </cell>
          <cell r="BV38" t="str">
            <v xml:space="preserve">PLACEHOLDER </v>
          </cell>
          <cell r="BW38">
            <v>122083.00000000006</v>
          </cell>
          <cell r="BX38">
            <v>67846</v>
          </cell>
          <cell r="BY38">
            <v>76098.241565400007</v>
          </cell>
          <cell r="BZ38">
            <v>103057.45297693502</v>
          </cell>
          <cell r="CA38">
            <v>369084.69454233506</v>
          </cell>
          <cell r="CB38">
            <v>134812.60676264297</v>
          </cell>
          <cell r="CC38">
            <v>97240.78043536836</v>
          </cell>
          <cell r="CD38">
            <v>126533.49907623172</v>
          </cell>
          <cell r="CE38">
            <v>134489.61414549616</v>
          </cell>
          <cell r="CF38">
            <v>493076.50041973923</v>
          </cell>
          <cell r="CH38">
            <v>381814.30130497797</v>
          </cell>
          <cell r="CI38">
            <v>95557</v>
          </cell>
        </row>
        <row r="39">
          <cell r="F39" t="str">
            <v>% of revenue</v>
          </cell>
          <cell r="G39">
            <v>4.9999701191052466E-2</v>
          </cell>
          <cell r="H39">
            <v>2.2354083791227067E-2</v>
          </cell>
          <cell r="I39">
            <v>4.3156608297338396E-2</v>
          </cell>
          <cell r="J39">
            <v>5.7581238477199051E-3</v>
          </cell>
          <cell r="K39">
            <v>2.2364675591395412E-2</v>
          </cell>
          <cell r="L39">
            <v>3.9786752355217996E-2</v>
          </cell>
          <cell r="M39">
            <v>2.9347208270625622E-2</v>
          </cell>
          <cell r="N39">
            <v>4.856855743943897E-2</v>
          </cell>
          <cell r="O39">
            <v>4.9527220873580392E-2</v>
          </cell>
          <cell r="P39">
            <v>5.1756705704571214E-2</v>
          </cell>
          <cell r="Q39">
            <v>6.3221922906818454E-2</v>
          </cell>
          <cell r="R39">
            <v>5.2596767000469141E-2</v>
          </cell>
          <cell r="S39">
            <v>7.2191855025360713E-2</v>
          </cell>
          <cell r="T39">
            <v>7.9905665047910093E-2</v>
          </cell>
          <cell r="U39">
            <v>8.9077964924466055E-2</v>
          </cell>
          <cell r="V39">
            <v>8.9712589447196664E-2</v>
          </cell>
          <cell r="W39">
            <v>8.3686568476498358E-2</v>
          </cell>
          <cell r="X39">
            <v>9.1877613360374574E-2</v>
          </cell>
          <cell r="Y39">
            <v>9.169670505128702E-2</v>
          </cell>
          <cell r="Z39">
            <v>8.3227013007147951E-2</v>
          </cell>
          <cell r="AA39">
            <v>6.4498150043296856E-2</v>
          </cell>
          <cell r="AB39">
            <v>8.2927161504774638E-2</v>
          </cell>
          <cell r="AC39">
            <v>6.5465598901265368E-2</v>
          </cell>
          <cell r="AD39">
            <v>6.4825139653805333E-2</v>
          </cell>
          <cell r="AE39">
            <v>6.8439366719451472E-2</v>
          </cell>
          <cell r="AF39">
            <v>6.5656154797579414E-2</v>
          </cell>
          <cell r="AG39">
            <v>6.6130537515563637E-2</v>
          </cell>
          <cell r="AH39">
            <v>6.5457465839013518E-2</v>
          </cell>
          <cell r="AI39">
            <v>6.1210990947535827E-2</v>
          </cell>
          <cell r="AJ39">
            <v>6.1161734391193656E-2</v>
          </cell>
          <cell r="AK39">
            <v>6.1307610263189545E-2</v>
          </cell>
          <cell r="AL39">
            <v>6.2049770102247673E-2</v>
          </cell>
          <cell r="AM39">
            <v>5.8430141148230003E-2</v>
          </cell>
          <cell r="AN39">
            <v>4.9532891613515775E-2</v>
          </cell>
          <cell r="AO39">
            <v>4.063111583389397E-2</v>
          </cell>
          <cell r="AP39">
            <v>3.710565313046512E-2</v>
          </cell>
          <cell r="AQ39">
            <v>4.6992198639697683E-2</v>
          </cell>
          <cell r="AR39">
            <v>3.4058471545965439E-2</v>
          </cell>
          <cell r="AS39">
            <v>2.664355231143551E-2</v>
          </cell>
          <cell r="AT39">
            <v>3.8075386608543128E-2</v>
          </cell>
          <cell r="AU39">
            <v>3.8925424727009987E-2</v>
          </cell>
          <cell r="AV39">
            <v>3.4659469763035675E-2</v>
          </cell>
          <cell r="AW39">
            <v>3.6590822713120461E-2</v>
          </cell>
          <cell r="AX39">
            <v>3.6779278080349628E-2</v>
          </cell>
          <cell r="AY39">
            <v>3.9215814923924119E-2</v>
          </cell>
          <cell r="AZ39">
            <v>4.0776534222211933E-2</v>
          </cell>
          <cell r="BA39">
            <v>3.8460237294485972E-2</v>
          </cell>
          <cell r="BB39">
            <v>3.5146594353589203E-2</v>
          </cell>
          <cell r="BC39">
            <v>3.3652260643645925E-2</v>
          </cell>
          <cell r="BD39">
            <v>3.4377095057969626E-2</v>
          </cell>
          <cell r="BE39">
            <v>3.4978972153707738E-2</v>
          </cell>
          <cell r="BF39">
            <v>4.1750727702695244E-2</v>
          </cell>
          <cell r="BG39">
            <v>4.4098997750051154E-2</v>
          </cell>
          <cell r="BH39">
            <v>3.9707903119219845E-2</v>
          </cell>
          <cell r="BI39">
            <v>4.3709422388910499E-2</v>
          </cell>
          <cell r="BJ39">
            <v>4.5868829759549062E-2</v>
          </cell>
          <cell r="BK39">
            <v>4.347623845985573E-2</v>
          </cell>
          <cell r="BL39">
            <v>4.6504605917384194E-2</v>
          </cell>
          <cell r="BM39">
            <v>4.1538478817362924E-2</v>
          </cell>
          <cell r="BN39">
            <v>3.6018629381160579E-2</v>
          </cell>
          <cell r="BO39">
            <v>3.0542244179503113E-2</v>
          </cell>
          <cell r="BP39">
            <v>3.8143784678835717E-2</v>
          </cell>
          <cell r="BQ39">
            <v>2.6376836497980921E-2</v>
          </cell>
          <cell r="BR39">
            <v>1.8949102206509128E-2</v>
          </cell>
          <cell r="BS39">
            <v>2.903098575033913E-2</v>
          </cell>
          <cell r="BT39">
            <v>3.3150671713584538E-2</v>
          </cell>
          <cell r="BU39">
            <v>2.6976406018522123E-2</v>
          </cell>
          <cell r="BV39" t="str">
            <v xml:space="preserve">PLACEHOLDER </v>
          </cell>
          <cell r="BW39">
            <v>3.6248492033871094E-2</v>
          </cell>
          <cell r="BX39">
            <v>2.2181949792275127E-2</v>
          </cell>
          <cell r="BY39">
            <v>2.4536473070729783E-2</v>
          </cell>
          <cell r="BZ39">
            <v>3.2418510312907114E-2</v>
          </cell>
          <cell r="CA39">
            <v>2.9045862055254449E-2</v>
          </cell>
          <cell r="CB39">
            <v>3.890609634981166E-2</v>
          </cell>
          <cell r="CC39">
            <v>3.017537241915234E-2</v>
          </cell>
          <cell r="CD39">
            <v>3.8121720795293523E-2</v>
          </cell>
          <cell r="CE39">
            <v>3.9148522507529968E-2</v>
          </cell>
          <cell r="CF39">
            <v>3.6681334169538615E-2</v>
          </cell>
          <cell r="CI39">
            <v>8.5802191362223779E-2</v>
          </cell>
        </row>
        <row r="40">
          <cell r="BV40" t="str">
            <v xml:space="preserve">PLACEHOLDER </v>
          </cell>
        </row>
        <row r="41">
          <cell r="A41" t="str">
            <v>Interest Expense</v>
          </cell>
          <cell r="G41">
            <v>3288</v>
          </cell>
          <cell r="H41">
            <v>3470</v>
          </cell>
          <cell r="I41">
            <v>1350</v>
          </cell>
          <cell r="J41">
            <v>1398</v>
          </cell>
          <cell r="K41">
            <v>1521</v>
          </cell>
          <cell r="L41">
            <v>2078</v>
          </cell>
          <cell r="M41">
            <v>6347</v>
          </cell>
          <cell r="N41">
            <v>2663</v>
          </cell>
          <cell r="O41">
            <v>2323</v>
          </cell>
          <cell r="P41">
            <v>1768</v>
          </cell>
          <cell r="Q41">
            <v>611</v>
          </cell>
          <cell r="R41">
            <v>7365</v>
          </cell>
          <cell r="S41">
            <v>658</v>
          </cell>
          <cell r="T41">
            <v>389</v>
          </cell>
          <cell r="U41">
            <v>406</v>
          </cell>
          <cell r="V41">
            <v>159</v>
          </cell>
          <cell r="W41">
            <v>1612</v>
          </cell>
          <cell r="X41">
            <v>713</v>
          </cell>
          <cell r="Y41">
            <v>1134</v>
          </cell>
          <cell r="Z41">
            <v>722</v>
          </cell>
          <cell r="AA41">
            <v>555</v>
          </cell>
          <cell r="AB41">
            <v>3124</v>
          </cell>
          <cell r="AC41">
            <v>1600</v>
          </cell>
          <cell r="AD41">
            <v>1892</v>
          </cell>
          <cell r="AE41">
            <v>-26</v>
          </cell>
          <cell r="AF41">
            <v>-892</v>
          </cell>
          <cell r="AG41">
            <v>2574</v>
          </cell>
          <cell r="AH41">
            <v>-615</v>
          </cell>
          <cell r="AI41">
            <v>1442</v>
          </cell>
          <cell r="AJ41">
            <v>3040</v>
          </cell>
          <cell r="AK41">
            <v>-3647</v>
          </cell>
          <cell r="AL41">
            <v>220</v>
          </cell>
          <cell r="AM41">
            <v>-2055</v>
          </cell>
          <cell r="AN41">
            <v>955</v>
          </cell>
          <cell r="AO41">
            <v>-1618</v>
          </cell>
          <cell r="AP41">
            <v>332</v>
          </cell>
          <cell r="AQ41">
            <v>-2386</v>
          </cell>
          <cell r="AR41">
            <v>612</v>
          </cell>
          <cell r="AS41">
            <v>1457</v>
          </cell>
          <cell r="AT41">
            <v>693</v>
          </cell>
          <cell r="AU41">
            <v>532</v>
          </cell>
          <cell r="AV41">
            <v>3294</v>
          </cell>
          <cell r="AW41">
            <v>1805</v>
          </cell>
          <cell r="AX41">
            <v>2335</v>
          </cell>
          <cell r="AY41">
            <v>2397</v>
          </cell>
          <cell r="AZ41">
            <v>3562</v>
          </cell>
          <cell r="BA41">
            <v>10099</v>
          </cell>
          <cell r="BB41">
            <v>3104</v>
          </cell>
          <cell r="BC41">
            <v>2962</v>
          </cell>
          <cell r="BD41">
            <v>3497</v>
          </cell>
          <cell r="BE41">
            <v>2570</v>
          </cell>
          <cell r="BF41">
            <v>12133</v>
          </cell>
          <cell r="BG41">
            <v>3521</v>
          </cell>
          <cell r="BH41">
            <v>2754</v>
          </cell>
          <cell r="BI41">
            <v>2758</v>
          </cell>
          <cell r="BJ41">
            <v>1966</v>
          </cell>
          <cell r="BK41">
            <v>10999</v>
          </cell>
          <cell r="BL41">
            <v>1307</v>
          </cell>
          <cell r="BM41">
            <v>2496</v>
          </cell>
          <cell r="BN41">
            <v>4346</v>
          </cell>
          <cell r="BO41">
            <v>8542</v>
          </cell>
          <cell r="BP41">
            <v>16691</v>
          </cell>
          <cell r="BQ41">
            <v>11259</v>
          </cell>
          <cell r="BR41">
            <v>21352</v>
          </cell>
          <cell r="BS41">
            <v>28290</v>
          </cell>
          <cell r="BT41">
            <v>25143</v>
          </cell>
          <cell r="BU41">
            <v>86044</v>
          </cell>
          <cell r="BV41" t="str">
            <v xml:space="preserve">PLACEHOLDER </v>
          </cell>
          <cell r="BW41">
            <v>27018</v>
          </cell>
          <cell r="BX41">
            <v>23879</v>
          </cell>
          <cell r="BY41">
            <v>25000</v>
          </cell>
          <cell r="BZ41">
            <v>23500</v>
          </cell>
          <cell r="CA41">
            <v>99397</v>
          </cell>
          <cell r="CB41">
            <v>23000</v>
          </cell>
          <cell r="CC41">
            <v>24500</v>
          </cell>
          <cell r="CD41">
            <v>24000</v>
          </cell>
          <cell r="CE41">
            <v>23500</v>
          </cell>
          <cell r="CF41">
            <v>95000</v>
          </cell>
          <cell r="CH41">
            <v>95379</v>
          </cell>
        </row>
        <row r="42">
          <cell r="BV42" t="str">
            <v xml:space="preserve">PLACEHOLDER </v>
          </cell>
        </row>
        <row r="43">
          <cell r="A43" t="str">
            <v>Pre-tax income</v>
          </cell>
          <cell r="G43">
            <v>13445</v>
          </cell>
          <cell r="H43">
            <v>4931</v>
          </cell>
          <cell r="I43">
            <v>3276</v>
          </cell>
          <cell r="J43">
            <v>-739</v>
          </cell>
          <cell r="K43">
            <v>1441</v>
          </cell>
          <cell r="L43">
            <v>6094</v>
          </cell>
          <cell r="M43">
            <v>10072</v>
          </cell>
          <cell r="N43">
            <v>8695</v>
          </cell>
          <cell r="O43">
            <v>9347</v>
          </cell>
          <cell r="P43">
            <v>9603</v>
          </cell>
          <cell r="Q43">
            <v>10396</v>
          </cell>
          <cell r="R43">
            <v>38041</v>
          </cell>
          <cell r="S43">
            <v>14002</v>
          </cell>
          <cell r="T43">
            <v>17365</v>
          </cell>
          <cell r="U43">
            <v>21653</v>
          </cell>
          <cell r="V43">
            <v>27222</v>
          </cell>
          <cell r="W43">
            <v>80242</v>
          </cell>
          <cell r="X43">
            <v>28643</v>
          </cell>
          <cell r="Y43">
            <v>29189</v>
          </cell>
          <cell r="Z43">
            <v>25045</v>
          </cell>
          <cell r="AA43">
            <v>19928</v>
          </cell>
          <cell r="AB43">
            <v>102805</v>
          </cell>
          <cell r="AC43">
            <v>30813</v>
          </cell>
          <cell r="AD43">
            <v>34326</v>
          </cell>
          <cell r="AE43">
            <v>39873.999999999985</v>
          </cell>
          <cell r="AF43">
            <v>40439</v>
          </cell>
          <cell r="AG43">
            <v>145452</v>
          </cell>
          <cell r="AH43">
            <v>45768.999999999985</v>
          </cell>
          <cell r="AI43">
            <v>49826</v>
          </cell>
          <cell r="AJ43">
            <v>56033</v>
          </cell>
          <cell r="AK43">
            <v>68945.000000000029</v>
          </cell>
          <cell r="AL43">
            <v>220573.00000000003</v>
          </cell>
          <cell r="AM43">
            <v>68019.999999999985</v>
          </cell>
          <cell r="AN43">
            <v>59037.999999999971</v>
          </cell>
          <cell r="AO43">
            <v>44136.999999999993</v>
          </cell>
          <cell r="AP43">
            <v>34698.000000000029</v>
          </cell>
          <cell r="AQ43">
            <v>205892.99999999997</v>
          </cell>
          <cell r="AR43">
            <v>29515</v>
          </cell>
          <cell r="AS43">
            <v>20445.971622871035</v>
          </cell>
          <cell r="AT43">
            <v>31694</v>
          </cell>
          <cell r="AU43">
            <v>37934.999999999993</v>
          </cell>
          <cell r="AV43">
            <v>119589.97162287103</v>
          </cell>
          <cell r="AW43">
            <v>37283.00000000008</v>
          </cell>
          <cell r="AX43">
            <v>39810.999999999978</v>
          </cell>
          <cell r="AY43">
            <v>45419.000000000371</v>
          </cell>
          <cell r="AZ43">
            <v>49285</v>
          </cell>
          <cell r="BA43">
            <v>171798.00000000006</v>
          </cell>
          <cell r="BB43">
            <v>49931.999999999985</v>
          </cell>
          <cell r="BC43">
            <v>47242.999999999898</v>
          </cell>
          <cell r="BD43">
            <v>52394.999999999913</v>
          </cell>
          <cell r="BE43">
            <v>54312</v>
          </cell>
          <cell r="BF43">
            <v>248930</v>
          </cell>
          <cell r="BG43">
            <v>77329.000000000029</v>
          </cell>
          <cell r="BH43">
            <v>65384.999999999956</v>
          </cell>
          <cell r="BI43">
            <v>81968.999999999942</v>
          </cell>
          <cell r="BJ43">
            <v>91450.000000000029</v>
          </cell>
          <cell r="BK43">
            <v>316133</v>
          </cell>
          <cell r="BL43">
            <v>110509</v>
          </cell>
          <cell r="BM43">
            <v>93664.000000000102</v>
          </cell>
          <cell r="BN43">
            <v>89031.00000000112</v>
          </cell>
          <cell r="BO43">
            <v>81667.999999998821</v>
          </cell>
          <cell r="BP43">
            <v>374872.00000000006</v>
          </cell>
          <cell r="BQ43">
            <v>73779.999999999985</v>
          </cell>
          <cell r="BR43">
            <v>34260.999999999833</v>
          </cell>
          <cell r="BS43">
            <v>58858.000000000029</v>
          </cell>
          <cell r="BT43">
            <v>78613.000000000015</v>
          </cell>
          <cell r="BU43">
            <v>245511.99999999988</v>
          </cell>
          <cell r="BV43" t="str">
            <v xml:space="preserve">PLACEHOLDER </v>
          </cell>
          <cell r="BW43">
            <v>95065.000000000058</v>
          </cell>
          <cell r="BX43">
            <v>43967</v>
          </cell>
          <cell r="BY43">
            <v>51098.241565400007</v>
          </cell>
          <cell r="BZ43">
            <v>79557.452976935019</v>
          </cell>
          <cell r="CA43">
            <v>269687.69454233511</v>
          </cell>
          <cell r="CB43">
            <v>111812.60676264297</v>
          </cell>
          <cell r="CC43">
            <v>72740.78043536836</v>
          </cell>
          <cell r="CD43">
            <v>102533.49907623172</v>
          </cell>
          <cell r="CE43">
            <v>110989.61414549616</v>
          </cell>
          <cell r="CF43">
            <v>398076.50041973923</v>
          </cell>
          <cell r="CH43">
            <v>286435.30130497803</v>
          </cell>
        </row>
        <row r="44">
          <cell r="BV44" t="str">
            <v xml:space="preserve">PLACEHOLDER </v>
          </cell>
        </row>
        <row r="45">
          <cell r="A45" t="str">
            <v>Income tax</v>
          </cell>
          <cell r="G45">
            <v>5300</v>
          </cell>
          <cell r="H45">
            <v>2363</v>
          </cell>
          <cell r="I45">
            <v>1450</v>
          </cell>
          <cell r="J45">
            <v>28</v>
          </cell>
          <cell r="K45">
            <v>207</v>
          </cell>
          <cell r="L45">
            <v>1107</v>
          </cell>
          <cell r="M45">
            <v>2792</v>
          </cell>
          <cell r="N45">
            <v>3480</v>
          </cell>
          <cell r="O45">
            <v>3009</v>
          </cell>
          <cell r="P45">
            <v>3366</v>
          </cell>
          <cell r="Q45">
            <v>3869</v>
          </cell>
          <cell r="R45">
            <v>13724</v>
          </cell>
          <cell r="S45">
            <v>5174</v>
          </cell>
          <cell r="T45">
            <v>6306</v>
          </cell>
          <cell r="U45">
            <v>7081</v>
          </cell>
          <cell r="V45">
            <v>9184</v>
          </cell>
          <cell r="W45">
            <v>27745</v>
          </cell>
          <cell r="X45">
            <v>9572</v>
          </cell>
          <cell r="Y45">
            <v>9050</v>
          </cell>
          <cell r="Z45">
            <v>7764</v>
          </cell>
          <cell r="AA45">
            <v>6576</v>
          </cell>
          <cell r="AB45">
            <v>32962</v>
          </cell>
          <cell r="AC45">
            <v>10440</v>
          </cell>
          <cell r="AD45">
            <v>11778</v>
          </cell>
          <cell r="AE45">
            <v>13933</v>
          </cell>
          <cell r="AF45">
            <v>14081</v>
          </cell>
          <cell r="AG45">
            <v>50232</v>
          </cell>
          <cell r="AH45">
            <v>14188.389999999996</v>
          </cell>
          <cell r="AI45">
            <v>15446.06</v>
          </cell>
          <cell r="AJ45">
            <v>17365.904730914546</v>
          </cell>
          <cell r="AK45">
            <v>21366.073701965382</v>
          </cell>
          <cell r="AL45">
            <v>68366.428432879926</v>
          </cell>
          <cell r="AM45">
            <v>19726.336124206238</v>
          </cell>
          <cell r="AN45">
            <v>17121.01999999999</v>
          </cell>
          <cell r="AO45">
            <v>11916.989999999998</v>
          </cell>
          <cell r="AP45">
            <v>8676.0000000000291</v>
          </cell>
          <cell r="AQ45">
            <v>57440.346124206255</v>
          </cell>
          <cell r="AR45">
            <v>7378.75</v>
          </cell>
          <cell r="AS45">
            <v>5111.4929057177587</v>
          </cell>
          <cell r="AT45">
            <v>7289.62</v>
          </cell>
          <cell r="AU45">
            <v>7586.9999999999991</v>
          </cell>
          <cell r="AV45">
            <v>27366.862905717757</v>
          </cell>
          <cell r="AW45">
            <v>6731.0000000000809</v>
          </cell>
          <cell r="AX45">
            <v>7165.9799999999959</v>
          </cell>
          <cell r="AY45">
            <v>7267.0400000000591</v>
          </cell>
          <cell r="AZ45">
            <v>7885.6</v>
          </cell>
          <cell r="BA45">
            <v>29049.620000000134</v>
          </cell>
          <cell r="BB45">
            <v>7989.1199999999981</v>
          </cell>
          <cell r="BC45">
            <v>7558.8799999999837</v>
          </cell>
          <cell r="BD45">
            <v>8382.4371310554034</v>
          </cell>
          <cell r="BE45">
            <v>8689.92</v>
          </cell>
          <cell r="BF45">
            <v>32620.357131055382</v>
          </cell>
          <cell r="BG45">
            <v>12372.640000000005</v>
          </cell>
          <cell r="BH45">
            <v>10461.599999999993</v>
          </cell>
          <cell r="BI45">
            <v>13115.039999999992</v>
          </cell>
          <cell r="BJ45">
            <v>14632.000000000005</v>
          </cell>
          <cell r="BK45">
            <v>50581.279999999999</v>
          </cell>
          <cell r="BL45">
            <v>17681.999999999985</v>
          </cell>
          <cell r="BM45">
            <v>14985.000000000116</v>
          </cell>
          <cell r="BN45">
            <v>10579.000000001111</v>
          </cell>
          <cell r="BO45">
            <v>7272.9999999988195</v>
          </cell>
          <cell r="BP45">
            <v>50519.000000000036</v>
          </cell>
          <cell r="BQ45">
            <v>13273.999999999993</v>
          </cell>
          <cell r="BR45">
            <v>5822.9999999998372</v>
          </cell>
          <cell r="BS45">
            <v>11500.000000000031</v>
          </cell>
          <cell r="BT45">
            <v>18709.000000000011</v>
          </cell>
          <cell r="BU45">
            <v>49305.999999999869</v>
          </cell>
          <cell r="BV45" t="str">
            <v xml:space="preserve">PLACEHOLDER </v>
          </cell>
          <cell r="BW45">
            <v>20490.000000000142</v>
          </cell>
          <cell r="BX45">
            <v>1983</v>
          </cell>
          <cell r="BY45">
            <v>10219.648313080002</v>
          </cell>
          <cell r="BZ45">
            <v>18298.214184695054</v>
          </cell>
          <cell r="CA45">
            <v>50990.862497775197</v>
          </cell>
          <cell r="CB45">
            <v>20126.269217275734</v>
          </cell>
          <cell r="CC45">
            <v>13093.340478366305</v>
          </cell>
          <cell r="CD45">
            <v>18456.02983372171</v>
          </cell>
          <cell r="CE45">
            <v>19978.13054618931</v>
          </cell>
          <cell r="CF45">
            <v>71653.770075553053</v>
          </cell>
          <cell r="CH45">
            <v>50627.131715050782</v>
          </cell>
        </row>
        <row r="46">
          <cell r="F46" t="str">
            <v>Tax rate</v>
          </cell>
          <cell r="G46">
            <v>0.39419858683525472</v>
          </cell>
          <cell r="H46">
            <v>0.4792131413506388</v>
          </cell>
          <cell r="I46">
            <v>0.44261294261294259</v>
          </cell>
          <cell r="J46">
            <v>-3.7889039242219216E-2</v>
          </cell>
          <cell r="K46">
            <v>0.14365024288688411</v>
          </cell>
          <cell r="L46">
            <v>0.18165408598621596</v>
          </cell>
          <cell r="M46">
            <v>0.27720413026211277</v>
          </cell>
          <cell r="N46">
            <v>0.40023001725129387</v>
          </cell>
          <cell r="O46">
            <v>0.3219214721300952</v>
          </cell>
          <cell r="P46">
            <v>0.35051546391752575</v>
          </cell>
          <cell r="Q46">
            <v>0.37216237014236242</v>
          </cell>
          <cell r="R46">
            <v>0.36076864435740386</v>
          </cell>
          <cell r="S46">
            <v>0.36951864019425795</v>
          </cell>
          <cell r="T46">
            <v>0.36314425568672615</v>
          </cell>
          <cell r="U46">
            <v>0.32702165981619175</v>
          </cell>
          <cell r="V46">
            <v>0.33737418264638896</v>
          </cell>
          <cell r="W46">
            <v>0.34576655616759305</v>
          </cell>
          <cell r="X46">
            <v>0.33418287190587576</v>
          </cell>
          <cell r="Y46">
            <v>0.31004830586864912</v>
          </cell>
          <cell r="Z46">
            <v>0.31000199640646836</v>
          </cell>
          <cell r="AA46">
            <v>0.32998795664391811</v>
          </cell>
          <cell r="AB46">
            <v>0.32062642867564806</v>
          </cell>
          <cell r="AC46">
            <v>0.33881803135040406</v>
          </cell>
          <cell r="AD46">
            <v>0.34312183184757911</v>
          </cell>
          <cell r="AE46">
            <v>0.34942569092641834</v>
          </cell>
          <cell r="AF46">
            <v>0.34820346695022131</v>
          </cell>
          <cell r="AG46">
            <v>0.34535104364326374</v>
          </cell>
          <cell r="AH46">
            <v>0.31</v>
          </cell>
          <cell r="AI46">
            <v>0.31</v>
          </cell>
          <cell r="AJ46">
            <v>0.3099228085398702</v>
          </cell>
          <cell r="AK46">
            <v>0.30990026400704002</v>
          </cell>
          <cell r="AL46">
            <v>0.30994921605491116</v>
          </cell>
          <cell r="AM46">
            <v>0.29000788186130905</v>
          </cell>
          <cell r="AN46">
            <v>0.28999999999999998</v>
          </cell>
          <cell r="AO46">
            <v>0.27</v>
          </cell>
          <cell r="AP46">
            <v>0.25004323015735841</v>
          </cell>
          <cell r="AQ46">
            <v>0.27898153955795613</v>
          </cell>
          <cell r="AR46">
            <v>0.25</v>
          </cell>
          <cell r="AS46">
            <v>0.25</v>
          </cell>
          <cell r="AT46">
            <v>0.23</v>
          </cell>
          <cell r="AU46">
            <v>0.2</v>
          </cell>
          <cell r="AV46">
            <v>0.22883911196182583</v>
          </cell>
          <cell r="AW46">
            <v>0.18053804683099714</v>
          </cell>
          <cell r="AX46">
            <v>0.18</v>
          </cell>
          <cell r="AY46">
            <v>0.16</v>
          </cell>
          <cell r="AZ46">
            <v>0.16</v>
          </cell>
          <cell r="BA46">
            <v>0.16909172400144429</v>
          </cell>
          <cell r="BB46">
            <v>0.16</v>
          </cell>
          <cell r="BC46">
            <v>0.16</v>
          </cell>
          <cell r="BD46">
            <v>0.15998544004304641</v>
          </cell>
          <cell r="BE46">
            <v>0.16</v>
          </cell>
          <cell r="BF46">
            <v>0.13104228952338159</v>
          </cell>
          <cell r="BG46">
            <v>0.16</v>
          </cell>
          <cell r="BH46">
            <v>0.16</v>
          </cell>
          <cell r="BI46">
            <v>0.16</v>
          </cell>
          <cell r="BJ46">
            <v>0.16</v>
          </cell>
          <cell r="BK46">
            <v>0.16</v>
          </cell>
          <cell r="BL46">
            <v>0.1600050674605687</v>
          </cell>
          <cell r="BM46">
            <v>0.15998676118893171</v>
          </cell>
          <cell r="BN46">
            <v>0.11882378048096706</v>
          </cell>
          <cell r="BO46">
            <v>8.9055688886698889E-2</v>
          </cell>
          <cell r="BP46">
            <v>0.13476333255084411</v>
          </cell>
          <cell r="BQ46">
            <v>0.17991325562483051</v>
          </cell>
          <cell r="BR46">
            <v>0.16996001284258677</v>
          </cell>
          <cell r="BS46">
            <v>0.19538550409460098</v>
          </cell>
          <cell r="BT46">
            <v>0.237988627835091</v>
          </cell>
          <cell r="BU46">
            <v>0.20082928736680852</v>
          </cell>
          <cell r="BV46" t="str">
            <v xml:space="preserve">PLACEHOLDER </v>
          </cell>
          <cell r="BW46">
            <v>0.21553673802135517</v>
          </cell>
          <cell r="BX46">
            <v>4.5102008324425139E-2</v>
          </cell>
          <cell r="BY46">
            <v>0.2</v>
          </cell>
          <cell r="BZ46">
            <v>0.23</v>
          </cell>
          <cell r="CA46">
            <v>0.18907374540876851</v>
          </cell>
          <cell r="CB46">
            <v>0.18</v>
          </cell>
          <cell r="CC46">
            <v>0.18</v>
          </cell>
          <cell r="CD46">
            <v>0.18</v>
          </cell>
          <cell r="CE46">
            <v>0.18</v>
          </cell>
          <cell r="CF46">
            <v>0.18</v>
          </cell>
        </row>
        <row r="47">
          <cell r="BV47" t="str">
            <v xml:space="preserve">PLACEHOLDER </v>
          </cell>
        </row>
        <row r="48">
          <cell r="A48" t="str">
            <v>Net Income</v>
          </cell>
          <cell r="G48">
            <v>8145</v>
          </cell>
          <cell r="H48">
            <v>2568</v>
          </cell>
          <cell r="I48">
            <v>1826</v>
          </cell>
          <cell r="J48">
            <v>-767</v>
          </cell>
          <cell r="K48">
            <v>1234</v>
          </cell>
          <cell r="L48">
            <v>4987</v>
          </cell>
          <cell r="M48">
            <v>7280</v>
          </cell>
          <cell r="N48">
            <v>5215</v>
          </cell>
          <cell r="O48">
            <v>6338</v>
          </cell>
          <cell r="P48">
            <v>6237</v>
          </cell>
          <cell r="Q48">
            <v>6527</v>
          </cell>
          <cell r="R48">
            <v>24317</v>
          </cell>
          <cell r="S48">
            <v>8828</v>
          </cell>
          <cell r="T48">
            <v>11059</v>
          </cell>
          <cell r="U48">
            <v>14572</v>
          </cell>
          <cell r="V48">
            <v>18038</v>
          </cell>
          <cell r="W48">
            <v>52497</v>
          </cell>
          <cell r="X48">
            <v>19071</v>
          </cell>
          <cell r="Y48">
            <v>20139</v>
          </cell>
          <cell r="Z48">
            <v>17281</v>
          </cell>
          <cell r="AA48">
            <v>13352</v>
          </cell>
          <cell r="AB48">
            <v>69843</v>
          </cell>
          <cell r="AC48">
            <v>20373</v>
          </cell>
          <cell r="AD48">
            <v>22548</v>
          </cell>
          <cell r="AE48">
            <v>25940.999999999985</v>
          </cell>
          <cell r="AF48">
            <v>26358</v>
          </cell>
          <cell r="AG48">
            <v>95220</v>
          </cell>
          <cell r="AH48">
            <v>31580.60999999999</v>
          </cell>
          <cell r="AI48">
            <v>34379.94</v>
          </cell>
          <cell r="AJ48">
            <v>38667.095269085454</v>
          </cell>
          <cell r="AK48">
            <v>47578.926298034647</v>
          </cell>
          <cell r="AL48">
            <v>152206.57156712009</v>
          </cell>
          <cell r="AM48">
            <v>48293.663875793747</v>
          </cell>
          <cell r="AN48">
            <v>41916.979999999981</v>
          </cell>
          <cell r="AO48">
            <v>32220.009999999995</v>
          </cell>
          <cell r="AP48">
            <v>26022</v>
          </cell>
          <cell r="AQ48">
            <v>148452.65387579371</v>
          </cell>
          <cell r="AR48">
            <v>22136.25</v>
          </cell>
          <cell r="AS48">
            <v>15334.478717153277</v>
          </cell>
          <cell r="AT48">
            <v>24404.38</v>
          </cell>
          <cell r="AU48">
            <v>30347.999999999993</v>
          </cell>
          <cell r="AV48">
            <v>92223.108717153271</v>
          </cell>
          <cell r="AW48">
            <v>30552</v>
          </cell>
          <cell r="AX48">
            <v>32645.019999999982</v>
          </cell>
          <cell r="AY48">
            <v>38151.960000000312</v>
          </cell>
          <cell r="AZ48">
            <v>41399.4</v>
          </cell>
          <cell r="BA48">
            <v>142748.37999999992</v>
          </cell>
          <cell r="BB48">
            <v>42884.87999999999</v>
          </cell>
          <cell r="BC48">
            <v>40626.119999999915</v>
          </cell>
          <cell r="BD48">
            <v>44012.562868944507</v>
          </cell>
          <cell r="BE48">
            <v>45622.080000000002</v>
          </cell>
          <cell r="BF48">
            <v>173145.64286894444</v>
          </cell>
          <cell r="BG48">
            <v>64956.360000000022</v>
          </cell>
          <cell r="BH48">
            <v>54923.399999999965</v>
          </cell>
          <cell r="BI48">
            <v>68853.959999999948</v>
          </cell>
          <cell r="BJ48">
            <v>76818.000000000029</v>
          </cell>
          <cell r="BK48">
            <v>265551.71999999997</v>
          </cell>
          <cell r="BL48">
            <v>92827.000000000015</v>
          </cell>
          <cell r="BM48">
            <v>78678.999999999985</v>
          </cell>
          <cell r="BN48">
            <v>78452.000000000015</v>
          </cell>
          <cell r="BO48">
            <v>74395</v>
          </cell>
          <cell r="BP48">
            <v>324353</v>
          </cell>
          <cell r="BQ48">
            <v>60505.999999999993</v>
          </cell>
          <cell r="BR48">
            <v>28437.999999999996</v>
          </cell>
          <cell r="BS48">
            <v>47358</v>
          </cell>
          <cell r="BT48">
            <v>59904</v>
          </cell>
          <cell r="BU48">
            <v>196206</v>
          </cell>
          <cell r="BV48" t="str">
            <v xml:space="preserve">PLACEHOLDER </v>
          </cell>
          <cell r="BW48">
            <v>74574.999999999913</v>
          </cell>
          <cell r="BX48">
            <v>41984</v>
          </cell>
          <cell r="BY48">
            <v>40878.593252320003</v>
          </cell>
          <cell r="BZ48">
            <v>61259.238792239965</v>
          </cell>
          <cell r="CA48">
            <v>218696.83204455988</v>
          </cell>
          <cell r="CB48">
            <v>91686.337545367234</v>
          </cell>
          <cell r="CC48">
            <v>59647.439957002054</v>
          </cell>
          <cell r="CD48">
            <v>84077.469242510007</v>
          </cell>
          <cell r="CE48">
            <v>91011.483599306855</v>
          </cell>
          <cell r="CF48">
            <v>326422.73034418613</v>
          </cell>
          <cell r="CH48">
            <v>235808.16958992722</v>
          </cell>
        </row>
        <row r="49">
          <cell r="F49" t="str">
            <v>% of revenue</v>
          </cell>
          <cell r="I49">
            <v>1.7035012267820993E-2</v>
          </cell>
          <cell r="J49">
            <v>-6.7017920959046547E-3</v>
          </cell>
          <cell r="K49">
            <v>9.3173564077589262E-3</v>
          </cell>
          <cell r="L49">
            <v>2.4280045765476276E-2</v>
          </cell>
          <cell r="M49">
            <v>1.3012222194418329E-2</v>
          </cell>
          <cell r="N49">
            <v>2.2300143251159907E-2</v>
          </cell>
          <cell r="O49">
            <v>2.6898331267930807E-2</v>
          </cell>
          <cell r="P49">
            <v>2.8388582664621465E-2</v>
          </cell>
          <cell r="Q49">
            <v>3.748973297109149E-2</v>
          </cell>
          <cell r="R49">
            <v>2.8167986238611813E-2</v>
          </cell>
          <cell r="S49">
            <v>4.3472694144876152E-2</v>
          </cell>
          <cell r="T49">
            <v>4.9773389082169522E-2</v>
          </cell>
          <cell r="U49">
            <v>5.8844195334299805E-2</v>
          </cell>
          <cell r="V49">
            <v>5.9100678881287512E-2</v>
          </cell>
          <cell r="W49">
            <v>5.3672316384180789E-2</v>
          </cell>
          <cell r="X49">
            <v>5.9687899046045219E-2</v>
          </cell>
          <cell r="Y49">
            <v>6.0900304819043932E-2</v>
          </cell>
          <cell r="Z49">
            <v>5.5817363751174909E-2</v>
          </cell>
          <cell r="AA49">
            <v>4.2043611745257024E-2</v>
          </cell>
          <cell r="AB49">
            <v>5.4677017067828217E-2</v>
          </cell>
          <cell r="AC49">
            <v>4.1148016117467656E-2</v>
          </cell>
          <cell r="AD49">
            <v>4.0357757162571166E-2</v>
          </cell>
          <cell r="AE49">
            <v>4.455394529384888E-2</v>
          </cell>
          <cell r="AF49">
            <v>4.3759701827056373E-2</v>
          </cell>
          <cell r="AG49">
            <v>4.2539484835312509E-2</v>
          </cell>
          <cell r="AH49">
            <v>4.5780810122031466E-2</v>
          </cell>
          <cell r="AI49">
            <v>4.1047635876508247E-2</v>
          </cell>
          <cell r="AJ49">
            <v>4.0034306883462586E-2</v>
          </cell>
          <cell r="AK49">
            <v>4.4671357012786406E-2</v>
          </cell>
          <cell r="AL49">
            <v>4.2774828793445026E-2</v>
          </cell>
          <cell r="AM49">
            <v>4.2777315194842805E-2</v>
          </cell>
          <cell r="AN49">
            <v>3.4608524779656105E-2</v>
          </cell>
          <cell r="AO49">
            <v>3.0789410815852254E-2</v>
          </cell>
          <cell r="AP49">
            <v>2.7563896824463672E-2</v>
          </cell>
          <cell r="AQ49">
            <v>3.4279492103571792E-2</v>
          </cell>
          <cell r="AR49">
            <v>2.5024955712795085E-2</v>
          </cell>
          <cell r="AS49">
            <v>1.8653404337265596E-2</v>
          </cell>
          <cell r="AT49">
            <v>2.869071551677518E-2</v>
          </cell>
          <cell r="AU49">
            <v>3.0709667757176259E-2</v>
          </cell>
          <cell r="AV49">
            <v>2.6011562011073658E-2</v>
          </cell>
          <cell r="AW49">
            <v>2.8600153897136053E-2</v>
          </cell>
          <cell r="AX49">
            <v>2.8488119122065562E-2</v>
          </cell>
          <cell r="AY49">
            <v>3.128994902009697E-2</v>
          </cell>
          <cell r="AZ49">
            <v>3.1943611763752738E-2</v>
          </cell>
          <cell r="BA49">
            <v>3.0182666939000919E-2</v>
          </cell>
          <cell r="BB49">
            <v>2.841951657859474E-2</v>
          </cell>
          <cell r="BC49">
            <v>2.7231566162335154E-2</v>
          </cell>
          <cell r="BD49">
            <v>2.7070494122424894E-2</v>
          </cell>
          <cell r="BE49">
            <v>2.8054805842168469E-2</v>
          </cell>
          <cell r="BF49">
            <v>2.7690467773408781E-2</v>
          </cell>
          <cell r="BG49">
            <v>3.5429936592350192E-2</v>
          </cell>
          <cell r="BH49">
            <v>3.2006531445694236E-2</v>
          </cell>
          <cell r="BI49">
            <v>3.5520752779977433E-2</v>
          </cell>
          <cell r="BJ49">
            <v>3.771893213656162E-2</v>
          </cell>
          <cell r="BK49">
            <v>3.5292144767692671E-2</v>
          </cell>
          <cell r="BL49">
            <v>3.8607024517895681E-2</v>
          </cell>
          <cell r="BM49">
            <v>3.3987166959976008E-2</v>
          </cell>
          <cell r="BN49">
            <v>3.0261558116139693E-2</v>
          </cell>
          <cell r="BO49">
            <v>2.5187786894292914E-2</v>
          </cell>
          <cell r="BP49">
            <v>3.1596578307793124E-2</v>
          </cell>
          <cell r="BQ49">
            <v>1.8767352263630025E-2</v>
          </cell>
          <cell r="BR49">
            <v>9.6897230602324674E-3</v>
          </cell>
          <cell r="BS49">
            <v>1.5776029549324826E-2</v>
          </cell>
          <cell r="BT49">
            <v>1.913969156801118E-2</v>
          </cell>
          <cell r="BU49">
            <v>1.5963917767345948E-2</v>
          </cell>
          <cell r="BV49" t="str">
            <v xml:space="preserve">PLACEHOLDER </v>
          </cell>
          <cell r="BW49">
            <v>2.2142569345657725E-2</v>
          </cell>
          <cell r="BX49">
            <v>1.3726483213142689E-2</v>
          </cell>
          <cell r="BY49">
            <v>1.3180547695610785E-2</v>
          </cell>
          <cell r="BZ49">
            <v>1.9270156666801541E-2</v>
          </cell>
          <cell r="CA49">
            <v>1.7210786872005654E-2</v>
          </cell>
          <cell r="CB49">
            <v>2.6460117997583913E-2</v>
          </cell>
          <cell r="CC49">
            <v>1.8509556448365487E-2</v>
          </cell>
          <cell r="CD49">
            <v>2.5330666037353834E-2</v>
          </cell>
          <cell r="CE49">
            <v>2.6492492649109717E-2</v>
          </cell>
          <cell r="CF49">
            <v>2.428349605405155E-2</v>
          </cell>
        </row>
        <row r="50">
          <cell r="BV50" t="str">
            <v xml:space="preserve">PLACEHOLDER </v>
          </cell>
        </row>
        <row r="51">
          <cell r="A51" t="str">
            <v>Diluted Shares</v>
          </cell>
          <cell r="G51">
            <v>111136</v>
          </cell>
          <cell r="H51">
            <v>123576</v>
          </cell>
          <cell r="I51">
            <v>124400</v>
          </cell>
          <cell r="J51">
            <v>124400</v>
          </cell>
          <cell r="K51">
            <v>124400</v>
          </cell>
          <cell r="L51">
            <v>124400</v>
          </cell>
          <cell r="M51">
            <v>124400</v>
          </cell>
          <cell r="N51">
            <v>134216</v>
          </cell>
          <cell r="O51">
            <v>148160</v>
          </cell>
          <cell r="P51">
            <v>148864</v>
          </cell>
          <cell r="Q51">
            <v>150104</v>
          </cell>
          <cell r="R51">
            <v>145336</v>
          </cell>
          <cell r="S51">
            <v>151536</v>
          </cell>
          <cell r="T51">
            <v>153304</v>
          </cell>
          <cell r="U51">
            <v>153568</v>
          </cell>
          <cell r="V51">
            <v>155040</v>
          </cell>
          <cell r="W51">
            <v>153362</v>
          </cell>
          <cell r="X51">
            <v>154700</v>
          </cell>
          <cell r="Y51">
            <v>154256</v>
          </cell>
          <cell r="Z51">
            <v>154460</v>
          </cell>
          <cell r="AA51">
            <v>153788</v>
          </cell>
          <cell r="AB51">
            <v>154301</v>
          </cell>
          <cell r="AC51">
            <v>165556</v>
          </cell>
          <cell r="AD51">
            <v>167006</v>
          </cell>
          <cell r="AE51">
            <v>180898</v>
          </cell>
          <cell r="AF51">
            <v>182156</v>
          </cell>
          <cell r="AG51">
            <v>173904</v>
          </cell>
          <cell r="AH51">
            <v>182778</v>
          </cell>
          <cell r="AI51">
            <v>184514</v>
          </cell>
          <cell r="AJ51">
            <v>184960</v>
          </cell>
          <cell r="AK51">
            <v>197536</v>
          </cell>
          <cell r="AL51">
            <v>187447</v>
          </cell>
          <cell r="AM51">
            <v>198907</v>
          </cell>
          <cell r="AN51">
            <v>198325</v>
          </cell>
          <cell r="AO51">
            <v>198101</v>
          </cell>
          <cell r="AP51">
            <v>199621</v>
          </cell>
          <cell r="AQ51">
            <v>198738.5</v>
          </cell>
          <cell r="AR51">
            <v>199515</v>
          </cell>
          <cell r="AS51">
            <v>201348</v>
          </cell>
          <cell r="AT51">
            <v>200997</v>
          </cell>
          <cell r="AU51">
            <v>200643</v>
          </cell>
          <cell r="AV51">
            <v>200625.75</v>
          </cell>
          <cell r="AW51">
            <v>200099</v>
          </cell>
          <cell r="AX51">
            <v>200726</v>
          </cell>
          <cell r="AY51">
            <v>202132</v>
          </cell>
          <cell r="AZ51">
            <v>203980</v>
          </cell>
          <cell r="BA51">
            <v>201734.25</v>
          </cell>
          <cell r="BB51">
            <v>213939.99999999997</v>
          </cell>
          <cell r="BC51">
            <v>214738</v>
          </cell>
          <cell r="BD51">
            <v>206371</v>
          </cell>
          <cell r="BE51">
            <v>205165</v>
          </cell>
          <cell r="BF51">
            <v>210053.5</v>
          </cell>
          <cell r="BG51">
            <v>205843</v>
          </cell>
          <cell r="BH51">
            <v>206459</v>
          </cell>
          <cell r="BI51">
            <v>207736</v>
          </cell>
          <cell r="BJ51">
            <v>209813</v>
          </cell>
          <cell r="BK51">
            <v>207462.75</v>
          </cell>
          <cell r="BL51">
            <v>209760</v>
          </cell>
          <cell r="BM51">
            <v>214091</v>
          </cell>
          <cell r="BN51">
            <v>215808</v>
          </cell>
          <cell r="BO51">
            <v>209442</v>
          </cell>
          <cell r="BP51">
            <v>212275.25</v>
          </cell>
          <cell r="BQ51">
            <v>206361</v>
          </cell>
          <cell r="BR51">
            <v>205925</v>
          </cell>
          <cell r="BS51">
            <v>205772</v>
          </cell>
          <cell r="BT51">
            <v>206106</v>
          </cell>
          <cell r="BU51">
            <v>206041</v>
          </cell>
          <cell r="BV51" t="str">
            <v xml:space="preserve">PLACEHOLDER </v>
          </cell>
          <cell r="BW51">
            <v>206605</v>
          </cell>
          <cell r="BX51">
            <v>205082</v>
          </cell>
          <cell r="BY51">
            <v>206082</v>
          </cell>
          <cell r="BZ51">
            <v>207082</v>
          </cell>
          <cell r="CA51">
            <v>206212.75</v>
          </cell>
          <cell r="CB51">
            <v>210000</v>
          </cell>
          <cell r="CC51">
            <v>210000</v>
          </cell>
          <cell r="CD51">
            <v>210000</v>
          </cell>
          <cell r="CE51">
            <v>210000</v>
          </cell>
          <cell r="CF51">
            <v>210000</v>
          </cell>
          <cell r="CH51">
            <v>209607.75</v>
          </cell>
        </row>
        <row r="52">
          <cell r="F52" t="str">
            <v>% Y-O-Y Increase</v>
          </cell>
          <cell r="X52">
            <v>-2.1929824561403022E-3</v>
          </cell>
          <cell r="Y52">
            <v>-2.8700711053651906E-3</v>
          </cell>
          <cell r="Z52">
            <v>1.3224769214812415E-3</v>
          </cell>
          <cell r="AA52">
            <v>-4.3506409426388171E-3</v>
          </cell>
          <cell r="AB52">
            <v>6.1227683520037601E-3</v>
          </cell>
          <cell r="AC52">
            <v>7.6520924909615928E-2</v>
          </cell>
          <cell r="AD52">
            <v>8.7583657493537359E-3</v>
          </cell>
          <cell r="AE52">
            <v>8.3182640144665365E-2</v>
          </cell>
          <cell r="AF52">
            <v>6.9541951818150594E-3</v>
          </cell>
          <cell r="AG52">
            <v>0.1270438947252448</v>
          </cell>
          <cell r="AH52">
            <v>3.4146555699510195E-3</v>
          </cell>
          <cell r="AI52">
            <v>9.4978607928744019E-3</v>
          </cell>
          <cell r="AJ52">
            <v>2.4171607574492437E-3</v>
          </cell>
          <cell r="AK52">
            <v>6.7993079584775185E-2</v>
          </cell>
          <cell r="AL52">
            <v>7.7876299567577467E-2</v>
          </cell>
          <cell r="AM52">
            <v>6.9405070468167018E-3</v>
          </cell>
          <cell r="AN52">
            <v>-2.9259905382917895E-3</v>
          </cell>
          <cell r="AO52">
            <v>-1.129459220975626E-3</v>
          </cell>
          <cell r="AP52">
            <v>7.6728537463213176E-3</v>
          </cell>
          <cell r="AQ52">
            <v>6.0238360709960581E-2</v>
          </cell>
          <cell r="AR52">
            <v>-5.3100625685675862E-4</v>
          </cell>
          <cell r="AS52">
            <v>9.187279151943395E-3</v>
          </cell>
          <cell r="AT52">
            <v>-1.7432504916859992E-3</v>
          </cell>
          <cell r="AU52">
            <v>-1.7612203167211016E-3</v>
          </cell>
          <cell r="AV52">
            <v>9.4961469468672899E-3</v>
          </cell>
          <cell r="AW52">
            <v>-2.7112832244334806E-3</v>
          </cell>
          <cell r="AX52">
            <v>3.1334489427732315E-3</v>
          </cell>
          <cell r="AY52">
            <v>7.0045733985633074E-3</v>
          </cell>
          <cell r="AZ52">
            <v>9.1425405180773911E-3</v>
          </cell>
          <cell r="BA52">
            <v>5.5252129898579749E-3</v>
          </cell>
          <cell r="BB52">
            <v>4.8828316501617772E-2</v>
          </cell>
          <cell r="BC52">
            <v>3.7300177619894459E-3</v>
          </cell>
          <cell r="BD52">
            <v>-3.8963760489526766E-2</v>
          </cell>
          <cell r="BE52">
            <v>-5.8438443385940841E-3</v>
          </cell>
          <cell r="BF52">
            <v>4.1238659275755207E-2</v>
          </cell>
          <cell r="BG52">
            <v>-3.7847059923342807E-2</v>
          </cell>
          <cell r="BH52">
            <v>-3.8553958777673203E-2</v>
          </cell>
          <cell r="BI52">
            <v>6.6143014280106716E-3</v>
          </cell>
          <cell r="BJ52">
            <v>2.2654936270806392E-2</v>
          </cell>
          <cell r="BK52">
            <v>-1.233376258905472E-2</v>
          </cell>
          <cell r="BL52">
            <v>1.9029065841442261E-2</v>
          </cell>
          <cell r="BM52">
            <v>3.696617730396845E-2</v>
          </cell>
          <cell r="BN52">
            <v>3.8857010821427229E-2</v>
          </cell>
          <cell r="BO52">
            <v>-1.7682412433929207E-3</v>
          </cell>
          <cell r="BP52">
            <v>2.3196935353455128E-2</v>
          </cell>
          <cell r="BQ52">
            <v>-1.6204233409610969E-2</v>
          </cell>
          <cell r="BR52">
            <v>-3.8142658962777465E-2</v>
          </cell>
          <cell r="BS52">
            <v>-4.6504300118623942E-2</v>
          </cell>
          <cell r="BT52">
            <v>-1.5928037356404134E-2</v>
          </cell>
          <cell r="BU52">
            <v>-2.9368708787293807E-2</v>
          </cell>
          <cell r="BV52" t="str">
            <v xml:space="preserve">PLACEHOLDER </v>
          </cell>
          <cell r="BW52">
            <v>1.1823939600990041E-3</v>
          </cell>
          <cell r="BX52">
            <v>-4.0937234430010738E-3</v>
          </cell>
          <cell r="BY52">
            <v>1.506521781389214E-3</v>
          </cell>
          <cell r="BZ52">
            <v>4.735427401434178E-3</v>
          </cell>
          <cell r="CA52">
            <v>8.3357195897892922E-4</v>
          </cell>
          <cell r="CB52">
            <v>1.6432322547857092E-2</v>
          </cell>
          <cell r="CC52">
            <v>1.6432322547857092E-2</v>
          </cell>
          <cell r="CD52">
            <v>2.3980651641782202E-2</v>
          </cell>
          <cell r="CE52">
            <v>1.9011849652080137E-2</v>
          </cell>
          <cell r="CF52">
            <v>1.8365741206593622E-2</v>
          </cell>
        </row>
        <row r="54">
          <cell r="A54" t="str">
            <v>Earnings per Share (Excl. Stk-Cmp &amp; Amort.)</v>
          </cell>
          <cell r="AR54">
            <v>0.11095030448838433</v>
          </cell>
          <cell r="AS54">
            <v>7.61590813772835E-2</v>
          </cell>
          <cell r="AT54">
            <v>0.12141663805927452</v>
          </cell>
          <cell r="AU54">
            <v>0.15125371929247466</v>
          </cell>
          <cell r="AW54">
            <v>0.1526844212115003</v>
          </cell>
          <cell r="AX54">
            <v>0.16263473590865152</v>
          </cell>
          <cell r="AY54">
            <v>0.18874774899570732</v>
          </cell>
          <cell r="AZ54">
            <v>0.20295813315030886</v>
          </cell>
          <cell r="BB54">
            <v>0.20045283724408711</v>
          </cell>
          <cell r="BC54">
            <v>0.18918924456779851</v>
          </cell>
          <cell r="BD54">
            <v>0.21326912632561992</v>
          </cell>
          <cell r="BE54">
            <v>0.22236775278434431</v>
          </cell>
          <cell r="BF54">
            <v>0.82527896092184982</v>
          </cell>
          <cell r="BG54">
            <v>0.31556263754414782</v>
          </cell>
          <cell r="BH54">
            <v>0.26602570001792109</v>
          </cell>
          <cell r="BI54">
            <v>0.33144933954634703</v>
          </cell>
          <cell r="BJ54">
            <v>0.36612602650932036</v>
          </cell>
          <cell r="BK54">
            <v>1.2791637036177363</v>
          </cell>
          <cell r="BL54">
            <v>0.44253909229595734</v>
          </cell>
          <cell r="BM54">
            <v>0.36750260403286444</v>
          </cell>
          <cell r="BN54">
            <v>0.36352683867141167</v>
          </cell>
          <cell r="BO54">
            <v>0.35520573714918691</v>
          </cell>
          <cell r="BP54">
            <v>1.5279831256823393</v>
          </cell>
          <cell r="BQ54">
            <v>0.29320462684325038</v>
          </cell>
          <cell r="BR54">
            <v>0.1380988223867913</v>
          </cell>
          <cell r="BS54">
            <v>0.23014793071943704</v>
          </cell>
          <cell r="BT54">
            <v>0.29064656050769994</v>
          </cell>
          <cell r="BU54">
            <v>0.95226678185409697</v>
          </cell>
          <cell r="BV54" t="str">
            <v xml:space="preserve">PLACEHOLDER </v>
          </cell>
          <cell r="BW54">
            <v>0.36095447835241118</v>
          </cell>
          <cell r="BX54">
            <v>0.20471811275489804</v>
          </cell>
          <cell r="BY54">
            <v>0.1983608139105793</v>
          </cell>
          <cell r="BZ54">
            <v>0.29582116645695888</v>
          </cell>
          <cell r="CA54">
            <v>1.060539816498058</v>
          </cell>
          <cell r="CB54">
            <v>0.43660160735889159</v>
          </cell>
          <cell r="CC54">
            <v>0.28403542836667645</v>
          </cell>
          <cell r="CD54">
            <v>0.40036890115480955</v>
          </cell>
          <cell r="CE54">
            <v>0.43338801713955644</v>
          </cell>
          <cell r="CF54">
            <v>1.5543939540199339</v>
          </cell>
          <cell r="CH54">
            <v>1.1361869455045384</v>
          </cell>
          <cell r="CI54">
            <v>1.02</v>
          </cell>
        </row>
      </sheetData>
      <sheetData sheetId="6">
        <row r="12">
          <cell r="A12" t="str">
            <v>Estimate</v>
          </cell>
        </row>
      </sheetData>
      <sheetData sheetId="7">
        <row r="47">
          <cell r="A47" t="str">
            <v>1Q08</v>
          </cell>
        </row>
      </sheetData>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Prevue"/>
      <sheetName val="Income Statement"/>
      <sheetName val="market sheet"/>
      <sheetName val="CashFlow"/>
      <sheetName val="BalSheet"/>
      <sheetName val="Earnings Review"/>
      <sheetName val="Table 1"/>
      <sheetName val="Table 2"/>
      <sheetName val="Table 3"/>
      <sheetName val="Table 4"/>
      <sheetName val="Table 5"/>
      <sheetName val="Figure 1"/>
      <sheetName val="Figure 2"/>
      <sheetName val="Figure 3"/>
      <sheetName val="Figure 4"/>
      <sheetName val="QtrEarnMod"/>
      <sheetName val="stats"/>
      <sheetName val="Figure 5"/>
      <sheetName val="Sheet12"/>
      <sheetName val="Sheet13"/>
      <sheetName val="Sheet14"/>
      <sheetName val="Sheet15"/>
      <sheetName val="Sheet16"/>
    </sheetNames>
    <sheetDataSet>
      <sheetData sheetId="0">
        <row r="11">
          <cell r="B11" t="str">
            <v>July 15, 1999</v>
          </cell>
        </row>
        <row r="13">
          <cell r="B13" t="str">
            <v>International Network Services ($44 3/4)</v>
          </cell>
        </row>
        <row r="14">
          <cell r="B14" t="str">
            <v>Earnings Preview</v>
          </cell>
        </row>
        <row r="15">
          <cell r="B15" t="str">
            <v>($ in millions, except per share data)</v>
          </cell>
        </row>
        <row r="17">
          <cell r="E17" t="str">
            <v>Our Estimate</v>
          </cell>
          <cell r="F17" t="str">
            <v>Actual</v>
          </cell>
        </row>
        <row r="18">
          <cell r="E18" t="str">
            <v>Fiscal 4Q99</v>
          </cell>
          <cell r="F18" t="str">
            <v>Fiscal 4Q98</v>
          </cell>
          <cell r="G18" t="str">
            <v>% Change</v>
          </cell>
        </row>
        <row r="20">
          <cell r="B20" t="str">
            <v>EPS</v>
          </cell>
          <cell r="E20">
            <v>0.15</v>
          </cell>
          <cell r="F20">
            <v>0.08</v>
          </cell>
          <cell r="G20">
            <v>0.78800000000000003</v>
          </cell>
        </row>
        <row r="22">
          <cell r="B22" t="str">
            <v>Total Revenue</v>
          </cell>
          <cell r="E22">
            <v>90.59</v>
          </cell>
          <cell r="F22">
            <v>53.966999999999999</v>
          </cell>
          <cell r="G22">
            <v>0.67861841495728892</v>
          </cell>
        </row>
        <row r="24">
          <cell r="B24" t="str">
            <v>Gross Margin</v>
          </cell>
          <cell r="E24">
            <v>0.59</v>
          </cell>
          <cell r="F24">
            <v>0.57599999999999996</v>
          </cell>
          <cell r="G24">
            <v>2.430555555555558E-2</v>
          </cell>
        </row>
        <row r="26">
          <cell r="B26" t="str">
            <v>Operating Income</v>
          </cell>
          <cell r="E26">
            <v>14.974</v>
          </cell>
          <cell r="F26">
            <v>7.5620000000000003</v>
          </cell>
          <cell r="G26">
            <v>0.98016397778365505</v>
          </cell>
        </row>
        <row r="28">
          <cell r="B28" t="str">
            <v>Operating Margin</v>
          </cell>
          <cell r="E28">
            <v>0.16500000000000001</v>
          </cell>
          <cell r="F28">
            <v>0.14000000000000001</v>
          </cell>
          <cell r="G28">
            <v>0.1785714285714286</v>
          </cell>
        </row>
        <row r="30">
          <cell r="B30" t="str">
            <v>Net Income</v>
          </cell>
          <cell r="E30">
            <v>9.4489999999999998</v>
          </cell>
          <cell r="F30">
            <v>4.8710000000000004</v>
          </cell>
          <cell r="G30">
            <v>0.93984808047628809</v>
          </cell>
        </row>
        <row r="32">
          <cell r="B32" t="str">
            <v>COMMENTS:</v>
          </cell>
        </row>
        <row r="33">
          <cell r="B33" t="str">
            <v>* The company will report on July 26, after the market close.</v>
          </cell>
        </row>
        <row r="34">
          <cell r="B34" t="str">
            <v xml:space="preserve">* The First Call consensus earnings estimate is $0.15 per share.  </v>
          </cell>
        </row>
        <row r="35">
          <cell r="B35" t="str">
            <v xml:space="preserve">* INS will probably beat our estimate. </v>
          </cell>
        </row>
        <row r="36">
          <cell r="B36" t="str">
            <v>* We show service revenues increasing 60% and software licenses up 195%.</v>
          </cell>
        </row>
        <row r="37">
          <cell r="B37" t="str">
            <v>* We very much like this company and recommend purchase to long term oriented</v>
          </cell>
        </row>
        <row r="38">
          <cell r="B38" t="str">
            <v xml:space="preserve">Investors. INS benefits from anything that spurs network buildout including the </v>
          </cell>
        </row>
        <row r="39">
          <cell r="B39" t="str">
            <v>growth of the Internet.</v>
          </cell>
        </row>
        <row r="40">
          <cell r="B40" t="str">
            <v>Laura Lederman (312) 364-8223</v>
          </cell>
        </row>
        <row r="41">
          <cell r="B41" t="str">
            <v>Sandra Notardonato (312) 364-8168</v>
          </cell>
        </row>
        <row r="42">
          <cell r="B42" t="str">
            <v>Additional information available upon request.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nings Prevue"/>
      <sheetName val="Income Statement"/>
      <sheetName val="market sheet"/>
      <sheetName val="CashFlow"/>
      <sheetName val="BalSheet"/>
      <sheetName val="Earnings Review"/>
      <sheetName val="Table 1"/>
      <sheetName val="Table 2"/>
      <sheetName val="Table 3"/>
      <sheetName val="Table 4"/>
      <sheetName val="Table 5"/>
      <sheetName val="Figure 1"/>
      <sheetName val="Figure 2"/>
      <sheetName val="Figure 3"/>
      <sheetName val="Figure 4"/>
      <sheetName val="QtrEarnMod"/>
      <sheetName val="stats"/>
      <sheetName val="Figure 5"/>
      <sheetName val="Sheet12"/>
      <sheetName val="Sheet13"/>
      <sheetName val="Sheet14"/>
      <sheetName val="Sheet15"/>
      <sheetName val="Sheet16"/>
    </sheetNames>
    <sheetDataSet>
      <sheetData sheetId="0">
        <row r="11">
          <cell r="B11" t="str">
            <v>July 15, 1999</v>
          </cell>
        </row>
        <row r="13">
          <cell r="B13" t="str">
            <v>International Network Services ($44 3/4)</v>
          </cell>
        </row>
        <row r="14">
          <cell r="B14" t="str">
            <v>Earnings Preview</v>
          </cell>
        </row>
        <row r="15">
          <cell r="B15" t="str">
            <v>($ in millions, except per share data)</v>
          </cell>
        </row>
        <row r="17">
          <cell r="E17" t="str">
            <v>Our Estimate</v>
          </cell>
          <cell r="F17" t="str">
            <v>Actual</v>
          </cell>
        </row>
        <row r="18">
          <cell r="E18" t="str">
            <v>Fiscal 4Q99</v>
          </cell>
          <cell r="F18" t="str">
            <v>Fiscal 4Q98</v>
          </cell>
          <cell r="G18" t="str">
            <v>% Change</v>
          </cell>
        </row>
        <row r="20">
          <cell r="B20" t="str">
            <v>EPS</v>
          </cell>
          <cell r="E20">
            <v>0.15</v>
          </cell>
          <cell r="F20">
            <v>0.08</v>
          </cell>
          <cell r="G20">
            <v>0.78800000000000003</v>
          </cell>
        </row>
        <row r="22">
          <cell r="B22" t="str">
            <v>Total Revenue</v>
          </cell>
          <cell r="E22">
            <v>90.59</v>
          </cell>
          <cell r="F22">
            <v>53.966999999999999</v>
          </cell>
          <cell r="G22">
            <v>0.67861841495728892</v>
          </cell>
        </row>
        <row r="24">
          <cell r="B24" t="str">
            <v>Gross Margin</v>
          </cell>
          <cell r="E24">
            <v>0.59</v>
          </cell>
          <cell r="F24">
            <v>0.57599999999999996</v>
          </cell>
          <cell r="G24">
            <v>2.430555555555558E-2</v>
          </cell>
        </row>
        <row r="26">
          <cell r="B26" t="str">
            <v>Operating Income</v>
          </cell>
          <cell r="E26">
            <v>14.974</v>
          </cell>
          <cell r="F26">
            <v>7.5620000000000003</v>
          </cell>
          <cell r="G26">
            <v>0.98016397778365505</v>
          </cell>
        </row>
        <row r="28">
          <cell r="B28" t="str">
            <v>Operating Margin</v>
          </cell>
          <cell r="E28">
            <v>0.16500000000000001</v>
          </cell>
          <cell r="F28">
            <v>0.14000000000000001</v>
          </cell>
          <cell r="G28">
            <v>0.1785714285714286</v>
          </cell>
        </row>
        <row r="30">
          <cell r="B30" t="str">
            <v>Net Income</v>
          </cell>
          <cell r="E30">
            <v>9.4489999999999998</v>
          </cell>
          <cell r="F30">
            <v>4.8710000000000004</v>
          </cell>
          <cell r="G30">
            <v>0.93984808047628809</v>
          </cell>
        </row>
        <row r="32">
          <cell r="B32" t="str">
            <v>COMMENTS:</v>
          </cell>
        </row>
        <row r="33">
          <cell r="B33" t="str">
            <v>* The company will report on July 26, after the market close.</v>
          </cell>
        </row>
        <row r="34">
          <cell r="B34" t="str">
            <v xml:space="preserve">* The First Call consensus earnings estimate is $0.15 per share.  </v>
          </cell>
        </row>
        <row r="35">
          <cell r="B35" t="str">
            <v xml:space="preserve">* INS will probably beat our estimate. </v>
          </cell>
        </row>
        <row r="36">
          <cell r="B36" t="str">
            <v>* We show service revenues increasing 60% and software licenses up 195%.</v>
          </cell>
        </row>
        <row r="37">
          <cell r="B37" t="str">
            <v>* We very much like this company and recommend purchase to long term oriented</v>
          </cell>
        </row>
        <row r="38">
          <cell r="B38" t="str">
            <v xml:space="preserve">Investors. INS benefits from anything that spurs network buildout including the </v>
          </cell>
        </row>
        <row r="39">
          <cell r="B39" t="str">
            <v>growth of the Internet.</v>
          </cell>
        </row>
        <row r="40">
          <cell r="B40" t="str">
            <v>Laura Lederman (312) 364-8223</v>
          </cell>
        </row>
        <row r="41">
          <cell r="B41" t="str">
            <v>Sandra Notardonato (312) 364-8168</v>
          </cell>
        </row>
        <row r="42">
          <cell r="B42" t="str">
            <v>Additional information available upon request.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EW)"/>
      <sheetName val="Disclosures"/>
      <sheetName val="ZBRA Preview"/>
      <sheetName val="Marketing Sheet"/>
      <sheetName val="%%TOBA_CACHE%%"/>
      <sheetName val="VAR"/>
      <sheetName val="IS"/>
      <sheetName val="PrevRev"/>
      <sheetName val="Balance"/>
      <sheetName val="Cash Flow"/>
      <sheetName val="Acq notes"/>
      <sheetName val="Earnings Comp"/>
      <sheetName val="Ratio Calculations"/>
      <sheetName val="ROIC Chart"/>
      <sheetName val="DCF_1"/>
      <sheetName val="DCF"/>
      <sheetName val="Sheet1"/>
      <sheetName val="ELTN Mix"/>
      <sheetName val="Valuation"/>
      <sheetName val="Mix"/>
      <sheetName val="Mkt"/>
      <sheetName val="Report IS"/>
      <sheetName val="Sheet3"/>
      <sheetName val="Sheet2"/>
      <sheetName val="ZBRA 10-23-07"/>
    </sheetNames>
    <sheetDataSet>
      <sheetData sheetId="0"/>
      <sheetData sheetId="1"/>
      <sheetData sheetId="2">
        <row r="36">
          <cell r="Q36" t="str">
            <v>Estimate Date</v>
          </cell>
        </row>
      </sheetData>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EW)"/>
      <sheetName val="LLTC Preview"/>
      <sheetName val="%%TOBA_CACHE%%"/>
      <sheetName val="Marketing Sheet (OLD)"/>
      <sheetName val="IS"/>
      <sheetName val="VAR"/>
      <sheetName val="Bookings insert"/>
      <sheetName val="BS"/>
      <sheetName val="CFS output"/>
      <sheetName val="CFS input"/>
      <sheetName val="IS-GAAP-convert"/>
      <sheetName val="IS-Proforma"/>
      <sheetName val="ASR timeline"/>
      <sheetName val="ASR details"/>
      <sheetName val="PrevRev"/>
      <sheetName val="Sheet2"/>
      <sheetName val="Misc"/>
      <sheetName val="Marketing Sheet (GAAP)"/>
      <sheetName val="Preview_NEW"/>
      <sheetName val="LLTC 4-16-08"/>
    </sheetNames>
    <sheetDataSet>
      <sheetData sheetId="0"/>
      <sheetData sheetId="1">
        <row r="31">
          <cell r="Q31" t="str">
            <v>Estimate Date</v>
          </cell>
          <cell r="R31" t="str">
            <v>-1Q Date</v>
          </cell>
          <cell r="S31" t="str">
            <v>-4Q Date</v>
          </cell>
        </row>
        <row r="32">
          <cell r="Q32" t="str">
            <v>3Q06</v>
          </cell>
          <cell r="R32" t="str">
            <v>1Q08</v>
          </cell>
          <cell r="S32" t="str">
            <v>2Q07</v>
          </cell>
        </row>
        <row r="33">
          <cell r="Q33" t="str">
            <v>4Q06</v>
          </cell>
          <cell r="R33" t="str">
            <v>2Q08</v>
          </cell>
          <cell r="S33" t="str">
            <v>3Q07</v>
          </cell>
        </row>
        <row r="34">
          <cell r="Q34" t="str">
            <v>1Q07</v>
          </cell>
          <cell r="R34" t="str">
            <v>3Q08</v>
          </cell>
          <cell r="S34" t="str">
            <v>4Q07</v>
          </cell>
        </row>
        <row r="35">
          <cell r="Q35" t="str">
            <v>2Q07</v>
          </cell>
          <cell r="R35" t="str">
            <v>4Q08</v>
          </cell>
          <cell r="S35" t="str">
            <v>1Q08</v>
          </cell>
        </row>
        <row r="36">
          <cell r="Q36" t="str">
            <v>3Q07</v>
          </cell>
          <cell r="R36" t="str">
            <v>2Q07</v>
          </cell>
          <cell r="S36" t="str">
            <v>3Q06</v>
          </cell>
        </row>
        <row r="37">
          <cell r="Q37" t="str">
            <v>4Q07</v>
          </cell>
          <cell r="R37" t="str">
            <v>3Q07</v>
          </cell>
          <cell r="S37" t="str">
            <v>4Q06</v>
          </cell>
        </row>
        <row r="38">
          <cell r="Q38" t="str">
            <v>1Q08</v>
          </cell>
          <cell r="R38" t="str">
            <v>4Q07</v>
          </cell>
          <cell r="S38" t="str">
            <v>1Q07</v>
          </cell>
        </row>
        <row r="39">
          <cell r="Q39" t="str">
            <v>2Q08</v>
          </cell>
          <cell r="R39" t="str">
            <v>1Q08</v>
          </cell>
          <cell r="S39" t="str">
            <v>2Q07</v>
          </cell>
        </row>
        <row r="40">
          <cell r="Q40" t="str">
            <v>3Q08</v>
          </cell>
          <cell r="R40" t="str">
            <v>2Q08</v>
          </cell>
          <cell r="S40" t="str">
            <v>3Q07</v>
          </cell>
        </row>
        <row r="41">
          <cell r="Q41" t="str">
            <v>4Q08</v>
          </cell>
          <cell r="R41" t="str">
            <v>3Q08</v>
          </cell>
          <cell r="S41" t="str">
            <v>4Q07</v>
          </cell>
        </row>
        <row r="42">
          <cell r="Q42" t="str">
            <v>1Q09</v>
          </cell>
          <cell r="R42" t="str">
            <v>4Q08</v>
          </cell>
          <cell r="S42" t="str">
            <v>1Q08</v>
          </cell>
        </row>
        <row r="43">
          <cell r="Q43" t="str">
            <v>2Q09</v>
          </cell>
          <cell r="R43" t="str">
            <v>1Q09</v>
          </cell>
          <cell r="S43" t="str">
            <v>2Q08</v>
          </cell>
        </row>
        <row r="44">
          <cell r="Q44" t="str">
            <v>3Q09</v>
          </cell>
          <cell r="R44" t="str">
            <v>2Q09</v>
          </cell>
          <cell r="S44" t="str">
            <v>3Q08</v>
          </cell>
        </row>
        <row r="45">
          <cell r="Q45" t="str">
            <v>4Q09</v>
          </cell>
          <cell r="R45" t="str">
            <v>3Q09</v>
          </cell>
          <cell r="S45" t="str">
            <v>4Q08</v>
          </cell>
        </row>
        <row r="46">
          <cell r="Q46" t="str">
            <v>1Q10</v>
          </cell>
          <cell r="R46" t="str">
            <v>4Q09</v>
          </cell>
          <cell r="S46" t="str">
            <v>1Q09</v>
          </cell>
        </row>
        <row r="47">
          <cell r="Q47" t="str">
            <v>2Q10</v>
          </cell>
          <cell r="R47" t="str">
            <v>1Q10</v>
          </cell>
          <cell r="S47" t="str">
            <v>2Q09</v>
          </cell>
        </row>
        <row r="48">
          <cell r="Q48" t="str">
            <v>3Q10</v>
          </cell>
          <cell r="R48" t="str">
            <v>2Q10</v>
          </cell>
          <cell r="S48" t="str">
            <v>3Q09</v>
          </cell>
        </row>
        <row r="49">
          <cell r="Q49" t="str">
            <v>4Q10</v>
          </cell>
          <cell r="R49" t="str">
            <v>3Q10</v>
          </cell>
          <cell r="S49" t="str">
            <v>4Q09</v>
          </cell>
        </row>
        <row r="50">
          <cell r="Q50" t="str">
            <v>1Q11</v>
          </cell>
          <cell r="R50" t="str">
            <v>4Q10</v>
          </cell>
          <cell r="S50" t="str">
            <v>1Q10</v>
          </cell>
        </row>
        <row r="51">
          <cell r="Q51" t="str">
            <v>2Q11</v>
          </cell>
          <cell r="R51" t="str">
            <v>1Q11</v>
          </cell>
          <cell r="S51" t="str">
            <v>2Q10</v>
          </cell>
        </row>
        <row r="52">
          <cell r="Q52" t="str">
            <v>3Q11</v>
          </cell>
          <cell r="R52" t="str">
            <v>2Q11</v>
          </cell>
          <cell r="S52" t="str">
            <v>3Q10</v>
          </cell>
        </row>
        <row r="53">
          <cell r="Q53" t="str">
            <v>4Q11</v>
          </cell>
          <cell r="R53" t="str">
            <v>3Q11</v>
          </cell>
          <cell r="S53" t="str">
            <v>4Q10</v>
          </cell>
        </row>
        <row r="54">
          <cell r="Q54" t="str">
            <v>1Q12</v>
          </cell>
          <cell r="R54" t="str">
            <v>4Q11</v>
          </cell>
          <cell r="S54" t="str">
            <v>1Q11</v>
          </cell>
        </row>
        <row r="55">
          <cell r="Q55" t="str">
            <v>2Q12</v>
          </cell>
          <cell r="R55" t="str">
            <v>1Q12</v>
          </cell>
          <cell r="S55" t="str">
            <v>2Q11</v>
          </cell>
        </row>
        <row r="56">
          <cell r="Q56" t="str">
            <v>3Q12</v>
          </cell>
          <cell r="R56" t="str">
            <v>2Q12</v>
          </cell>
          <cell r="S56" t="str">
            <v>3Q11</v>
          </cell>
        </row>
        <row r="57">
          <cell r="Q57" t="str">
            <v>4Q12</v>
          </cell>
          <cell r="R57" t="str">
            <v>3Q12</v>
          </cell>
          <cell r="S57" t="str">
            <v>4Q11</v>
          </cell>
        </row>
        <row r="58">
          <cell r="Q58" t="str">
            <v>1Q13</v>
          </cell>
          <cell r="R58" t="str">
            <v>4Q12</v>
          </cell>
          <cell r="S58" t="str">
            <v>1Q12</v>
          </cell>
        </row>
        <row r="59">
          <cell r="Q59" t="str">
            <v>2Q13</v>
          </cell>
          <cell r="R59" t="str">
            <v>1Q13</v>
          </cell>
          <cell r="S59" t="str">
            <v>2Q12</v>
          </cell>
        </row>
        <row r="60">
          <cell r="Q60" t="str">
            <v>3Q13</v>
          </cell>
          <cell r="R60" t="str">
            <v>2Q13</v>
          </cell>
          <cell r="S60" t="str">
            <v>3Q12</v>
          </cell>
        </row>
        <row r="61">
          <cell r="Q61" t="str">
            <v>4Q13</v>
          </cell>
          <cell r="R61" t="str">
            <v>3Q13</v>
          </cell>
          <cell r="S61" t="str">
            <v>4Q12</v>
          </cell>
        </row>
      </sheetData>
      <sheetData sheetId="2"/>
      <sheetData sheetId="3"/>
      <sheetData sheetId="4"/>
      <sheetData sheetId="5"/>
      <sheetData sheetId="6"/>
      <sheetData sheetId="7"/>
      <sheetData sheetId="8"/>
      <sheetData sheetId="9"/>
      <sheetData sheetId="10"/>
      <sheetData sheetId="11"/>
      <sheetData sheetId="12">
        <row r="104">
          <cell r="J104">
            <v>-12968.75</v>
          </cell>
        </row>
      </sheetData>
      <sheetData sheetId="13"/>
      <sheetData sheetId="14"/>
      <sheetData sheetId="15"/>
      <sheetData sheetId="16"/>
      <sheetData sheetId="17"/>
      <sheetData sheetId="18"/>
      <sheetData sheetId="1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s>
    <sheetDataSet>
      <sheetData sheetId="0">
        <row r="3">
          <cell r="C3" t="str">
            <v>1Q</v>
          </cell>
        </row>
        <row r="4">
          <cell r="C4" t="str">
            <v>2Q</v>
          </cell>
        </row>
        <row r="5">
          <cell r="C5" t="str">
            <v>3Q</v>
          </cell>
        </row>
        <row r="7">
          <cell r="C7" t="str">
            <v>FY</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heetName val="Forecast"/>
      <sheetName val="Brief"/>
      <sheetName val="Revenue"/>
      <sheetName val="QIncome"/>
      <sheetName val="RelVal"/>
      <sheetName val="EVA"/>
      <sheetName val="Balance"/>
      <sheetName val="CashFlow"/>
      <sheetName val="Support"/>
      <sheetName val="FCF to Equity"/>
      <sheetName val="Ratios"/>
      <sheetName val="BS"/>
      <sheetName val="Chart"/>
      <sheetName val="WACC"/>
      <sheetName val="Relative&amp;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covered_Sheet1"/>
      <sheetName val="Segments"/>
      <sheetName val="Inc St"/>
      <sheetName val="Bal Sht"/>
      <sheetName val="Cash Flow"/>
      <sheetName val="Estimates"/>
      <sheetName val="chtsht"/>
      <sheetName val="Blank Sheet"/>
      <sheetName val="CC questions"/>
      <sheetName val="Sum of Parts"/>
      <sheetName val="Sheet2"/>
      <sheetName val="Sheet3"/>
      <sheetName val="CoGS"/>
      <sheetName val="SGA"/>
      <sheetName val="Regress Data"/>
      <sheetName val="Revenue"/>
      <sheetName val="IS"/>
      <sheetName val="BS"/>
      <sheetName val="CF"/>
      <sheetName val="Exhibits"/>
      <sheetName val="Operating Statistics"/>
      <sheetName val="Cover"/>
      <sheetName val="Capitalization"/>
      <sheetName val="External"/>
      <sheetName val="Unres"/>
      <sheetName val="Valuation"/>
      <sheetName val="Calendar"/>
      <sheetName val="Acquisitions"/>
      <sheetName val="Competition"/>
      <sheetName val="Pensions"/>
      <sheetName val="B-W Q1 F05"/>
      <sheetName val="Free Cash Flow"/>
      <sheetName val="Charts"/>
      <sheetName val="Business Overview Exhibit"/>
      <sheetName val="FCF Exhibit"/>
      <sheetName val="ES EBITDA"/>
      <sheetName val="Charts 2"/>
      <sheetName val="Charts 3"/>
      <sheetName val="upd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row r="2">
          <cell r="B2" t="str">
            <v>Federal Signal Corporation</v>
          </cell>
        </row>
        <row r="4">
          <cell r="B4" t="str">
            <v>FSS</v>
          </cell>
        </row>
        <row r="8">
          <cell r="B8">
            <v>14.83</v>
          </cell>
        </row>
        <row r="10">
          <cell r="B10">
            <v>12</v>
          </cell>
          <cell r="C10" t="str">
            <v>December</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All"/>
      <sheetName val="Sum"/>
      <sheetName val="PP"/>
      <sheetName val="Hf"/>
      <sheetName val="wf"/>
      <sheetName val="Process Development"/>
      <sheetName val="RAM Synth (DT)"/>
      <sheetName val="Process Dev"/>
      <sheetName val="Other Discovery Products"/>
      <sheetName val="Productivity"/>
      <sheetName val="Technology (DT)"/>
      <sheetName val="Service (DT)"/>
      <sheetName val="Dev-7"/>
      <sheetName val="Develop-8"/>
      <sheetName val="Develop-9"/>
      <sheetName val="Develop-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covered_Sheet1"/>
      <sheetName val="Recovered_Sheet2"/>
      <sheetName val="Recovered_Sheet3"/>
      <sheetName val="IS"/>
      <sheetName val="segs"/>
      <sheetName val="notes"/>
      <sheetName val="BS"/>
      <sheetName val="CF"/>
      <sheetName val="Data"/>
      <sheetName val="b-w"/>
      <sheetName val="chtsht"/>
      <sheetName val="Box"/>
      <sheetName val="valcht2"/>
      <sheetName val="valcht"/>
      <sheetName val="FCF"/>
      <sheetName val="jeans"/>
      <sheetName val="charts"/>
      <sheetName val="divs"/>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57">
          <cell r="B57">
            <v>8.8800000000000008</v>
          </cell>
          <cell r="C57">
            <v>491.02</v>
          </cell>
        </row>
      </sheetData>
      <sheetData sheetId="14"/>
      <sheetData sheetId="15"/>
      <sheetData sheetId="16"/>
      <sheetData sheetId="17"/>
      <sheetData sheetId="18"/>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ing Sheet(NEW)"/>
      <sheetName val="LFUS Preview"/>
      <sheetName val="Marketing Sheet"/>
      <sheetName val="VAR"/>
      <sheetName val="IS"/>
      <sheetName val="%%TOBA_CACHE%%"/>
      <sheetName val="BS and CF Statements"/>
      <sheetName val="DCF (Under Construction)"/>
      <sheetName val="Marketing Sheet(old)"/>
      <sheetName val="Scenarios 6-2-08"/>
    </sheetNames>
    <sheetDataSet>
      <sheetData sheetId="0"/>
      <sheetData sheetId="1">
        <row r="37">
          <cell r="Q37" t="str">
            <v>4Q07</v>
          </cell>
          <cell r="R37" t="str">
            <v>3Q07</v>
          </cell>
          <cell r="S37" t="str">
            <v>4Q06</v>
          </cell>
        </row>
        <row r="38">
          <cell r="Q38" t="str">
            <v>1Q08</v>
          </cell>
          <cell r="R38" t="str">
            <v>4Q07</v>
          </cell>
          <cell r="S38" t="str">
            <v>1Q07</v>
          </cell>
        </row>
        <row r="39">
          <cell r="Q39" t="str">
            <v>2Q08</v>
          </cell>
          <cell r="R39" t="str">
            <v>1Q08</v>
          </cell>
          <cell r="S39" t="str">
            <v>2Q07</v>
          </cell>
        </row>
        <row r="40">
          <cell r="Q40" t="str">
            <v>3Q08</v>
          </cell>
          <cell r="R40" t="str">
            <v>2Q08</v>
          </cell>
          <cell r="S40" t="str">
            <v>3Q07</v>
          </cell>
        </row>
        <row r="41">
          <cell r="Q41" t="str">
            <v>4Q08</v>
          </cell>
          <cell r="R41" t="str">
            <v>3Q08</v>
          </cell>
          <cell r="S41" t="str">
            <v>4Q07</v>
          </cell>
        </row>
        <row r="42">
          <cell r="Q42" t="str">
            <v>1Q09</v>
          </cell>
          <cell r="R42" t="str">
            <v>4Q08</v>
          </cell>
          <cell r="S42" t="str">
            <v>1Q08</v>
          </cell>
        </row>
        <row r="43">
          <cell r="Q43" t="str">
            <v>2Q09</v>
          </cell>
          <cell r="R43" t="str">
            <v>1Q09</v>
          </cell>
          <cell r="S43" t="str">
            <v>2Q08</v>
          </cell>
        </row>
        <row r="44">
          <cell r="Q44" t="str">
            <v>3Q09</v>
          </cell>
          <cell r="R44" t="str">
            <v>2Q09</v>
          </cell>
          <cell r="S44" t="str">
            <v>3Q08</v>
          </cell>
        </row>
        <row r="45">
          <cell r="Q45" t="str">
            <v>4Q09</v>
          </cell>
          <cell r="R45" t="str">
            <v>3Q09</v>
          </cell>
          <cell r="S45" t="str">
            <v>4Q08</v>
          </cell>
        </row>
        <row r="46">
          <cell r="Q46" t="str">
            <v>1Q10</v>
          </cell>
          <cell r="R46" t="str">
            <v>4Q09</v>
          </cell>
          <cell r="S46" t="str">
            <v>1Q09</v>
          </cell>
        </row>
        <row r="47">
          <cell r="Q47" t="str">
            <v>2Q10</v>
          </cell>
          <cell r="R47" t="str">
            <v>1Q10</v>
          </cell>
          <cell r="S47" t="str">
            <v>2Q09</v>
          </cell>
        </row>
        <row r="48">
          <cell r="Q48" t="str">
            <v>3Q10</v>
          </cell>
          <cell r="R48" t="str">
            <v>2Q10</v>
          </cell>
          <cell r="S48" t="str">
            <v>3Q09</v>
          </cell>
        </row>
        <row r="49">
          <cell r="Q49" t="str">
            <v>4Q10</v>
          </cell>
          <cell r="R49" t="str">
            <v>3Q10</v>
          </cell>
          <cell r="S49" t="str">
            <v>4Q09</v>
          </cell>
        </row>
        <row r="50">
          <cell r="Q50" t="str">
            <v>1Q11</v>
          </cell>
          <cell r="R50" t="str">
            <v>4Q10</v>
          </cell>
          <cell r="S50" t="str">
            <v>1Q10</v>
          </cell>
        </row>
        <row r="51">
          <cell r="Q51" t="str">
            <v>2Q11</v>
          </cell>
          <cell r="R51" t="str">
            <v>1Q11</v>
          </cell>
          <cell r="S51" t="str">
            <v>2Q10</v>
          </cell>
        </row>
        <row r="52">
          <cell r="Q52" t="str">
            <v>3Q11</v>
          </cell>
          <cell r="R52" t="str">
            <v>2Q11</v>
          </cell>
          <cell r="S52" t="str">
            <v>3Q10</v>
          </cell>
        </row>
        <row r="53">
          <cell r="Q53" t="str">
            <v>4Q11</v>
          </cell>
          <cell r="R53" t="str">
            <v>3Q11</v>
          </cell>
          <cell r="S53" t="str">
            <v>4Q10</v>
          </cell>
        </row>
        <row r="54">
          <cell r="Q54" t="str">
            <v>1Q12</v>
          </cell>
          <cell r="R54" t="str">
            <v>4Q11</v>
          </cell>
          <cell r="S54" t="str">
            <v>1Q11</v>
          </cell>
        </row>
        <row r="55">
          <cell r="Q55" t="str">
            <v>2Q12</v>
          </cell>
          <cell r="R55" t="str">
            <v>1Q12</v>
          </cell>
          <cell r="S55" t="str">
            <v>2Q11</v>
          </cell>
        </row>
        <row r="56">
          <cell r="Q56" t="str">
            <v>3Q12</v>
          </cell>
          <cell r="R56" t="str">
            <v>2Q12</v>
          </cell>
          <cell r="S56" t="str">
            <v>3Q11</v>
          </cell>
        </row>
        <row r="57">
          <cell r="Q57" t="str">
            <v>4Q12</v>
          </cell>
          <cell r="R57" t="str">
            <v>3Q12</v>
          </cell>
          <cell r="S57" t="str">
            <v>4Q11</v>
          </cell>
        </row>
        <row r="58">
          <cell r="Q58" t="str">
            <v>1Q13</v>
          </cell>
          <cell r="R58" t="str">
            <v>4Q12</v>
          </cell>
          <cell r="S58" t="str">
            <v>1Q12</v>
          </cell>
        </row>
        <row r="59">
          <cell r="Q59" t="str">
            <v>2Q13</v>
          </cell>
          <cell r="R59" t="str">
            <v>1Q13</v>
          </cell>
          <cell r="S59" t="str">
            <v>2Q12</v>
          </cell>
        </row>
        <row r="60">
          <cell r="Q60" t="str">
            <v>3Q13</v>
          </cell>
          <cell r="R60" t="str">
            <v>2Q13</v>
          </cell>
          <cell r="S60" t="str">
            <v>3Q12</v>
          </cell>
        </row>
        <row r="61">
          <cell r="Q61" t="str">
            <v>4Q13</v>
          </cell>
          <cell r="R61" t="str">
            <v>3Q13</v>
          </cell>
          <cell r="S61" t="str">
            <v>4Q12</v>
          </cell>
        </row>
      </sheetData>
      <sheetData sheetId="2"/>
      <sheetData sheetId="3"/>
      <sheetData sheetId="4"/>
      <sheetData sheetId="5"/>
      <sheetData sheetId="6"/>
      <sheetData sheetId="7"/>
      <sheetData sheetId="8"/>
      <sheetData sheetId="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C Tracking"/>
      <sheetName val="PPT Graphics"/>
      <sheetName val="PivotTable"/>
      <sheetName val="Tables and Graphics"/>
      <sheetName val="Sheet1"/>
      <sheetName val="Additional Charts"/>
    </sheetNames>
    <sheetDataSet>
      <sheetData sheetId="0">
        <row r="3">
          <cell r="F3" t="str">
            <v>Q1-2010</v>
          </cell>
        </row>
      </sheetData>
      <sheetData sheetId="1"/>
      <sheetData sheetId="2">
        <row r="3">
          <cell r="A3" t="str">
            <v>Sum of Funding ($mm)</v>
          </cell>
          <cell r="B3" t="str">
            <v>Column Labels</v>
          </cell>
        </row>
        <row r="4">
          <cell r="A4" t="str">
            <v>Row Labels</v>
          </cell>
          <cell r="B4" t="str">
            <v>Q1-2010</v>
          </cell>
          <cell r="C4" t="str">
            <v>Q2-2010</v>
          </cell>
          <cell r="D4" t="str">
            <v>Q3-2010</v>
          </cell>
          <cell r="E4" t="str">
            <v>Q4-2010</v>
          </cell>
          <cell r="F4" t="str">
            <v>Grand Total</v>
          </cell>
        </row>
        <row r="5">
          <cell r="A5" t="str">
            <v>Virtual Worlds</v>
          </cell>
          <cell r="B5">
            <v>8</v>
          </cell>
          <cell r="C5">
            <v>0</v>
          </cell>
          <cell r="D5">
            <v>0</v>
          </cell>
          <cell r="E5">
            <v>5.25</v>
          </cell>
          <cell r="F5">
            <v>13.25</v>
          </cell>
        </row>
        <row r="6">
          <cell r="A6" t="str">
            <v>HD Video, Radio or 3D</v>
          </cell>
          <cell r="B6">
            <v>25</v>
          </cell>
          <cell r="C6">
            <v>0</v>
          </cell>
          <cell r="D6">
            <v>0</v>
          </cell>
          <cell r="E6">
            <v>0</v>
          </cell>
          <cell r="F6">
            <v>25</v>
          </cell>
        </row>
        <row r="7">
          <cell r="A7" t="str">
            <v>Virtual Currency &amp; Mobile Payments</v>
          </cell>
          <cell r="B7">
            <v>25</v>
          </cell>
          <cell r="C7">
            <v>20</v>
          </cell>
          <cell r="D7">
            <v>0</v>
          </cell>
          <cell r="E7">
            <v>0</v>
          </cell>
          <cell r="F7">
            <v>45</v>
          </cell>
        </row>
        <row r="8">
          <cell r="A8" t="str">
            <v>Online Music/Music Technology</v>
          </cell>
          <cell r="B8">
            <v>20</v>
          </cell>
          <cell r="C8">
            <v>13</v>
          </cell>
          <cell r="D8">
            <v>6.2</v>
          </cell>
          <cell r="E8">
            <v>7</v>
          </cell>
          <cell r="F8">
            <v>46.2</v>
          </cell>
        </row>
        <row r="9">
          <cell r="A9" t="str">
            <v>Search Engines and Web Navigation</v>
          </cell>
          <cell r="B9">
            <v>27</v>
          </cell>
          <cell r="C9">
            <v>11.2</v>
          </cell>
          <cell r="D9">
            <v>35.75</v>
          </cell>
          <cell r="E9">
            <v>0</v>
          </cell>
          <cell r="F9">
            <v>73.95</v>
          </cell>
        </row>
        <row r="10">
          <cell r="A10" t="str">
            <v>Online Video Content or Portal</v>
          </cell>
          <cell r="B10">
            <v>50</v>
          </cell>
          <cell r="C10">
            <v>30.8</v>
          </cell>
          <cell r="D10">
            <v>50</v>
          </cell>
          <cell r="E10">
            <v>12</v>
          </cell>
          <cell r="F10">
            <v>142.80000000000001</v>
          </cell>
        </row>
        <row r="11">
          <cell r="A11" t="str">
            <v>Internet Video Advertising</v>
          </cell>
          <cell r="B11">
            <v>56</v>
          </cell>
          <cell r="C11">
            <v>116.8</v>
          </cell>
          <cell r="D11">
            <v>0</v>
          </cell>
          <cell r="E11">
            <v>55</v>
          </cell>
          <cell r="F11">
            <v>227.8</v>
          </cell>
        </row>
        <row r="12">
          <cell r="A12" t="str">
            <v>Social Network</v>
          </cell>
          <cell r="B12">
            <v>119</v>
          </cell>
          <cell r="C12">
            <v>37.5</v>
          </cell>
          <cell r="D12">
            <v>59.5</v>
          </cell>
          <cell r="E12">
            <v>55.9</v>
          </cell>
          <cell r="F12">
            <v>271.89999999999998</v>
          </cell>
        </row>
        <row r="13">
          <cell r="A13" t="str">
            <v>Internet Video Delivery/Technology/Search</v>
          </cell>
          <cell r="B13">
            <v>102.8</v>
          </cell>
          <cell r="C13">
            <v>65.62</v>
          </cell>
          <cell r="D13">
            <v>117.8</v>
          </cell>
          <cell r="E13">
            <v>106.9</v>
          </cell>
          <cell r="F13">
            <v>393.12</v>
          </cell>
        </row>
        <row r="14">
          <cell r="A14" t="str">
            <v>Mobile Technologies &amp; LBS</v>
          </cell>
          <cell r="B14">
            <v>84.9</v>
          </cell>
          <cell r="C14">
            <v>124</v>
          </cell>
          <cell r="D14">
            <v>134.9</v>
          </cell>
          <cell r="E14">
            <v>51.2</v>
          </cell>
          <cell r="F14">
            <v>395</v>
          </cell>
        </row>
        <row r="15">
          <cell r="A15" t="str">
            <v>Online Advertising &amp; Analytics</v>
          </cell>
          <cell r="B15">
            <v>118.3</v>
          </cell>
          <cell r="C15">
            <v>106</v>
          </cell>
          <cell r="D15">
            <v>145.5</v>
          </cell>
          <cell r="E15">
            <v>143</v>
          </cell>
          <cell r="F15">
            <v>512.79999999999995</v>
          </cell>
        </row>
        <row r="16">
          <cell r="A16" t="str">
            <v>Video Games (Casual, Mobile, Online, Social)</v>
          </cell>
          <cell r="B16">
            <v>75.900000000000006</v>
          </cell>
          <cell r="C16">
            <v>224.1</v>
          </cell>
          <cell r="D16">
            <v>50.5</v>
          </cell>
          <cell r="E16">
            <v>280.5</v>
          </cell>
          <cell r="F16">
            <v>631</v>
          </cell>
        </row>
        <row r="17">
          <cell r="A17" t="str">
            <v>Niche Internet Site/Portal</v>
          </cell>
          <cell r="B17">
            <v>128.80000000000001</v>
          </cell>
          <cell r="C17">
            <v>219.75</v>
          </cell>
          <cell r="D17">
            <v>119.7</v>
          </cell>
          <cell r="E17">
            <v>361</v>
          </cell>
          <cell r="F17">
            <v>829.25</v>
          </cell>
        </row>
        <row r="18">
          <cell r="A18" t="str">
            <v>Grand Total</v>
          </cell>
          <cell r="B18">
            <v>840.7</v>
          </cell>
          <cell r="C18">
            <v>968.7700000000001</v>
          </cell>
          <cell r="D18">
            <v>719.85</v>
          </cell>
          <cell r="E18">
            <v>1077.75</v>
          </cell>
          <cell r="F18">
            <v>3607.07</v>
          </cell>
        </row>
      </sheetData>
      <sheetData sheetId="3"/>
      <sheetData sheetId="4"/>
      <sheetData sheetId="5">
        <row r="3">
          <cell r="M3">
            <v>40148</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Forecast Growth Charts"/>
      <sheetName val="Forecast Share Charts"/>
      <sheetName val="Media Categories"/>
      <sheetName val="About"/>
      <sheetName val="Sheet1"/>
      <sheetName val="Ex XX WW Ad Spending Forecast"/>
      <sheetName val="Ex XX U.S. Ad Spending Forecast"/>
      <sheetName val="Ex XX WW OnOf Spend Forecast"/>
      <sheetName val="Ex XX Internet Ad Breakdown"/>
    </sheetNames>
    <sheetDataSet>
      <sheetData sheetId="0"/>
      <sheetData sheetId="1"/>
      <sheetData sheetId="2"/>
      <sheetData sheetId="3">
        <row r="3">
          <cell r="A3" t="str">
            <v>Total Media Advertising</v>
          </cell>
        </row>
        <row r="4">
          <cell r="A4" t="str">
            <v>Total TV (a)</v>
          </cell>
        </row>
        <row r="5">
          <cell r="A5" t="str">
            <v>National TV (a) (b)</v>
          </cell>
        </row>
        <row r="6">
          <cell r="A6" t="str">
            <v>Local TV</v>
          </cell>
        </row>
        <row r="7">
          <cell r="A7" t="str">
            <v>Total Newspapers (a)</v>
          </cell>
        </row>
        <row r="8">
          <cell r="A8" t="str">
            <v>Magazines (a)</v>
          </cell>
        </row>
        <row r="9">
          <cell r="A9" t="str">
            <v>Total Radio (a)</v>
          </cell>
        </row>
        <row r="10">
          <cell r="A10" t="str">
            <v>Total Online</v>
          </cell>
        </row>
        <row r="11">
          <cell r="A11" t="str">
            <v>Outdoor</v>
          </cell>
        </row>
        <row r="12">
          <cell r="A12" t="str">
            <v>Direct Online Media</v>
          </cell>
        </row>
        <row r="13">
          <cell r="A13" t="str">
            <v>Direct Media Advertising</v>
          </cell>
        </row>
        <row r="14">
          <cell r="A14" t="str">
            <v>Directories (a)</v>
          </cell>
        </row>
      </sheetData>
      <sheetData sheetId="4"/>
      <sheetData sheetId="5"/>
      <sheetData sheetId="6"/>
      <sheetData sheetId="7">
        <row r="3">
          <cell r="A3" t="str">
            <v>Total Media Advertising</v>
          </cell>
        </row>
      </sheetData>
      <sheetData sheetId="8"/>
      <sheetData sheetId="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Cash Flow"/>
      <sheetName val="Ann CF"/>
      <sheetName val="Ann BS"/>
      <sheetName val="Income (2)"/>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pter1and2"/>
    </sheetNames>
    <definedNames>
      <definedName name="PartialBarrier"/>
    </defined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__FDSCACHE__"/>
      <sheetName val="QTRLY &amp; ANNUAL"/>
      <sheetName val="FIN STATEMENT"/>
      <sheetName val="Sheet12"/>
      <sheetName val="Sheet13"/>
      <sheetName val="Variance"/>
      <sheetName val="Valuation"/>
      <sheetName val="Segment Analysis"/>
      <sheetName val="Charts"/>
      <sheetName val="Flash Analytics"/>
      <sheetName val="Supplemental"/>
      <sheetName val="Comps"/>
      <sheetName val="AccretionDilution"/>
      <sheetName val="Sheet2"/>
      <sheetName val="DCF"/>
    </sheetNames>
    <sheetDataSet>
      <sheetData sheetId="0">
        <row r="7">
          <cell r="F7">
            <v>38717</v>
          </cell>
          <cell r="G7">
            <v>38807</v>
          </cell>
          <cell r="H7">
            <v>38898</v>
          </cell>
          <cell r="I7">
            <v>38990</v>
          </cell>
          <cell r="J7">
            <v>39082</v>
          </cell>
          <cell r="K7">
            <v>39172</v>
          </cell>
          <cell r="L7">
            <v>39263</v>
          </cell>
          <cell r="M7">
            <v>39355</v>
          </cell>
          <cell r="N7">
            <v>39447</v>
          </cell>
          <cell r="O7">
            <v>39538</v>
          </cell>
          <cell r="P7">
            <v>39629</v>
          </cell>
          <cell r="Q7">
            <v>39721</v>
          </cell>
          <cell r="R7">
            <v>39813</v>
          </cell>
          <cell r="S7">
            <v>39903</v>
          </cell>
          <cell r="T7">
            <v>39994</v>
          </cell>
          <cell r="U7">
            <v>40086</v>
          </cell>
          <cell r="V7">
            <v>40178</v>
          </cell>
          <cell r="W7">
            <v>40268</v>
          </cell>
          <cell r="X7">
            <v>40359</v>
          </cell>
          <cell r="Y7">
            <v>40451</v>
          </cell>
          <cell r="Z7">
            <v>40543</v>
          </cell>
          <cell r="AA7">
            <v>40633</v>
          </cell>
          <cell r="AB7">
            <v>40724</v>
          </cell>
          <cell r="AC7">
            <v>40816</v>
          </cell>
          <cell r="AD7">
            <v>40908</v>
          </cell>
          <cell r="AE7">
            <v>40999</v>
          </cell>
          <cell r="AF7">
            <v>41090</v>
          </cell>
          <cell r="AG7">
            <v>41182</v>
          </cell>
          <cell r="AH7">
            <v>41274</v>
          </cell>
          <cell r="AI7">
            <v>41364</v>
          </cell>
          <cell r="AJ7">
            <v>41455</v>
          </cell>
          <cell r="AK7">
            <v>41547</v>
          </cell>
          <cell r="AL7">
            <v>41639</v>
          </cell>
          <cell r="AM7">
            <v>41729</v>
          </cell>
          <cell r="AN7">
            <v>41820</v>
          </cell>
          <cell r="AO7">
            <v>41912</v>
          </cell>
          <cell r="AP7">
            <v>42004</v>
          </cell>
          <cell r="AQ7">
            <v>42094</v>
          </cell>
          <cell r="AR7">
            <v>42185</v>
          </cell>
          <cell r="AS7">
            <v>42277</v>
          </cell>
          <cell r="AT7">
            <v>42369</v>
          </cell>
          <cell r="AU7">
            <v>42460</v>
          </cell>
          <cell r="AV7">
            <v>42551</v>
          </cell>
          <cell r="AW7">
            <v>42643</v>
          </cell>
          <cell r="AX7">
            <v>42735</v>
          </cell>
          <cell r="AY7">
            <v>42825</v>
          </cell>
          <cell r="AZ7">
            <v>42916</v>
          </cell>
          <cell r="BA7">
            <v>43008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Model + Centra"/>
      <sheetName val="Key Metrics"/>
      <sheetName val="preview"/>
      <sheetName val="Downside Case"/>
      <sheetName val="Balance Sheet"/>
      <sheetName val="Cash Flow"/>
      <sheetName val="Annual"/>
      <sheetName val="backlog"/>
      <sheetName val="Earnings Prevue"/>
      <sheetName val="Earnings Review"/>
      <sheetName val="old review"/>
      <sheetName val="old preview"/>
      <sheetName val="Etc."/>
      <sheetName val="Unisys"/>
      <sheetName val="Client Copy"/>
      <sheetName val="Bal.Sh."/>
      <sheetName val="Cash Flow "/>
      <sheetName val="DCF "/>
      <sheetName val="SMTF Model"/>
      <sheetName val="SMTF + Centra"/>
      <sheetName val="SKIL+SMTF - new"/>
      <sheetName val="SKIL+SMTF - old"/>
      <sheetName val="NEW FORMAT SMTF Model"/>
    </sheetNames>
    <sheetDataSet>
      <sheetData sheetId="0"/>
      <sheetData sheetId="1"/>
      <sheetData sheetId="2"/>
      <sheetData sheetId="3"/>
      <sheetData sheetId="4"/>
      <sheetData sheetId="5"/>
      <sheetData sheetId="6"/>
      <sheetData sheetId="7"/>
      <sheetData sheetId="8"/>
      <sheetData sheetId="9">
        <row r="5">
          <cell r="D5" t="str">
            <v xml:space="preserve"> </v>
          </cell>
        </row>
        <row r="8">
          <cell r="D8" t="str">
            <v>July 6, 2001</v>
          </cell>
        </row>
        <row r="10">
          <cell r="D10" t="str">
            <v>SmartForce ($32.02)</v>
          </cell>
        </row>
        <row r="11">
          <cell r="D11" t="str">
            <v>Earnings Preview</v>
          </cell>
        </row>
        <row r="12">
          <cell r="D12" t="str">
            <v>($ in millions, except per share data)</v>
          </cell>
        </row>
        <row r="14">
          <cell r="G14" t="str">
            <v>Our Estimate</v>
          </cell>
          <cell r="H14" t="str">
            <v>Actual</v>
          </cell>
        </row>
        <row r="15">
          <cell r="G15" t="str">
            <v>2Q01</v>
          </cell>
          <cell r="H15" t="str">
            <v>2Q00</v>
          </cell>
          <cell r="I15" t="str">
            <v>% Change</v>
          </cell>
        </row>
        <row r="17">
          <cell r="D17" t="str">
            <v>EPS</v>
          </cell>
          <cell r="G17">
            <v>0.05</v>
          </cell>
          <cell r="H17">
            <v>-0.15</v>
          </cell>
          <cell r="I17" t="str">
            <v>NM</v>
          </cell>
        </row>
        <row r="19">
          <cell r="D19" t="str">
            <v xml:space="preserve">Total Revenue </v>
          </cell>
          <cell r="G19">
            <v>64</v>
          </cell>
          <cell r="H19">
            <v>36.4</v>
          </cell>
          <cell r="I19">
            <v>0.75824175824175821</v>
          </cell>
        </row>
        <row r="21">
          <cell r="D21" t="str">
            <v>Gross Margin</v>
          </cell>
          <cell r="G21">
            <v>0.84</v>
          </cell>
          <cell r="H21">
            <v>0.83699999999999997</v>
          </cell>
          <cell r="I21" t="str">
            <v>NM</v>
          </cell>
        </row>
        <row r="23">
          <cell r="D23" t="str">
            <v>Operating Income</v>
          </cell>
          <cell r="G23">
            <v>2.7</v>
          </cell>
          <cell r="H23">
            <v>-9.5</v>
          </cell>
          <cell r="I23" t="str">
            <v>NM</v>
          </cell>
        </row>
        <row r="25">
          <cell r="D25" t="str">
            <v>EBITDA Operating Margin</v>
          </cell>
          <cell r="G25">
            <v>4.2000000000000003E-2</v>
          </cell>
          <cell r="H25">
            <v>-0.26200000000000001</v>
          </cell>
          <cell r="I25" t="str">
            <v>NM</v>
          </cell>
        </row>
        <row r="27">
          <cell r="D27" t="str">
            <v>Net Income</v>
          </cell>
          <cell r="G27">
            <v>0.9</v>
          </cell>
          <cell r="H27">
            <v>-9.9</v>
          </cell>
          <cell r="I27" t="str">
            <v>NM</v>
          </cell>
        </row>
        <row r="30">
          <cell r="D30" t="str">
            <v>Laura Lederman, CFA (312) 364-8223</v>
          </cell>
        </row>
        <row r="31">
          <cell r="D31" t="str">
            <v>Additional information available upon request.</v>
          </cell>
        </row>
        <row r="32">
          <cell r="D32" t="str">
            <v>William Blair &amp; Company, L.L.C. maintains a market in the common shares of SmartForce.</v>
          </cell>
        </row>
      </sheetData>
      <sheetData sheetId="10">
        <row r="9">
          <cell r="D9" t="str">
            <v>October 9,2000</v>
          </cell>
        </row>
        <row r="11">
          <cell r="D11" t="str">
            <v>SmartForce ($48 3/8)</v>
          </cell>
        </row>
        <row r="12">
          <cell r="D12" t="str">
            <v>Earnings Review</v>
          </cell>
        </row>
        <row r="13">
          <cell r="D13" t="str">
            <v>($ in millions, except per share data)</v>
          </cell>
        </row>
        <row r="15">
          <cell r="G15" t="str">
            <v>Our Estimate</v>
          </cell>
          <cell r="H15" t="str">
            <v>Actual</v>
          </cell>
          <cell r="I15" t="str">
            <v>Actual</v>
          </cell>
        </row>
        <row r="16">
          <cell r="G16" t="str">
            <v>3Q00</v>
          </cell>
          <cell r="H16" t="str">
            <v>3Q00</v>
          </cell>
          <cell r="I16" t="str">
            <v>3Q99</v>
          </cell>
          <cell r="J16" t="str">
            <v>% Change</v>
          </cell>
        </row>
        <row r="18">
          <cell r="D18" t="str">
            <v>ProForma EPS</v>
          </cell>
          <cell r="G18">
            <v>-0.09</v>
          </cell>
          <cell r="H18">
            <v>-0.15</v>
          </cell>
          <cell r="I18">
            <v>0.14000000000000001</v>
          </cell>
          <cell r="J18">
            <v>-2.2069999999999999</v>
          </cell>
        </row>
        <row r="20">
          <cell r="D20" t="str">
            <v>Total Revenue</v>
          </cell>
          <cell r="G20">
            <v>41</v>
          </cell>
          <cell r="H20">
            <v>36.393000000000001</v>
          </cell>
          <cell r="I20">
            <v>50.2</v>
          </cell>
          <cell r="J20">
            <v>-0.27503984063745024</v>
          </cell>
        </row>
        <row r="22">
          <cell r="D22" t="str">
            <v>Gross Margin</v>
          </cell>
          <cell r="G22">
            <v>0.84399999999999997</v>
          </cell>
          <cell r="H22">
            <v>0.83699999999999997</v>
          </cell>
          <cell r="I22">
            <v>0.84099999999999997</v>
          </cell>
          <cell r="J22">
            <v>-4.7562425683710385E-3</v>
          </cell>
        </row>
        <row r="24">
          <cell r="D24" t="str">
            <v>Operating Income</v>
          </cell>
          <cell r="G24">
            <v>-6.5</v>
          </cell>
          <cell r="H24">
            <v>-9.5289999999999999</v>
          </cell>
          <cell r="I24">
            <v>7.6</v>
          </cell>
          <cell r="J24" t="str">
            <v>NM</v>
          </cell>
        </row>
        <row r="26">
          <cell r="D26" t="str">
            <v>EBITDA Margin</v>
          </cell>
          <cell r="G26">
            <v>-0.158</v>
          </cell>
          <cell r="H26">
            <v>-0.26200000000000001</v>
          </cell>
          <cell r="I26">
            <v>0.151</v>
          </cell>
          <cell r="J26" t="str">
            <v>NM</v>
          </cell>
        </row>
        <row r="28">
          <cell r="D28" t="str">
            <v>Pro Forma Net Income</v>
          </cell>
          <cell r="G28">
            <v>-6.7</v>
          </cell>
          <cell r="H28">
            <v>-7.5579999999999998</v>
          </cell>
          <cell r="I28">
            <v>6.1</v>
          </cell>
          <cell r="J28">
            <v>-2.2390163934426228</v>
          </cell>
        </row>
        <row r="30">
          <cell r="D30" t="str">
            <v>Laura Lederman CFA (312) 364-8223</v>
          </cell>
        </row>
        <row r="31">
          <cell r="D31" t="str">
            <v>Additional information available upon request.</v>
          </cell>
        </row>
      </sheetData>
      <sheetData sheetId="11"/>
      <sheetData sheetId="12"/>
      <sheetData sheetId="13"/>
      <sheetData sheetId="14"/>
      <sheetData sheetId="15"/>
      <sheetData sheetId="16"/>
      <sheetData sheetId="17" refreshError="1"/>
      <sheetData sheetId="18" refreshError="1"/>
      <sheetData sheetId="19" refreshError="1"/>
      <sheetData sheetId="20" refreshError="1"/>
      <sheetData sheetId="21"/>
      <sheetData sheetId="22"/>
      <sheetData sheetId="2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Model + Centra"/>
      <sheetName val="Key Metrics"/>
      <sheetName val="preview"/>
      <sheetName val="Downside Case"/>
      <sheetName val="Balance Sheet"/>
      <sheetName val="Cash Flow"/>
      <sheetName val="Annual"/>
      <sheetName val="backlog"/>
      <sheetName val="Earnings Prevue"/>
      <sheetName val="Earnings Review"/>
      <sheetName val="old review"/>
      <sheetName val="old preview"/>
      <sheetName val="Etc."/>
      <sheetName val="Unisys"/>
      <sheetName val="Client Copy"/>
      <sheetName val="Bal.Sh."/>
      <sheetName val="Cash Flow "/>
      <sheetName val="DCF "/>
      <sheetName val="SMTF Model"/>
      <sheetName val="SMTF + Centra"/>
      <sheetName val="SKIL+SMTF - new"/>
      <sheetName val="SKIL+SMTF - old"/>
      <sheetName val="NEW FORMAT SMTF Model"/>
    </sheetNames>
    <sheetDataSet>
      <sheetData sheetId="0"/>
      <sheetData sheetId="1"/>
      <sheetData sheetId="2"/>
      <sheetData sheetId="3"/>
      <sheetData sheetId="4"/>
      <sheetData sheetId="5"/>
      <sheetData sheetId="6"/>
      <sheetData sheetId="7"/>
      <sheetData sheetId="8"/>
      <sheetData sheetId="9">
        <row r="5">
          <cell r="D5" t="str">
            <v xml:space="preserve"> </v>
          </cell>
        </row>
        <row r="8">
          <cell r="D8" t="str">
            <v>July 6, 2001</v>
          </cell>
        </row>
        <row r="10">
          <cell r="D10" t="str">
            <v>SmartForce ($32.02)</v>
          </cell>
        </row>
        <row r="11">
          <cell r="D11" t="str">
            <v>Earnings Preview</v>
          </cell>
        </row>
        <row r="12">
          <cell r="D12" t="str">
            <v>($ in millions, except per share data)</v>
          </cell>
        </row>
        <row r="14">
          <cell r="G14" t="str">
            <v>Our Estimate</v>
          </cell>
          <cell r="H14" t="str">
            <v>Actual</v>
          </cell>
        </row>
        <row r="15">
          <cell r="G15" t="str">
            <v>2Q01</v>
          </cell>
          <cell r="H15" t="str">
            <v>2Q00</v>
          </cell>
          <cell r="I15" t="str">
            <v>% Change</v>
          </cell>
        </row>
        <row r="17">
          <cell r="D17" t="str">
            <v>EPS</v>
          </cell>
          <cell r="G17">
            <v>0.05</v>
          </cell>
          <cell r="H17">
            <v>-0.15</v>
          </cell>
          <cell r="I17" t="str">
            <v>NM</v>
          </cell>
        </row>
        <row r="19">
          <cell r="D19" t="str">
            <v xml:space="preserve">Total Revenue </v>
          </cell>
          <cell r="G19">
            <v>64</v>
          </cell>
          <cell r="H19">
            <v>36.4</v>
          </cell>
          <cell r="I19">
            <v>0.75824175824175821</v>
          </cell>
        </row>
        <row r="21">
          <cell r="D21" t="str">
            <v>Gross Margin</v>
          </cell>
          <cell r="G21">
            <v>0.84</v>
          </cell>
          <cell r="H21">
            <v>0.83699999999999997</v>
          </cell>
          <cell r="I21" t="str">
            <v>NM</v>
          </cell>
        </row>
        <row r="23">
          <cell r="D23" t="str">
            <v>Operating Income</v>
          </cell>
          <cell r="G23">
            <v>2.7</v>
          </cell>
          <cell r="H23">
            <v>-9.5</v>
          </cell>
          <cell r="I23" t="str">
            <v>NM</v>
          </cell>
        </row>
        <row r="25">
          <cell r="D25" t="str">
            <v>EBITDA Operating Margin</v>
          </cell>
          <cell r="G25">
            <v>4.2000000000000003E-2</v>
          </cell>
          <cell r="H25">
            <v>-0.26200000000000001</v>
          </cell>
          <cell r="I25" t="str">
            <v>NM</v>
          </cell>
        </row>
        <row r="27">
          <cell r="D27" t="str">
            <v>Net Income</v>
          </cell>
          <cell r="G27">
            <v>0.9</v>
          </cell>
          <cell r="H27">
            <v>-9.9</v>
          </cell>
          <cell r="I27" t="str">
            <v>NM</v>
          </cell>
        </row>
        <row r="30">
          <cell r="D30" t="str">
            <v>Laura Lederman, CFA (312) 364-8223</v>
          </cell>
        </row>
        <row r="31">
          <cell r="D31" t="str">
            <v>Additional information available upon request.</v>
          </cell>
        </row>
        <row r="32">
          <cell r="D32" t="str">
            <v>William Blair &amp; Company, L.L.C. maintains a market in the common shares of SmartForce.</v>
          </cell>
        </row>
      </sheetData>
      <sheetData sheetId="10">
        <row r="9">
          <cell r="D9" t="str">
            <v>October 9,2000</v>
          </cell>
        </row>
        <row r="11">
          <cell r="D11" t="str">
            <v>SmartForce ($48 3/8)</v>
          </cell>
        </row>
        <row r="12">
          <cell r="D12" t="str">
            <v>Earnings Review</v>
          </cell>
        </row>
        <row r="13">
          <cell r="D13" t="str">
            <v>($ in millions, except per share data)</v>
          </cell>
        </row>
        <row r="15">
          <cell r="G15" t="str">
            <v>Our Estimate</v>
          </cell>
          <cell r="H15" t="str">
            <v>Actual</v>
          </cell>
          <cell r="I15" t="str">
            <v>Actual</v>
          </cell>
        </row>
        <row r="16">
          <cell r="G16" t="str">
            <v>3Q00</v>
          </cell>
          <cell r="H16" t="str">
            <v>3Q00</v>
          </cell>
          <cell r="I16" t="str">
            <v>3Q99</v>
          </cell>
          <cell r="J16" t="str">
            <v>% Change</v>
          </cell>
        </row>
        <row r="18">
          <cell r="D18" t="str">
            <v>ProForma EPS</v>
          </cell>
          <cell r="G18">
            <v>-0.09</v>
          </cell>
          <cell r="H18">
            <v>-0.15</v>
          </cell>
          <cell r="I18">
            <v>0.14000000000000001</v>
          </cell>
          <cell r="J18">
            <v>-2.2069999999999999</v>
          </cell>
        </row>
        <row r="20">
          <cell r="D20" t="str">
            <v>Total Revenue</v>
          </cell>
          <cell r="G20">
            <v>41</v>
          </cell>
          <cell r="H20">
            <v>36.393000000000001</v>
          </cell>
          <cell r="I20">
            <v>50.2</v>
          </cell>
          <cell r="J20">
            <v>-0.27503984063745024</v>
          </cell>
        </row>
        <row r="22">
          <cell r="D22" t="str">
            <v>Gross Margin</v>
          </cell>
          <cell r="G22">
            <v>0.84399999999999997</v>
          </cell>
          <cell r="H22">
            <v>0.83699999999999997</v>
          </cell>
          <cell r="I22">
            <v>0.84099999999999997</v>
          </cell>
          <cell r="J22">
            <v>-4.7562425683710385E-3</v>
          </cell>
        </row>
        <row r="24">
          <cell r="D24" t="str">
            <v>Operating Income</v>
          </cell>
          <cell r="G24">
            <v>-6.5</v>
          </cell>
          <cell r="H24">
            <v>-9.5289999999999999</v>
          </cell>
          <cell r="I24">
            <v>7.6</v>
          </cell>
          <cell r="J24" t="str">
            <v>NM</v>
          </cell>
        </row>
        <row r="26">
          <cell r="D26" t="str">
            <v>EBITDA Margin</v>
          </cell>
          <cell r="G26">
            <v>-0.158</v>
          </cell>
          <cell r="H26">
            <v>-0.26200000000000001</v>
          </cell>
          <cell r="I26">
            <v>0.151</v>
          </cell>
          <cell r="J26" t="str">
            <v>NM</v>
          </cell>
        </row>
        <row r="28">
          <cell r="D28" t="str">
            <v>Pro Forma Net Income</v>
          </cell>
          <cell r="G28">
            <v>-6.7</v>
          </cell>
          <cell r="H28">
            <v>-7.5579999999999998</v>
          </cell>
          <cell r="I28">
            <v>6.1</v>
          </cell>
          <cell r="J28">
            <v>-2.2390163934426228</v>
          </cell>
        </row>
        <row r="30">
          <cell r="D30" t="str">
            <v>Laura Lederman CFA (312) 364-8223</v>
          </cell>
        </row>
        <row r="31">
          <cell r="D31" t="str">
            <v>Additional information available upon request.</v>
          </cell>
        </row>
      </sheetData>
      <sheetData sheetId="11"/>
      <sheetData sheetId="12"/>
      <sheetData sheetId="13"/>
      <sheetData sheetId="14"/>
      <sheetData sheetId="15"/>
      <sheetData sheetId="16"/>
      <sheetData sheetId="17" refreshError="1"/>
      <sheetData sheetId="18" refreshError="1"/>
      <sheetData sheetId="19" refreshError="1"/>
      <sheetData sheetId="20" refreshError="1"/>
      <sheetData sheetId="21"/>
      <sheetData sheetId="22"/>
      <sheetData sheetId="2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0000"/>
      <sheetName val="1000"/>
      <sheetName val="2000"/>
      <sheetName val="Cover Page"/>
      <sheetName val="Revenue Model"/>
      <sheetName val="Model Inputs"/>
      <sheetName val="Income Statement"/>
      <sheetName val="Balance Sheet"/>
      <sheetName val="Cash Flow Statements"/>
      <sheetName val="DCF"/>
      <sheetName val="Ratio Analysis"/>
      <sheetName val="__FDSCACHE__"/>
      <sheetName val="Charts"/>
      <sheetName val="Holders"/>
      <sheetName val="END M. Info"/>
      <sheetName val="Company Information"/>
      <sheetName val="comments"/>
      <sheetName val="UPDATE"/>
      <sheetName val="Data P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1">
          <cell r="F11">
            <v>36341</v>
          </cell>
        </row>
      </sheetData>
      <sheetData sheetId="16"/>
      <sheetData sheetId="17"/>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__FDSCACHE__"/>
      <sheetName val="QTRLY &amp; ANNUAL"/>
      <sheetName val="FIN STATEMENT"/>
      <sheetName val="Sheet12"/>
      <sheetName val="Sheet13"/>
      <sheetName val="Variance"/>
      <sheetName val="Valuation"/>
      <sheetName val="Segment Analysis"/>
      <sheetName val="Charts"/>
      <sheetName val="Flash Analytics"/>
      <sheetName val="Supplemental"/>
      <sheetName val="Comps"/>
      <sheetName val="Acquisition History"/>
      <sheetName val="AccretionDilution"/>
      <sheetName val="Sheet2"/>
    </sheetNames>
    <sheetDataSet>
      <sheetData sheetId="0">
        <row r="6">
          <cell r="F6" t="str">
            <v>1Q06</v>
          </cell>
          <cell r="G6" t="str">
            <v>2Q06</v>
          </cell>
          <cell r="H6" t="str">
            <v>3Q06</v>
          </cell>
          <cell r="I6" t="str">
            <v>4Q06</v>
          </cell>
          <cell r="J6" t="str">
            <v>1Q07</v>
          </cell>
          <cell r="K6" t="str">
            <v>2Q07</v>
          </cell>
          <cell r="L6" t="str">
            <v>3Q07</v>
          </cell>
          <cell r="M6" t="str">
            <v>4Q07</v>
          </cell>
          <cell r="N6" t="str">
            <v>1Q08</v>
          </cell>
          <cell r="O6" t="str">
            <v>2Q08</v>
          </cell>
          <cell r="P6" t="str">
            <v>3Q08</v>
          </cell>
          <cell r="Q6" t="str">
            <v>4Q08</v>
          </cell>
          <cell r="R6" t="str">
            <v>1Q09</v>
          </cell>
          <cell r="S6" t="str">
            <v>2Q09</v>
          </cell>
          <cell r="T6" t="str">
            <v>3Q09</v>
          </cell>
          <cell r="U6" t="str">
            <v>4Q09</v>
          </cell>
          <cell r="V6" t="str">
            <v>1Q10</v>
          </cell>
          <cell r="W6" t="str">
            <v>2Q10</v>
          </cell>
          <cell r="X6" t="str">
            <v>3Q10</v>
          </cell>
          <cell r="Y6" t="str">
            <v>4Q10</v>
          </cell>
          <cell r="Z6" t="str">
            <v>1Q11</v>
          </cell>
          <cell r="AA6" t="str">
            <v>2Q11</v>
          </cell>
          <cell r="AB6" t="str">
            <v>3Q11</v>
          </cell>
          <cell r="AC6" t="str">
            <v>4Q11</v>
          </cell>
          <cell r="AD6" t="str">
            <v>1Q12</v>
          </cell>
          <cell r="AE6" t="str">
            <v>2Q12</v>
          </cell>
          <cell r="AF6" t="str">
            <v>3Q12</v>
          </cell>
          <cell r="AG6" t="str">
            <v>4Q12</v>
          </cell>
          <cell r="AH6" t="str">
            <v>1Q13</v>
          </cell>
          <cell r="AI6" t="str">
            <v>2Q13</v>
          </cell>
          <cell r="AJ6" t="str">
            <v>3Q13</v>
          </cell>
          <cell r="AK6" t="str">
            <v>4Q13</v>
          </cell>
          <cell r="AL6" t="str">
            <v>1Q14</v>
          </cell>
          <cell r="AM6" t="str">
            <v>2Q14</v>
          </cell>
          <cell r="AN6" t="str">
            <v>3Q14</v>
          </cell>
          <cell r="AO6" t="str">
            <v>4Q14</v>
          </cell>
          <cell r="AP6" t="str">
            <v>1Q15</v>
          </cell>
          <cell r="AQ6" t="str">
            <v>2Q15</v>
          </cell>
          <cell r="AR6" t="str">
            <v>3Q15</v>
          </cell>
          <cell r="AS6" t="str">
            <v>4Q15</v>
          </cell>
          <cell r="AT6" t="str">
            <v>1Q16</v>
          </cell>
          <cell r="AU6" t="str">
            <v>2Q16</v>
          </cell>
          <cell r="AV6" t="str">
            <v>3Q16</v>
          </cell>
          <cell r="AW6" t="str">
            <v>4Q16</v>
          </cell>
          <cell r="AX6" t="str">
            <v>1Q17</v>
          </cell>
          <cell r="AY6" t="str">
            <v>2Q17</v>
          </cell>
          <cell r="AZ6" t="str">
            <v>3Q17</v>
          </cell>
          <cell r="BA6" t="str">
            <v>3Q17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__FDSCACHE__"/>
      <sheetName val="QTRLY &amp; ANNUAL"/>
      <sheetName val="FIN STATEMENT"/>
      <sheetName val="Sheet12"/>
      <sheetName val="Sheet13"/>
      <sheetName val="Variance"/>
      <sheetName val="Charts"/>
      <sheetName val="Flash Analytics"/>
      <sheetName val="Valuation"/>
      <sheetName val="Segment Analysis"/>
      <sheetName val="Supplemental"/>
      <sheetName val="Comps"/>
      <sheetName val="Acquisition History"/>
      <sheetName val="AccretionDilution"/>
      <sheetName val="Sheet2"/>
    </sheetNames>
    <sheetDataSet>
      <sheetData sheetId="0">
        <row r="6">
          <cell r="F6" t="str">
            <v>1Q06</v>
          </cell>
          <cell r="G6" t="str">
            <v>2Q06</v>
          </cell>
          <cell r="H6" t="str">
            <v>3Q06</v>
          </cell>
          <cell r="I6" t="str">
            <v>4Q06</v>
          </cell>
          <cell r="J6" t="str">
            <v>1Q07</v>
          </cell>
          <cell r="K6" t="str">
            <v>2Q07</v>
          </cell>
          <cell r="L6" t="str">
            <v>3Q07</v>
          </cell>
          <cell r="M6" t="str">
            <v>4Q07</v>
          </cell>
          <cell r="N6" t="str">
            <v>1Q08</v>
          </cell>
          <cell r="O6" t="str">
            <v>2Q08</v>
          </cell>
          <cell r="P6" t="str">
            <v>3Q08</v>
          </cell>
          <cell r="Q6" t="str">
            <v>4Q08</v>
          </cell>
          <cell r="R6" t="str">
            <v>1Q09</v>
          </cell>
          <cell r="S6" t="str">
            <v>2Q09</v>
          </cell>
          <cell r="T6" t="str">
            <v>3Q09</v>
          </cell>
          <cell r="U6" t="str">
            <v>4Q09</v>
          </cell>
          <cell r="V6" t="str">
            <v>1Q10</v>
          </cell>
          <cell r="W6" t="str">
            <v>2Q10</v>
          </cell>
          <cell r="X6" t="str">
            <v>3Q10</v>
          </cell>
          <cell r="Y6" t="str">
            <v>4Q10</v>
          </cell>
          <cell r="Z6" t="str">
            <v>1Q11</v>
          </cell>
          <cell r="AA6" t="str">
            <v>2Q11</v>
          </cell>
          <cell r="AB6" t="str">
            <v>3Q11</v>
          </cell>
          <cell r="AC6" t="str">
            <v>4Q11</v>
          </cell>
          <cell r="AD6" t="str">
            <v>1Q12</v>
          </cell>
          <cell r="AE6" t="str">
            <v>2Q12</v>
          </cell>
          <cell r="AF6" t="str">
            <v>3Q12</v>
          </cell>
          <cell r="AG6" t="str">
            <v>4Q12</v>
          </cell>
          <cell r="AH6" t="str">
            <v>1Q13</v>
          </cell>
          <cell r="AI6" t="str">
            <v>2Q13</v>
          </cell>
          <cell r="AJ6" t="str">
            <v>3Q13</v>
          </cell>
          <cell r="AK6" t="str">
            <v>4Q13</v>
          </cell>
          <cell r="AL6" t="str">
            <v>1Q14</v>
          </cell>
          <cell r="AM6" t="str">
            <v>2Q14</v>
          </cell>
          <cell r="AN6" t="str">
            <v>3Q14</v>
          </cell>
          <cell r="AO6" t="str">
            <v>4Q14</v>
          </cell>
          <cell r="AP6" t="str">
            <v>1Q15</v>
          </cell>
          <cell r="AQ6" t="str">
            <v>2Q15</v>
          </cell>
          <cell r="AR6" t="str">
            <v>3Q15</v>
          </cell>
          <cell r="AS6" t="str">
            <v>4Q15</v>
          </cell>
          <cell r="AT6" t="str">
            <v>1Q16</v>
          </cell>
          <cell r="AU6" t="str">
            <v>2Q16</v>
          </cell>
          <cell r="AV6" t="str">
            <v>3Q16</v>
          </cell>
          <cell r="AW6" t="str">
            <v>4Q16</v>
          </cell>
          <cell r="AX6" t="str">
            <v>1Q17</v>
          </cell>
          <cell r="AY6" t="str">
            <v>2Q17</v>
          </cell>
          <cell r="AZ6" t="str">
            <v>3Q17</v>
          </cell>
          <cell r="BA6" t="str">
            <v>3Q17</v>
          </cell>
          <cell r="BF6" t="str">
            <v>FY2006</v>
          </cell>
          <cell r="BG6" t="str">
            <v>FY2007</v>
          </cell>
          <cell r="BH6" t="str">
            <v>FY2008</v>
          </cell>
          <cell r="BI6" t="str">
            <v>FY2009</v>
          </cell>
          <cell r="BJ6" t="str">
            <v>FY2010</v>
          </cell>
          <cell r="BK6" t="str">
            <v>FY2011</v>
          </cell>
          <cell r="BL6" t="str">
            <v>FY2012</v>
          </cell>
          <cell r="BM6" t="str">
            <v>FY2013</v>
          </cell>
          <cell r="BN6" t="str">
            <v>FY2014</v>
          </cell>
          <cell r="BO6" t="str">
            <v>FY2015</v>
          </cell>
          <cell r="BP6" t="str">
            <v>FY2016</v>
          </cell>
          <cell r="BQ6" t="str">
            <v>FY2017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HP Preview"/>
      <sheetName val="Marketing Sheet"/>
      <sheetName val="%%TOBA_CACHE%%"/>
      <sheetName val="Income Statement"/>
      <sheetName val="ASR"/>
      <sheetName val="Balance Sheet"/>
      <sheetName val="Cash Flow output"/>
      <sheetName val="Cash Flow input"/>
      <sheetName val="GM trend"/>
      <sheetName val="Seasonality"/>
      <sheetName val="FASB123R Worksheet"/>
      <sheetName val="Mktg"/>
      <sheetName val="Table 1"/>
      <sheetName val="share data"/>
      <sheetName val="Turns graph"/>
      <sheetName val="P&amp;L"/>
      <sheetName val="GM Comparison"/>
      <sheetName val="wTLCM (Old)"/>
      <sheetName val="TLCM"/>
      <sheetName val="Module1"/>
      <sheetName val="Module2"/>
    </sheetNames>
    <sheetDataSet>
      <sheetData sheetId="0"/>
      <sheetData sheetId="1"/>
      <sheetData sheetId="2" refreshError="1"/>
      <sheetData sheetId="3">
        <row r="120">
          <cell r="B120" t="str">
            <v>Americas</v>
          </cell>
          <cell r="BL120">
            <v>62870</v>
          </cell>
          <cell r="BM120">
            <v>65072</v>
          </cell>
        </row>
        <row r="121">
          <cell r="B121" t="str">
            <v>Europe</v>
          </cell>
          <cell r="BL121">
            <v>62959</v>
          </cell>
          <cell r="BM121">
            <v>61229</v>
          </cell>
        </row>
        <row r="122">
          <cell r="B122" t="str">
            <v>Asia</v>
          </cell>
          <cell r="BL122">
            <v>92698</v>
          </cell>
          <cell r="BM122">
            <v>100997</v>
          </cell>
        </row>
        <row r="126">
          <cell r="A126" t="str">
            <v>Revenue Breakdown Estimate</v>
          </cell>
        </row>
        <row r="127">
          <cell r="X127">
            <v>35582</v>
          </cell>
          <cell r="Y127">
            <v>35674</v>
          </cell>
          <cell r="Z127">
            <v>35765</v>
          </cell>
          <cell r="AA127">
            <v>35855</v>
          </cell>
          <cell r="AC127">
            <v>35947</v>
          </cell>
          <cell r="AD127">
            <v>36039</v>
          </cell>
          <cell r="AE127">
            <v>36130</v>
          </cell>
          <cell r="AF127">
            <v>36220</v>
          </cell>
          <cell r="AH127" t="str">
            <v>6/99</v>
          </cell>
          <cell r="AI127" t="str">
            <v>9/99</v>
          </cell>
          <cell r="AJ127" t="str">
            <v>12/99</v>
          </cell>
          <cell r="AK127" t="str">
            <v>3/00</v>
          </cell>
          <cell r="AM127" t="str">
            <v>6/00</v>
          </cell>
          <cell r="AN127" t="str">
            <v>9/00</v>
          </cell>
          <cell r="AO127" t="str">
            <v>12/00</v>
          </cell>
          <cell r="AP127" t="str">
            <v>3/01</v>
          </cell>
          <cell r="AR127" t="str">
            <v>6/01</v>
          </cell>
          <cell r="AS127" t="str">
            <v>9/01</v>
          </cell>
          <cell r="AT127" t="str">
            <v>12/01</v>
          </cell>
          <cell r="AU127" t="str">
            <v>3/02</v>
          </cell>
          <cell r="AW127" t="str">
            <v>6/02</v>
          </cell>
          <cell r="AX127" t="str">
            <v>9/02</v>
          </cell>
          <cell r="AY127" t="str">
            <v>12/02</v>
          </cell>
          <cell r="AZ127" t="str">
            <v>3/03</v>
          </cell>
          <cell r="BB127" t="str">
            <v>6/03</v>
          </cell>
          <cell r="BC127" t="str">
            <v>9/03</v>
          </cell>
          <cell r="BD127" t="str">
            <v>12/03</v>
          </cell>
          <cell r="BE127" t="str">
            <v>3/04</v>
          </cell>
          <cell r="BG127">
            <v>38168</v>
          </cell>
          <cell r="BH127">
            <v>38260</v>
          </cell>
          <cell r="BI127">
            <v>38352</v>
          </cell>
          <cell r="BJ127">
            <v>38441</v>
          </cell>
          <cell r="BL127" t="str">
            <v>6/05</v>
          </cell>
          <cell r="BM127" t="str">
            <v>9/05</v>
          </cell>
          <cell r="BN127" t="str">
            <v>12/05</v>
          </cell>
          <cell r="BO127" t="str">
            <v>3/06</v>
          </cell>
        </row>
        <row r="128">
          <cell r="A128" t="str">
            <v>FYE March</v>
          </cell>
          <cell r="H128">
            <v>94</v>
          </cell>
          <cell r="M128">
            <v>95</v>
          </cell>
          <cell r="R128">
            <v>96</v>
          </cell>
          <cell r="S128">
            <v>35217</v>
          </cell>
          <cell r="T128">
            <v>35309</v>
          </cell>
          <cell r="U128">
            <v>35400</v>
          </cell>
          <cell r="V128">
            <v>35490</v>
          </cell>
          <cell r="W128" t="str">
            <v>FY97</v>
          </cell>
          <cell r="X128" t="str">
            <v>1Q98</v>
          </cell>
          <cell r="Y128" t="str">
            <v xml:space="preserve">2Q98 </v>
          </cell>
          <cell r="Z128" t="str">
            <v>3Q98</v>
          </cell>
          <cell r="AA128" t="str">
            <v>4Q98</v>
          </cell>
          <cell r="AB128" t="str">
            <v>FY98</v>
          </cell>
          <cell r="AC128" t="str">
            <v>1Q99</v>
          </cell>
          <cell r="AD128" t="str">
            <v>2Q99</v>
          </cell>
          <cell r="AE128" t="str">
            <v>3Q99</v>
          </cell>
          <cell r="AF128" t="str">
            <v>4Q99</v>
          </cell>
          <cell r="AG128" t="str">
            <v>FY99</v>
          </cell>
          <cell r="AH128" t="str">
            <v>1Q00</v>
          </cell>
          <cell r="AI128" t="str">
            <v>2Q00</v>
          </cell>
          <cell r="AJ128" t="str">
            <v>3Q00</v>
          </cell>
          <cell r="AK128" t="str">
            <v>4Q00</v>
          </cell>
          <cell r="AL128" t="str">
            <v>FY00</v>
          </cell>
          <cell r="AM128" t="str">
            <v>1Q01</v>
          </cell>
          <cell r="AN128" t="str">
            <v>2Q01</v>
          </cell>
          <cell r="AO128" t="str">
            <v>3Q01</v>
          </cell>
          <cell r="AP128" t="str">
            <v>4Q01</v>
          </cell>
          <cell r="AQ128" t="str">
            <v>FY01</v>
          </cell>
          <cell r="AR128" t="str">
            <v>1Q02</v>
          </cell>
          <cell r="AS128" t="str">
            <v>2Q02</v>
          </cell>
          <cell r="AT128" t="str">
            <v>3Q02</v>
          </cell>
          <cell r="AU128" t="str">
            <v>4Q02</v>
          </cell>
          <cell r="AV128" t="str">
            <v>FY02</v>
          </cell>
          <cell r="AW128" t="str">
            <v>1Q03</v>
          </cell>
          <cell r="AX128" t="str">
            <v>2Q03</v>
          </cell>
          <cell r="AY128" t="str">
            <v>3Q03</v>
          </cell>
          <cell r="AZ128" t="str">
            <v>4Q03</v>
          </cell>
          <cell r="BA128" t="str">
            <v>FY03</v>
          </cell>
          <cell r="BB128" t="str">
            <v>1Q04</v>
          </cell>
          <cell r="BC128" t="str">
            <v>2Q04</v>
          </cell>
          <cell r="BD128" t="str">
            <v>3Q04</v>
          </cell>
          <cell r="BE128" t="str">
            <v>4Q04</v>
          </cell>
          <cell r="BF128" t="str">
            <v>FY04</v>
          </cell>
          <cell r="BG128" t="str">
            <v>1Q05</v>
          </cell>
          <cell r="BH128" t="str">
            <v>2Q05</v>
          </cell>
          <cell r="BI128" t="str">
            <v>3Q05</v>
          </cell>
          <cell r="BJ128" t="str">
            <v>4Q05E</v>
          </cell>
          <cell r="BK128" t="str">
            <v>FY05</v>
          </cell>
          <cell r="BL128" t="str">
            <v>1Q06</v>
          </cell>
          <cell r="BM128" t="str">
            <v>2Q06</v>
          </cell>
          <cell r="BN128" t="str">
            <v>3Q06</v>
          </cell>
          <cell r="BO128" t="str">
            <v>4Q06</v>
          </cell>
          <cell r="BP128" t="str">
            <v>FY06</v>
          </cell>
        </row>
        <row r="129">
          <cell r="A129" t="str">
            <v>Analog Revenue</v>
          </cell>
          <cell r="AP129">
            <v>10964.8</v>
          </cell>
          <cell r="AR129">
            <v>9320.08</v>
          </cell>
          <cell r="AS129">
            <v>10997.694399999998</v>
          </cell>
          <cell r="AT129">
            <v>10915.558554473719</v>
          </cell>
          <cell r="AU129">
            <v>12334.581166555301</v>
          </cell>
          <cell r="AV129">
            <v>43567.914121029018</v>
          </cell>
          <cell r="AW129">
            <v>11888.000000000002</v>
          </cell>
          <cell r="AX129">
            <v>12402.999999999998</v>
          </cell>
          <cell r="AY129">
            <v>12905.000000000002</v>
          </cell>
          <cell r="AZ129">
            <v>10725</v>
          </cell>
          <cell r="BA129">
            <v>47921</v>
          </cell>
          <cell r="BB129">
            <v>11763</v>
          </cell>
          <cell r="BC129">
            <v>12452</v>
          </cell>
          <cell r="BD129">
            <v>12833</v>
          </cell>
          <cell r="BE129">
            <v>13808</v>
          </cell>
          <cell r="BF129">
            <v>50856</v>
          </cell>
          <cell r="BG129">
            <v>15945</v>
          </cell>
          <cell r="BH129">
            <v>15178</v>
          </cell>
          <cell r="BI129">
            <v>12421</v>
          </cell>
          <cell r="BJ129">
            <v>13370</v>
          </cell>
          <cell r="BK129">
            <v>56914</v>
          </cell>
          <cell r="BL129">
            <v>13946</v>
          </cell>
          <cell r="BM129">
            <v>14713</v>
          </cell>
          <cell r="BN129">
            <v>17338</v>
          </cell>
          <cell r="BO129">
            <v>20382</v>
          </cell>
          <cell r="BP129">
            <v>66379</v>
          </cell>
        </row>
        <row r="130">
          <cell r="A130" t="str">
            <v>Sequential growth</v>
          </cell>
          <cell r="AK130">
            <v>4.9608534742487942E-2</v>
          </cell>
          <cell r="AR130">
            <v>-0.15</v>
          </cell>
          <cell r="AS130">
            <v>0.18</v>
          </cell>
          <cell r="AT130">
            <v>-7.4684604371511821E-3</v>
          </cell>
          <cell r="AU130">
            <v>0.13</v>
          </cell>
          <cell r="AW130">
            <v>-3.6205620646948614E-2</v>
          </cell>
          <cell r="AX130">
            <v>4.3320995962314604E-2</v>
          </cell>
          <cell r="AY130">
            <v>4.0474078851890936E-2</v>
          </cell>
          <cell r="AZ130">
            <v>-0.16892677256877187</v>
          </cell>
          <cell r="BB130">
            <v>9.6783216783216774E-2</v>
          </cell>
          <cell r="BC130">
            <v>5.8573493156507617E-2</v>
          </cell>
          <cell r="BD130">
            <v>3.0597494378413082E-2</v>
          </cell>
          <cell r="BE130">
            <v>7.5975999376607151E-2</v>
          </cell>
          <cell r="BG130">
            <v>0.15476535341830822</v>
          </cell>
          <cell r="BH130">
            <v>-4.8102853559109482E-2</v>
          </cell>
          <cell r="BI130">
            <v>-0.18164448543945189</v>
          </cell>
          <cell r="BJ130">
            <v>7.6402866113839396E-2</v>
          </cell>
          <cell r="BL130">
            <v>4.30815258040389E-2</v>
          </cell>
          <cell r="BM130">
            <v>5.4997848845547148E-2</v>
          </cell>
          <cell r="BN130">
            <v>0.17841364779446756</v>
          </cell>
          <cell r="BO130">
            <v>0.17556811627638713</v>
          </cell>
        </row>
        <row r="131">
          <cell r="A131" t="str">
            <v>YOY % change</v>
          </cell>
          <cell r="AU131">
            <v>0.12492532162513692</v>
          </cell>
          <cell r="AW131">
            <v>0.27552553196968277</v>
          </cell>
          <cell r="AX131">
            <v>0.1277818376186195</v>
          </cell>
          <cell r="AY131">
            <v>0.18225741134528706</v>
          </cell>
          <cell r="AZ131">
            <v>-0.13049337831750729</v>
          </cell>
          <cell r="BA131">
            <v>9.9914948117056479E-2</v>
          </cell>
          <cell r="BB131">
            <v>-1.051480484522227E-2</v>
          </cell>
          <cell r="BC131">
            <v>3.9506570990890388E-3</v>
          </cell>
          <cell r="BD131">
            <v>-5.5792328554825632E-3</v>
          </cell>
          <cell r="BE131">
            <v>0.2874592074592075</v>
          </cell>
          <cell r="BF131">
            <v>6.1246635086913859E-2</v>
          </cell>
          <cell r="BG131">
            <v>0.35552155062484059</v>
          </cell>
          <cell r="BH131">
            <v>0.21892065531641514</v>
          </cell>
          <cell r="BI131">
            <v>-3.2104729992986858E-2</v>
          </cell>
          <cell r="BJ131">
            <v>-3.172074159907301E-2</v>
          </cell>
          <cell r="BK131">
            <v>0.11912065439672803</v>
          </cell>
          <cell r="BL131">
            <v>-0.12536845406083408</v>
          </cell>
          <cell r="BM131">
            <v>-3.0636447489787888E-2</v>
          </cell>
          <cell r="BN131">
            <v>0.39586184687223258</v>
          </cell>
          <cell r="BO131">
            <v>0.52445774121166799</v>
          </cell>
          <cell r="BP131">
            <v>0.16630354570053063</v>
          </cell>
        </row>
        <row r="132">
          <cell r="A132" t="str">
            <v>% of Total Revenue</v>
          </cell>
          <cell r="AR132">
            <v>6.7102106642475567E-2</v>
          </cell>
          <cell r="AS132">
            <v>7.7655268249283288E-2</v>
          </cell>
          <cell r="AT132">
            <v>7.694762017012706E-2</v>
          </cell>
          <cell r="AU132">
            <v>8.287085659566451E-2</v>
          </cell>
          <cell r="AV132">
            <v>7.6272490031807721E-2</v>
          </cell>
          <cell r="AW132">
            <v>7.545828466967959E-2</v>
          </cell>
          <cell r="AX132">
            <v>0.08</v>
          </cell>
          <cell r="AY132">
            <v>7.7056737165171904E-2</v>
          </cell>
          <cell r="AZ132">
            <v>6.7171470444553003E-2</v>
          </cell>
          <cell r="BA132">
            <v>7.3559163849925238E-2</v>
          </cell>
          <cell r="BB132">
            <v>7.2933911199568463E-2</v>
          </cell>
          <cell r="BC132">
            <v>7.3905250287857743E-2</v>
          </cell>
          <cell r="BD132">
            <v>7.2108874117111602E-2</v>
          </cell>
          <cell r="BE132">
            <v>7.2095403187067933E-2</v>
          </cell>
          <cell r="BF132">
            <v>7.2728312787804256E-2</v>
          </cell>
          <cell r="BG132">
            <v>7.4938315121607327E-2</v>
          </cell>
          <cell r="BH132">
            <v>6.8773958512691788E-2</v>
          </cell>
          <cell r="BI132">
            <v>6.0476960230592451E-2</v>
          </cell>
          <cell r="BJ132">
            <v>6.4253206653114389E-2</v>
          </cell>
          <cell r="BK132">
            <v>6.7199882871905314E-2</v>
          </cell>
          <cell r="BL132">
            <v>6.381820095457312E-2</v>
          </cell>
          <cell r="BM132">
            <v>6.4730002023774963E-2</v>
          </cell>
          <cell r="BN132">
            <v>7.3811388869967992E-2</v>
          </cell>
          <cell r="BO132">
            <v>8.2460796530351335E-2</v>
          </cell>
          <cell r="BP132">
            <v>7.1537343206598172E-2</v>
          </cell>
        </row>
        <row r="134">
          <cell r="A134" t="str">
            <v>Microcontroller sales</v>
          </cell>
          <cell r="N134">
            <v>37900</v>
          </cell>
          <cell r="O134">
            <v>42725</v>
          </cell>
          <cell r="P134">
            <v>44700</v>
          </cell>
          <cell r="Q134">
            <v>43348.919999999984</v>
          </cell>
          <cell r="R134">
            <v>168673.91999999998</v>
          </cell>
          <cell r="S134">
            <v>45460.692999999999</v>
          </cell>
          <cell r="T134">
            <v>51681.5</v>
          </cell>
          <cell r="U134">
            <v>57383.084000000003</v>
          </cell>
          <cell r="V134">
            <v>60733.010999999999</v>
          </cell>
          <cell r="W134">
            <v>215258.288</v>
          </cell>
          <cell r="X134">
            <v>75629.695999999996</v>
          </cell>
          <cell r="Y134">
            <v>70889</v>
          </cell>
          <cell r="Z134">
            <v>70060.100000000006</v>
          </cell>
          <cell r="AA134">
            <v>66000</v>
          </cell>
          <cell r="AB134">
            <v>282578.79599999997</v>
          </cell>
          <cell r="AC134">
            <v>73622</v>
          </cell>
          <cell r="AD134">
            <v>77316</v>
          </cell>
          <cell r="AE134">
            <v>76600</v>
          </cell>
          <cell r="AF134">
            <v>80430</v>
          </cell>
          <cell r="AG134">
            <v>307968</v>
          </cell>
          <cell r="AH134">
            <v>86168</v>
          </cell>
          <cell r="AI134">
            <v>96421</v>
          </cell>
          <cell r="AJ134">
            <v>104641.47</v>
          </cell>
          <cell r="AK134">
            <v>109832.58</v>
          </cell>
          <cell r="AL134">
            <v>397063.05</v>
          </cell>
          <cell r="AM134">
            <v>119717.51220000001</v>
          </cell>
          <cell r="AN134">
            <v>123416.99999999999</v>
          </cell>
          <cell r="AO134">
            <v>123499.59999999999</v>
          </cell>
          <cell r="AP134">
            <v>113619.632</v>
          </cell>
          <cell r="AQ134">
            <v>480253.74419999996</v>
          </cell>
          <cell r="AR134">
            <v>108851.19103999995</v>
          </cell>
          <cell r="AS134">
            <v>110813.37671424</v>
          </cell>
          <cell r="AT134">
            <v>112156.51048138247</v>
          </cell>
          <cell r="AU134">
            <v>118105.33600545158</v>
          </cell>
          <cell r="AV134">
            <v>449926.414241074</v>
          </cell>
          <cell r="AW134">
            <v>123068</v>
          </cell>
          <cell r="AX134">
            <v>130469</v>
          </cell>
          <cell r="AY134">
            <v>133739.00000000003</v>
          </cell>
          <cell r="AZ134">
            <v>129107</v>
          </cell>
          <cell r="BA134">
            <v>516383</v>
          </cell>
          <cell r="BB134">
            <v>129377</v>
          </cell>
          <cell r="BC134">
            <v>133420</v>
          </cell>
          <cell r="BD134">
            <v>141397</v>
          </cell>
          <cell r="BE134">
            <v>152570</v>
          </cell>
          <cell r="BF134">
            <v>556764</v>
          </cell>
          <cell r="BG134">
            <v>166691</v>
          </cell>
          <cell r="BH134">
            <v>176316</v>
          </cell>
          <cell r="BI134">
            <v>166061</v>
          </cell>
          <cell r="BJ134">
            <v>165834</v>
          </cell>
          <cell r="BK134">
            <v>674902</v>
          </cell>
          <cell r="BL134">
            <v>174600</v>
          </cell>
          <cell r="BM134">
            <v>179982</v>
          </cell>
          <cell r="BN134">
            <v>186235</v>
          </cell>
          <cell r="BO134">
            <v>195362</v>
          </cell>
          <cell r="BP134">
            <v>736179</v>
          </cell>
        </row>
        <row r="135">
          <cell r="A135" t="str">
            <v>Sequential MCU Growth</v>
          </cell>
          <cell r="Z135">
            <v>103550</v>
          </cell>
          <cell r="AK135">
            <v>4.9608534742487942E-2</v>
          </cell>
          <cell r="AM135">
            <v>9.000000000000008E-2</v>
          </cell>
          <cell r="AN135">
            <v>3.0901809869049224E-2</v>
          </cell>
          <cell r="AO135">
            <v>6.692757075605904E-4</v>
          </cell>
          <cell r="AP135">
            <v>-0.08</v>
          </cell>
          <cell r="AR135">
            <v>-4.1968459816874332E-2</v>
          </cell>
          <cell r="AS135">
            <v>1.8026313313549525E-2</v>
          </cell>
          <cell r="AT135">
            <v>1.2120682601398175E-2</v>
          </cell>
          <cell r="AU135">
            <v>5.3040394164693541E-2</v>
          </cell>
          <cell r="AW135">
            <v>4.201896512380561E-2</v>
          </cell>
          <cell r="AX135">
            <v>6.0137484967660082E-2</v>
          </cell>
          <cell r="AY135">
            <v>2.5063425028167725E-2</v>
          </cell>
          <cell r="AZ135">
            <v>-3.4634624156005565E-2</v>
          </cell>
          <cell r="BB135">
            <v>2.0912886210662229E-3</v>
          </cell>
          <cell r="BC135">
            <v>3.1249758457840171E-2</v>
          </cell>
          <cell r="BD135">
            <v>5.9788637385699284E-2</v>
          </cell>
          <cell r="BE135">
            <v>7.9018649617742964E-2</v>
          </cell>
          <cell r="BG135">
            <v>9.2554237399226524E-2</v>
          </cell>
          <cell r="BH135">
            <v>5.7741569730819231E-2</v>
          </cell>
          <cell r="BI135">
            <v>-5.8162617119263182E-2</v>
          </cell>
          <cell r="BJ135">
            <v>-1.3669675601134523E-3</v>
          </cell>
          <cell r="BL135">
            <v>5.2860089004667321E-2</v>
          </cell>
          <cell r="BM135">
            <v>3.0824742268041216E-2</v>
          </cell>
          <cell r="BN135">
            <v>3.4742363125201514E-2</v>
          </cell>
          <cell r="BO135">
            <v>4.9007973796547422E-2</v>
          </cell>
        </row>
        <row r="136">
          <cell r="A136" t="str">
            <v>YOY % change</v>
          </cell>
          <cell r="S136">
            <v>0.19949058047493406</v>
          </cell>
          <cell r="T136">
            <v>0.20963136337039212</v>
          </cell>
          <cell r="U136">
            <v>0.28373789709172259</v>
          </cell>
          <cell r="V136">
            <v>0.40102708441179202</v>
          </cell>
          <cell r="W136">
            <v>0.27618002830550226</v>
          </cell>
          <cell r="X136">
            <v>0.66362831292519009</v>
          </cell>
          <cell r="Y136">
            <v>0.37165136460822534</v>
          </cell>
          <cell r="Z136">
            <v>0.22091904297092158</v>
          </cell>
          <cell r="AA136">
            <v>8.6723660053673379E-2</v>
          </cell>
          <cell r="AB136">
            <v>0.31274293141270348</v>
          </cell>
          <cell r="AC136">
            <v>-2.6546397859380511E-2</v>
          </cell>
          <cell r="AD136">
            <v>9.0662867299581062E-2</v>
          </cell>
          <cell r="AE136">
            <v>9.3346997791895703E-2</v>
          </cell>
          <cell r="AF136">
            <v>0.21863636363636374</v>
          </cell>
          <cell r="AG136">
            <v>8.9848227678059889E-2</v>
          </cell>
          <cell r="AH136">
            <v>0.17041101844557338</v>
          </cell>
          <cell r="AI136">
            <v>0.24710279890320241</v>
          </cell>
          <cell r="AJ136">
            <v>0.36607663185378581</v>
          </cell>
          <cell r="AK136">
            <v>0.3655673256247669</v>
          </cell>
          <cell r="AL136">
            <v>0.28929969996882798</v>
          </cell>
          <cell r="AM136">
            <v>0.3893500162473309</v>
          </cell>
          <cell r="AN136">
            <v>0.27998050217276305</v>
          </cell>
          <cell r="AO136">
            <v>0.18021660055043176</v>
          </cell>
          <cell r="AP136">
            <v>3.4480224356015166E-2</v>
          </cell>
          <cell r="AQ136">
            <v>0.20951507373954836</v>
          </cell>
          <cell r="AR136">
            <v>-9.0766346212129756E-2</v>
          </cell>
          <cell r="AS136">
            <v>-0.10212226261989832</v>
          </cell>
          <cell r="AT136">
            <v>-9.1847176173991851E-2</v>
          </cell>
          <cell r="AU136">
            <v>3.9480008221216334E-2</v>
          </cell>
          <cell r="AV136">
            <v>-6.3148554957015102E-2</v>
          </cell>
          <cell r="AW136">
            <v>0.13060774828615096</v>
          </cell>
          <cell r="AX136">
            <v>0.17737590775206624</v>
          </cell>
          <cell r="AY136">
            <v>0.19243189205855482</v>
          </cell>
          <cell r="AZ136">
            <v>9.3151286526466537E-2</v>
          </cell>
          <cell r="BA136">
            <v>0.14770545505985355</v>
          </cell>
          <cell r="BB136">
            <v>5.1264341664770674E-2</v>
          </cell>
          <cell r="BC136">
            <v>2.2618399773126185E-2</v>
          </cell>
          <cell r="BD136">
            <v>5.726078406448365E-2</v>
          </cell>
          <cell r="BE136">
            <v>0.18173298117065695</v>
          </cell>
          <cell r="BF136">
            <v>7.8199708356007092E-2</v>
          </cell>
          <cell r="BG136">
            <v>0.28841293274693336</v>
          </cell>
          <cell r="BH136">
            <v>0.32151101783840508</v>
          </cell>
          <cell r="BI136">
            <v>0.17443085779754886</v>
          </cell>
          <cell r="BJ136">
            <v>8.6937143606213629E-2</v>
          </cell>
          <cell r="BK136">
            <v>0.21218685116135383</v>
          </cell>
          <cell r="BL136">
            <v>4.7447072727381912E-2</v>
          </cell>
          <cell r="BM136">
            <v>2.0792213979446084E-2</v>
          </cell>
          <cell r="BN136">
            <v>0.12148547822788003</v>
          </cell>
          <cell r="BO136">
            <v>0.17805757564793701</v>
          </cell>
          <cell r="BP136">
            <v>9.0793922673217731E-2</v>
          </cell>
        </row>
        <row r="137">
          <cell r="A137" t="str">
            <v>% of Total Revenue</v>
          </cell>
          <cell r="N137">
            <v>0.58760600939549446</v>
          </cell>
          <cell r="O137">
            <v>0.59952290745807901</v>
          </cell>
          <cell r="P137">
            <v>0.57257041847596357</v>
          </cell>
          <cell r="Q137">
            <v>0.60160877107764876</v>
          </cell>
          <cell r="V137">
            <v>0.64951618630019781</v>
          </cell>
          <cell r="W137">
            <v>0.64400000000000002</v>
          </cell>
          <cell r="X137">
            <v>0.69799999999999995</v>
          </cell>
          <cell r="Y137">
            <v>0.6070926966292135</v>
          </cell>
          <cell r="Z137">
            <v>0.58817687257585172</v>
          </cell>
          <cell r="AA137">
            <v>0.61057403210139227</v>
          </cell>
          <cell r="AB137">
            <v>0.62471960895719703</v>
          </cell>
          <cell r="AC137">
            <v>0.640397345232814</v>
          </cell>
          <cell r="AD137">
            <v>0.65631605307165353</v>
          </cell>
          <cell r="AE137">
            <v>0.67866287466000408</v>
          </cell>
          <cell r="AF137">
            <v>0.69885652717920199</v>
          </cell>
          <cell r="AG137">
            <v>0.66844503096220509</v>
          </cell>
          <cell r="AH137">
            <v>0.7149803348877346</v>
          </cell>
          <cell r="AI137">
            <v>0.73108243358000724</v>
          </cell>
          <cell r="AJ137">
            <v>0.72648516363737348</v>
          </cell>
          <cell r="AK137">
            <v>0.70132612207628009</v>
          </cell>
          <cell r="AL137">
            <v>0.71795015287921005</v>
          </cell>
          <cell r="AM137">
            <v>0.67352003218020928</v>
          </cell>
          <cell r="AN137">
            <v>0.6345966958211855</v>
          </cell>
          <cell r="AO137">
            <v>0.6495397982475517</v>
          </cell>
          <cell r="AP137">
            <v>0.74083976891879555</v>
          </cell>
          <cell r="AQ137">
            <v>0.6709984829474801</v>
          </cell>
          <cell r="AR137">
            <v>0.7836997353377394</v>
          </cell>
          <cell r="AS137">
            <v>0.78245877557328669</v>
          </cell>
          <cell r="AT137">
            <v>0.79063077945665305</v>
          </cell>
          <cell r="AU137">
            <v>0.79350001683307403</v>
          </cell>
          <cell r="AV137">
            <v>0.7876669938780807</v>
          </cell>
          <cell r="AW137">
            <v>0.78116589651145074</v>
          </cell>
          <cell r="AX137">
            <v>0.78229142932521079</v>
          </cell>
          <cell r="AY137">
            <v>0.79856574751901788</v>
          </cell>
          <cell r="AZ137">
            <v>0.80860671652073701</v>
          </cell>
          <cell r="BA137">
            <v>0.79265252616422754</v>
          </cell>
          <cell r="BB137">
            <v>0.80217381869136861</v>
          </cell>
          <cell r="BC137">
            <v>0.79187588286267108</v>
          </cell>
          <cell r="BD137">
            <v>0.7945124657942203</v>
          </cell>
          <cell r="BE137">
            <v>0.79661034648399154</v>
          </cell>
          <cell r="BF137">
            <v>0.7962188599376484</v>
          </cell>
          <cell r="BG137">
            <v>0.78341440488779224</v>
          </cell>
          <cell r="BH137">
            <v>0.79891614633836894</v>
          </cell>
          <cell r="BI137">
            <v>0.80853912670899386</v>
          </cell>
          <cell r="BJ137">
            <v>0.79696082813108227</v>
          </cell>
          <cell r="BK137">
            <v>0.7968748524091549</v>
          </cell>
          <cell r="BL137">
            <v>0.79898593766445336</v>
          </cell>
          <cell r="BM137">
            <v>0.79183274819840033</v>
          </cell>
          <cell r="BN137">
            <v>0.79284023567876849</v>
          </cell>
          <cell r="BO137">
            <v>0.79038887899923937</v>
          </cell>
          <cell r="BP137">
            <v>0.79338781518989798</v>
          </cell>
        </row>
        <row r="139">
          <cell r="A139" t="str">
            <v>EEPROM/other specialty</v>
          </cell>
          <cell r="N139">
            <v>21200</v>
          </cell>
          <cell r="O139">
            <v>22925</v>
          </cell>
          <cell r="P139">
            <v>29300</v>
          </cell>
          <cell r="Q139">
            <v>24920.471999999994</v>
          </cell>
          <cell r="R139">
            <v>98345.471999999994</v>
          </cell>
          <cell r="S139">
            <v>24547.291000000001</v>
          </cell>
          <cell r="T139">
            <v>24648.1</v>
          </cell>
          <cell r="U139">
            <v>26558.18</v>
          </cell>
          <cell r="V139">
            <v>27864.548999999999</v>
          </cell>
          <cell r="W139">
            <v>103618.12</v>
          </cell>
          <cell r="X139">
            <v>30555.263999999996</v>
          </cell>
          <cell r="Y139">
            <v>30038</v>
          </cell>
          <cell r="Z139">
            <v>31539.9</v>
          </cell>
          <cell r="AA139">
            <v>25130</v>
          </cell>
          <cell r="AB139">
            <v>117263.16399999999</v>
          </cell>
          <cell r="AC139">
            <v>25867</v>
          </cell>
          <cell r="AD139">
            <v>26464</v>
          </cell>
          <cell r="AE139">
            <v>26524.215</v>
          </cell>
          <cell r="AF139">
            <v>22250</v>
          </cell>
          <cell r="AG139">
            <v>101105.215</v>
          </cell>
          <cell r="AH139">
            <v>21542</v>
          </cell>
          <cell r="AI139">
            <v>21600</v>
          </cell>
          <cell r="AJ139">
            <v>24545.53</v>
          </cell>
          <cell r="AK139">
            <v>30978.420000000002</v>
          </cell>
          <cell r="AL139">
            <v>98665.95</v>
          </cell>
          <cell r="AM139">
            <v>38019.487799999995</v>
          </cell>
          <cell r="AN139">
            <v>52893.000000000015</v>
          </cell>
          <cell r="AO139">
            <v>52928.400000000009</v>
          </cell>
          <cell r="AP139">
            <v>28781.568000000017</v>
          </cell>
          <cell r="AQ139">
            <v>172622.45580000005</v>
          </cell>
          <cell r="AR139">
            <v>20722.728960000011</v>
          </cell>
          <cell r="AS139">
            <v>19810.928885760011</v>
          </cell>
          <cell r="AT139">
            <v>18784.930964143852</v>
          </cell>
          <cell r="AU139">
            <v>18401.082827993119</v>
          </cell>
          <cell r="AV139">
            <v>77719.671637897001</v>
          </cell>
          <cell r="AW139">
            <v>22588.000000000004</v>
          </cell>
          <cell r="AX139">
            <v>23906</v>
          </cell>
          <cell r="AY139">
            <v>20829.999999999996</v>
          </cell>
          <cell r="AZ139">
            <v>19834</v>
          </cell>
          <cell r="BA139">
            <v>87158</v>
          </cell>
          <cell r="BB139">
            <v>20143</v>
          </cell>
          <cell r="BC139">
            <v>22614</v>
          </cell>
          <cell r="BD139">
            <v>23737</v>
          </cell>
          <cell r="BE139">
            <v>25146</v>
          </cell>
          <cell r="BF139">
            <v>91640</v>
          </cell>
          <cell r="BG139">
            <v>30139</v>
          </cell>
          <cell r="BH139">
            <v>29200</v>
          </cell>
          <cell r="BI139">
            <v>26902</v>
          </cell>
          <cell r="BJ139">
            <v>28879</v>
          </cell>
          <cell r="BK139">
            <v>115120</v>
          </cell>
          <cell r="BL139">
            <v>29981</v>
          </cell>
          <cell r="BM139">
            <v>32603</v>
          </cell>
          <cell r="BN139">
            <v>31323</v>
          </cell>
          <cell r="BO139">
            <v>31428</v>
          </cell>
          <cell r="BP139">
            <v>125335</v>
          </cell>
        </row>
        <row r="140">
          <cell r="A140" t="str">
            <v>Sequential EEPROM Growth</v>
          </cell>
          <cell r="N140">
            <v>5399</v>
          </cell>
          <cell r="O140">
            <v>5615</v>
          </cell>
          <cell r="P140">
            <v>4069</v>
          </cell>
          <cell r="Q140">
            <v>3785.608000000022</v>
          </cell>
          <cell r="R140">
            <v>18868.608000000022</v>
          </cell>
          <cell r="S140">
            <v>4153.0159999999996</v>
          </cell>
          <cell r="T140">
            <v>3180.4000000000015</v>
          </cell>
          <cell r="U140">
            <v>3134.7359999999971</v>
          </cell>
          <cell r="V140">
            <v>4907.4400000000023</v>
          </cell>
          <cell r="W140">
            <v>15375.592000000004</v>
          </cell>
          <cell r="X140">
            <v>2167.0400000000081</v>
          </cell>
          <cell r="Y140">
            <v>2109</v>
          </cell>
          <cell r="Z140">
            <v>1950</v>
          </cell>
          <cell r="AA140">
            <v>1950</v>
          </cell>
          <cell r="AB140">
            <v>8176.0400000000081</v>
          </cell>
          <cell r="AC140" t="str">
            <v>in eeprom</v>
          </cell>
          <cell r="AD140">
            <v>0</v>
          </cell>
          <cell r="AE140">
            <v>0</v>
          </cell>
          <cell r="AF140">
            <v>344</v>
          </cell>
          <cell r="AG140">
            <v>344</v>
          </cell>
          <cell r="AM140">
            <v>0.22728944213423385</v>
          </cell>
          <cell r="AN140">
            <v>0.39120759012434719</v>
          </cell>
          <cell r="AO140">
            <v>6.6927570756026807E-4</v>
          </cell>
          <cell r="AP140">
            <v>-0.4562169270183869</v>
          </cell>
          <cell r="AR140">
            <v>-0.28000000000000003</v>
          </cell>
          <cell r="AS140">
            <v>-4.3999999999999997E-2</v>
          </cell>
          <cell r="AT140">
            <v>-5.1789490918502067E-2</v>
          </cell>
          <cell r="AU140">
            <v>-2.0433832675957692E-2</v>
          </cell>
          <cell r="AW140">
            <v>0.22753645593276889</v>
          </cell>
          <cell r="AX140">
            <v>5.8349566141313793E-2</v>
          </cell>
          <cell r="AY140">
            <v>-0.12867062662093212</v>
          </cell>
          <cell r="AZ140">
            <v>-4.7815650504080515E-2</v>
          </cell>
          <cell r="BB140">
            <v>1.5579308258546032E-2</v>
          </cell>
          <cell r="BC140">
            <v>0.12267288884475991</v>
          </cell>
          <cell r="BD140">
            <v>4.9659502962766444E-2</v>
          </cell>
          <cell r="BE140">
            <v>5.9358806925896346E-2</v>
          </cell>
          <cell r="BG140">
            <v>0.19856040722182455</v>
          </cell>
          <cell r="BH140">
            <v>-3.1155645509140961E-2</v>
          </cell>
          <cell r="BI140">
            <v>-7.8698630136986303E-2</v>
          </cell>
          <cell r="BJ140">
            <v>7.3488959928629916E-2</v>
          </cell>
          <cell r="BL140">
            <v>3.8159216039336474E-2</v>
          </cell>
          <cell r="BM140">
            <v>8.7455388412661428E-2</v>
          </cell>
          <cell r="BN140">
            <v>-3.9260190779989546E-2</v>
          </cell>
          <cell r="BO140">
            <v>3.3521693324394253E-3</v>
          </cell>
        </row>
        <row r="141">
          <cell r="A141" t="str">
            <v>YOY % change</v>
          </cell>
          <cell r="S141">
            <v>0.15789108490566051</v>
          </cell>
          <cell r="T141">
            <v>7.5162486368593129E-2</v>
          </cell>
          <cell r="U141">
            <v>-9.3577474402730343E-2</v>
          </cell>
          <cell r="V141">
            <v>0.11813889399847666</v>
          </cell>
          <cell r="W141">
            <v>5.3613530880201488E-2</v>
          </cell>
          <cell r="X141">
            <v>0.24475095846625172</v>
          </cell>
          <cell r="Y141">
            <v>0.21867405601243095</v>
          </cell>
          <cell r="Z141">
            <v>0.18757761262255168</v>
          </cell>
          <cell r="AA141">
            <v>-9.8137206527189824E-2</v>
          </cell>
          <cell r="AB141">
            <v>0.13168588659975677</v>
          </cell>
          <cell r="AC141">
            <v>-0.20949942889107087</v>
          </cell>
          <cell r="AD141">
            <v>-0.17678165925280742</v>
          </cell>
          <cell r="AE141">
            <v>-0.20799360404181566</v>
          </cell>
          <cell r="AF141">
            <v>-0.17836041358936483</v>
          </cell>
          <cell r="AG141">
            <v>-0.1377921970449304</v>
          </cell>
          <cell r="AH141">
            <v>-0.16720145358951555</v>
          </cell>
          <cell r="AI141">
            <v>-0.18379685610640872</v>
          </cell>
          <cell r="AJ141">
            <v>-7.4599191719717295E-2</v>
          </cell>
          <cell r="AK141">
            <v>0.39228853932584284</v>
          </cell>
          <cell r="AL141">
            <v>-2.4126005765380154E-2</v>
          </cell>
          <cell r="AM141">
            <v>0.76490055705134141</v>
          </cell>
          <cell r="AN141">
            <v>1.4487500000000009</v>
          </cell>
          <cell r="AO141">
            <v>1.1563355934868795</v>
          </cell>
          <cell r="AP141">
            <v>-7.0915559928491634E-2</v>
          </cell>
          <cell r="AQ141">
            <v>0.74956462487818798</v>
          </cell>
          <cell r="AR141">
            <v>-0.45494455188320515</v>
          </cell>
          <cell r="AS141">
            <v>-0.62545272747320046</v>
          </cell>
          <cell r="AT141">
            <v>-0.64508787410645607</v>
          </cell>
          <cell r="AU141">
            <v>-0.36066433809328569</v>
          </cell>
          <cell r="AV141">
            <v>-0.54977079153628305</v>
          </cell>
          <cell r="AW141">
            <v>9.0010878567220898E-2</v>
          </cell>
          <cell r="AX141">
            <v>0.20670767826457159</v>
          </cell>
          <cell r="AY141">
            <v>0.10886753003030547</v>
          </cell>
          <cell r="AZ141">
            <v>7.7871350583076593E-2</v>
          </cell>
          <cell r="BA141">
            <v>0.12144066184526658</v>
          </cell>
          <cell r="BB141">
            <v>-0.10824331503453177</v>
          </cell>
          <cell r="BC141">
            <v>-5.4045009621015661E-2</v>
          </cell>
          <cell r="BD141">
            <v>0.13955832933269341</v>
          </cell>
          <cell r="BE141">
            <v>0.26782293032166993</v>
          </cell>
          <cell r="BF141">
            <v>5.1423850937378113E-2</v>
          </cell>
          <cell r="BG141">
            <v>0.49625179963262678</v>
          </cell>
          <cell r="BH141">
            <v>0.29123551782081902</v>
          </cell>
          <cell r="BI141">
            <v>0.13333614188819154</v>
          </cell>
          <cell r="BJ141">
            <v>0.14845303427980583</v>
          </cell>
          <cell r="BK141">
            <v>0.25621999127018769</v>
          </cell>
          <cell r="BL141">
            <v>-5.2423769866286607E-3</v>
          </cell>
          <cell r="BM141">
            <v>0.11654109589041095</v>
          </cell>
          <cell r="BN141">
            <v>0.16433722399821571</v>
          </cell>
          <cell r="BO141">
            <v>8.8264829114581556E-2</v>
          </cell>
          <cell r="BP141">
            <v>8.8733495482974378E-2</v>
          </cell>
        </row>
        <row r="142">
          <cell r="A142" t="str">
            <v>% of Total Revenue</v>
          </cell>
          <cell r="AR142">
            <v>0.14919815801978498</v>
          </cell>
          <cell r="AS142">
            <v>0.13988595617743013</v>
          </cell>
          <cell r="AT142">
            <v>0.13242160037321982</v>
          </cell>
          <cell r="AU142">
            <v>0.12362912657126141</v>
          </cell>
          <cell r="AV142">
            <v>0.13606051609011158</v>
          </cell>
          <cell r="AW142">
            <v>0.14337581881886968</v>
          </cell>
          <cell r="AX142">
            <v>0.14334024871385914</v>
          </cell>
          <cell r="AY142">
            <v>0.12437751531581018</v>
          </cell>
          <cell r="AZ142">
            <v>0.12422181303470996</v>
          </cell>
          <cell r="BA142">
            <v>0.13378830998584723</v>
          </cell>
          <cell r="BB142">
            <v>0.12489227010906295</v>
          </cell>
          <cell r="BC142">
            <v>0.13421886684947118</v>
          </cell>
          <cell r="BD142">
            <v>0.13337866008866811</v>
          </cell>
          <cell r="BE142">
            <v>0.13129425032894049</v>
          </cell>
          <cell r="BF142">
            <v>0.13105282727454737</v>
          </cell>
          <cell r="BG142">
            <v>0.14164727999060039</v>
          </cell>
          <cell r="BH142">
            <v>0.13230989514893926</v>
          </cell>
          <cell r="BI142">
            <v>0.13098391306041365</v>
          </cell>
          <cell r="BJ142">
            <v>0.1387859652158033</v>
          </cell>
          <cell r="BK142">
            <v>0.13592526471893981</v>
          </cell>
          <cell r="BL142">
            <v>0.13719586138097351</v>
          </cell>
          <cell r="BM142">
            <v>0.14343724977782471</v>
          </cell>
          <cell r="BN142">
            <v>0.13334837545126355</v>
          </cell>
          <cell r="BO142">
            <v>0.12715032447040928</v>
          </cell>
          <cell r="BP142">
            <v>0.13507484160350386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C Tracking"/>
      <sheetName val="PPT Graphics"/>
      <sheetName val="PivotTable"/>
      <sheetName val="Tables and Graphics"/>
      <sheetName val="Charts and Figures"/>
    </sheetNames>
    <sheetDataSet>
      <sheetData sheetId="0">
        <row r="3">
          <cell r="F3" t="str">
            <v>Q1-2009</v>
          </cell>
        </row>
      </sheetData>
      <sheetData sheetId="1"/>
      <sheetData sheetId="2">
        <row r="3">
          <cell r="A3" t="str">
            <v>Sum of Funding ($mm)</v>
          </cell>
          <cell r="B3" t="str">
            <v>Quarter of Funding</v>
          </cell>
          <cell r="C3">
            <v>0</v>
          </cell>
          <cell r="D3">
            <v>0</v>
          </cell>
          <cell r="E3">
            <v>0</v>
          </cell>
          <cell r="F3">
            <v>0</v>
          </cell>
          <cell r="G3">
            <v>0</v>
          </cell>
        </row>
        <row r="4">
          <cell r="A4" t="str">
            <v>Category</v>
          </cell>
          <cell r="B4" t="str">
            <v>Q1-2009</v>
          </cell>
          <cell r="C4" t="str">
            <v>Q2-2009</v>
          </cell>
          <cell r="D4" t="str">
            <v>Q3-2009</v>
          </cell>
          <cell r="E4" t="str">
            <v>Q4-2009</v>
          </cell>
          <cell r="F4" t="str">
            <v>(blank)</v>
          </cell>
          <cell r="G4" t="str">
            <v>Grand Total</v>
          </cell>
        </row>
        <row r="5">
          <cell r="A5" t="str">
            <v>HD Video, Radio or 3D</v>
          </cell>
          <cell r="B5">
            <v>0</v>
          </cell>
          <cell r="C5">
            <v>0</v>
          </cell>
          <cell r="D5">
            <v>52.5</v>
          </cell>
          <cell r="E5">
            <v>16</v>
          </cell>
          <cell r="F5">
            <v>0</v>
          </cell>
          <cell r="G5">
            <v>68.5</v>
          </cell>
        </row>
        <row r="6">
          <cell r="A6" t="str">
            <v>Internet Video Advertising</v>
          </cell>
          <cell r="B6">
            <v>28.5</v>
          </cell>
          <cell r="C6">
            <v>5.0999999999999996</v>
          </cell>
          <cell r="D6">
            <v>17.5</v>
          </cell>
          <cell r="E6">
            <v>17.399999999999999</v>
          </cell>
          <cell r="F6">
            <v>0</v>
          </cell>
          <cell r="G6">
            <v>68.5</v>
          </cell>
        </row>
        <row r="7">
          <cell r="A7" t="str">
            <v>Internet Video Delivery/Technology/Search</v>
          </cell>
          <cell r="B7">
            <v>94</v>
          </cell>
          <cell r="C7">
            <v>45</v>
          </cell>
          <cell r="D7">
            <v>79.400000000000006</v>
          </cell>
          <cell r="E7">
            <v>23.1</v>
          </cell>
          <cell r="F7">
            <v>0</v>
          </cell>
          <cell r="G7">
            <v>241.5</v>
          </cell>
        </row>
        <row r="8">
          <cell r="A8" t="str">
            <v>Mobile Technologies</v>
          </cell>
          <cell r="B8">
            <v>67</v>
          </cell>
          <cell r="C8">
            <v>5.4</v>
          </cell>
          <cell r="D8">
            <v>33.5</v>
          </cell>
          <cell r="E8">
            <v>94.2</v>
          </cell>
          <cell r="F8">
            <v>0</v>
          </cell>
          <cell r="G8">
            <v>200.10000000000002</v>
          </cell>
        </row>
        <row r="9">
          <cell r="A9" t="str">
            <v>Niche Internet Site/Portal</v>
          </cell>
          <cell r="B9">
            <v>100.95</v>
          </cell>
          <cell r="C9">
            <v>81.5</v>
          </cell>
          <cell r="D9">
            <v>75.150000000000006</v>
          </cell>
          <cell r="E9">
            <v>173.5</v>
          </cell>
          <cell r="F9">
            <v>0</v>
          </cell>
          <cell r="G9">
            <v>431.1</v>
          </cell>
        </row>
        <row r="10">
          <cell r="A10" t="str">
            <v>Online Advertising</v>
          </cell>
          <cell r="B10">
            <v>70.75</v>
          </cell>
          <cell r="C10">
            <v>117.5</v>
          </cell>
          <cell r="D10">
            <v>76.5</v>
          </cell>
          <cell r="E10">
            <v>111.6</v>
          </cell>
          <cell r="F10">
            <v>0</v>
          </cell>
          <cell r="G10">
            <v>376.35</v>
          </cell>
        </row>
        <row r="11">
          <cell r="A11" t="str">
            <v>Online Music/Music Technology</v>
          </cell>
          <cell r="B11">
            <v>5</v>
          </cell>
          <cell r="C11">
            <v>76</v>
          </cell>
          <cell r="D11">
            <v>41</v>
          </cell>
          <cell r="E11">
            <v>45.4</v>
          </cell>
          <cell r="F11">
            <v>0</v>
          </cell>
          <cell r="G11">
            <v>167.4</v>
          </cell>
        </row>
        <row r="12">
          <cell r="A12" t="str">
            <v>Online Video Content or Portal</v>
          </cell>
          <cell r="B12">
            <v>43.8</v>
          </cell>
          <cell r="C12">
            <v>6</v>
          </cell>
          <cell r="D12">
            <v>27</v>
          </cell>
          <cell r="E12">
            <v>135.6</v>
          </cell>
          <cell r="F12">
            <v>0</v>
          </cell>
          <cell r="G12">
            <v>212.39999999999998</v>
          </cell>
        </row>
        <row r="13">
          <cell r="A13" t="str">
            <v>Search Engines and Web Navigation</v>
          </cell>
          <cell r="B13">
            <v>5.3</v>
          </cell>
          <cell r="C13">
            <v>23.25</v>
          </cell>
          <cell r="D13">
            <v>18.5</v>
          </cell>
          <cell r="E13">
            <v>10</v>
          </cell>
          <cell r="F13">
            <v>0</v>
          </cell>
          <cell r="G13">
            <v>57.05</v>
          </cell>
        </row>
        <row r="14">
          <cell r="A14" t="str">
            <v>Social Network</v>
          </cell>
          <cell r="B14">
            <v>47</v>
          </cell>
          <cell r="C14">
            <v>268.5</v>
          </cell>
          <cell r="D14">
            <v>162.5</v>
          </cell>
          <cell r="E14">
            <v>44.9</v>
          </cell>
          <cell r="F14">
            <v>0</v>
          </cell>
          <cell r="G14">
            <v>522.9</v>
          </cell>
        </row>
        <row r="15">
          <cell r="A15" t="str">
            <v>Video Games (Casual, Mobile, Online, Social)</v>
          </cell>
          <cell r="B15">
            <v>64</v>
          </cell>
          <cell r="C15">
            <v>27</v>
          </cell>
          <cell r="D15">
            <v>57.9</v>
          </cell>
          <cell r="E15">
            <v>344.1</v>
          </cell>
          <cell r="F15">
            <v>0</v>
          </cell>
          <cell r="G15">
            <v>493</v>
          </cell>
        </row>
        <row r="16">
          <cell r="A16" t="str">
            <v>Virtual Currency &amp; Mobile Payments</v>
          </cell>
          <cell r="B16">
            <v>0</v>
          </cell>
          <cell r="C16">
            <v>13</v>
          </cell>
          <cell r="D16">
            <v>20.5</v>
          </cell>
          <cell r="E16">
            <v>25</v>
          </cell>
          <cell r="F16">
            <v>0</v>
          </cell>
          <cell r="G16">
            <v>58.5</v>
          </cell>
        </row>
        <row r="17">
          <cell r="A17" t="str">
            <v>Virtual Worlds</v>
          </cell>
          <cell r="B17">
            <v>20</v>
          </cell>
          <cell r="C17">
            <v>11.25</v>
          </cell>
          <cell r="D17">
            <v>6.26</v>
          </cell>
          <cell r="E17">
            <v>5.3</v>
          </cell>
          <cell r="F17">
            <v>0</v>
          </cell>
          <cell r="G17">
            <v>42.809999999999995</v>
          </cell>
        </row>
        <row r="18">
          <cell r="A18" t="str">
            <v>(blank)</v>
          </cell>
          <cell r="B18">
            <v>0</v>
          </cell>
          <cell r="C18">
            <v>0</v>
          </cell>
          <cell r="D18">
            <v>0</v>
          </cell>
          <cell r="E18">
            <v>0</v>
          </cell>
          <cell r="F18">
            <v>0</v>
          </cell>
          <cell r="G18">
            <v>0</v>
          </cell>
        </row>
        <row r="19">
          <cell r="A19" t="str">
            <v>Grand Total</v>
          </cell>
          <cell r="B19">
            <v>546.29999999999995</v>
          </cell>
          <cell r="C19">
            <v>679.5</v>
          </cell>
          <cell r="D19">
            <v>668.20999999999992</v>
          </cell>
          <cell r="E19">
            <v>1046.0999999999999</v>
          </cell>
          <cell r="F19">
            <v>0</v>
          </cell>
          <cell r="G19">
            <v>2940.11</v>
          </cell>
        </row>
      </sheetData>
      <sheetData sheetId="3"/>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Summary"/>
      <sheetName val="PF-BS"/>
      <sheetName val="FS"/>
      <sheetName val="IRR"/>
      <sheetName val="Assumptions"/>
      <sheetName val="DCF"/>
    </sheetNames>
    <sheetDataSet>
      <sheetData sheetId="0"/>
      <sheetData sheetId="1" refreshError="1"/>
      <sheetData sheetId="2">
        <row r="17">
          <cell r="Q17">
            <v>0.4</v>
          </cell>
        </row>
      </sheetData>
      <sheetData sheetId="3" refreshError="1"/>
      <sheetData sheetId="4" refreshError="1"/>
      <sheetData sheetId="5" refreshError="1"/>
      <sheetData sheetId="6"/>
      <sheetData sheetId="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RevBuild"/>
      <sheetName val="IS"/>
      <sheetName val="TTM NTM Drivers"/>
      <sheetName val="BS"/>
      <sheetName val="CF"/>
      <sheetName val="Metrics"/>
      <sheetName val="All periods"/>
      <sheetName val="Analyst Day 2017"/>
    </sheetNames>
    <sheetDataSet>
      <sheetData sheetId="0"/>
      <sheetData sheetId="1"/>
      <sheetData sheetId="2">
        <row r="119">
          <cell r="C119">
            <v>1</v>
          </cell>
        </row>
      </sheetData>
      <sheetData sheetId="3"/>
      <sheetData sheetId="4"/>
      <sheetData sheetId="5"/>
      <sheetData sheetId="6"/>
      <sheetData sheetId="7"/>
      <sheetData sheetId="8"/>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FT ONLY MODEL"/>
      <sheetName val="Combined Model"/>
      <sheetName val="B"/>
      <sheetName val="PREVIEW"/>
      <sheetName val="D"/>
      <sheetName val="E"/>
      <sheetName val="F"/>
      <sheetName val="REVIEW"/>
      <sheetName val="H"/>
      <sheetName val="MNDY"/>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FT ONLY MODEL"/>
      <sheetName val="Combined Model"/>
      <sheetName val="B"/>
      <sheetName val="PREVIEW"/>
      <sheetName val="D"/>
      <sheetName val="E"/>
      <sheetName val="F"/>
      <sheetName val="REVIEW"/>
      <sheetName val="H"/>
    </sheetNames>
    <sheetDataSet>
      <sheetData sheetId="0"/>
      <sheetData sheetId="1"/>
      <sheetData sheetId="2"/>
      <sheetData sheetId="3"/>
      <sheetData sheetId="4"/>
      <sheetData sheetId="5"/>
      <sheetData sheetId="6"/>
      <sheetData sheetId="7"/>
      <sheetData sheetId="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ment of Earnings"/>
      <sheetName val="Balance Sheet"/>
      <sheetName val="Cash flow"/>
      <sheetName val="Footnote"/>
      <sheetName val="Data Needed"/>
    </sheetNames>
    <sheetDataSet>
      <sheetData sheetId="0"/>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BlueMatrix"/>
      <sheetName val="Drivers"/>
      <sheetName val="IS"/>
      <sheetName val="Comp"/>
      <sheetName val="BS"/>
      <sheetName val="Capex"/>
      <sheetName val="CF"/>
      <sheetName val="UCF"/>
      <sheetName val="DCF"/>
      <sheetName val="Earnings Grid"/>
      <sheetName val="DoD awards"/>
      <sheetName val="Guidance Commentary"/>
      <sheetName val="Notes"/>
      <sheetName val="BAH_IS"/>
    </sheetNames>
    <sheetDataSet>
      <sheetData sheetId="0"/>
      <sheetData sheetId="1"/>
      <sheetData sheetId="2">
        <row r="4">
          <cell r="V4" t="str">
            <v>1Q13</v>
          </cell>
          <cell r="W4" t="str">
            <v>2Q13</v>
          </cell>
          <cell r="X4" t="str">
            <v>3Q13</v>
          </cell>
          <cell r="Y4" t="str">
            <v>4Q13</v>
          </cell>
          <cell r="Z4">
            <v>2013</v>
          </cell>
          <cell r="AA4" t="str">
            <v>1Q14</v>
          </cell>
          <cell r="AB4" t="str">
            <v>2Q14</v>
          </cell>
          <cell r="AC4" t="str">
            <v>3Q14</v>
          </cell>
          <cell r="AD4" t="str">
            <v>4Q14</v>
          </cell>
          <cell r="AE4">
            <v>2014</v>
          </cell>
          <cell r="AF4" t="str">
            <v>1Q15</v>
          </cell>
          <cell r="AG4" t="str">
            <v>2Q15</v>
          </cell>
          <cell r="AH4" t="str">
            <v>3Q15</v>
          </cell>
          <cell r="AI4" t="str">
            <v>4Q15</v>
          </cell>
          <cell r="AJ4">
            <v>2015</v>
          </cell>
        </row>
      </sheetData>
      <sheetData sheetId="3">
        <row r="10">
          <cell r="V10">
            <v>1514.8820000000001</v>
          </cell>
        </row>
      </sheetData>
      <sheetData sheetId="4"/>
      <sheetData sheetId="5">
        <row r="8">
          <cell r="R8">
            <v>1363.0803186032474</v>
          </cell>
        </row>
      </sheetData>
      <sheetData sheetId="6"/>
      <sheetData sheetId="7">
        <row r="22">
          <cell r="AE22">
            <v>149.01408263417036</v>
          </cell>
        </row>
      </sheetData>
      <sheetData sheetId="8"/>
      <sheetData sheetId="9"/>
      <sheetData sheetId="10"/>
      <sheetData sheetId="11"/>
      <sheetData sheetId="12"/>
      <sheetData sheetId="13"/>
      <sheetData sheetId="1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WB QTRLY &amp; ANNUAL"/>
      <sheetName val="WB FIN STATEMENT"/>
      <sheetName val="Aero Production Ramp"/>
      <sheetName val="Content"/>
      <sheetName val="End Market Waterfall"/>
      <sheetName val="Variance"/>
      <sheetName val="SOTP"/>
      <sheetName val="BM Upload"/>
      <sheetName val="Reactors"/>
      <sheetName val="SMR Designs"/>
      <sheetName val="SMR Map"/>
      <sheetName val="extValuation"/>
    </sheetNames>
    <sheetDataSet>
      <sheetData sheetId="0"/>
      <sheetData sheetId="1">
        <row r="6">
          <cell r="B6" t="str">
            <v>Fiscal Year Ends December</v>
          </cell>
          <cell r="H6">
            <v>41729</v>
          </cell>
          <cell r="I6">
            <v>41820</v>
          </cell>
          <cell r="J6">
            <v>41912</v>
          </cell>
          <cell r="K6">
            <v>42004</v>
          </cell>
          <cell r="L6" t="str">
            <v>FY 2014</v>
          </cell>
          <cell r="M6">
            <v>42094</v>
          </cell>
          <cell r="N6">
            <v>42185</v>
          </cell>
          <cell r="O6">
            <v>42277</v>
          </cell>
          <cell r="P6">
            <v>42369</v>
          </cell>
          <cell r="Q6" t="str">
            <v>FY 2015</v>
          </cell>
          <cell r="R6">
            <v>42460</v>
          </cell>
          <cell r="S6">
            <v>42551</v>
          </cell>
          <cell r="T6">
            <v>42643</v>
          </cell>
          <cell r="U6">
            <v>42735</v>
          </cell>
          <cell r="V6" t="str">
            <v>FY 2016</v>
          </cell>
          <cell r="W6">
            <v>42825</v>
          </cell>
          <cell r="X6">
            <v>42916</v>
          </cell>
          <cell r="Y6">
            <v>43008</v>
          </cell>
          <cell r="Z6">
            <v>43100</v>
          </cell>
          <cell r="AA6" t="str">
            <v>FY 2017</v>
          </cell>
          <cell r="AB6">
            <v>43190</v>
          </cell>
          <cell r="AC6">
            <v>43281</v>
          </cell>
          <cell r="AD6">
            <v>43373</v>
          </cell>
          <cell r="AE6">
            <v>43465</v>
          </cell>
          <cell r="AF6" t="str">
            <v>FY 2018</v>
          </cell>
          <cell r="AG6">
            <v>43555</v>
          </cell>
          <cell r="AH6">
            <v>43646</v>
          </cell>
          <cell r="AI6">
            <v>43738</v>
          </cell>
          <cell r="AJ6">
            <v>43830</v>
          </cell>
          <cell r="AK6" t="str">
            <v>FY 2019</v>
          </cell>
          <cell r="AL6">
            <v>43921</v>
          </cell>
          <cell r="AM6">
            <v>44012</v>
          </cell>
          <cell r="AN6">
            <v>44104</v>
          </cell>
          <cell r="AO6">
            <v>44196</v>
          </cell>
          <cell r="AP6" t="str">
            <v>FY 2020</v>
          </cell>
          <cell r="AQ6">
            <v>44286</v>
          </cell>
          <cell r="AR6">
            <v>44377</v>
          </cell>
          <cell r="AS6">
            <v>44469</v>
          </cell>
          <cell r="AT6">
            <v>44561</v>
          </cell>
          <cell r="AU6" t="str">
            <v>FY 2021</v>
          </cell>
          <cell r="AV6">
            <v>44651</v>
          </cell>
          <cell r="AW6">
            <v>44742</v>
          </cell>
          <cell r="AX6">
            <v>44834</v>
          </cell>
          <cell r="AY6">
            <v>44926</v>
          </cell>
          <cell r="AZ6" t="str">
            <v>FY 2022</v>
          </cell>
          <cell r="BA6">
            <v>45016</v>
          </cell>
          <cell r="BB6">
            <v>45107</v>
          </cell>
          <cell r="BC6">
            <v>45199</v>
          </cell>
          <cell r="BD6">
            <v>45291</v>
          </cell>
          <cell r="BE6" t="str">
            <v>FY 2023E</v>
          </cell>
          <cell r="BF6">
            <v>45382</v>
          </cell>
          <cell r="BG6">
            <v>45473</v>
          </cell>
          <cell r="BH6">
            <v>45565</v>
          </cell>
          <cell r="BI6">
            <v>45657</v>
          </cell>
          <cell r="BJ6" t="str">
            <v>FY 2024E</v>
          </cell>
        </row>
        <row r="10">
          <cell r="B10" t="str">
            <v>Organic</v>
          </cell>
          <cell r="AQ10">
            <v>-0.22</v>
          </cell>
          <cell r="AR10">
            <v>0.1</v>
          </cell>
          <cell r="AS10">
            <v>0.03</v>
          </cell>
          <cell r="AT10">
            <v>7.9924047121290531E-2</v>
          </cell>
          <cell r="AU10">
            <v>-1.1741491216205885E-2</v>
          </cell>
          <cell r="AV10">
            <v>0.06</v>
          </cell>
          <cell r="AW10">
            <v>7.0000000000000007E-2</v>
          </cell>
          <cell r="AX10">
            <v>0.12</v>
          </cell>
          <cell r="AY10">
            <v>0.11</v>
          </cell>
          <cell r="AZ10">
            <v>9.1057341473610318E-2</v>
          </cell>
          <cell r="BA10">
            <v>0.03</v>
          </cell>
          <cell r="BB10">
            <v>0.05</v>
          </cell>
          <cell r="BC10">
            <v>0.04</v>
          </cell>
          <cell r="BD10">
            <v>0.02</v>
          </cell>
          <cell r="BE10">
            <v>3.4867966054052763E-2</v>
          </cell>
          <cell r="BJ10">
            <v>5.5E-2</v>
          </cell>
          <cell r="BT10">
            <v>2017</v>
          </cell>
          <cell r="BU10">
            <v>85</v>
          </cell>
          <cell r="BV10">
            <v>82</v>
          </cell>
        </row>
        <row r="11">
          <cell r="B11" t="str">
            <v>Acq. / Divest</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J11">
            <v>0</v>
          </cell>
          <cell r="BT11">
            <v>2018</v>
          </cell>
          <cell r="BU11">
            <v>130</v>
          </cell>
          <cell r="BV11">
            <v>105</v>
          </cell>
        </row>
        <row r="12">
          <cell r="B12" t="str">
            <v>FX</v>
          </cell>
          <cell r="AQ12">
            <v>0.02</v>
          </cell>
          <cell r="AR12">
            <v>0.03</v>
          </cell>
          <cell r="AS12">
            <v>0.01</v>
          </cell>
          <cell r="AT12">
            <v>0</v>
          </cell>
          <cell r="AU12">
            <v>1.4703680954287314E-2</v>
          </cell>
          <cell r="AV12">
            <v>0.01</v>
          </cell>
          <cell r="AW12">
            <v>-0.03</v>
          </cell>
          <cell r="AX12">
            <v>-0.03</v>
          </cell>
          <cell r="AY12">
            <v>-3.5000000000000003E-2</v>
          </cell>
          <cell r="AZ12">
            <v>-2.2168355103241489E-2</v>
          </cell>
          <cell r="BA12">
            <v>-0.04</v>
          </cell>
          <cell r="BB12">
            <v>0</v>
          </cell>
          <cell r="BC12">
            <v>0</v>
          </cell>
          <cell r="BD12">
            <v>0</v>
          </cell>
          <cell r="BE12">
            <v>-9.1437320207886034E-3</v>
          </cell>
          <cell r="BJ12">
            <v>0</v>
          </cell>
          <cell r="BP12" t="str">
            <v>(1%)</v>
          </cell>
          <cell r="BT12">
            <v>2019</v>
          </cell>
          <cell r="BU12">
            <v>139</v>
          </cell>
          <cell r="BV12">
            <v>78</v>
          </cell>
        </row>
        <row r="14">
          <cell r="B14" t="str">
            <v>Commercial Aerospace</v>
          </cell>
          <cell r="AP14">
            <v>234.57411847428565</v>
          </cell>
          <cell r="AU14">
            <v>217.95468085106384</v>
          </cell>
          <cell r="AZ14">
            <v>245.75865000000005</v>
          </cell>
          <cell r="BE14">
            <v>258.97082999999992</v>
          </cell>
          <cell r="BJ14">
            <v>283.27081079999994</v>
          </cell>
          <cell r="BL14">
            <v>857.54135999999994</v>
          </cell>
          <cell r="BP14" t="str">
            <v>5% - 7%</v>
          </cell>
          <cell r="BR14" t="str">
            <v>~50/50 OEM to AM (Tied to Overhauls and Passenger Miles)</v>
          </cell>
          <cell r="BT14">
            <v>2020</v>
          </cell>
          <cell r="BU14">
            <v>34</v>
          </cell>
          <cell r="BV14">
            <v>70</v>
          </cell>
          <cell r="BW14" t="str">
            <v>$80M remaining</v>
          </cell>
        </row>
        <row r="15">
          <cell r="B15" t="str">
            <v>y/y</v>
          </cell>
          <cell r="AU15">
            <v>-7.0849408840658823E-2</v>
          </cell>
          <cell r="AZ15">
            <v>0.12756766241664552</v>
          </cell>
          <cell r="BE15">
            <v>5.3760793363732517E-2</v>
          </cell>
          <cell r="BJ15">
            <v>9.3832887665379339E-2</v>
          </cell>
          <cell r="BT15">
            <v>2021</v>
          </cell>
          <cell r="BU15">
            <v>14</v>
          </cell>
          <cell r="BV15">
            <v>50</v>
          </cell>
        </row>
        <row r="16">
          <cell r="B16" t="str">
            <v>Aerospace Defense</v>
          </cell>
          <cell r="AP16">
            <v>175.93058885571423</v>
          </cell>
          <cell r="AU16">
            <v>176.04031914893616</v>
          </cell>
          <cell r="AZ16">
            <v>175.56734999999998</v>
          </cell>
          <cell r="BE16">
            <v>175.56734999999998</v>
          </cell>
          <cell r="BJ16">
            <v>187.85706449999998</v>
          </cell>
          <cell r="BP16" t="str">
            <v>Flat - 2% Ex. Safran</v>
          </cell>
          <cell r="BT16">
            <v>2022</v>
          </cell>
          <cell r="BV16">
            <v>25</v>
          </cell>
        </row>
        <row r="17">
          <cell r="B17" t="str">
            <v>y/y</v>
          </cell>
          <cell r="AU17">
            <v>6.2371355621348989E-4</v>
          </cell>
          <cell r="AZ17">
            <v>-2.6867092221983802E-3</v>
          </cell>
          <cell r="BE17">
            <v>0</v>
          </cell>
          <cell r="BJ17">
            <v>7.0000000000000007E-2</v>
          </cell>
          <cell r="BT17" t="str">
            <v>2023E</v>
          </cell>
          <cell r="BV17">
            <v>5</v>
          </cell>
        </row>
        <row r="18">
          <cell r="B18" t="str">
            <v>General Industrial</v>
          </cell>
          <cell r="AP18">
            <v>327.68599999999998</v>
          </cell>
          <cell r="AU18">
            <v>381.08100000000002</v>
          </cell>
          <cell r="AZ18">
            <v>414.709</v>
          </cell>
          <cell r="BE18">
            <v>423.00317999999999</v>
          </cell>
          <cell r="BJ18">
            <v>433.57825949999994</v>
          </cell>
          <cell r="BP18" t="str">
            <v>2% - 4%</v>
          </cell>
          <cell r="BR18" t="str">
            <v>&lt; On/Off Highway Vehicles</v>
          </cell>
          <cell r="BT18" t="str">
            <v>China 5 Year plan coming out, 15% Renewables/ Nuclear in 2019 to 25% by 2030</v>
          </cell>
        </row>
        <row r="19">
          <cell r="B19" t="str">
            <v>y/y</v>
          </cell>
          <cell r="AU19">
            <v>0.16294562477493701</v>
          </cell>
          <cell r="AW19" t="str">
            <v>MSD</v>
          </cell>
          <cell r="AZ19">
            <v>8.824370671851911E-2</v>
          </cell>
          <cell r="BE19">
            <v>0.02</v>
          </cell>
          <cell r="BJ19">
            <v>2.5000000000000001E-2</v>
          </cell>
          <cell r="BP19" t="str">
            <v>(1%) FX</v>
          </cell>
        </row>
        <row r="21">
          <cell r="B21" t="str">
            <v>Defense Electronics</v>
          </cell>
          <cell r="C21">
            <v>108.1</v>
          </cell>
          <cell r="D21">
            <v>113.4</v>
          </cell>
          <cell r="E21">
            <v>105.8</v>
          </cell>
          <cell r="F21">
            <v>153</v>
          </cell>
          <cell r="G21">
            <v>480.3</v>
          </cell>
          <cell r="H21">
            <v>112.371</v>
          </cell>
          <cell r="I21">
            <v>118.50700000000001</v>
          </cell>
          <cell r="J21">
            <v>127.06100000000001</v>
          </cell>
          <cell r="K21">
            <v>131.91800000000001</v>
          </cell>
          <cell r="AG21">
            <v>110.3010246195</v>
          </cell>
          <cell r="AH21">
            <v>133.70864586270002</v>
          </cell>
          <cell r="AI21">
            <v>134.96496300000001</v>
          </cell>
          <cell r="AJ21">
            <v>146.46782099999999</v>
          </cell>
          <cell r="AK21">
            <v>525.44245448219999</v>
          </cell>
          <cell r="AL21">
            <v>139.58099999999999</v>
          </cell>
          <cell r="AM21">
            <v>139.81200000000001</v>
          </cell>
          <cell r="AN21">
            <v>149.07300000000001</v>
          </cell>
          <cell r="AO21">
            <v>182.173</v>
          </cell>
          <cell r="AP21">
            <v>610.63900000000001</v>
          </cell>
          <cell r="AQ21">
            <v>182.3</v>
          </cell>
          <cell r="AR21">
            <v>163.4</v>
          </cell>
          <cell r="AS21">
            <v>182.6</v>
          </cell>
          <cell r="AT21">
            <v>199.619</v>
          </cell>
          <cell r="AU21">
            <v>727.9190000000001</v>
          </cell>
          <cell r="AV21">
            <v>143.06899999999999</v>
          </cell>
          <cell r="AW21">
            <v>149.54900000000001</v>
          </cell>
          <cell r="AX21">
            <v>161.18799999999999</v>
          </cell>
          <cell r="AY21">
            <v>236.45599999999999</v>
          </cell>
          <cell r="AZ21">
            <v>690.26199999999994</v>
          </cell>
          <cell r="BA21">
            <v>148.79175999999998</v>
          </cell>
          <cell r="BB21">
            <v>163.00841000000003</v>
          </cell>
          <cell r="BC21">
            <v>178.91867999999999</v>
          </cell>
          <cell r="BD21">
            <v>243.07676799999999</v>
          </cell>
          <cell r="BE21">
            <v>733.79561799999999</v>
          </cell>
          <cell r="BJ21">
            <v>781.49233316999994</v>
          </cell>
          <cell r="BP21" t="str">
            <v>$725 - $750</v>
          </cell>
          <cell r="BQ21" t="str">
            <v>$45M Deferred from '22 to '23</v>
          </cell>
        </row>
        <row r="22">
          <cell r="B22" t="str">
            <v>Y/Y Change</v>
          </cell>
          <cell r="H22">
            <v>3.950971322849206E-2</v>
          </cell>
          <cell r="I22">
            <v>4.5035273368606799E-2</v>
          </cell>
          <cell r="J22">
            <v>0.20095463137996239</v>
          </cell>
          <cell r="K22">
            <v>-0.13779084967320254</v>
          </cell>
          <cell r="AL22">
            <v>0.26545515312759504</v>
          </cell>
          <cell r="AM22">
            <v>4.5646667782181183E-2</v>
          </cell>
          <cell r="AN22">
            <v>0.10453110708443636</v>
          </cell>
          <cell r="AO22">
            <v>0.24377490397703139</v>
          </cell>
          <cell r="AP22">
            <v>0.16214248542546383</v>
          </cell>
          <cell r="AQ22">
            <v>0.30605168325201881</v>
          </cell>
          <cell r="AR22">
            <v>0.16871227076359685</v>
          </cell>
          <cell r="AS22">
            <v>0.2249032353276581</v>
          </cell>
          <cell r="AT22">
            <v>9.5766112431589834E-2</v>
          </cell>
          <cell r="AU22">
            <v>0.19206110320500347</v>
          </cell>
          <cell r="AV22">
            <v>-0.21520021941854095</v>
          </cell>
          <cell r="AW22">
            <v>-8.4767441860465143E-2</v>
          </cell>
          <cell r="AX22">
            <v>-0.11726177437020813</v>
          </cell>
          <cell r="AY22">
            <v>0.18453654211272474</v>
          </cell>
          <cell r="AZ22">
            <v>-5.1732404292236023E-2</v>
          </cell>
          <cell r="BA22">
            <v>0.04</v>
          </cell>
          <cell r="BB22">
            <v>0.09</v>
          </cell>
          <cell r="BC22">
            <v>0.11</v>
          </cell>
          <cell r="BD22">
            <v>2.8000000000000001E-2</v>
          </cell>
          <cell r="BE22">
            <v>6.3068252344761877E-2</v>
          </cell>
          <cell r="BJ22">
            <v>6.5000000000000002E-2</v>
          </cell>
          <cell r="BL22" t="str">
            <v>Assume Slower Ramp due to Supply Chain</v>
          </cell>
          <cell r="BP22" t="str">
            <v>5% - 9%</v>
          </cell>
        </row>
        <row r="23">
          <cell r="B23" t="str">
            <v>Organic</v>
          </cell>
          <cell r="AQ23">
            <v>0.04</v>
          </cell>
          <cell r="AR23">
            <v>-0.06</v>
          </cell>
          <cell r="AS23">
            <v>-0.03</v>
          </cell>
          <cell r="AT23">
            <v>0.04</v>
          </cell>
          <cell r="AU23">
            <v>1.5148066206054429E-5</v>
          </cell>
          <cell r="AV23">
            <v>-0.21</v>
          </cell>
          <cell r="AW23">
            <v>-7.0000000000000007E-2</v>
          </cell>
          <cell r="AX23">
            <v>-0.1</v>
          </cell>
          <cell r="AY23">
            <v>0.185</v>
          </cell>
          <cell r="AZ23">
            <v>-4.2657885011931275E-2</v>
          </cell>
          <cell r="BA23">
            <v>0.04</v>
          </cell>
          <cell r="BB23">
            <v>0.09</v>
          </cell>
          <cell r="BC23">
            <v>0.11</v>
          </cell>
          <cell r="BD23">
            <v>2.8000000000000001E-2</v>
          </cell>
          <cell r="BE23">
            <v>6.3068252344761849E-2</v>
          </cell>
          <cell r="BJ23">
            <v>6.5000000000000002E-2</v>
          </cell>
        </row>
        <row r="24">
          <cell r="B24" t="str">
            <v>Acq. / Divest</v>
          </cell>
          <cell r="AQ24">
            <v>0.25</v>
          </cell>
          <cell r="AR24">
            <v>0.22</v>
          </cell>
          <cell r="AS24">
            <v>0.25</v>
          </cell>
          <cell r="AT24">
            <v>0.06</v>
          </cell>
          <cell r="AU24">
            <v>0.18644816331744291</v>
          </cell>
          <cell r="AV24">
            <v>0</v>
          </cell>
          <cell r="AW24">
            <v>0</v>
          </cell>
          <cell r="AX24">
            <v>0</v>
          </cell>
          <cell r="AY24">
            <v>0</v>
          </cell>
          <cell r="AZ24">
            <v>0</v>
          </cell>
          <cell r="BA24">
            <v>0</v>
          </cell>
          <cell r="BB24">
            <v>0</v>
          </cell>
          <cell r="BC24">
            <v>0</v>
          </cell>
          <cell r="BD24">
            <v>0</v>
          </cell>
          <cell r="BE24">
            <v>0</v>
          </cell>
          <cell r="BJ24">
            <v>0</v>
          </cell>
        </row>
        <row r="25">
          <cell r="B25" t="str">
            <v>FX</v>
          </cell>
          <cell r="AQ25">
            <v>0.01</v>
          </cell>
          <cell r="AR25">
            <v>0</v>
          </cell>
          <cell r="AS25">
            <v>0</v>
          </cell>
          <cell r="AT25">
            <v>0</v>
          </cell>
          <cell r="AU25">
            <v>2.2858186260622071E-3</v>
          </cell>
          <cell r="AV25">
            <v>0</v>
          </cell>
          <cell r="AW25">
            <v>0.01</v>
          </cell>
          <cell r="AX25">
            <v>-0.01</v>
          </cell>
          <cell r="AY25">
            <v>0</v>
          </cell>
          <cell r="AZ25">
            <v>-2.6376561128367294E-4</v>
          </cell>
          <cell r="BA25">
            <v>0</v>
          </cell>
          <cell r="BB25">
            <v>0</v>
          </cell>
          <cell r="BC25">
            <v>0</v>
          </cell>
          <cell r="BD25">
            <v>0</v>
          </cell>
          <cell r="BE25">
            <v>0</v>
          </cell>
          <cell r="BJ25">
            <v>0</v>
          </cell>
        </row>
        <row r="27">
          <cell r="B27" t="str">
            <v>Commercial Aerospace</v>
          </cell>
          <cell r="AP27">
            <v>38.65341819230769</v>
          </cell>
          <cell r="AU27">
            <v>37.061764705882375</v>
          </cell>
          <cell r="AZ27">
            <v>30.76034999999996</v>
          </cell>
          <cell r="BE27">
            <v>32.963528000000139</v>
          </cell>
          <cell r="BJ27">
            <v>40.459933570000032</v>
          </cell>
          <cell r="BL27">
            <v>733.79561799999988</v>
          </cell>
          <cell r="BP27" t="str">
            <v>5% - 7%</v>
          </cell>
        </row>
        <row r="28">
          <cell r="B28" t="str">
            <v>y/y</v>
          </cell>
          <cell r="AU28">
            <v>-4.1177561024656417E-2</v>
          </cell>
          <cell r="AZ28">
            <v>-0.17002468058090781</v>
          </cell>
          <cell r="BE28">
            <v>7.1623957464729271E-2</v>
          </cell>
          <cell r="BJ28">
            <v>0.22741514712866473</v>
          </cell>
        </row>
        <row r="29">
          <cell r="B29" t="str">
            <v>Aerospace Defense</v>
          </cell>
          <cell r="AP29">
            <v>248.48625980769231</v>
          </cell>
          <cell r="AU29">
            <v>277.96323529411779</v>
          </cell>
          <cell r="AZ29">
            <v>304.17565000000002</v>
          </cell>
          <cell r="BE29">
            <v>304.17565000000002</v>
          </cell>
          <cell r="BJ29">
            <v>328.50970200000006</v>
          </cell>
          <cell r="BP29" t="str">
            <v>Flat - 2% Ex. Safran</v>
          </cell>
        </row>
        <row r="30">
          <cell r="B30" t="str">
            <v>y/y</v>
          </cell>
          <cell r="AU30">
            <v>0.11862617880456727</v>
          </cell>
          <cell r="AZ30">
            <v>9.430173266671904E-2</v>
          </cell>
          <cell r="BE30">
            <v>0</v>
          </cell>
          <cell r="BJ30">
            <v>0.08</v>
          </cell>
        </row>
        <row r="31">
          <cell r="B31" t="str">
            <v>Ground Defense</v>
          </cell>
          <cell r="AP31">
            <v>107.44799999999999</v>
          </cell>
          <cell r="AU31">
            <v>223.89</v>
          </cell>
          <cell r="AZ31">
            <v>219.739</v>
          </cell>
          <cell r="BE31">
            <v>228.52856</v>
          </cell>
          <cell r="BJ31">
            <v>237.66970240000001</v>
          </cell>
          <cell r="BP31" t="str">
            <v>4% - 6%</v>
          </cell>
        </row>
        <row r="32">
          <cell r="B32" t="str">
            <v>y/y</v>
          </cell>
          <cell r="AU32">
            <v>1.0837056064328792</v>
          </cell>
          <cell r="AZ32">
            <v>-1.8540354638438394E-2</v>
          </cell>
          <cell r="BE32">
            <v>0.04</v>
          </cell>
          <cell r="BJ32">
            <v>0.04</v>
          </cell>
          <cell r="BP32" t="str">
            <v>Tactical Battlefield and Higher Int'l</v>
          </cell>
        </row>
        <row r="33">
          <cell r="B33" t="str">
            <v>Naval Defense</v>
          </cell>
          <cell r="AP33">
            <v>216.05132200000003</v>
          </cell>
          <cell r="AU33">
            <v>189.00399999999991</v>
          </cell>
          <cell r="AZ33">
            <v>135.58699999999988</v>
          </cell>
          <cell r="BE33">
            <v>168.12787999999983</v>
          </cell>
          <cell r="BJ33">
            <v>174.85299519999984</v>
          </cell>
          <cell r="BL33">
            <v>694015</v>
          </cell>
          <cell r="BM33">
            <v>34700.75</v>
          </cell>
          <cell r="BP33" t="str">
            <v>4% - 6%</v>
          </cell>
          <cell r="BQ33" t="str">
            <v>&lt;10%-12% Including Safran M&amp;A</v>
          </cell>
        </row>
        <row r="34">
          <cell r="B34" t="str">
            <v>y/y</v>
          </cell>
          <cell r="AU34">
            <v>-0.12518933811476574</v>
          </cell>
          <cell r="AZ34">
            <v>-0.28262364817675845</v>
          </cell>
          <cell r="BE34">
            <v>0.24</v>
          </cell>
          <cell r="BJ34">
            <v>0.04</v>
          </cell>
          <cell r="BL34">
            <v>0.10763564188093917</v>
          </cell>
          <cell r="BM34">
            <v>0.10792698082894447</v>
          </cell>
          <cell r="BP34" t="str">
            <v>Columbia Class and Aircraft</v>
          </cell>
        </row>
        <row r="36">
          <cell r="B36" t="str">
            <v>Naval &amp; Power</v>
          </cell>
          <cell r="C36">
            <v>137.1</v>
          </cell>
          <cell r="D36">
            <v>137.9</v>
          </cell>
          <cell r="E36">
            <v>132.9</v>
          </cell>
          <cell r="F36">
            <v>153.80000000000001</v>
          </cell>
          <cell r="G36">
            <v>561.70000000000005</v>
          </cell>
          <cell r="H36">
            <v>129.63499999999999</v>
          </cell>
          <cell r="I36">
            <v>136.893</v>
          </cell>
          <cell r="J36">
            <v>118.514</v>
          </cell>
          <cell r="K36">
            <v>140.13</v>
          </cell>
          <cell r="AG36">
            <v>229.40576743679398</v>
          </cell>
          <cell r="AH36">
            <v>247.970980505412</v>
          </cell>
          <cell r="AI36">
            <v>233.41160600000001</v>
          </cell>
          <cell r="AJ36">
            <v>250.099774</v>
          </cell>
          <cell r="AK36">
            <v>960.88812794220598</v>
          </cell>
          <cell r="AL36">
            <v>228.04815400000001</v>
          </cell>
          <cell r="AM36">
            <v>227.18944300000004</v>
          </cell>
          <cell r="AN36">
            <v>228.62576999999999</v>
          </cell>
          <cell r="AO36">
            <v>267.07931099999996</v>
          </cell>
          <cell r="AP36">
            <v>950.942678</v>
          </cell>
          <cell r="AQ36">
            <v>229.9</v>
          </cell>
          <cell r="AR36">
            <v>252</v>
          </cell>
          <cell r="AS36">
            <v>235.3</v>
          </cell>
          <cell r="AT36">
            <v>248.10400000000001</v>
          </cell>
          <cell r="AU36">
            <v>965.30400000000009</v>
          </cell>
          <cell r="AV36">
            <v>225.28</v>
          </cell>
          <cell r="AW36">
            <v>251.23599999999999</v>
          </cell>
          <cell r="AX36">
            <v>256.26100000000002</v>
          </cell>
          <cell r="AY36">
            <v>297.95100000000002</v>
          </cell>
          <cell r="AZ36">
            <v>1030.7280000000001</v>
          </cell>
          <cell r="BA36">
            <v>254.29120000000003</v>
          </cell>
          <cell r="BB36">
            <v>278.77307999999999</v>
          </cell>
          <cell r="BC36">
            <v>263.82361000000003</v>
          </cell>
          <cell r="BD36">
            <v>300.93051000000003</v>
          </cell>
          <cell r="BE36">
            <v>1097.8184000000001</v>
          </cell>
          <cell r="BJ36">
            <v>1146.7311360000001</v>
          </cell>
          <cell r="BP36" t="str">
            <v>$1,085 - $1,100</v>
          </cell>
          <cell r="BR36" t="str">
            <v>Nuclear 11% of 2022 &gt; 28% or size of Navy by 2030</v>
          </cell>
          <cell r="BW36" t="str">
            <v>23%++ Margin on AP1000</v>
          </cell>
        </row>
        <row r="37">
          <cell r="B37" t="str">
            <v>Y/Y Change</v>
          </cell>
          <cell r="H37">
            <v>-5.4449307075127629E-2</v>
          </cell>
          <cell r="I37">
            <v>-7.3023930384337188E-3</v>
          </cell>
          <cell r="J37">
            <v>-0.10824680210684734</v>
          </cell>
          <cell r="K37">
            <v>-8.8881664499349866E-2</v>
          </cell>
          <cell r="AL37">
            <v>-5.9179568672702576E-3</v>
          </cell>
          <cell r="AM37">
            <v>-8.3806328720623879E-2</v>
          </cell>
          <cell r="AN37">
            <v>-2.0503847610731096E-2</v>
          </cell>
          <cell r="AO37">
            <v>6.7891052952330888E-2</v>
          </cell>
          <cell r="AP37">
            <v>-1.0350268312196431E-2</v>
          </cell>
          <cell r="AQ37">
            <v>8.1204165327293243E-3</v>
          </cell>
          <cell r="AR37">
            <v>0.10920646959814917</v>
          </cell>
          <cell r="AS37">
            <v>2.919281584048905E-2</v>
          </cell>
          <cell r="AT37">
            <v>-7.1047476230758799E-2</v>
          </cell>
          <cell r="AU37">
            <v>1.5102195255559003E-2</v>
          </cell>
          <cell r="AV37">
            <v>-2.0095693779904278E-2</v>
          </cell>
          <cell r="AW37">
            <v>-3.0317460317460521E-3</v>
          </cell>
          <cell r="AX37">
            <v>8.9082022949426243E-2</v>
          </cell>
          <cell r="AY37">
            <v>0.20091171444233069</v>
          </cell>
          <cell r="AZ37">
            <v>6.7775540140722512E-2</v>
          </cell>
          <cell r="BA37">
            <v>0.1287784090909091</v>
          </cell>
          <cell r="BB37">
            <v>0.10960642583069305</v>
          </cell>
          <cell r="BC37">
            <v>2.9511357561236393E-2</v>
          </cell>
          <cell r="BD37">
            <v>0.01</v>
          </cell>
          <cell r="BE37">
            <v>6.5090305104741564E-2</v>
          </cell>
          <cell r="BJ37">
            <v>4.4554487335974696E-2</v>
          </cell>
          <cell r="BP37" t="str">
            <v>5% - 7%</v>
          </cell>
          <cell r="BR37" t="str">
            <v>Translates into 12% CAGR or 2% company level organic growth</v>
          </cell>
        </row>
        <row r="38">
          <cell r="B38" t="str">
            <v>Organic</v>
          </cell>
          <cell r="AQ38">
            <v>-0.01</v>
          </cell>
          <cell r="AR38">
            <v>0.1</v>
          </cell>
          <cell r="AS38">
            <v>0.03</v>
          </cell>
          <cell r="AT38">
            <v>-7.1047476230758799E-2</v>
          </cell>
          <cell r="AU38">
            <v>8.7512371171546786E-3</v>
          </cell>
          <cell r="AV38">
            <v>-0.04</v>
          </cell>
          <cell r="AW38">
            <v>-0.03</v>
          </cell>
          <cell r="AX38">
            <v>0.03</v>
          </cell>
          <cell r="AY38">
            <v>0.12</v>
          </cell>
          <cell r="AZ38">
            <v>2.0797054606631695E-2</v>
          </cell>
          <cell r="BA38">
            <v>0.04</v>
          </cell>
          <cell r="BB38">
            <v>0.03</v>
          </cell>
          <cell r="BC38">
            <v>0.01</v>
          </cell>
          <cell r="BD38">
            <v>0.01</v>
          </cell>
          <cell r="BE38">
            <v>2.1431842348320795E-2</v>
          </cell>
          <cell r="BJ38">
            <v>0.04</v>
          </cell>
        </row>
        <row r="39">
          <cell r="B39" t="str">
            <v>Acq. / Divest</v>
          </cell>
          <cell r="AQ39">
            <v>0.01</v>
          </cell>
          <cell r="AR39">
            <v>0</v>
          </cell>
          <cell r="AS39">
            <v>0</v>
          </cell>
          <cell r="AT39">
            <v>0</v>
          </cell>
          <cell r="AU39">
            <v>2.3981272402204671E-3</v>
          </cell>
          <cell r="AV39">
            <v>-0.02</v>
          </cell>
          <cell r="AW39">
            <v>0</v>
          </cell>
          <cell r="AX39">
            <v>0.06</v>
          </cell>
          <cell r="AY39">
            <v>0.09</v>
          </cell>
          <cell r="AZ39">
            <v>3.2994124130843752E-2</v>
          </cell>
          <cell r="BA39">
            <v>8.8778409090909088E-2</v>
          </cell>
          <cell r="BB39">
            <v>7.9606425830693051E-2</v>
          </cell>
          <cell r="BC39">
            <v>1.9511357561236394E-2</v>
          </cell>
          <cell r="BD39">
            <v>0</v>
          </cell>
          <cell r="BE39">
            <v>4.3658462756420699E-2</v>
          </cell>
          <cell r="BJ39">
            <v>4.5544873359746928E-3</v>
          </cell>
          <cell r="BP39" t="str">
            <v>$40M Safran</v>
          </cell>
          <cell r="BR39" t="str">
            <v>Safran in A&amp;D End Market Guidance but Naval &amp; Power Acq</v>
          </cell>
        </row>
        <row r="40">
          <cell r="B40" t="str">
            <v>FX</v>
          </cell>
          <cell r="AQ40">
            <v>0</v>
          </cell>
          <cell r="AR40">
            <v>0.01</v>
          </cell>
          <cell r="AS40">
            <v>0.01</v>
          </cell>
          <cell r="AT40">
            <v>0</v>
          </cell>
          <cell r="AU40">
            <v>4.7932985188829649E-3</v>
          </cell>
          <cell r="AV40">
            <v>0</v>
          </cell>
          <cell r="AW40">
            <v>0</v>
          </cell>
          <cell r="AX40">
            <v>0</v>
          </cell>
          <cell r="AY40">
            <v>-0.01</v>
          </cell>
          <cell r="AZ40">
            <v>-2.5702162220398962E-3</v>
          </cell>
          <cell r="BA40">
            <v>0</v>
          </cell>
          <cell r="BB40">
            <v>0</v>
          </cell>
          <cell r="BC40">
            <v>0</v>
          </cell>
          <cell r="BD40">
            <v>0</v>
          </cell>
          <cell r="BE40">
            <v>0</v>
          </cell>
          <cell r="BJ40">
            <v>0</v>
          </cell>
        </row>
        <row r="42">
          <cell r="B42" t="str">
            <v>Naval Defense</v>
          </cell>
          <cell r="AP42">
            <v>476.10067800000002</v>
          </cell>
          <cell r="AU42">
            <v>521.68400000000008</v>
          </cell>
          <cell r="AZ42">
            <v>558.42800000000011</v>
          </cell>
          <cell r="BE42">
            <v>600.79006360000017</v>
          </cell>
          <cell r="BJ42">
            <v>617.02197760000013</v>
          </cell>
          <cell r="BK42">
            <v>67</v>
          </cell>
          <cell r="BL42" t="str">
            <v>&lt;$40M Higher from M&amp;A</v>
          </cell>
        </row>
        <row r="43">
          <cell r="B43" t="str">
            <v>y/y</v>
          </cell>
          <cell r="AU43">
            <v>9.5743031056973349E-2</v>
          </cell>
          <cell r="AZ43">
            <v>7.0433442467087382E-2</v>
          </cell>
          <cell r="BE43">
            <v>7.5859490569957222E-2</v>
          </cell>
          <cell r="BJ43">
            <v>2.7017613944439356E-2</v>
          </cell>
          <cell r="BL43">
            <v>42.362063600000056</v>
          </cell>
        </row>
        <row r="44">
          <cell r="B44" t="str">
            <v>Power &amp; Process</v>
          </cell>
          <cell r="AP44">
            <v>474.84199999999998</v>
          </cell>
          <cell r="AU44">
            <v>443.62</v>
          </cell>
          <cell r="AZ44">
            <v>472.3</v>
          </cell>
          <cell r="BE44">
            <v>497.0283364</v>
          </cell>
          <cell r="BJ44">
            <v>529.70915839999998</v>
          </cell>
          <cell r="BP44" t="str">
            <v>Flat</v>
          </cell>
          <cell r="BT44" t="str">
            <v>$2M of AM per Reactor annaully in US for $180M</v>
          </cell>
        </row>
        <row r="45">
          <cell r="B45" t="str">
            <v>y/y</v>
          </cell>
          <cell r="AU45">
            <v>-6.5752397639635918E-2</v>
          </cell>
          <cell r="AZ45">
            <v>6.4649925612010328E-2</v>
          </cell>
          <cell r="BE45">
            <v>5.2357265297480415E-2</v>
          </cell>
          <cell r="BJ45">
            <v>6.5752432218872503E-2</v>
          </cell>
        </row>
        <row r="47">
          <cell r="B47" t="str">
            <v>Process</v>
          </cell>
          <cell r="AU47">
            <v>177.44800000000001</v>
          </cell>
          <cell r="AZ47">
            <v>198.57876000000005</v>
          </cell>
          <cell r="BE47">
            <v>204.53612280000004</v>
          </cell>
          <cell r="BJ47">
            <v>212.71756771200006</v>
          </cell>
          <cell r="BR47" t="str">
            <v>Valves, Heat Exchanger, Pipe Testing to Power Gen, O&amp;G, Chemcial and Industrial mkts</v>
          </cell>
        </row>
        <row r="48">
          <cell r="B48" t="str">
            <v>y/y</v>
          </cell>
          <cell r="AZ48">
            <v>0.11908142103602204</v>
          </cell>
          <cell r="BE48">
            <v>0.03</v>
          </cell>
          <cell r="BJ48">
            <v>0.04</v>
          </cell>
          <cell r="BP48" t="str">
            <v>MSD</v>
          </cell>
        </row>
        <row r="49">
          <cell r="B49" t="str">
            <v>Nuclear</v>
          </cell>
          <cell r="AU49">
            <v>266.17199999999997</v>
          </cell>
          <cell r="AZ49">
            <v>273.72123999999997</v>
          </cell>
          <cell r="BE49">
            <v>292.49221359999996</v>
          </cell>
          <cell r="BJ49">
            <v>316.99159068799997</v>
          </cell>
        </row>
        <row r="50">
          <cell r="B50" t="str">
            <v>y/y</v>
          </cell>
          <cell r="AZ50">
            <v>2.8362261996002669E-2</v>
          </cell>
          <cell r="BE50">
            <v>6.8576971228100581E-2</v>
          </cell>
          <cell r="BJ50">
            <v>8.3760783873393363E-2</v>
          </cell>
          <cell r="BP50" t="str">
            <v>MSD</v>
          </cell>
          <cell r="BQ50" t="str">
            <v>&lt;Life Extension, SMR's $10-$15M</v>
          </cell>
        </row>
        <row r="52">
          <cell r="B52" t="str">
            <v>Nuclear OEM</v>
          </cell>
          <cell r="AU52">
            <v>60</v>
          </cell>
          <cell r="AZ52">
            <v>32.5</v>
          </cell>
          <cell r="BE52">
            <v>17.5</v>
          </cell>
          <cell r="BJ52">
            <v>20</v>
          </cell>
        </row>
        <row r="53">
          <cell r="B53" t="str">
            <v>y/y</v>
          </cell>
          <cell r="AZ53">
            <v>-0.45833333333333337</v>
          </cell>
          <cell r="BE53">
            <v>-0.46153846153846156</v>
          </cell>
          <cell r="BJ53">
            <v>0.14285714285714279</v>
          </cell>
        </row>
        <row r="54">
          <cell r="B54" t="str">
            <v>Nuclear Aftermarket</v>
          </cell>
          <cell r="AU54">
            <v>206.17199999999997</v>
          </cell>
          <cell r="AZ54">
            <v>241.22123999999994</v>
          </cell>
          <cell r="BE54">
            <v>274.99221359999996</v>
          </cell>
          <cell r="BJ54">
            <v>296.99159068799997</v>
          </cell>
        </row>
        <row r="55">
          <cell r="B55" t="str">
            <v>y/y</v>
          </cell>
          <cell r="AZ55">
            <v>0.17</v>
          </cell>
          <cell r="BE55">
            <v>0.14000000000000001</v>
          </cell>
          <cell r="BJ55">
            <v>0.08</v>
          </cell>
        </row>
        <row r="57">
          <cell r="B57" t="str">
            <v>Total Revenue</v>
          </cell>
          <cell r="C57">
            <v>494.4</v>
          </cell>
          <cell r="D57">
            <v>524.1</v>
          </cell>
          <cell r="E57">
            <v>511.4</v>
          </cell>
          <cell r="F57">
            <v>588.20000000000005</v>
          </cell>
          <cell r="G57">
            <v>2118.1</v>
          </cell>
          <cell r="H57">
            <v>542.95899999999995</v>
          </cell>
          <cell r="I57">
            <v>569.19799999999998</v>
          </cell>
          <cell r="J57">
            <v>558.38300000000004</v>
          </cell>
          <cell r="K57">
            <v>572.58600000000001</v>
          </cell>
          <cell r="L57">
            <v>2243.1260000000002</v>
          </cell>
          <cell r="M57">
            <v>546.19900000000007</v>
          </cell>
          <cell r="N57">
            <v>545.19399999999996</v>
          </cell>
          <cell r="O57">
            <v>525.53500000000008</v>
          </cell>
          <cell r="P57">
            <v>588.755</v>
          </cell>
          <cell r="Q57">
            <v>2205.683</v>
          </cell>
          <cell r="R57">
            <v>503.50700000000001</v>
          </cell>
          <cell r="S57">
            <v>532.76599999999996</v>
          </cell>
          <cell r="T57">
            <v>507.09199999999998</v>
          </cell>
          <cell r="U57">
            <v>565.56600000000003</v>
          </cell>
          <cell r="V57">
            <v>2108.931</v>
          </cell>
          <cell r="W57">
            <v>523.59100000000001</v>
          </cell>
          <cell r="X57">
            <v>567.65300000000002</v>
          </cell>
          <cell r="Y57">
            <v>567.90100000000007</v>
          </cell>
          <cell r="Z57">
            <v>611.88099999999997</v>
          </cell>
          <cell r="AA57">
            <v>2271.0260000000003</v>
          </cell>
          <cell r="AB57">
            <v>547.52199999999993</v>
          </cell>
          <cell r="AC57">
            <v>620.298</v>
          </cell>
          <cell r="AD57">
            <v>595.39300000000003</v>
          </cell>
          <cell r="AE57">
            <v>648.62199999999996</v>
          </cell>
          <cell r="AF57">
            <v>2411.835</v>
          </cell>
          <cell r="AG57">
            <v>554.92619712444298</v>
          </cell>
          <cell r="AH57">
            <v>611.98330374127704</v>
          </cell>
          <cell r="AI57">
            <v>586.44264326000007</v>
          </cell>
          <cell r="AJ57">
            <v>625.45509339</v>
          </cell>
          <cell r="AK57">
            <v>2378.8072375157199</v>
          </cell>
          <cell r="AL57">
            <v>575.66241106000007</v>
          </cell>
          <cell r="AM57">
            <v>532.70225187999995</v>
          </cell>
          <cell r="AN57">
            <v>549.94189363999999</v>
          </cell>
          <cell r="AO57">
            <v>641.4658287499999</v>
          </cell>
          <cell r="AP57">
            <v>2299.7723853299999</v>
          </cell>
          <cell r="AQ57">
            <v>589.9</v>
          </cell>
          <cell r="AR57">
            <v>609.29999999999995</v>
          </cell>
          <cell r="AS57">
            <v>613.79999999999995</v>
          </cell>
          <cell r="AT57">
            <v>655.29899999999998</v>
          </cell>
          <cell r="AU57">
            <v>2468.299</v>
          </cell>
          <cell r="AV57">
            <v>559.46100000000001</v>
          </cell>
          <cell r="AW57">
            <v>609.35699999999997</v>
          </cell>
          <cell r="AX57">
            <v>630.54199999999992</v>
          </cell>
          <cell r="AY57">
            <v>757.66499999999996</v>
          </cell>
          <cell r="AZ57">
            <v>2557.0250000000001</v>
          </cell>
          <cell r="BA57">
            <v>592.28383999999994</v>
          </cell>
          <cell r="BB57">
            <v>660.78209000000004</v>
          </cell>
          <cell r="BC57">
            <v>664.35901000000001</v>
          </cell>
          <cell r="BD57">
            <v>771.73043800000005</v>
          </cell>
          <cell r="BE57">
            <v>2689.1553779999999</v>
          </cell>
          <cell r="BJ57">
            <v>2832.9296039700002</v>
          </cell>
          <cell r="BP57" t="str">
            <v>$2,655 - $2,710</v>
          </cell>
        </row>
        <row r="58">
          <cell r="B58" t="str">
            <v>Y/Y Change</v>
          </cell>
          <cell r="H58">
            <v>9.8218042071197331E-2</v>
          </cell>
          <cell r="I58">
            <v>8.604846403358124E-2</v>
          </cell>
          <cell r="J58">
            <v>9.1871333594055749E-2</v>
          </cell>
          <cell r="K58">
            <v>-2.6545392723563488E-2</v>
          </cell>
          <cell r="L58">
            <v>5.9027430244086743E-2</v>
          </cell>
          <cell r="M58">
            <v>5.9673013984482548E-3</v>
          </cell>
          <cell r="N58">
            <v>-4.2171616906594878E-2</v>
          </cell>
          <cell r="O58">
            <v>-5.8827005836495694E-2</v>
          </cell>
          <cell r="P58">
            <v>2.8238552811280737E-2</v>
          </cell>
          <cell r="Q58">
            <v>-1.669233025697181E-2</v>
          </cell>
          <cell r="R58">
            <v>-7.816198857925416E-2</v>
          </cell>
          <cell r="S58">
            <v>-2.2795555343602447E-2</v>
          </cell>
          <cell r="T58">
            <v>-3.5093761595326844E-2</v>
          </cell>
          <cell r="U58">
            <v>-3.9386502025460457E-2</v>
          </cell>
          <cell r="V58">
            <v>-4.3864870881264451E-2</v>
          </cell>
          <cell r="W58">
            <v>3.9888223996885852E-2</v>
          </cell>
          <cell r="X58">
            <v>6.5482782309681964E-2</v>
          </cell>
          <cell r="Y58">
            <v>0.11991709591159028</v>
          </cell>
          <cell r="Z58">
            <v>8.1891414971904108E-2</v>
          </cell>
          <cell r="AA58">
            <v>7.6861215468879918E-2</v>
          </cell>
          <cell r="AB58">
            <v>4.5705522058247627E-2</v>
          </cell>
          <cell r="AC58">
            <v>9.2741516384128975E-2</v>
          </cell>
          <cell r="AD58">
            <v>4.8409846082327679E-2</v>
          </cell>
          <cell r="AE58">
            <v>6.0045989334527539E-2</v>
          </cell>
          <cell r="AF58">
            <v>6.2002372495955527E-2</v>
          </cell>
          <cell r="AG58">
            <v>1.3523104321731427E-2</v>
          </cell>
          <cell r="AH58">
            <v>-1.3404357677637146E-2</v>
          </cell>
          <cell r="AI58">
            <v>-1.503268721667872E-2</v>
          </cell>
          <cell r="AJ58">
            <v>-3.5717115068560679E-2</v>
          </cell>
          <cell r="AK58">
            <v>-1.3694038972102196E-2</v>
          </cell>
          <cell r="AL58">
            <v>3.7367516695030023E-2</v>
          </cell>
          <cell r="AM58">
            <v>-0.12954773664020425</v>
          </cell>
          <cell r="AN58">
            <v>-6.2240954063460641E-2</v>
          </cell>
          <cell r="AO58">
            <v>2.5598537016016332E-2</v>
          </cell>
          <cell r="AP58">
            <v>-3.3224571936421032E-2</v>
          </cell>
          <cell r="AQ58">
            <v>2.4732531891014764E-2</v>
          </cell>
          <cell r="AR58">
            <v>0.143790922320439</v>
          </cell>
          <cell r="AS58">
            <v>0.11611791554436923</v>
          </cell>
          <cell r="AT58">
            <v>2.1564938660810995E-2</v>
          </cell>
          <cell r="AU58">
            <v>7.3279693131812929E-2</v>
          </cell>
          <cell r="AV58">
            <v>-5.1600271232412176E-2</v>
          </cell>
          <cell r="AW58">
            <v>9.3549975381579387E-5</v>
          </cell>
          <cell r="AX58">
            <v>2.7275985663082425E-2</v>
          </cell>
          <cell r="AY58">
            <v>0.15621266017497359</v>
          </cell>
          <cell r="AZ58">
            <v>3.5946212351096962E-2</v>
          </cell>
          <cell r="BA58">
            <v>5.8668682892998758E-2</v>
          </cell>
          <cell r="BB58">
            <v>8.4392384103243456E-2</v>
          </cell>
          <cell r="BC58">
            <v>5.3631653402945512E-2</v>
          </cell>
          <cell r="BD58">
            <v>1.8564191298265253E-2</v>
          </cell>
          <cell r="BE58">
            <v>5.1673479140798229E-2</v>
          </cell>
          <cell r="BJ58">
            <v>5.346445473036554E-2</v>
          </cell>
          <cell r="BY58" t="str">
            <v>5% - 10%</v>
          </cell>
        </row>
        <row r="59">
          <cell r="B59" t="str">
            <v>Organic</v>
          </cell>
          <cell r="Q59" t="str">
            <v>-</v>
          </cell>
          <cell r="R59">
            <v>-0.02</v>
          </cell>
          <cell r="S59">
            <v>-0.02</v>
          </cell>
          <cell r="T59">
            <v>-0.03</v>
          </cell>
          <cell r="U59">
            <v>-0.03</v>
          </cell>
          <cell r="V59">
            <v>-0.04</v>
          </cell>
          <cell r="W59">
            <v>0.03</v>
          </cell>
          <cell r="X59">
            <v>0.05</v>
          </cell>
          <cell r="Y59">
            <v>0.08</v>
          </cell>
          <cell r="Z59">
            <v>0.03</v>
          </cell>
          <cell r="AA59">
            <v>0.05</v>
          </cell>
          <cell r="AB59">
            <v>0.03</v>
          </cell>
          <cell r="AC59">
            <v>0.04</v>
          </cell>
          <cell r="AD59">
            <v>0.02</v>
          </cell>
          <cell r="AE59">
            <v>0.03</v>
          </cell>
          <cell r="AF59">
            <v>0.03</v>
          </cell>
          <cell r="AG59">
            <v>0.02</v>
          </cell>
          <cell r="AH59">
            <v>0.03</v>
          </cell>
          <cell r="AI59">
            <v>0.03</v>
          </cell>
          <cell r="AJ59">
            <v>0.01</v>
          </cell>
          <cell r="AK59">
            <v>0.02</v>
          </cell>
          <cell r="AL59">
            <v>0.01</v>
          </cell>
          <cell r="AM59">
            <v>-0.17</v>
          </cell>
          <cell r="AN59">
            <v>-0.1</v>
          </cell>
          <cell r="AO59">
            <v>-0.05</v>
          </cell>
          <cell r="AP59">
            <v>-7.9201423170811955E-2</v>
          </cell>
          <cell r="AQ59">
            <v>-0.08</v>
          </cell>
          <cell r="AR59">
            <v>5.8006710275669726E-2</v>
          </cell>
          <cell r="AS59">
            <v>1.3735772627180275E-2</v>
          </cell>
          <cell r="AT59">
            <v>5.7276492142374034E-3</v>
          </cell>
          <cell r="AU59">
            <v>-1.7065687294252647E-3</v>
          </cell>
          <cell r="AV59">
            <v>-6.2412273266655369E-2</v>
          </cell>
          <cell r="AW59">
            <v>-8.9036599376333472E-3</v>
          </cell>
          <cell r="AX59">
            <v>2.0050505050505051E-2</v>
          </cell>
          <cell r="AY59">
            <v>0.1366328271521855</v>
          </cell>
          <cell r="AZ59">
            <v>2.4146327085981075E-2</v>
          </cell>
          <cell r="BA59">
            <v>3.6583997812179941E-2</v>
          </cell>
          <cell r="BB59">
            <v>5.1570901786637396E-2</v>
          </cell>
          <cell r="BC59">
            <v>4.5701967513662851E-2</v>
          </cell>
          <cell r="BD59">
            <v>1.8564191298265066E-2</v>
          </cell>
          <cell r="BE59">
            <v>3.7064501911400941E-2</v>
          </cell>
          <cell r="BJ59">
            <v>5.1605134870715531E-2</v>
          </cell>
          <cell r="BP59" t="str">
            <v>2% - 4%</v>
          </cell>
        </row>
        <row r="60">
          <cell r="B60" t="str">
            <v>Acq. / Divest</v>
          </cell>
          <cell r="Q60" t="str">
            <v>-</v>
          </cell>
          <cell r="R60" t="str">
            <v>-</v>
          </cell>
          <cell r="S60" t="str">
            <v>-</v>
          </cell>
          <cell r="T60" t="str">
            <v>-</v>
          </cell>
          <cell r="U60" t="str">
            <v>-</v>
          </cell>
          <cell r="V60" t="str">
            <v>-</v>
          </cell>
          <cell r="W60">
            <v>0.02</v>
          </cell>
          <cell r="X60">
            <v>0.03</v>
          </cell>
          <cell r="Y60">
            <v>0.04</v>
          </cell>
          <cell r="Z60">
            <v>0.04</v>
          </cell>
          <cell r="AA60">
            <v>0.03</v>
          </cell>
          <cell r="AB60" t="str">
            <v>-</v>
          </cell>
          <cell r="AC60">
            <v>0.04</v>
          </cell>
          <cell r="AD60">
            <v>0.03</v>
          </cell>
          <cell r="AE60">
            <v>0.04</v>
          </cell>
          <cell r="AF60">
            <v>0.03</v>
          </cell>
          <cell r="AG60">
            <v>0.05</v>
          </cell>
          <cell r="AH60">
            <v>0.01</v>
          </cell>
          <cell r="AI60">
            <v>0.01</v>
          </cell>
          <cell r="AJ60">
            <v>0.01</v>
          </cell>
          <cell r="AK60">
            <v>0.02</v>
          </cell>
          <cell r="AL60">
            <v>0.03</v>
          </cell>
          <cell r="AM60">
            <v>0.03</v>
          </cell>
          <cell r="AN60">
            <v>0.03</v>
          </cell>
          <cell r="AO60">
            <v>0.06</v>
          </cell>
          <cell r="AP60">
            <v>3.7887840807687978E-2</v>
          </cell>
          <cell r="AQ60">
            <v>0.06</v>
          </cell>
          <cell r="AR60">
            <v>5.7740773370954138E-2</v>
          </cell>
          <cell r="AS60">
            <v>6.7767614053415512E-2</v>
          </cell>
          <cell r="AT60">
            <v>1.7039691765498431E-2</v>
          </cell>
          <cell r="AU60">
            <v>4.9351412073466591E-2</v>
          </cell>
          <cell r="AV60">
            <v>-7.7945414477030009E-3</v>
          </cell>
          <cell r="AW60">
            <v>0</v>
          </cell>
          <cell r="AX60">
            <v>2.3000977517106551E-2</v>
          </cell>
          <cell r="AY60">
            <v>3.4075071074425568E-2</v>
          </cell>
          <cell r="AZ60">
            <v>1.2903363814513558E-2</v>
          </cell>
          <cell r="BA60">
            <v>3.574869383209911E-2</v>
          </cell>
          <cell r="BB60">
            <v>3.2821482316605866E-2</v>
          </cell>
          <cell r="BC60">
            <v>7.9296858892825544E-3</v>
          </cell>
          <cell r="BD60">
            <v>0</v>
          </cell>
          <cell r="BE60">
            <v>1.7598576470703259E-2</v>
          </cell>
          <cell r="BJ60">
            <v>1.8593198596499991E-3</v>
          </cell>
        </row>
        <row r="61">
          <cell r="B61" t="str">
            <v>FX</v>
          </cell>
          <cell r="Q61">
            <v>-0.02</v>
          </cell>
          <cell r="R61" t="str">
            <v>-</v>
          </cell>
          <cell r="S61" t="str">
            <v>-</v>
          </cell>
          <cell r="T61">
            <v>-0.01</v>
          </cell>
          <cell r="U61">
            <v>-0.01</v>
          </cell>
          <cell r="V61" t="str">
            <v>-</v>
          </cell>
          <cell r="W61">
            <v>-0.01</v>
          </cell>
          <cell r="X61">
            <v>-0.01</v>
          </cell>
          <cell r="Y61" t="str">
            <v>-</v>
          </cell>
          <cell r="Z61">
            <v>0.01</v>
          </cell>
          <cell r="AA61" t="str">
            <v>-</v>
          </cell>
          <cell r="AB61">
            <v>0.02</v>
          </cell>
          <cell r="AC61">
            <v>0.01</v>
          </cell>
          <cell r="AD61" t="str">
            <v>-</v>
          </cell>
          <cell r="AE61">
            <v>-0.01</v>
          </cell>
          <cell r="AF61" t="str">
            <v>-</v>
          </cell>
          <cell r="AG61">
            <v>-0.01</v>
          </cell>
          <cell r="AH61">
            <v>-0.01</v>
          </cell>
          <cell r="AI61">
            <v>-0.01</v>
          </cell>
          <cell r="AJ61">
            <v>-0.01</v>
          </cell>
          <cell r="AK61">
            <v>-0.01</v>
          </cell>
          <cell r="AL61">
            <v>0</v>
          </cell>
          <cell r="AM61">
            <v>0</v>
          </cell>
          <cell r="AN61">
            <v>0</v>
          </cell>
          <cell r="AO61">
            <v>0.01</v>
          </cell>
          <cell r="AP61">
            <v>2.6292802692293254E-3</v>
          </cell>
          <cell r="AQ61">
            <v>0.01</v>
          </cell>
          <cell r="AR61">
            <v>0.01</v>
          </cell>
          <cell r="AS61">
            <v>7.2892954378633787E-3</v>
          </cell>
          <cell r="AT61">
            <v>0</v>
          </cell>
          <cell r="AU61">
            <v>6.5625344760517953E-3</v>
          </cell>
          <cell r="AV61">
            <v>3.0123749788099679E-3</v>
          </cell>
          <cell r="AW61">
            <v>-6.8652552108977522E-3</v>
          </cell>
          <cell r="AX61">
            <v>-1.2549690452916259E-2</v>
          </cell>
          <cell r="AY61">
            <v>-1.4872905345498776E-2</v>
          </cell>
          <cell r="AZ61">
            <v>-8.0440821796711019E-3</v>
          </cell>
          <cell r="BA61">
            <v>-1.366400875128025E-2</v>
          </cell>
          <cell r="BB61">
            <v>0</v>
          </cell>
          <cell r="BC61">
            <v>0</v>
          </cell>
          <cell r="BD61">
            <v>0</v>
          </cell>
          <cell r="BE61">
            <v>-2.9895992413058142E-3</v>
          </cell>
          <cell r="BJ61">
            <v>0</v>
          </cell>
        </row>
        <row r="62">
          <cell r="B62" t="str">
            <v>Consensus</v>
          </cell>
        </row>
        <row r="63">
          <cell r="B63" t="str">
            <v>Fwd yr Guidance</v>
          </cell>
        </row>
        <row r="65">
          <cell r="B65" t="str">
            <v>Operating Margins</v>
          </cell>
        </row>
        <row r="66">
          <cell r="B66" t="str">
            <v xml:space="preserve">Aerospace &amp; Industrial </v>
          </cell>
          <cell r="C66">
            <v>0.10152487961476726</v>
          </cell>
          <cell r="D66">
            <v>0.12316715542521994</v>
          </cell>
          <cell r="E66">
            <v>0.14301430143014301</v>
          </cell>
          <cell r="F66">
            <v>0.11869225302061123</v>
          </cell>
          <cell r="G66">
            <v>0.12201468265031133</v>
          </cell>
          <cell r="H66">
            <v>0.12791366093708986</v>
          </cell>
          <cell r="I66">
            <v>0.14579442826276776</v>
          </cell>
          <cell r="J66">
            <v>0.16325989105137978</v>
          </cell>
          <cell r="K66">
            <v>0.14430454717872615</v>
          </cell>
          <cell r="AG66">
            <v>0.12372714811838496</v>
          </cell>
          <cell r="AH66">
            <v>0.16819427589041386</v>
          </cell>
          <cell r="AI66">
            <v>0.13807469581057255</v>
          </cell>
          <cell r="AJ66">
            <v>0.14640331068809301</v>
          </cell>
          <cell r="AK66">
            <v>0.1445231504187259</v>
          </cell>
          <cell r="AL66">
            <v>0.1366141335011124</v>
          </cell>
          <cell r="AM66">
            <v>7.7238157263422078E-2</v>
          </cell>
          <cell r="AN66">
            <v>0.13293967626029579</v>
          </cell>
          <cell r="AO66">
            <v>0.17542007105537052</v>
          </cell>
          <cell r="AP66">
            <v>0.13253318058926911</v>
          </cell>
          <cell r="AQ66">
            <v>0.10410804727068093</v>
          </cell>
          <cell r="AR66">
            <v>0.15729757607013925</v>
          </cell>
          <cell r="AS66">
            <v>0.15722307299642674</v>
          </cell>
          <cell r="AT66">
            <v>0.19480094037846379</v>
          </cell>
          <cell r="AU66">
            <v>0.15512801325289388</v>
          </cell>
          <cell r="AV66">
            <v>0.13004416258529031</v>
          </cell>
          <cell r="AW66">
            <v>0.15564888863318183</v>
          </cell>
          <cell r="AX66">
            <v>0.18339410492132543</v>
          </cell>
          <cell r="AY66">
            <v>0.18499673024034971</v>
          </cell>
          <cell r="AZ66">
            <v>0.16470482695102476</v>
          </cell>
          <cell r="BA66">
            <v>0.13500000000000001</v>
          </cell>
          <cell r="BB66">
            <v>0.16300000000000001</v>
          </cell>
          <cell r="BC66">
            <v>0.188</v>
          </cell>
          <cell r="BD66">
            <v>0.19</v>
          </cell>
          <cell r="BE66">
            <v>0.17045307337712554</v>
          </cell>
          <cell r="BJ66">
            <v>0.17499999999999999</v>
          </cell>
          <cell r="BP66" t="str">
            <v>17.0% - 17.2%</v>
          </cell>
        </row>
        <row r="67">
          <cell r="B67" t="str">
            <v>Defense Electronics</v>
          </cell>
          <cell r="C67">
            <v>7.6780758556891773E-2</v>
          </cell>
          <cell r="D67">
            <v>0.16843033509700175</v>
          </cell>
          <cell r="E67">
            <v>0.17580340264650285</v>
          </cell>
          <cell r="F67">
            <v>0.18562091503267972</v>
          </cell>
          <cell r="G67">
            <v>0.15490318550905685</v>
          </cell>
          <cell r="H67">
            <v>0.140463286791076</v>
          </cell>
          <cell r="I67">
            <v>0.15190663842642205</v>
          </cell>
          <cell r="J67">
            <v>0.17692289530225638</v>
          </cell>
          <cell r="K67">
            <v>0.19926014645461573</v>
          </cell>
          <cell r="AG67">
            <v>0.15289521991591384</v>
          </cell>
          <cell r="AH67">
            <v>0.21323322221359553</v>
          </cell>
          <cell r="AI67">
            <v>0.26875278560336885</v>
          </cell>
          <cell r="AJ67">
            <v>0.26867877882703178</v>
          </cell>
          <cell r="AK67">
            <v>0.23054017388542528</v>
          </cell>
          <cell r="AL67">
            <v>0.19229317586419989</v>
          </cell>
          <cell r="AM67">
            <v>0.23993017956594884</v>
          </cell>
          <cell r="AN67">
            <v>0.25926276251327451</v>
          </cell>
          <cell r="AO67">
            <v>0.2488703488715189</v>
          </cell>
          <cell r="AP67">
            <v>0.23642795155056898</v>
          </cell>
          <cell r="AQ67">
            <v>0.2095447065277016</v>
          </cell>
          <cell r="AR67">
            <v>0.18849449204406366</v>
          </cell>
          <cell r="AS67">
            <v>0.23165388828039429</v>
          </cell>
          <cell r="AT67">
            <v>0.26487959562967456</v>
          </cell>
          <cell r="AU67">
            <v>0.22554020433592198</v>
          </cell>
          <cell r="AV67">
            <v>0.1627885845291433</v>
          </cell>
          <cell r="AW67">
            <v>0.16355843235327552</v>
          </cell>
          <cell r="AX67">
            <v>0.22698960220363801</v>
          </cell>
          <cell r="AY67">
            <v>0.29701086037148561</v>
          </cell>
          <cell r="AZ67">
            <v>0.22392656701368466</v>
          </cell>
          <cell r="BA67">
            <v>0.16600000000000001</v>
          </cell>
          <cell r="BB67">
            <v>0.17499999999999999</v>
          </cell>
          <cell r="BC67">
            <v>0.23100000000000001</v>
          </cell>
          <cell r="BD67">
            <v>0.29699999999999999</v>
          </cell>
          <cell r="BE67">
            <v>0.22724300199623157</v>
          </cell>
          <cell r="BJ67">
            <v>0.23</v>
          </cell>
          <cell r="BP67" t="str">
            <v>22.7% - 22.9%</v>
          </cell>
        </row>
        <row r="68">
          <cell r="B68" t="str">
            <v>Naval &amp; Power</v>
          </cell>
          <cell r="C68">
            <v>0.12326768781911013</v>
          </cell>
          <cell r="D68">
            <v>0.13343002175489482</v>
          </cell>
          <cell r="E68">
            <v>0.10759969902182091</v>
          </cell>
          <cell r="F68">
            <v>0.15409622886866059</v>
          </cell>
          <cell r="G68">
            <v>0.13049670642691827</v>
          </cell>
          <cell r="H68">
            <v>0.1101168665869557</v>
          </cell>
          <cell r="I68">
            <v>0.10858845959983345</v>
          </cell>
          <cell r="J68">
            <v>9.3837015036198262E-2</v>
          </cell>
          <cell r="K68">
            <v>7.984014843359738E-2</v>
          </cell>
          <cell r="AG68">
            <v>0.15252154255628919</v>
          </cell>
          <cell r="AH68">
            <v>0.18388320640929587</v>
          </cell>
          <cell r="AI68">
            <v>0.17841038981505339</v>
          </cell>
          <cell r="AJ68">
            <v>0.20722324038369569</v>
          </cell>
          <cell r="AK68">
            <v>0.18114133857251466</v>
          </cell>
          <cell r="AL68">
            <v>0.14689517856011772</v>
          </cell>
          <cell r="AM68">
            <v>0.168688986318759</v>
          </cell>
          <cell r="AN68">
            <v>0.18371499024932647</v>
          </cell>
          <cell r="AO68">
            <v>0.21357193413098588</v>
          </cell>
          <cell r="AP68">
            <v>0.17968081696199206</v>
          </cell>
          <cell r="AQ68">
            <v>0.17659852109612875</v>
          </cell>
          <cell r="AR68">
            <v>0.17261904761904762</v>
          </cell>
          <cell r="AS68">
            <v>0.18657033574160645</v>
          </cell>
          <cell r="AT68">
            <v>0.19276996743301195</v>
          </cell>
          <cell r="AU68">
            <v>0.18214676412819172</v>
          </cell>
          <cell r="AV68">
            <v>0.14521928267045456</v>
          </cell>
          <cell r="AW68">
            <v>0.19902004489802416</v>
          </cell>
          <cell r="AX68">
            <v>0.18918602518526034</v>
          </cell>
          <cell r="AY68">
            <v>0.20285550308607792</v>
          </cell>
          <cell r="AZ68">
            <v>0.18592489968255446</v>
          </cell>
          <cell r="BA68">
            <v>0.14599999999999999</v>
          </cell>
          <cell r="BB68">
            <v>0.19400000000000001</v>
          </cell>
          <cell r="BC68">
            <v>0.18</v>
          </cell>
          <cell r="BD68">
            <v>0.183</v>
          </cell>
          <cell r="BE68">
            <v>0.17650189307266118</v>
          </cell>
          <cell r="BJ68">
            <v>0.186</v>
          </cell>
          <cell r="BO68" t="str">
            <v>$8M Subsea Pump R&amp;D or 70bps</v>
          </cell>
          <cell r="BP68" t="str">
            <v>17.5% - 17.7%</v>
          </cell>
          <cell r="BR68" t="str">
            <v>AP1000 Highest Mix 23%++ Margin</v>
          </cell>
        </row>
        <row r="69">
          <cell r="B69" t="str">
            <v>Total Operating Margins - Adjusted</v>
          </cell>
          <cell r="C69">
            <v>8.2322006472491924E-2</v>
          </cell>
          <cell r="D69">
            <v>0.11257393627170385</v>
          </cell>
          <cell r="E69">
            <v>0.12866640594446621</v>
          </cell>
          <cell r="F69">
            <v>0.12155729343760625</v>
          </cell>
          <cell r="G69">
            <v>0.11193994617817855</v>
          </cell>
          <cell r="H69">
            <v>0.11240996097311218</v>
          </cell>
          <cell r="I69">
            <v>0.12677310883031914</v>
          </cell>
          <cell r="J69">
            <v>0.13297145507653346</v>
          </cell>
          <cell r="K69">
            <v>0.13086418459410462</v>
          </cell>
          <cell r="L69">
            <v>0.12588369980108116</v>
          </cell>
          <cell r="M69">
            <v>0.13334883439918419</v>
          </cell>
          <cell r="N69">
            <v>0.12003433640135437</v>
          </cell>
          <cell r="O69">
            <v>0.12142483374085454</v>
          </cell>
          <cell r="P69">
            <v>0.18433304175760715</v>
          </cell>
          <cell r="Q69">
            <v>0.14082576689397339</v>
          </cell>
          <cell r="R69">
            <v>0.11372830963621161</v>
          </cell>
          <cell r="S69">
            <v>0.12780282525536543</v>
          </cell>
          <cell r="T69">
            <v>0.15100415703659295</v>
          </cell>
          <cell r="U69">
            <v>0.18772875314286927</v>
          </cell>
          <cell r="V69">
            <v>0.14609202482205441</v>
          </cell>
          <cell r="W69">
            <v>9.9573426586782421E-2</v>
          </cell>
          <cell r="X69">
            <v>0.14954514465703517</v>
          </cell>
          <cell r="Y69">
            <v>0.16252788778325797</v>
          </cell>
          <cell r="Z69">
            <v>0.17203631098203737</v>
          </cell>
          <cell r="AA69">
            <v>0.14733032558852252</v>
          </cell>
          <cell r="AB69">
            <v>0.11779983270078648</v>
          </cell>
          <cell r="AC69">
            <v>0.17584290131517433</v>
          </cell>
          <cell r="AD69">
            <v>0.1650959954181524</v>
          </cell>
          <cell r="AE69">
            <v>0.17021470132064592</v>
          </cell>
          <cell r="AF69">
            <v>0.15849964860780277</v>
          </cell>
          <cell r="AG69">
            <v>0.12500242778968879</v>
          </cell>
          <cell r="AH69">
            <v>0.16753791080138372</v>
          </cell>
          <cell r="AI69">
            <v>0.17263922089858885</v>
          </cell>
          <cell r="AJ69">
            <v>0.18586177243159599</v>
          </cell>
          <cell r="AK69">
            <v>0.16369074095864991</v>
          </cell>
          <cell r="AL69">
            <v>0.13366073545330465</v>
          </cell>
          <cell r="AM69">
            <v>0.14370904360230241</v>
          </cell>
          <cell r="AN69">
            <v>0.17421588308978611</v>
          </cell>
          <cell r="AO69">
            <v>0.19671817492276517</v>
          </cell>
          <cell r="AP69">
            <v>0.16327450252398351</v>
          </cell>
          <cell r="AQ69">
            <v>0.15046787591117142</v>
          </cell>
          <cell r="AR69">
            <v>0.15598227474150664</v>
          </cell>
          <cell r="AS69">
            <v>0.17513848159009451</v>
          </cell>
          <cell r="AT69">
            <v>0.19697878373078551</v>
          </cell>
          <cell r="AU69">
            <v>0.17031202459669592</v>
          </cell>
          <cell r="AV69">
            <v>0.12657361281662172</v>
          </cell>
          <cell r="AW69">
            <v>0.16099757613353091</v>
          </cell>
          <cell r="AX69">
            <v>0.18157077561843624</v>
          </cell>
          <cell r="AY69">
            <v>0.21074221456712403</v>
          </cell>
          <cell r="AZ69">
            <v>0.17327871256636129</v>
          </cell>
          <cell r="BA69">
            <v>0.13273714535247155</v>
          </cell>
          <cell r="BB69">
            <v>0.16579678645648524</v>
          </cell>
          <cell r="BC69">
            <v>0.18135135736324251</v>
          </cell>
          <cell r="BD69">
            <v>0.20801496989289411</v>
          </cell>
          <cell r="BE69">
            <v>0.17447392929929839</v>
          </cell>
          <cell r="BJ69">
            <v>0.18050529769553533</v>
          </cell>
          <cell r="BL69" t="str">
            <v xml:space="preserve">Safran Little Dilutive </v>
          </cell>
          <cell r="BP69" t="str">
            <v>17.4% - 17.6%</v>
          </cell>
        </row>
        <row r="71">
          <cell r="B71" t="str">
            <v>Operating Profit</v>
          </cell>
        </row>
        <row r="72">
          <cell r="B72" t="str">
            <v xml:space="preserve">Aerospace &amp; Industrial </v>
          </cell>
          <cell r="C72">
            <v>25.3</v>
          </cell>
          <cell r="D72">
            <v>33.6</v>
          </cell>
          <cell r="E72">
            <v>39</v>
          </cell>
          <cell r="F72">
            <v>33.4</v>
          </cell>
          <cell r="G72">
            <v>131.30000000000001</v>
          </cell>
          <cell r="H72">
            <v>38.496000000000002</v>
          </cell>
          <cell r="I72">
            <v>45.75</v>
          </cell>
          <cell r="J72">
            <v>51.069000000000003</v>
          </cell>
          <cell r="K72">
            <v>43.369</v>
          </cell>
          <cell r="AG72">
            <v>26.628483208817563</v>
          </cell>
          <cell r="AH72">
            <v>38.735760250678979</v>
          </cell>
          <cell r="AI72">
            <v>30.109406870055224</v>
          </cell>
          <cell r="AJ72">
            <v>33.509887539411558</v>
          </cell>
          <cell r="AK72">
            <v>128.98353786896334</v>
          </cell>
          <cell r="AL72">
            <v>28.420283152666077</v>
          </cell>
          <cell r="AM72">
            <v>12.798425134949682</v>
          </cell>
          <cell r="AN72">
            <v>22.897945094763696</v>
          </cell>
          <cell r="AO72">
            <v>33.718108941507722</v>
          </cell>
          <cell r="AP72">
            <v>97.834762323887176</v>
          </cell>
          <cell r="AQ72">
            <v>18.5</v>
          </cell>
          <cell r="AR72">
            <v>30.5</v>
          </cell>
          <cell r="AS72">
            <v>30.8</v>
          </cell>
          <cell r="AT72">
            <v>40.436</v>
          </cell>
          <cell r="AU72">
            <v>120.23599999999999</v>
          </cell>
          <cell r="AV72">
            <v>24.853000000000002</v>
          </cell>
          <cell r="AW72">
            <v>32.463999999999999</v>
          </cell>
          <cell r="AX72">
            <v>39.08</v>
          </cell>
          <cell r="AY72">
            <v>41.302</v>
          </cell>
          <cell r="AZ72">
            <v>137.69899999999998</v>
          </cell>
          <cell r="BA72">
            <v>25.542118800000001</v>
          </cell>
          <cell r="BB72">
            <v>35.697097800000002</v>
          </cell>
          <cell r="BC72">
            <v>41.663943359999998</v>
          </cell>
          <cell r="BD72">
            <v>43.2674004</v>
          </cell>
          <cell r="BE72">
            <v>146.17056036000002</v>
          </cell>
          <cell r="BJ72">
            <v>158.32357358999997</v>
          </cell>
          <cell r="BP72" t="str">
            <v>$143 - $148</v>
          </cell>
        </row>
        <row r="73">
          <cell r="B73" t="str">
            <v>Defense Electronics</v>
          </cell>
          <cell r="C73">
            <v>8.3000000000000007</v>
          </cell>
          <cell r="D73">
            <v>19.100000000000001</v>
          </cell>
          <cell r="E73">
            <v>18.600000000000001</v>
          </cell>
          <cell r="F73">
            <v>28.4</v>
          </cell>
          <cell r="G73">
            <v>74.400000000000006</v>
          </cell>
          <cell r="H73">
            <v>15.784000000000001</v>
          </cell>
          <cell r="I73">
            <v>18.001999999999999</v>
          </cell>
          <cell r="J73">
            <v>22.48</v>
          </cell>
          <cell r="K73">
            <v>26.286000000000001</v>
          </cell>
          <cell r="AG73">
            <v>16.86449941614908</v>
          </cell>
          <cell r="AH73">
            <v>28.511125395120064</v>
          </cell>
          <cell r="AI73">
            <v>36.407174728105609</v>
          </cell>
          <cell r="AJ73">
            <v>39.352795283736278</v>
          </cell>
          <cell r="AK73">
            <v>121.13559482311103</v>
          </cell>
          <cell r="AL73">
            <v>26.840473780300883</v>
          </cell>
          <cell r="AM73">
            <v>33.545118265474443</v>
          </cell>
          <cell r="AN73">
            <v>38.64907779614137</v>
          </cell>
          <cell r="AO73">
            <v>45.337458064971216</v>
          </cell>
          <cell r="AP73">
            <v>144.3721279068879</v>
          </cell>
          <cell r="AQ73">
            <v>38.200000000000003</v>
          </cell>
          <cell r="AR73">
            <v>30.8</v>
          </cell>
          <cell r="AS73">
            <v>42.3</v>
          </cell>
          <cell r="AT73">
            <v>52.875</v>
          </cell>
          <cell r="AU73">
            <v>164.17500000000001</v>
          </cell>
          <cell r="AV73">
            <v>23.29</v>
          </cell>
          <cell r="AW73">
            <v>24.46</v>
          </cell>
          <cell r="AX73">
            <v>36.588000000000001</v>
          </cell>
          <cell r="AY73">
            <v>70.23</v>
          </cell>
          <cell r="AZ73">
            <v>154.56799999999998</v>
          </cell>
          <cell r="BA73">
            <v>24.699432159999997</v>
          </cell>
          <cell r="BB73">
            <v>28.526471750000002</v>
          </cell>
          <cell r="BC73">
            <v>41.330215080000002</v>
          </cell>
          <cell r="BD73">
            <v>72.19380009599999</v>
          </cell>
          <cell r="BE73">
            <v>166.74991908599998</v>
          </cell>
          <cell r="BJ73">
            <v>179.74323662909998</v>
          </cell>
          <cell r="BP73" t="str">
            <v>$165 - $172</v>
          </cell>
        </row>
        <row r="74">
          <cell r="B74" t="str">
            <v>Naval &amp; Power</v>
          </cell>
          <cell r="C74">
            <v>16.899999999999999</v>
          </cell>
          <cell r="D74">
            <v>18.399999999999999</v>
          </cell>
          <cell r="E74">
            <v>14.3</v>
          </cell>
          <cell r="F74">
            <v>23.7</v>
          </cell>
          <cell r="G74">
            <v>73.3</v>
          </cell>
          <cell r="H74">
            <v>14.275</v>
          </cell>
          <cell r="I74">
            <v>14.865</v>
          </cell>
          <cell r="J74">
            <v>11.121</v>
          </cell>
          <cell r="K74">
            <v>11.188000000000001</v>
          </cell>
          <cell r="AG74">
            <v>34.989321520769153</v>
          </cell>
          <cell r="AH74">
            <v>45.597698991792157</v>
          </cell>
          <cell r="AI74">
            <v>41.643055613817658</v>
          </cell>
          <cell r="AJ74">
            <v>51.826485587509964</v>
          </cell>
          <cell r="AK74">
            <v>174.05656171388893</v>
          </cell>
          <cell r="AL74">
            <v>33.499174302135224</v>
          </cell>
          <cell r="AM74">
            <v>38.324356841993485</v>
          </cell>
          <cell r="AN74">
            <v>42.001981106294757</v>
          </cell>
          <cell r="AO74">
            <v>57.040645016641086</v>
          </cell>
          <cell r="AP74">
            <v>170.86615726706455</v>
          </cell>
          <cell r="AQ74">
            <v>40.6</v>
          </cell>
          <cell r="AR74">
            <v>43.5</v>
          </cell>
          <cell r="AS74">
            <v>43.9</v>
          </cell>
          <cell r="AT74">
            <v>47.826999999999998</v>
          </cell>
          <cell r="AU74">
            <v>175.827</v>
          </cell>
          <cell r="AV74">
            <v>32.715000000000003</v>
          </cell>
          <cell r="AW74">
            <v>50.000999999999998</v>
          </cell>
          <cell r="AX74">
            <v>48.481000000000002</v>
          </cell>
          <cell r="AY74">
            <v>60.441000000000003</v>
          </cell>
          <cell r="AZ74">
            <v>191.63800000000001</v>
          </cell>
          <cell r="BA74">
            <v>37.1265152</v>
          </cell>
          <cell r="BB74">
            <v>54.081977520000002</v>
          </cell>
          <cell r="BC74">
            <v>47.488249800000006</v>
          </cell>
          <cell r="BD74">
            <v>55.070283330000002</v>
          </cell>
          <cell r="BE74">
            <v>193.76702585000001</v>
          </cell>
          <cell r="BJ74">
            <v>213.29199129600002</v>
          </cell>
          <cell r="BP74" t="str">
            <v>$190 - $194</v>
          </cell>
        </row>
        <row r="75">
          <cell r="B75" t="str">
            <v>Corporate expense</v>
          </cell>
          <cell r="C75">
            <v>-9.8000000000000007</v>
          </cell>
          <cell r="D75">
            <v>-12.1</v>
          </cell>
          <cell r="E75">
            <v>-6.1</v>
          </cell>
          <cell r="F75">
            <v>-14</v>
          </cell>
          <cell r="G75">
            <v>-41.9</v>
          </cell>
          <cell r="H75">
            <v>-7.5209999999999999</v>
          </cell>
          <cell r="I75">
            <v>-6.4580000000000002</v>
          </cell>
          <cell r="J75">
            <v>-10.420999999999999</v>
          </cell>
          <cell r="K75">
            <v>-5.9119999999999999</v>
          </cell>
          <cell r="AG75">
            <v>-9.1151822610809994</v>
          </cell>
          <cell r="AH75">
            <v>-10.314180483449</v>
          </cell>
          <cell r="AI75">
            <v>-6.9166361778629994</v>
          </cell>
          <cell r="AJ75">
            <v>-8.4409761768229998</v>
          </cell>
          <cell r="AK75">
            <v>-34.786975099216001</v>
          </cell>
          <cell r="AL75">
            <v>-11.816470000000001</v>
          </cell>
          <cell r="AM75">
            <v>-8.1137690999499998</v>
          </cell>
          <cell r="AN75">
            <v>-7.740391348638</v>
          </cell>
          <cell r="AO75">
            <v>-9.9082249161010001</v>
          </cell>
          <cell r="AP75">
            <v>-37.578855364688998</v>
          </cell>
          <cell r="AQ75">
            <v>-8.5389999999999997</v>
          </cell>
          <cell r="AR75">
            <v>-9.76</v>
          </cell>
          <cell r="AS75">
            <v>-9.5</v>
          </cell>
          <cell r="AT75">
            <v>-12.058</v>
          </cell>
          <cell r="AU75">
            <v>-39.856999999999999</v>
          </cell>
          <cell r="AV75">
            <v>-10.045</v>
          </cell>
          <cell r="AW75">
            <v>-8.82</v>
          </cell>
          <cell r="AX75">
            <v>-9.6609999999999996</v>
          </cell>
          <cell r="AY75">
            <v>-12.301</v>
          </cell>
          <cell r="AZ75">
            <v>-40.827000000000005</v>
          </cell>
          <cell r="BA75">
            <v>-8.75</v>
          </cell>
          <cell r="BB75">
            <v>-8.75</v>
          </cell>
          <cell r="BC75">
            <v>-10</v>
          </cell>
          <cell r="BD75">
            <v>-10</v>
          </cell>
          <cell r="BE75">
            <v>-37.5</v>
          </cell>
          <cell r="BJ75">
            <v>-40</v>
          </cell>
          <cell r="BP75" t="str">
            <v>($35) - ($38)</v>
          </cell>
        </row>
        <row r="76">
          <cell r="B76" t="str">
            <v>Total Operating Profit - Adjusted*</v>
          </cell>
          <cell r="C76">
            <v>40.700000000000003</v>
          </cell>
          <cell r="D76">
            <v>58.999999999999993</v>
          </cell>
          <cell r="E76">
            <v>65.800000000000011</v>
          </cell>
          <cell r="F76">
            <v>71.5</v>
          </cell>
          <cell r="G76">
            <v>237.1</v>
          </cell>
          <cell r="H76">
            <v>61.034000000000006</v>
          </cell>
          <cell r="I76">
            <v>72.158999999999992</v>
          </cell>
          <cell r="J76">
            <v>74.248999999999995</v>
          </cell>
          <cell r="K76">
            <v>74.930999999999997</v>
          </cell>
          <cell r="L76">
            <v>282.37299999999999</v>
          </cell>
          <cell r="M76">
            <v>72.835000000000008</v>
          </cell>
          <cell r="N76">
            <v>65.441999999999993</v>
          </cell>
          <cell r="O76">
            <v>63.813000000000002</v>
          </cell>
          <cell r="P76">
            <v>108.52699999999999</v>
          </cell>
          <cell r="Q76">
            <v>310.6169999999999</v>
          </cell>
          <cell r="R76">
            <v>57.262999999999998</v>
          </cell>
          <cell r="S76">
            <v>68.089000000000013</v>
          </cell>
          <cell r="T76">
            <v>76.572999999999993</v>
          </cell>
          <cell r="U76">
            <v>106.173</v>
          </cell>
          <cell r="V76">
            <v>308.09800000000001</v>
          </cell>
          <cell r="W76">
            <v>52.135749999999994</v>
          </cell>
          <cell r="X76">
            <v>84.889749999999992</v>
          </cell>
          <cell r="Y76">
            <v>92.299749999999989</v>
          </cell>
          <cell r="Z76">
            <v>105.26575</v>
          </cell>
          <cell r="AA76">
            <v>334.59100000000001</v>
          </cell>
          <cell r="AB76">
            <v>64.498000000000005</v>
          </cell>
          <cell r="AC76">
            <v>109.075</v>
          </cell>
          <cell r="AD76">
            <v>98.297000000000011</v>
          </cell>
          <cell r="AE76">
            <v>110.405</v>
          </cell>
          <cell r="AF76">
            <v>382.27500000000003</v>
          </cell>
          <cell r="AG76">
            <v>69.367121884654793</v>
          </cell>
          <cell r="AH76">
            <v>102.53040415414219</v>
          </cell>
          <cell r="AI76">
            <v>101.24300103411549</v>
          </cell>
          <cell r="AJ76">
            <v>116.2481922338348</v>
          </cell>
          <cell r="AK76">
            <v>389.3887193067473</v>
          </cell>
          <cell r="AL76">
            <v>76.943461235102191</v>
          </cell>
          <cell r="AM76">
            <v>76.554131142467597</v>
          </cell>
          <cell r="AN76">
            <v>95.808612648561834</v>
          </cell>
          <cell r="AO76">
            <v>126.18798710701901</v>
          </cell>
          <cell r="AP76">
            <v>375.49419213315065</v>
          </cell>
          <cell r="AQ76">
            <v>88.76100000000001</v>
          </cell>
          <cell r="AR76">
            <v>95.039999999999992</v>
          </cell>
          <cell r="AS76">
            <v>107.5</v>
          </cell>
          <cell r="AT76">
            <v>129.08000000000001</v>
          </cell>
          <cell r="AU76">
            <v>420.38099999999997</v>
          </cell>
          <cell r="AV76">
            <v>70.813000000000002</v>
          </cell>
          <cell r="AW76">
            <v>98.10499999999999</v>
          </cell>
          <cell r="AX76">
            <v>114.488</v>
          </cell>
          <cell r="AY76">
            <v>159.67200000000003</v>
          </cell>
          <cell r="AZ76">
            <v>443.07799999999997</v>
          </cell>
          <cell r="BA76">
            <v>78.618066159999998</v>
          </cell>
          <cell r="BB76">
            <v>109.55554707000002</v>
          </cell>
          <cell r="BC76">
            <v>120.48240824000001</v>
          </cell>
          <cell r="BD76">
            <v>160.531483826</v>
          </cell>
          <cell r="BE76">
            <v>469.18750529600004</v>
          </cell>
          <cell r="BJ76">
            <v>511.35880151509991</v>
          </cell>
          <cell r="BP76" t="str">
            <v>$433 - $477</v>
          </cell>
          <cell r="BY76" t="str">
            <v>Growth over Rev</v>
          </cell>
        </row>
        <row r="77">
          <cell r="B77" t="str">
            <v>Y/Y Change</v>
          </cell>
          <cell r="H77">
            <v>0.11240996097311218</v>
          </cell>
          <cell r="I77">
            <v>0.12677310883031914</v>
          </cell>
          <cell r="J77">
            <v>0.13297145507653346</v>
          </cell>
          <cell r="K77">
            <v>0.13086418459410462</v>
          </cell>
          <cell r="L77">
            <v>0.12588369980108116</v>
          </cell>
          <cell r="M77">
            <v>0.13334883439918419</v>
          </cell>
          <cell r="N77">
            <v>0.12003433640135437</v>
          </cell>
          <cell r="O77">
            <v>0.12142483374085454</v>
          </cell>
          <cell r="P77">
            <v>0.18433304175760715</v>
          </cell>
          <cell r="Q77">
            <v>0.14082576689397339</v>
          </cell>
          <cell r="R77">
            <v>0.11372830963621161</v>
          </cell>
          <cell r="S77">
            <v>0.12780282525536543</v>
          </cell>
          <cell r="T77">
            <v>0.15100415703659295</v>
          </cell>
          <cell r="U77">
            <v>0.18772875314286927</v>
          </cell>
          <cell r="V77">
            <v>0.14609202482205441</v>
          </cell>
          <cell r="W77">
            <v>9.9573426586782421E-2</v>
          </cell>
          <cell r="X77">
            <v>0.14954514465703517</v>
          </cell>
          <cell r="Y77">
            <v>0.16252788778325797</v>
          </cell>
          <cell r="Z77">
            <v>0.17203631098203737</v>
          </cell>
          <cell r="AA77">
            <v>0.14733032558852252</v>
          </cell>
          <cell r="AB77">
            <v>0.11779983270078648</v>
          </cell>
          <cell r="AC77">
            <v>0.17584290131517433</v>
          </cell>
          <cell r="AD77">
            <v>0.1650959954181524</v>
          </cell>
          <cell r="AE77">
            <v>0.17021470132064592</v>
          </cell>
          <cell r="AF77">
            <v>0.15849964860780277</v>
          </cell>
          <cell r="AG77">
            <v>0.12500242778968879</v>
          </cell>
          <cell r="AH77">
            <v>0.16753791080138372</v>
          </cell>
          <cell r="AI77">
            <v>0.17263922089858885</v>
          </cell>
          <cell r="AJ77">
            <v>0.18586177243159599</v>
          </cell>
          <cell r="AK77">
            <v>0.16369074095864991</v>
          </cell>
          <cell r="AL77">
            <v>0.13366073545330465</v>
          </cell>
          <cell r="AM77">
            <v>0.14370904360230241</v>
          </cell>
          <cell r="AN77">
            <v>0.17421588308978611</v>
          </cell>
          <cell r="AO77">
            <v>0.19671817492276517</v>
          </cell>
          <cell r="AP77">
            <v>0.16327450252398351</v>
          </cell>
          <cell r="AQ77">
            <v>0.15046787591117142</v>
          </cell>
          <cell r="AR77">
            <v>0.15598227474150664</v>
          </cell>
          <cell r="AS77">
            <v>0.17513848159009451</v>
          </cell>
          <cell r="AT77">
            <v>0.19697878373078551</v>
          </cell>
          <cell r="AU77">
            <v>0.17031202459669592</v>
          </cell>
          <cell r="AV77">
            <v>0.12657361281662172</v>
          </cell>
          <cell r="AW77">
            <v>0.16099757613353091</v>
          </cell>
          <cell r="AX77">
            <v>0.18157077561843624</v>
          </cell>
          <cell r="AY77">
            <v>0.21074221456712403</v>
          </cell>
          <cell r="AZ77">
            <v>0.17327871256636129</v>
          </cell>
          <cell r="BA77">
            <v>0.13273714535247155</v>
          </cell>
          <cell r="BB77">
            <v>0.16579678645648524</v>
          </cell>
          <cell r="BC77">
            <v>0.18135135736324251</v>
          </cell>
          <cell r="BD77">
            <v>0.20801496989289411</v>
          </cell>
          <cell r="BE77">
            <v>0.17447392929929839</v>
          </cell>
          <cell r="BJ77">
            <v>0.18050529769553533</v>
          </cell>
        </row>
        <row r="79">
          <cell r="B79" t="str">
            <v>Other Income, net</v>
          </cell>
          <cell r="E79">
            <v>0.28799999999999998</v>
          </cell>
          <cell r="F79">
            <v>0.14399999999999999</v>
          </cell>
          <cell r="G79">
            <v>0.98</v>
          </cell>
          <cell r="H79">
            <v>0.112</v>
          </cell>
          <cell r="I79">
            <v>-2.3E-2</v>
          </cell>
          <cell r="J79">
            <v>-0.159</v>
          </cell>
          <cell r="K79">
            <v>0.435</v>
          </cell>
          <cell r="L79">
            <v>0.36499999999999999</v>
          </cell>
          <cell r="M79">
            <v>0.48099999999999998</v>
          </cell>
          <cell r="N79">
            <v>-3.6999999999999998E-2</v>
          </cell>
          <cell r="O79">
            <v>0.161</v>
          </cell>
          <cell r="P79">
            <v>0.01</v>
          </cell>
          <cell r="Q79">
            <v>0.61499999999999999</v>
          </cell>
          <cell r="R79">
            <v>0.23400000000000001</v>
          </cell>
          <cell r="S79">
            <v>0.10100000000000001</v>
          </cell>
          <cell r="T79">
            <v>0.48299999999999998</v>
          </cell>
          <cell r="U79">
            <v>0.29299999999999998</v>
          </cell>
          <cell r="V79">
            <v>1.111</v>
          </cell>
          <cell r="W79">
            <v>3.847</v>
          </cell>
          <cell r="X79">
            <v>3.7290000000000001</v>
          </cell>
          <cell r="Y79">
            <v>4.4569999999999999</v>
          </cell>
          <cell r="Z79">
            <v>4</v>
          </cell>
          <cell r="AA79">
            <v>16.033000000000001</v>
          </cell>
          <cell r="AB79">
            <v>4.6829999999999998</v>
          </cell>
          <cell r="AC79">
            <v>3.9710000000000001</v>
          </cell>
          <cell r="AD79">
            <v>3.843</v>
          </cell>
          <cell r="AE79">
            <v>4.0990000000000002</v>
          </cell>
          <cell r="AF79">
            <v>16.596</v>
          </cell>
          <cell r="AG79">
            <v>5.4779999999999998</v>
          </cell>
          <cell r="AH79">
            <v>5.8710000000000004</v>
          </cell>
          <cell r="AI79">
            <v>6.3550000000000004</v>
          </cell>
          <cell r="AJ79">
            <v>6.1520000000000001</v>
          </cell>
          <cell r="AK79">
            <v>23.856000000000002</v>
          </cell>
          <cell r="AL79">
            <v>5.532</v>
          </cell>
          <cell r="AM79">
            <v>5.8949999999999996</v>
          </cell>
          <cell r="AN79">
            <v>5.4169999999999998</v>
          </cell>
          <cell r="AO79">
            <v>2.9039999999999999</v>
          </cell>
          <cell r="AP79">
            <v>19.748000000000001</v>
          </cell>
          <cell r="AQ79">
            <v>4.843</v>
          </cell>
          <cell r="AR79">
            <v>0.44</v>
          </cell>
          <cell r="AS79">
            <v>3.6269999999999998</v>
          </cell>
          <cell r="AT79">
            <v>3.157</v>
          </cell>
          <cell r="AU79">
            <v>12.067</v>
          </cell>
          <cell r="AV79">
            <v>2.9969999999999999</v>
          </cell>
          <cell r="AW79">
            <v>4.5549999999999997</v>
          </cell>
          <cell r="AX79">
            <v>3.746</v>
          </cell>
          <cell r="AY79">
            <v>1.4339999999999999</v>
          </cell>
          <cell r="AZ79">
            <v>12.731999999999999</v>
          </cell>
          <cell r="BA79">
            <v>6.75</v>
          </cell>
          <cell r="BB79">
            <v>6.75</v>
          </cell>
          <cell r="BC79">
            <v>6.75</v>
          </cell>
          <cell r="BD79">
            <v>6.75</v>
          </cell>
          <cell r="BE79">
            <v>27</v>
          </cell>
          <cell r="BJ79">
            <v>25</v>
          </cell>
          <cell r="BP79" t="str">
            <v>$27 - $28</v>
          </cell>
        </row>
        <row r="80">
          <cell r="B80" t="str">
            <v>Interest Expense, net</v>
          </cell>
          <cell r="E80">
            <v>-9.6999999999999993</v>
          </cell>
          <cell r="F80">
            <v>-9.4</v>
          </cell>
          <cell r="G80">
            <v>-37.052999999999997</v>
          </cell>
          <cell r="H80">
            <v>-9.0549999999999997</v>
          </cell>
          <cell r="I80">
            <v>-8.9860000000000007</v>
          </cell>
          <cell r="J80">
            <v>-9.0129999999999999</v>
          </cell>
          <cell r="K80">
            <v>-8.74</v>
          </cell>
          <cell r="L80">
            <v>-35.794000000000004</v>
          </cell>
          <cell r="M80">
            <v>-8.9960000000000004</v>
          </cell>
          <cell r="N80">
            <v>-8.9849999999999994</v>
          </cell>
          <cell r="O80">
            <v>-8.9719999999999995</v>
          </cell>
          <cell r="P80">
            <v>-9.0850000000000009</v>
          </cell>
          <cell r="Q80">
            <v>-36.038000000000004</v>
          </cell>
          <cell r="R80">
            <v>-9.9329999999999998</v>
          </cell>
          <cell r="S80">
            <v>-10.273</v>
          </cell>
          <cell r="T80">
            <v>-10.488</v>
          </cell>
          <cell r="U80">
            <v>-10.554</v>
          </cell>
          <cell r="V80">
            <v>-41.247999999999998</v>
          </cell>
          <cell r="W80">
            <v>-9.6769999999999996</v>
          </cell>
          <cell r="X80">
            <v>-10.75</v>
          </cell>
          <cell r="Y80">
            <v>-10.457000000000001</v>
          </cell>
          <cell r="Z80">
            <v>-9.9</v>
          </cell>
          <cell r="AA80">
            <v>-40.783999999999999</v>
          </cell>
          <cell r="AB80">
            <v>-8.2040000000000006</v>
          </cell>
          <cell r="AC80">
            <v>-9.5660000000000007</v>
          </cell>
          <cell r="AD80">
            <v>-7.9489999999999998</v>
          </cell>
          <cell r="AE80">
            <v>-8.2639999999999993</v>
          </cell>
          <cell r="AF80">
            <v>-33.983000000000004</v>
          </cell>
          <cell r="AG80">
            <v>-7.2720000000000002</v>
          </cell>
          <cell r="AH80">
            <v>-7.96</v>
          </cell>
          <cell r="AI80">
            <v>-7.9509999999999996</v>
          </cell>
          <cell r="AJ80">
            <v>-8.1639999999999997</v>
          </cell>
          <cell r="AK80">
            <v>-31.347000000000001</v>
          </cell>
          <cell r="AL80">
            <v>-7.4889999999999999</v>
          </cell>
          <cell r="AM80">
            <v>-8.5150000000000006</v>
          </cell>
          <cell r="AN80">
            <v>-9.0549999999999997</v>
          </cell>
          <cell r="AO80">
            <v>-10.486000000000001</v>
          </cell>
          <cell r="AP80">
            <v>-35.545000000000002</v>
          </cell>
          <cell r="AQ80">
            <v>-9.9589999999999996</v>
          </cell>
          <cell r="AR80">
            <v>-10.18</v>
          </cell>
          <cell r="AS80">
            <v>-9.9550000000000001</v>
          </cell>
          <cell r="AT80">
            <v>-10.146000000000001</v>
          </cell>
          <cell r="AU80">
            <v>-40.24</v>
          </cell>
          <cell r="AV80">
            <v>-9.5299999999999994</v>
          </cell>
          <cell r="AW80">
            <v>-9.7880000000000003</v>
          </cell>
          <cell r="AX80">
            <v>-13.997</v>
          </cell>
          <cell r="AY80">
            <v>-13.664999999999999</v>
          </cell>
          <cell r="AZ80">
            <v>-46.98</v>
          </cell>
          <cell r="BA80">
            <v>-13.664999999999999</v>
          </cell>
          <cell r="BB80">
            <v>-14</v>
          </cell>
          <cell r="BC80">
            <v>-13</v>
          </cell>
          <cell r="BD80">
            <v>-13</v>
          </cell>
          <cell r="BE80">
            <v>-53.664999999999999</v>
          </cell>
          <cell r="BJ80">
            <v>-50</v>
          </cell>
          <cell r="BP80" t="str">
            <v>($52) - ($54)</v>
          </cell>
        </row>
        <row r="82">
          <cell r="B82" t="str">
            <v>Pre-Tax Income</v>
          </cell>
          <cell r="C82">
            <v>40.700000000000003</v>
          </cell>
          <cell r="D82">
            <v>58.999999999999993</v>
          </cell>
          <cell r="E82">
            <v>56.388000000000012</v>
          </cell>
          <cell r="F82">
            <v>62.244</v>
          </cell>
          <cell r="G82">
            <v>201.02699999999999</v>
          </cell>
          <cell r="H82">
            <v>52.091000000000008</v>
          </cell>
          <cell r="I82">
            <v>63.149999999999991</v>
          </cell>
          <cell r="J82">
            <v>65.076999999999998</v>
          </cell>
          <cell r="K82">
            <v>66.626000000000005</v>
          </cell>
          <cell r="L82">
            <v>246.94399999999999</v>
          </cell>
          <cell r="M82">
            <v>64.320000000000007</v>
          </cell>
          <cell r="N82">
            <v>56.419999999999995</v>
          </cell>
          <cell r="O82">
            <v>55.002000000000002</v>
          </cell>
          <cell r="P82">
            <v>99.451999999999984</v>
          </cell>
          <cell r="Q82">
            <v>275.1939999999999</v>
          </cell>
          <cell r="R82">
            <v>47.564</v>
          </cell>
          <cell r="S82">
            <v>57.917000000000016</v>
          </cell>
          <cell r="T82">
            <v>66.567999999999998</v>
          </cell>
          <cell r="U82">
            <v>95.912000000000006</v>
          </cell>
          <cell r="V82">
            <v>267.96100000000001</v>
          </cell>
          <cell r="W82">
            <v>46.305749999999996</v>
          </cell>
          <cell r="X82">
            <v>77.868749999999991</v>
          </cell>
          <cell r="Y82">
            <v>86.299749999999989</v>
          </cell>
          <cell r="Z82">
            <v>99.365749999999991</v>
          </cell>
          <cell r="AA82">
            <v>309.84000000000003</v>
          </cell>
          <cell r="AB82">
            <v>60.977000000000004</v>
          </cell>
          <cell r="AC82">
            <v>103.48</v>
          </cell>
          <cell r="AD82">
            <v>94.191000000000017</v>
          </cell>
          <cell r="AE82">
            <v>106.24000000000001</v>
          </cell>
          <cell r="AF82">
            <v>364.88800000000003</v>
          </cell>
          <cell r="AG82">
            <v>67.573121884654796</v>
          </cell>
          <cell r="AH82">
            <v>100.44140415414219</v>
          </cell>
          <cell r="AI82">
            <v>99.64700103411549</v>
          </cell>
          <cell r="AJ82">
            <v>114.2361922338348</v>
          </cell>
          <cell r="AK82">
            <v>381.89771930674732</v>
          </cell>
          <cell r="AL82">
            <v>74.986461235102198</v>
          </cell>
          <cell r="AM82">
            <v>73.934131142467592</v>
          </cell>
          <cell r="AN82">
            <v>92.170612648561828</v>
          </cell>
          <cell r="AO82">
            <v>118.60598710701902</v>
          </cell>
          <cell r="AP82">
            <v>359.69719213315062</v>
          </cell>
          <cell r="AQ82">
            <v>83.64500000000001</v>
          </cell>
          <cell r="AR82">
            <v>85.3</v>
          </cell>
          <cell r="AS82">
            <v>101.172</v>
          </cell>
          <cell r="AT82">
            <v>122.09100000000001</v>
          </cell>
          <cell r="AU82">
            <v>392.20799999999997</v>
          </cell>
          <cell r="AV82">
            <v>64.28</v>
          </cell>
          <cell r="AW82">
            <v>92.871999999999986</v>
          </cell>
          <cell r="AX82">
            <v>104.23699999999999</v>
          </cell>
          <cell r="AY82">
            <v>147.44100000000003</v>
          </cell>
          <cell r="AZ82">
            <v>408.83</v>
          </cell>
          <cell r="BA82">
            <v>71.703066159999992</v>
          </cell>
          <cell r="BB82">
            <v>102.30554707000002</v>
          </cell>
          <cell r="BC82">
            <v>114.23240824000001</v>
          </cell>
          <cell r="BD82">
            <v>154.281483826</v>
          </cell>
          <cell r="BE82">
            <v>442.52250529600002</v>
          </cell>
          <cell r="BJ82">
            <v>486.35880151509991</v>
          </cell>
        </row>
        <row r="83">
          <cell r="B83" t="str">
            <v>Income Tax Provision (Benefit)</v>
          </cell>
          <cell r="E83">
            <v>18.3</v>
          </cell>
          <cell r="F83">
            <v>17.600000000000001</v>
          </cell>
          <cell r="G83">
            <v>61.646000000000001</v>
          </cell>
          <cell r="H83">
            <v>15.661</v>
          </cell>
          <cell r="I83">
            <v>20.140999999999998</v>
          </cell>
          <cell r="J83">
            <v>20.699000000000002</v>
          </cell>
          <cell r="K83">
            <v>20.494</v>
          </cell>
          <cell r="L83">
            <v>76.995000000000005</v>
          </cell>
          <cell r="M83">
            <v>21.097000000000001</v>
          </cell>
          <cell r="N83">
            <v>16.298999999999999</v>
          </cell>
          <cell r="O83">
            <v>16.86</v>
          </cell>
          <cell r="P83">
            <v>28.69</v>
          </cell>
          <cell r="Q83">
            <v>82.945999999999998</v>
          </cell>
          <cell r="R83">
            <v>14.744999999999999</v>
          </cell>
          <cell r="S83">
            <v>17.954000000000001</v>
          </cell>
          <cell r="T83">
            <v>20.635999999999999</v>
          </cell>
          <cell r="U83">
            <v>25.244</v>
          </cell>
          <cell r="V83">
            <v>78.578999999999994</v>
          </cell>
          <cell r="W83">
            <v>10</v>
          </cell>
          <cell r="X83">
            <v>23.661000000000001</v>
          </cell>
          <cell r="Y83">
            <v>22.47</v>
          </cell>
          <cell r="Z83">
            <v>31.582000000000001</v>
          </cell>
          <cell r="AA83">
            <v>87.712999999999994</v>
          </cell>
          <cell r="AB83">
            <v>17.334</v>
          </cell>
          <cell r="AC83">
            <v>23.293000000000003</v>
          </cell>
          <cell r="AD83">
            <v>18.808</v>
          </cell>
          <cell r="AE83">
            <v>23.105</v>
          </cell>
          <cell r="AF83">
            <v>82.54</v>
          </cell>
          <cell r="AG83">
            <v>14.757999999999999</v>
          </cell>
          <cell r="AH83">
            <v>24.024000000000001</v>
          </cell>
          <cell r="AI83">
            <v>21.763000000000002</v>
          </cell>
          <cell r="AJ83">
            <v>29.834000000000003</v>
          </cell>
          <cell r="AK83">
            <v>90.379000000000005</v>
          </cell>
          <cell r="AL83">
            <v>19.878</v>
          </cell>
          <cell r="AM83">
            <v>20.311</v>
          </cell>
          <cell r="AN83">
            <v>18.115000000000002</v>
          </cell>
          <cell r="AO83">
            <v>24.3416</v>
          </cell>
          <cell r="AP83">
            <v>82.645600000000002</v>
          </cell>
          <cell r="AQ83">
            <v>21.381</v>
          </cell>
          <cell r="AR83">
            <v>21.334999999999997</v>
          </cell>
          <cell r="AS83">
            <v>24.338000000000001</v>
          </cell>
          <cell r="AT83">
            <v>27.330360000000006</v>
          </cell>
          <cell r="AU83">
            <v>94.384360000000015</v>
          </cell>
          <cell r="AV83">
            <v>13.541</v>
          </cell>
          <cell r="AW83">
            <v>22</v>
          </cell>
          <cell r="AX83">
            <v>24.263999999999999</v>
          </cell>
          <cell r="AY83">
            <v>34.80528000000001</v>
          </cell>
          <cell r="AZ83">
            <v>94.610280000000003</v>
          </cell>
          <cell r="BA83">
            <v>17.208735878399999</v>
          </cell>
          <cell r="BB83">
            <v>24.553331296800003</v>
          </cell>
          <cell r="BC83">
            <v>27.415777977600001</v>
          </cell>
          <cell r="BD83">
            <v>37.02755611824</v>
          </cell>
          <cell r="BE83">
            <v>106.20540127104</v>
          </cell>
          <cell r="BJ83">
            <v>116.72611236362397</v>
          </cell>
          <cell r="BP83" t="str">
            <v>$105 - $108</v>
          </cell>
        </row>
        <row r="84">
          <cell r="B84" t="str">
            <v>Tax Rate (%)</v>
          </cell>
          <cell r="C84">
            <v>0</v>
          </cell>
          <cell r="D84">
            <v>0</v>
          </cell>
          <cell r="E84">
            <v>0.32453713556075753</v>
          </cell>
          <cell r="F84">
            <v>0.28275817749501964</v>
          </cell>
          <cell r="G84">
            <v>0.30665532490660463</v>
          </cell>
          <cell r="H84">
            <v>0.30064694476972986</v>
          </cell>
          <cell r="I84">
            <v>0.31893903404592244</v>
          </cell>
          <cell r="J84">
            <v>0.31806936398420338</v>
          </cell>
          <cell r="K84">
            <v>0.30759763455707978</v>
          </cell>
          <cell r="L84">
            <v>0.31179133730724379</v>
          </cell>
          <cell r="M84">
            <v>0.32800062189054724</v>
          </cell>
          <cell r="N84">
            <v>0.28888691953208084</v>
          </cell>
          <cell r="O84">
            <v>0.30653430784335112</v>
          </cell>
          <cell r="P84">
            <v>0.28848087519607457</v>
          </cell>
          <cell r="Q84">
            <v>0.30140918770031333</v>
          </cell>
          <cell r="R84">
            <v>0.31000336388865529</v>
          </cell>
          <cell r="S84">
            <v>0.30999533815632707</v>
          </cell>
          <cell r="T84">
            <v>0.30999879822136761</v>
          </cell>
          <cell r="U84">
            <v>0.26319959963299688</v>
          </cell>
          <cell r="V84">
            <v>0.29324789801500961</v>
          </cell>
          <cell r="W84">
            <v>0.21595590180485147</v>
          </cell>
          <cell r="X84">
            <v>0.30385745244401641</v>
          </cell>
          <cell r="Y84">
            <v>0.26037155379940269</v>
          </cell>
          <cell r="Z84">
            <v>0.31783587403104191</v>
          </cell>
          <cell r="AA84">
            <v>0.28309127291505287</v>
          </cell>
          <cell r="AB84">
            <v>0.28427111861849547</v>
          </cell>
          <cell r="AC84">
            <v>0.22509663703131041</v>
          </cell>
          <cell r="AD84">
            <v>0.19967937488719725</v>
          </cell>
          <cell r="AE84">
            <v>0.21747929216867468</v>
          </cell>
          <cell r="AF84">
            <v>0.22620639757953126</v>
          </cell>
          <cell r="AG84">
            <v>0.21840044663307762</v>
          </cell>
          <cell r="AH84">
            <v>0.23918423086889168</v>
          </cell>
          <cell r="AI84">
            <v>0.21840095310594593</v>
          </cell>
          <cell r="AJ84">
            <v>0.26116066560527113</v>
          </cell>
          <cell r="AK84">
            <v>0.23665760603143565</v>
          </cell>
          <cell r="AL84">
            <v>0.26508785282822273</v>
          </cell>
          <cell r="AM84">
            <v>0.27471750443461163</v>
          </cell>
          <cell r="AN84">
            <v>0.19653769763981987</v>
          </cell>
          <cell r="AO84">
            <v>0.20523078635175812</v>
          </cell>
          <cell r="AP84">
            <v>0.22976437349949269</v>
          </cell>
          <cell r="AQ84">
            <v>0.25561599617430808</v>
          </cell>
          <cell r="AR84">
            <v>0.25011723329425556</v>
          </cell>
          <cell r="AS84">
            <v>0.24056062942316059</v>
          </cell>
          <cell r="AT84">
            <v>0.22385237241074285</v>
          </cell>
          <cell r="AU84">
            <v>0.24064873740464249</v>
          </cell>
          <cell r="AV84">
            <v>0.21065650280024892</v>
          </cell>
          <cell r="AW84">
            <v>0.23688517529502975</v>
          </cell>
          <cell r="AX84">
            <v>0.23277722881510404</v>
          </cell>
          <cell r="AY84">
            <v>0.23606242496998803</v>
          </cell>
          <cell r="AZ84">
            <v>0.23141716605924226</v>
          </cell>
          <cell r="BA84">
            <v>0.24</v>
          </cell>
          <cell r="BB84">
            <v>0.24</v>
          </cell>
          <cell r="BC84">
            <v>0.24</v>
          </cell>
          <cell r="BD84">
            <v>0.24</v>
          </cell>
          <cell r="BE84">
            <v>0.24</v>
          </cell>
          <cell r="BJ84">
            <v>0.24</v>
          </cell>
          <cell r="BP84">
            <v>0.24</v>
          </cell>
        </row>
        <row r="86">
          <cell r="B86" t="str">
            <v>Gains (Loss) from Discrete &amp; Other Tax Items</v>
          </cell>
          <cell r="G86">
            <v>0</v>
          </cell>
          <cell r="L86">
            <v>0</v>
          </cell>
        </row>
        <row r="88">
          <cell r="B88" t="str">
            <v>Net Income  - Adjusted from Continuing Ops</v>
          </cell>
          <cell r="C88">
            <v>40.700000000000003</v>
          </cell>
          <cell r="D88">
            <v>58.999999999999993</v>
          </cell>
          <cell r="E88">
            <v>38.088000000000008</v>
          </cell>
          <cell r="F88">
            <v>44.643999999999998</v>
          </cell>
          <cell r="G88">
            <v>139.38099999999997</v>
          </cell>
          <cell r="H88">
            <v>36.430000000000007</v>
          </cell>
          <cell r="I88">
            <v>43.008999999999993</v>
          </cell>
          <cell r="J88">
            <v>44.378</v>
          </cell>
          <cell r="K88">
            <v>46.132000000000005</v>
          </cell>
          <cell r="L88">
            <v>169.94900000000001</v>
          </cell>
          <cell r="M88">
            <v>43.223000000000006</v>
          </cell>
          <cell r="N88">
            <v>40.120999999999995</v>
          </cell>
          <cell r="O88">
            <v>38.142000000000003</v>
          </cell>
          <cell r="P88">
            <v>70.761999999999986</v>
          </cell>
          <cell r="Q88">
            <v>192.24799999999991</v>
          </cell>
          <cell r="R88">
            <v>32.819000000000003</v>
          </cell>
          <cell r="S88">
            <v>39.963000000000015</v>
          </cell>
          <cell r="T88">
            <v>45.932000000000002</v>
          </cell>
          <cell r="U88">
            <v>70.668000000000006</v>
          </cell>
          <cell r="V88">
            <v>189.38200000000001</v>
          </cell>
          <cell r="W88">
            <v>36.305749999999996</v>
          </cell>
          <cell r="X88">
            <v>54.20774999999999</v>
          </cell>
          <cell r="Y88">
            <v>63.82974999999999</v>
          </cell>
          <cell r="Z88">
            <v>67.783749999999998</v>
          </cell>
          <cell r="AA88">
            <v>222.12700000000004</v>
          </cell>
          <cell r="AB88">
            <v>43.643000000000001</v>
          </cell>
          <cell r="AC88">
            <v>80.186999999999998</v>
          </cell>
          <cell r="AD88">
            <v>75.38300000000001</v>
          </cell>
          <cell r="AE88">
            <v>83.135000000000005</v>
          </cell>
          <cell r="AF88">
            <v>282.34800000000001</v>
          </cell>
          <cell r="AG88">
            <v>52.815121884654801</v>
          </cell>
          <cell r="AH88">
            <v>76.41740415414219</v>
          </cell>
          <cell r="AI88">
            <v>77.884001034115485</v>
          </cell>
          <cell r="AJ88">
            <v>84.402192233834796</v>
          </cell>
          <cell r="AK88">
            <v>291.5187193067473</v>
          </cell>
          <cell r="AL88">
            <v>55.108461235102197</v>
          </cell>
          <cell r="AM88">
            <v>53.623131142467592</v>
          </cell>
          <cell r="AN88">
            <v>74.055612648561834</v>
          </cell>
          <cell r="AO88">
            <v>94.264387107019019</v>
          </cell>
          <cell r="AP88">
            <v>277.05159213315062</v>
          </cell>
          <cell r="AQ88">
            <v>62.26400000000001</v>
          </cell>
          <cell r="AR88">
            <v>63.965000000000003</v>
          </cell>
          <cell r="AS88">
            <v>76.834000000000003</v>
          </cell>
          <cell r="AT88">
            <v>94.760639999999995</v>
          </cell>
          <cell r="AU88">
            <v>297.82363999999995</v>
          </cell>
          <cell r="AV88">
            <v>50.739000000000004</v>
          </cell>
          <cell r="AW88">
            <v>70.871999999999986</v>
          </cell>
          <cell r="AX88">
            <v>79.972999999999999</v>
          </cell>
          <cell r="AY88">
            <v>112.63572000000002</v>
          </cell>
          <cell r="AZ88">
            <v>314.21972</v>
          </cell>
          <cell r="BA88">
            <v>54.494330281599993</v>
          </cell>
          <cell r="BB88">
            <v>77.752215773200021</v>
          </cell>
          <cell r="BC88">
            <v>86.816630262400011</v>
          </cell>
          <cell r="BD88">
            <v>117.25392770776</v>
          </cell>
          <cell r="BE88">
            <v>336.31710402496003</v>
          </cell>
          <cell r="BJ88">
            <v>369.63268915147592</v>
          </cell>
        </row>
        <row r="89">
          <cell r="B89" t="str">
            <v>Loss from discontinued operations, net of tax</v>
          </cell>
          <cell r="E89">
            <v>1.6</v>
          </cell>
          <cell r="F89">
            <v>-2.6</v>
          </cell>
          <cell r="G89">
            <v>-1.423</v>
          </cell>
          <cell r="H89">
            <v>1.266</v>
          </cell>
          <cell r="I89">
            <v>6.6180000000000003</v>
          </cell>
          <cell r="J89">
            <v>19.344999999999999</v>
          </cell>
          <cell r="K89">
            <v>29.382000000000001</v>
          </cell>
          <cell r="L89">
            <v>56.611000000000004</v>
          </cell>
          <cell r="M89">
            <v>27.231999999999999</v>
          </cell>
          <cell r="N89">
            <v>14.384</v>
          </cell>
          <cell r="O89">
            <v>4.258</v>
          </cell>
          <cell r="P89">
            <v>0.91300000000000003</v>
          </cell>
          <cell r="Q89">
            <v>46.786999999999999</v>
          </cell>
          <cell r="R89">
            <v>0</v>
          </cell>
          <cell r="S89">
            <v>0</v>
          </cell>
          <cell r="T89">
            <v>0</v>
          </cell>
          <cell r="U89">
            <v>2.0529999999999999</v>
          </cell>
          <cell r="V89">
            <v>2.0529999999999999</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J89">
            <v>0</v>
          </cell>
        </row>
        <row r="90">
          <cell r="B90" t="str">
            <v>One-Time Adjustments</v>
          </cell>
          <cell r="W90">
            <v>3.48</v>
          </cell>
          <cell r="X90">
            <v>3.72</v>
          </cell>
          <cell r="Y90">
            <v>0</v>
          </cell>
          <cell r="Z90">
            <v>0</v>
          </cell>
          <cell r="AA90">
            <v>7.2</v>
          </cell>
          <cell r="AB90">
            <v>0</v>
          </cell>
          <cell r="AC90">
            <v>5.4</v>
          </cell>
          <cell r="AD90">
            <v>1</v>
          </cell>
          <cell r="AE90">
            <v>0.35000000000000003</v>
          </cell>
          <cell r="AF90">
            <v>6.75</v>
          </cell>
          <cell r="AG90">
            <v>0.4</v>
          </cell>
          <cell r="AH90">
            <v>1.5</v>
          </cell>
          <cell r="AI90">
            <v>1.3</v>
          </cell>
          <cell r="AJ90">
            <v>1.9</v>
          </cell>
          <cell r="AK90">
            <v>5.0999999999999996</v>
          </cell>
          <cell r="AL90">
            <v>5.5</v>
          </cell>
          <cell r="AM90">
            <v>22.6</v>
          </cell>
          <cell r="AN90">
            <v>9.4499999999999993</v>
          </cell>
          <cell r="AO90">
            <v>40.216200000000001</v>
          </cell>
          <cell r="AP90">
            <v>77.766199999999998</v>
          </cell>
          <cell r="AQ90">
            <v>2.8</v>
          </cell>
          <cell r="AR90">
            <v>2.6</v>
          </cell>
          <cell r="AS90">
            <v>7.1</v>
          </cell>
          <cell r="AT90">
            <v>18.181039999999999</v>
          </cell>
          <cell r="AU90">
            <v>30.681039999999999</v>
          </cell>
          <cell r="AV90">
            <v>10.05368</v>
          </cell>
          <cell r="AW90">
            <v>0</v>
          </cell>
          <cell r="AX90">
            <v>6.1835199999999997</v>
          </cell>
          <cell r="AY90">
            <v>3.8633000000000037</v>
          </cell>
          <cell r="AZ90">
            <v>20.100500000000004</v>
          </cell>
          <cell r="BA90">
            <v>3.5</v>
          </cell>
          <cell r="BB90">
            <v>3.5</v>
          </cell>
          <cell r="BC90">
            <v>3.5</v>
          </cell>
          <cell r="BD90">
            <v>3.5</v>
          </cell>
          <cell r="BE90">
            <v>14</v>
          </cell>
          <cell r="BJ90">
            <v>0</v>
          </cell>
        </row>
        <row r="91">
          <cell r="B91" t="str">
            <v>Loss from divestiture</v>
          </cell>
        </row>
        <row r="92">
          <cell r="B92" t="str">
            <v xml:space="preserve">Net Income  - GAAP </v>
          </cell>
          <cell r="C92">
            <v>40.700000000000003</v>
          </cell>
          <cell r="D92">
            <v>58.999999999999993</v>
          </cell>
          <cell r="E92">
            <v>36.488000000000007</v>
          </cell>
          <cell r="F92">
            <v>47.244</v>
          </cell>
          <cell r="G92">
            <v>140.80399999999997</v>
          </cell>
          <cell r="H92">
            <v>35.164000000000009</v>
          </cell>
          <cell r="I92">
            <v>36.390999999999991</v>
          </cell>
          <cell r="J92">
            <v>25.033000000000001</v>
          </cell>
          <cell r="K92">
            <v>16.750000000000004</v>
          </cell>
          <cell r="L92">
            <v>113.33800000000001</v>
          </cell>
          <cell r="M92">
            <v>15.991000000000007</v>
          </cell>
          <cell r="N92">
            <v>25.736999999999995</v>
          </cell>
          <cell r="O92">
            <v>33.884</v>
          </cell>
          <cell r="P92">
            <v>69.84899999999999</v>
          </cell>
          <cell r="Q92">
            <v>145.4609999999999</v>
          </cell>
          <cell r="R92">
            <v>32.819000000000003</v>
          </cell>
          <cell r="S92">
            <v>39.963000000000015</v>
          </cell>
          <cell r="T92">
            <v>45.932000000000002</v>
          </cell>
          <cell r="U92">
            <v>68.615000000000009</v>
          </cell>
          <cell r="V92">
            <v>187.32900000000001</v>
          </cell>
          <cell r="W92">
            <v>32.825749999999999</v>
          </cell>
          <cell r="X92">
            <v>50.487749999999991</v>
          </cell>
          <cell r="Y92">
            <v>63.82974999999999</v>
          </cell>
          <cell r="Z92">
            <v>67.783749999999998</v>
          </cell>
          <cell r="AA92">
            <v>214.92700000000005</v>
          </cell>
          <cell r="AB92">
            <v>43.643000000000001</v>
          </cell>
          <cell r="AC92">
            <v>74.786999999999992</v>
          </cell>
          <cell r="AD92">
            <v>74.38300000000001</v>
          </cell>
          <cell r="AE92">
            <v>82.785000000000011</v>
          </cell>
          <cell r="AF92">
            <v>275.59800000000001</v>
          </cell>
          <cell r="AG92">
            <v>52.415121884654802</v>
          </cell>
          <cell r="AH92">
            <v>74.91740415414219</v>
          </cell>
          <cell r="AI92">
            <v>76.584001034115488</v>
          </cell>
          <cell r="AJ92">
            <v>82.502192233834791</v>
          </cell>
          <cell r="AK92">
            <v>286.41871930674728</v>
          </cell>
          <cell r="AL92">
            <v>49.608461235102197</v>
          </cell>
          <cell r="AM92">
            <v>31.023131142467591</v>
          </cell>
          <cell r="AN92">
            <v>64.605612648561831</v>
          </cell>
          <cell r="AO92">
            <v>54.048187107019018</v>
          </cell>
          <cell r="AP92">
            <v>199.28539213315062</v>
          </cell>
          <cell r="AQ92">
            <v>59.464000000000013</v>
          </cell>
          <cell r="AR92">
            <v>61.365000000000002</v>
          </cell>
          <cell r="AS92">
            <v>69.734000000000009</v>
          </cell>
          <cell r="AT92">
            <v>76.579599999999999</v>
          </cell>
          <cell r="AU92">
            <v>267.14259999999996</v>
          </cell>
          <cell r="AV92">
            <v>40.685320000000004</v>
          </cell>
          <cell r="AW92">
            <v>70.871999999999986</v>
          </cell>
          <cell r="AX92">
            <v>73.789479999999998</v>
          </cell>
          <cell r="AY92">
            <v>108.77242000000001</v>
          </cell>
          <cell r="AZ92">
            <v>294.11921999999998</v>
          </cell>
          <cell r="BA92">
            <v>50.994330281599993</v>
          </cell>
          <cell r="BB92">
            <v>74.252215773200021</v>
          </cell>
          <cell r="BC92">
            <v>83.316630262400011</v>
          </cell>
          <cell r="BD92">
            <v>113.75392770776</v>
          </cell>
          <cell r="BE92">
            <v>322.31710402496003</v>
          </cell>
          <cell r="BJ92">
            <v>369.63268915147592</v>
          </cell>
        </row>
        <row r="94">
          <cell r="B94" t="str">
            <v>Reported EPS</v>
          </cell>
          <cell r="E94">
            <v>0.7585862785862787</v>
          </cell>
          <cell r="F94">
            <v>0.97209876543209872</v>
          </cell>
          <cell r="G94">
            <v>2.9121820062047563</v>
          </cell>
          <cell r="H94">
            <v>0.71617107942973535</v>
          </cell>
          <cell r="I94">
            <v>0.73906862446434718</v>
          </cell>
          <cell r="J94">
            <v>0.50982668377426121</v>
          </cell>
          <cell r="K94">
            <v>0.34250076679276154</v>
          </cell>
          <cell r="L94">
            <v>2.3094854814060111</v>
          </cell>
          <cell r="M94">
            <v>0.328141672822786</v>
          </cell>
          <cell r="N94">
            <v>0.53332090016163114</v>
          </cell>
          <cell r="O94">
            <v>0.71492773499314266</v>
          </cell>
          <cell r="P94">
            <v>1.5137507314218839</v>
          </cell>
          <cell r="Q94">
            <v>3.0548765120967722</v>
          </cell>
          <cell r="R94">
            <v>0.72544208664898324</v>
          </cell>
          <cell r="S94">
            <v>0.88484190948543118</v>
          </cell>
          <cell r="T94">
            <v>1.0207791630553149</v>
          </cell>
          <cell r="U94">
            <v>1.5321662237902778</v>
          </cell>
          <cell r="V94">
            <v>4.1487079587079592</v>
          </cell>
          <cell r="W94">
            <v>0.7317376281765493</v>
          </cell>
          <cell r="X94">
            <v>1.1267826455687724</v>
          </cell>
          <cell r="Y94">
            <v>1.4284059884527591</v>
          </cell>
          <cell r="Z94">
            <v>1.516686431576121</v>
          </cell>
          <cell r="AA94">
            <v>4.8016576930810313</v>
          </cell>
          <cell r="AB94">
            <v>0.97683423608935049</v>
          </cell>
          <cell r="AC94">
            <v>1.6786075011783717</v>
          </cell>
          <cell r="AD94">
            <v>1.6777868001984935</v>
          </cell>
          <cell r="AE94">
            <v>1.8908455529669732</v>
          </cell>
          <cell r="AF94">
            <v>6.216963681479811</v>
          </cell>
          <cell r="AG94">
            <v>1.2173143639893818</v>
          </cell>
          <cell r="AH94">
            <v>1.7412933282387084</v>
          </cell>
          <cell r="AI94">
            <v>1.7812303996770669</v>
          </cell>
          <cell r="AJ94">
            <v>1.9192805153732564</v>
          </cell>
          <cell r="AK94">
            <v>6.6584615938754359</v>
          </cell>
          <cell r="AL94">
            <v>1.1598892035329014</v>
          </cell>
          <cell r="AM94">
            <v>0.7412049012655022</v>
          </cell>
          <cell r="AN94">
            <v>1.5456997547326803</v>
          </cell>
          <cell r="AO94">
            <v>1.3036224579599378</v>
          </cell>
          <cell r="AP94">
            <v>4.7482253519293458</v>
          </cell>
          <cell r="AQ94">
            <v>1.4467070530131623</v>
          </cell>
          <cell r="AR94">
            <v>1.4935017523364487</v>
          </cell>
          <cell r="AS94">
            <v>1.7029059829059829</v>
          </cell>
          <cell r="AT94">
            <v>1.9375468070033397</v>
          </cell>
          <cell r="AU94">
            <v>6.5798669950738899</v>
          </cell>
          <cell r="AV94">
            <v>1.0521702699906901</v>
          </cell>
          <cell r="AW94">
            <v>1.8334971801107254</v>
          </cell>
          <cell r="AX94">
            <v>1.9093197402126945</v>
          </cell>
          <cell r="AY94">
            <v>2.8155312815468641</v>
          </cell>
          <cell r="AZ94">
            <v>7.6097131990530515</v>
          </cell>
          <cell r="BA94">
            <v>1.3224211544412126</v>
          </cell>
          <cell r="BB94">
            <v>1.9290855183340785</v>
          </cell>
          <cell r="BC94">
            <v>2.1684829633636773</v>
          </cell>
          <cell r="BD94">
            <v>2.9659327784966689</v>
          </cell>
          <cell r="BE94">
            <v>8.3812687386855984</v>
          </cell>
          <cell r="BJ94">
            <v>9.7041031214966633</v>
          </cell>
        </row>
        <row r="95">
          <cell r="B95" t="str">
            <v>Adjusted EPS (Continuing Operations)</v>
          </cell>
          <cell r="E95">
            <v>0.79185031185031196</v>
          </cell>
          <cell r="F95">
            <v>0.91860082304526747</v>
          </cell>
          <cell r="G95">
            <v>2.882750775594622</v>
          </cell>
          <cell r="H95">
            <v>0.74195519348268846</v>
          </cell>
          <cell r="I95">
            <v>0.87347427851906001</v>
          </cell>
          <cell r="J95">
            <v>0.9038105130241747</v>
          </cell>
          <cell r="K95">
            <v>0.94329823126469692</v>
          </cell>
          <cell r="L95">
            <v>3.4630463576158941</v>
          </cell>
          <cell r="M95">
            <v>0.88695313141262433</v>
          </cell>
          <cell r="N95">
            <v>0.83138546976667071</v>
          </cell>
          <cell r="O95">
            <v>0.80476843548897559</v>
          </cell>
          <cell r="P95">
            <v>1.5335370478729164</v>
          </cell>
          <cell r="Q95">
            <v>4.0374663978494603</v>
          </cell>
          <cell r="R95">
            <v>0.72544208664898324</v>
          </cell>
          <cell r="S95">
            <v>0.88484190948543118</v>
          </cell>
          <cell r="T95">
            <v>1.0207791630553149</v>
          </cell>
          <cell r="U95">
            <v>1.5780095125382401</v>
          </cell>
          <cell r="V95">
            <v>4.204284604284604</v>
          </cell>
          <cell r="W95">
            <v>0.8093123049487293</v>
          </cell>
          <cell r="X95">
            <v>1.2098053875510519</v>
          </cell>
          <cell r="Y95">
            <v>1.4284059884527591</v>
          </cell>
          <cell r="Z95">
            <v>1.516686431576121</v>
          </cell>
          <cell r="AA95">
            <v>4.9625120082214433</v>
          </cell>
          <cell r="AB95">
            <v>0.97683423608935049</v>
          </cell>
          <cell r="AC95">
            <v>1.79981146050771</v>
          </cell>
          <cell r="AD95">
            <v>1.7003428519871882</v>
          </cell>
          <cell r="AE95">
            <v>1.8988397058151754</v>
          </cell>
          <cell r="AF95">
            <v>6.3692307692307697</v>
          </cell>
          <cell r="AG95">
            <v>1.2266041591493986</v>
          </cell>
          <cell r="AH95">
            <v>1.7761575900460718</v>
          </cell>
          <cell r="AI95">
            <v>1.8114664736391555</v>
          </cell>
          <cell r="AJ95">
            <v>1.9634809527249524</v>
          </cell>
          <cell r="AK95">
            <v>6.7770228185431458</v>
          </cell>
          <cell r="AL95">
            <v>1.2884840129787747</v>
          </cell>
          <cell r="AM95">
            <v>1.2811642848516926</v>
          </cell>
          <cell r="AN95">
            <v>1.7717925365112768</v>
          </cell>
          <cell r="AO95">
            <v>2.2736224579599376</v>
          </cell>
          <cell r="AP95">
            <v>6.6011029683504034</v>
          </cell>
          <cell r="AQ95">
            <v>1.5148286013186387</v>
          </cell>
          <cell r="AR95">
            <v>1.5567805685358256</v>
          </cell>
          <cell r="AS95">
            <v>1.8762881562881562</v>
          </cell>
          <cell r="AT95">
            <v>2.3975468070033394</v>
          </cell>
          <cell r="AU95">
            <v>7.3355576354679792</v>
          </cell>
          <cell r="AV95">
            <v>1.3121702699906901</v>
          </cell>
          <cell r="AW95">
            <v>1.8334971801107254</v>
          </cell>
          <cell r="AX95">
            <v>2.0693197402126944</v>
          </cell>
          <cell r="AY95">
            <v>2.9155312815468646</v>
          </cell>
          <cell r="AZ95">
            <v>8.1297711543188313</v>
          </cell>
          <cell r="BA95">
            <v>1.4131856377668091</v>
          </cell>
          <cell r="BB95">
            <v>2.0200161288735989</v>
          </cell>
          <cell r="BC95">
            <v>2.2595775065283452</v>
          </cell>
          <cell r="BD95">
            <v>3.057189097587532</v>
          </cell>
          <cell r="BE95">
            <v>8.7453132181014706</v>
          </cell>
          <cell r="BJ95">
            <v>9.7041031214966633</v>
          </cell>
          <cell r="BL95">
            <v>1.3777787834902246</v>
          </cell>
          <cell r="BP95" t="str">
            <v>$8.65 - $8.90</v>
          </cell>
        </row>
        <row r="96">
          <cell r="B96" t="str">
            <v>Y/Y Change</v>
          </cell>
          <cell r="J96">
            <v>0.14139061322366087</v>
          </cell>
          <cell r="K96">
            <v>2.6885898205005532E-2</v>
          </cell>
          <cell r="L96">
            <v>0.20129925449471964</v>
          </cell>
          <cell r="M96">
            <v>0.19542681175843679</v>
          </cell>
          <cell r="N96">
            <v>-4.8185515918968025E-2</v>
          </cell>
          <cell r="O96">
            <v>-0.10958278987461834</v>
          </cell>
          <cell r="P96">
            <v>0.6257181419887492</v>
          </cell>
          <cell r="Q96">
            <v>0.16587131124315091</v>
          </cell>
          <cell r="R96">
            <v>-0.18209648181342697</v>
          </cell>
          <cell r="S96">
            <v>6.4298020187631089E-2</v>
          </cell>
          <cell r="T96">
            <v>0.26841351877213193</v>
          </cell>
          <cell r="U96">
            <v>2.8999928451033385E-2</v>
          </cell>
          <cell r="V96">
            <v>4.1317546698097285E-2</v>
          </cell>
          <cell r="W96">
            <v>0.115612562109769</v>
          </cell>
          <cell r="X96">
            <v>0.36725597486063832</v>
          </cell>
          <cell r="Y96">
            <v>0.39932910089716955</v>
          </cell>
          <cell r="Z96">
            <v>-3.8861033773795461E-2</v>
          </cell>
          <cell r="AA96">
            <v>0.18034635504079022</v>
          </cell>
          <cell r="AB96">
            <v>0.20699293723358614</v>
          </cell>
          <cell r="AC96">
            <v>0.48768676270402267</v>
          </cell>
          <cell r="AD96">
            <v>0.17458678678312056</v>
          </cell>
          <cell r="AE96">
            <v>0.25196590823452247</v>
          </cell>
          <cell r="AF96">
            <v>0.28346908958180883</v>
          </cell>
          <cell r="AG96">
            <v>0.2556932525829303</v>
          </cell>
          <cell r="AH96">
            <v>-1.3142415736682622E-2</v>
          </cell>
          <cell r="AI96">
            <v>6.5353655894808016E-2</v>
          </cell>
          <cell r="AJ96">
            <v>3.4042498011714217E-2</v>
          </cell>
          <cell r="AK96">
            <v>6.4025321751943087E-2</v>
          </cell>
          <cell r="AL96">
            <v>5.0448103707953607E-2</v>
          </cell>
          <cell r="AM96">
            <v>-0.27868771778383672</v>
          </cell>
          <cell r="AN96">
            <v>-2.1901557497873814E-2</v>
          </cell>
          <cell r="AO96">
            <v>0.15795493447724329</v>
          </cell>
          <cell r="AP96">
            <v>-2.5958279159307818E-2</v>
          </cell>
          <cell r="AQ96">
            <v>0.1756673626214349</v>
          </cell>
          <cell r="AR96">
            <v>0.21512954032748288</v>
          </cell>
          <cell r="AS96">
            <v>5.8977345046635765E-2</v>
          </cell>
          <cell r="AT96">
            <v>5.4505244971320366E-2</v>
          </cell>
          <cell r="AU96">
            <v>0.11126241639298562</v>
          </cell>
          <cell r="AV96">
            <v>-0.1337830109304361</v>
          </cell>
          <cell r="AW96">
            <v>0.17774927126380802</v>
          </cell>
          <cell r="AX96">
            <v>0.10287949816109854</v>
          </cell>
          <cell r="AY96">
            <v>0.21604770052057787</v>
          </cell>
          <cell r="AZ96">
            <v>0.10826900398284223</v>
          </cell>
          <cell r="BA96">
            <v>7.6983429731901865E-2</v>
          </cell>
          <cell r="BB96">
            <v>0.10172851683993844</v>
          </cell>
          <cell r="BC96">
            <v>9.1942179170481975E-2</v>
          </cell>
          <cell r="BD96">
            <v>4.8587307890419762E-2</v>
          </cell>
          <cell r="BE96">
            <v>7.5714562205805747E-2</v>
          </cell>
          <cell r="BJ96">
            <v>0.10963471284374848</v>
          </cell>
          <cell r="BL96">
            <v>0.39257619264387256</v>
          </cell>
          <cell r="BY96" t="str">
            <v>&gt;10% CAGR</v>
          </cell>
        </row>
        <row r="98">
          <cell r="B98" t="str">
            <v>Diluted Shares Out (Mil)</v>
          </cell>
          <cell r="E98">
            <v>48.1</v>
          </cell>
          <cell r="F98">
            <v>48.6</v>
          </cell>
          <cell r="G98">
            <v>48.35</v>
          </cell>
          <cell r="H98">
            <v>49.1</v>
          </cell>
          <cell r="I98">
            <v>49.238999999999997</v>
          </cell>
          <cell r="J98">
            <v>49.100999999999999</v>
          </cell>
          <cell r="K98">
            <v>48.905000000000001</v>
          </cell>
          <cell r="L98">
            <v>49.075000000000003</v>
          </cell>
          <cell r="M98">
            <v>48.731999999999999</v>
          </cell>
          <cell r="N98">
            <v>48.258000000000003</v>
          </cell>
          <cell r="O98">
            <v>47.395000000000003</v>
          </cell>
          <cell r="P98">
            <v>46.143000000000001</v>
          </cell>
          <cell r="Q98">
            <v>47.616</v>
          </cell>
          <cell r="R98">
            <v>45.24</v>
          </cell>
          <cell r="S98">
            <v>45.164000000000001</v>
          </cell>
          <cell r="T98">
            <v>44.997</v>
          </cell>
          <cell r="U98">
            <v>44.783000000000001</v>
          </cell>
          <cell r="V98">
            <v>45.045000000000002</v>
          </cell>
          <cell r="W98">
            <v>44.86</v>
          </cell>
          <cell r="X98">
            <v>44.807000000000002</v>
          </cell>
          <cell r="Y98">
            <v>44.686</v>
          </cell>
          <cell r="Z98">
            <v>44.692</v>
          </cell>
          <cell r="AA98">
            <v>44.761000000000003</v>
          </cell>
          <cell r="AB98">
            <v>44.677999999999997</v>
          </cell>
          <cell r="AC98">
            <v>44.552999999999997</v>
          </cell>
          <cell r="AD98">
            <v>44.334000000000003</v>
          </cell>
          <cell r="AE98">
            <v>43.781999999999996</v>
          </cell>
          <cell r="AF98">
            <v>44.33</v>
          </cell>
          <cell r="AG98">
            <v>43.058</v>
          </cell>
          <cell r="AH98">
            <v>43.024000000000001</v>
          </cell>
          <cell r="AI98">
            <v>42.994999999999997</v>
          </cell>
          <cell r="AJ98">
            <v>42.985999999999997</v>
          </cell>
          <cell r="AK98">
            <v>43.015749999999997</v>
          </cell>
          <cell r="AL98">
            <v>42.77</v>
          </cell>
          <cell r="AM98">
            <v>41.854999999999997</v>
          </cell>
          <cell r="AN98">
            <v>41.796999999999997</v>
          </cell>
          <cell r="AO98">
            <v>41.46</v>
          </cell>
          <cell r="AP98">
            <v>41.970500000000001</v>
          </cell>
          <cell r="AQ98">
            <v>41.103000000000002</v>
          </cell>
          <cell r="AR98">
            <v>41.088000000000001</v>
          </cell>
          <cell r="AS98">
            <v>40.950000000000003</v>
          </cell>
          <cell r="AT98">
            <v>39.524000000000001</v>
          </cell>
          <cell r="AU98">
            <v>40.6</v>
          </cell>
          <cell r="AV98">
            <v>38.667999999999999</v>
          </cell>
          <cell r="AW98">
            <v>38.654000000000003</v>
          </cell>
          <cell r="AX98">
            <v>38.646999999999998</v>
          </cell>
          <cell r="AY98">
            <v>38.633000000000003</v>
          </cell>
          <cell r="AZ98">
            <v>38.650500000000001</v>
          </cell>
          <cell r="BA98">
            <v>38.561338882352942</v>
          </cell>
          <cell r="BB98">
            <v>38.490888593328314</v>
          </cell>
          <cell r="BC98">
            <v>38.421620861231979</v>
          </cell>
          <cell r="BD98">
            <v>38.353508391184114</v>
          </cell>
          <cell r="BE98">
            <v>38.456839182024339</v>
          </cell>
          <cell r="BJ98">
            <v>38.090350496447272</v>
          </cell>
          <cell r="BP98">
            <v>38.5</v>
          </cell>
        </row>
        <row r="101">
          <cell r="B101" t="str">
            <v>Sources: Curtiss-Wright Corporation reports and William Blair Equity Research</v>
          </cell>
        </row>
        <row r="104">
          <cell r="B104" t="str">
            <v>Incremental Growth Rate</v>
          </cell>
          <cell r="C104" t="str">
            <v>1Q13</v>
          </cell>
          <cell r="D104" t="str">
            <v>2Q13</v>
          </cell>
          <cell r="E104" t="str">
            <v>3Q13</v>
          </cell>
          <cell r="F104" t="str">
            <v>4Q13</v>
          </cell>
          <cell r="G104" t="str">
            <v>FY13</v>
          </cell>
          <cell r="H104" t="str">
            <v>1Q14</v>
          </cell>
          <cell r="I104" t="str">
            <v>2Q14</v>
          </cell>
          <cell r="J104" t="str">
            <v>3Q14</v>
          </cell>
          <cell r="K104" t="str">
            <v>4Q14</v>
          </cell>
          <cell r="L104" t="str">
            <v>FY14</v>
          </cell>
          <cell r="M104" t="str">
            <v>1Q15</v>
          </cell>
          <cell r="N104" t="str">
            <v>2Q15</v>
          </cell>
          <cell r="O104" t="str">
            <v>3Q15</v>
          </cell>
          <cell r="P104" t="str">
            <v>4Q15</v>
          </cell>
          <cell r="Q104" t="str">
            <v>FY15</v>
          </cell>
          <cell r="R104" t="str">
            <v>1Q16</v>
          </cell>
          <cell r="S104" t="str">
            <v>2Q16</v>
          </cell>
          <cell r="T104" t="str">
            <v>3Q16</v>
          </cell>
          <cell r="U104" t="str">
            <v>4Q16</v>
          </cell>
          <cell r="V104" t="str">
            <v>FY16</v>
          </cell>
          <cell r="W104" t="str">
            <v>1Q17</v>
          </cell>
          <cell r="X104" t="str">
            <v>2Q17</v>
          </cell>
          <cell r="Y104" t="str">
            <v>3Q17</v>
          </cell>
          <cell r="Z104" t="str">
            <v>4Q17</v>
          </cell>
          <cell r="AA104" t="str">
            <v>FY17</v>
          </cell>
          <cell r="AB104" t="str">
            <v>1Q18</v>
          </cell>
          <cell r="AC104" t="str">
            <v>2Q18</v>
          </cell>
          <cell r="AD104" t="str">
            <v>3Q18</v>
          </cell>
          <cell r="AE104" t="str">
            <v>4Q18</v>
          </cell>
          <cell r="AF104" t="str">
            <v>FY18</v>
          </cell>
          <cell r="AG104" t="str">
            <v>1Q19</v>
          </cell>
          <cell r="AH104" t="str">
            <v>2Q19</v>
          </cell>
          <cell r="AI104" t="str">
            <v>3Q19</v>
          </cell>
          <cell r="AJ104" t="str">
            <v>4Q19</v>
          </cell>
          <cell r="AK104" t="str">
            <v>FY19</v>
          </cell>
          <cell r="AL104" t="str">
            <v>1Q20</v>
          </cell>
          <cell r="AM104" t="str">
            <v>2Q20</v>
          </cell>
          <cell r="AN104" t="str">
            <v>3Q20</v>
          </cell>
          <cell r="AO104" t="str">
            <v>4Q20</v>
          </cell>
          <cell r="AP104" t="str">
            <v>FY20</v>
          </cell>
          <cell r="AQ104" t="str">
            <v>1Q21</v>
          </cell>
          <cell r="AR104" t="str">
            <v>2Q21</v>
          </cell>
          <cell r="AS104" t="str">
            <v>3Q21</v>
          </cell>
          <cell r="AT104" t="str">
            <v>4Q21</v>
          </cell>
          <cell r="AU104" t="str">
            <v>FY21</v>
          </cell>
          <cell r="AV104" t="str">
            <v>1Q22</v>
          </cell>
          <cell r="AW104" t="str">
            <v>2Q22</v>
          </cell>
          <cell r="AX104" t="str">
            <v>3Q22</v>
          </cell>
          <cell r="AY104" t="str">
            <v>4Q22</v>
          </cell>
          <cell r="AZ104" t="str">
            <v>FY22</v>
          </cell>
          <cell r="BA104" t="str">
            <v>1Q23E</v>
          </cell>
          <cell r="BB104" t="str">
            <v>2Q23E</v>
          </cell>
          <cell r="BC104" t="str">
            <v>3Q23E</v>
          </cell>
          <cell r="BD104" t="str">
            <v>4Q23E</v>
          </cell>
          <cell r="BE104" t="str">
            <v>FY23E</v>
          </cell>
          <cell r="BF104" t="str">
            <v>1Q24E</v>
          </cell>
          <cell r="BG104" t="str">
            <v>2Q24E</v>
          </cell>
          <cell r="BH104" t="str">
            <v>3Q24E</v>
          </cell>
          <cell r="BI104" t="str">
            <v>4Q24E</v>
          </cell>
          <cell r="BJ104" t="str">
            <v>FY24E</v>
          </cell>
        </row>
        <row r="106">
          <cell r="B106" t="str">
            <v xml:space="preserve">Aerospace &amp; Industrial </v>
          </cell>
          <cell r="C106" t="str">
            <v>NM</v>
          </cell>
          <cell r="D106" t="str">
            <v>NM</v>
          </cell>
          <cell r="E106" t="str">
            <v>NM</v>
          </cell>
          <cell r="F106" t="str">
            <v>NM</v>
          </cell>
          <cell r="G106" t="str">
            <v>NM</v>
          </cell>
          <cell r="H106">
            <v>0.25498038761038017</v>
          </cell>
          <cell r="I106">
            <v>0.29635591980096593</v>
          </cell>
          <cell r="J106">
            <v>0.30091253615238861</v>
          </cell>
          <cell r="K106">
            <v>0.52090082558260964</v>
          </cell>
          <cell r="AG106">
            <v>0.12372714811838496</v>
          </cell>
          <cell r="AH106">
            <v>0.16819427589041386</v>
          </cell>
          <cell r="AI106">
            <v>0.13807469581057255</v>
          </cell>
          <cell r="AJ106">
            <v>0.14640331068809301</v>
          </cell>
          <cell r="AK106">
            <v>0.1445231504187259</v>
          </cell>
          <cell r="AL106">
            <v>0.24934080703829709</v>
          </cell>
          <cell r="AM106">
            <v>-0.4014889078566759</v>
          </cell>
          <cell r="AN106">
            <v>-0.15737663502061763</v>
          </cell>
          <cell r="AO106">
            <v>5.6776329829072028E-3</v>
          </cell>
          <cell r="AP106">
            <v>-0.20188990635274454</v>
          </cell>
          <cell r="AQ106">
            <v>-0.3270431240879762</v>
          </cell>
          <cell r="AR106">
            <v>0.62773342645618002</v>
          </cell>
          <cell r="AS106">
            <v>0.33402782281930526</v>
          </cell>
          <cell r="AT106">
            <v>0.43729203062169708</v>
          </cell>
          <cell r="AU106">
            <v>0.60732167361470846</v>
          </cell>
          <cell r="AV106">
            <v>0.47368028631076636</v>
          </cell>
          <cell r="AW106">
            <v>0.13386041439476548</v>
          </cell>
          <cell r="AX106">
            <v>0.48159134531495407</v>
          </cell>
          <cell r="AY106">
            <v>5.5222548144369263E-2</v>
          </cell>
          <cell r="AZ106">
            <v>0.28647123476434994</v>
          </cell>
          <cell r="BA106">
            <v>0.36058374147096744</v>
          </cell>
          <cell r="BB106">
            <v>0.31002222733636325</v>
          </cell>
          <cell r="BC106">
            <v>0.30314737696686422</v>
          </cell>
          <cell r="BD106">
            <v>0.44016348798251376</v>
          </cell>
          <cell r="BE106">
            <v>0.39390953931767403</v>
          </cell>
          <cell r="BF106">
            <v>-0.13500000000000001</v>
          </cell>
          <cell r="BG106">
            <v>-0.16300000000000001</v>
          </cell>
          <cell r="BH106">
            <v>-0.188</v>
          </cell>
          <cell r="BI106">
            <v>-0.19</v>
          </cell>
          <cell r="BJ106">
            <v>0.25767139314317183</v>
          </cell>
        </row>
        <row r="107">
          <cell r="B107" t="str">
            <v>Defense Electronics</v>
          </cell>
          <cell r="C107" t="str">
            <v>NM</v>
          </cell>
          <cell r="D107" t="str">
            <v>NM</v>
          </cell>
          <cell r="E107" t="str">
            <v>NM</v>
          </cell>
          <cell r="F107" t="str">
            <v>NM</v>
          </cell>
          <cell r="G107" t="str">
            <v>NM</v>
          </cell>
          <cell r="H107">
            <v>1.7522828377429169</v>
          </cell>
          <cell r="I107">
            <v>-0.21499902095163553</v>
          </cell>
          <cell r="J107">
            <v>0.18249376793189395</v>
          </cell>
          <cell r="K107">
            <v>0.10027511621288293</v>
          </cell>
          <cell r="AG107">
            <v>0.15289521991591384</v>
          </cell>
          <cell r="AH107">
            <v>0.21323322221359553</v>
          </cell>
          <cell r="AI107">
            <v>0.26975278560336885</v>
          </cell>
          <cell r="AJ107">
            <v>0.26867877882703178</v>
          </cell>
          <cell r="AK107">
            <v>0.23054017388542528</v>
          </cell>
          <cell r="AL107">
            <v>0.34070979345138547</v>
          </cell>
          <cell r="AM107">
            <v>0.82479121432421498</v>
          </cell>
          <cell r="AN107">
            <v>0.15890963909690353</v>
          </cell>
          <cell r="AO107">
            <v>0.16761329725401841</v>
          </cell>
          <cell r="AP107">
            <v>0.27274031995724612</v>
          </cell>
          <cell r="AQ107">
            <v>0.26591273718249758</v>
          </cell>
          <cell r="AR107">
            <v>-0.11637774569588108</v>
          </cell>
          <cell r="AS107">
            <v>0.10889498624567151</v>
          </cell>
          <cell r="AT107">
            <v>0.43204986444048982</v>
          </cell>
          <cell r="AU107">
            <v>0.1688512286247621</v>
          </cell>
          <cell r="AV107">
            <v>-0.38005658790242397</v>
          </cell>
          <cell r="AW107">
            <v>-0.45772868384954157</v>
          </cell>
          <cell r="AX107">
            <v>-0.2667662992714363</v>
          </cell>
          <cell r="AY107">
            <v>0.47112957081195561</v>
          </cell>
          <cell r="AZ107">
            <v>-0.25511857025254236</v>
          </cell>
          <cell r="BA107">
            <v>0.2462853867714179</v>
          </cell>
          <cell r="BB107">
            <v>0.30212852940804952</v>
          </cell>
          <cell r="BC107">
            <v>0.26745816178510917</v>
          </cell>
          <cell r="BD107">
            <v>0.29661212958979777</v>
          </cell>
          <cell r="BE107">
            <v>0.27982785823130946</v>
          </cell>
          <cell r="BF107">
            <v>-0.16600000000000001</v>
          </cell>
          <cell r="BG107">
            <v>-0.17499999999999999</v>
          </cell>
          <cell r="BH107">
            <v>-0.23100000000000001</v>
          </cell>
          <cell r="BI107">
            <v>-0.29699999999999999</v>
          </cell>
          <cell r="BJ107">
            <v>0.27241535390412963</v>
          </cell>
        </row>
        <row r="108">
          <cell r="B108" t="str">
            <v>Naval &amp; Power</v>
          </cell>
          <cell r="C108" t="str">
            <v>NM</v>
          </cell>
          <cell r="D108" t="str">
            <v>NM</v>
          </cell>
          <cell r="E108" t="str">
            <v>NM</v>
          </cell>
          <cell r="F108" t="str">
            <v>NM</v>
          </cell>
          <cell r="G108" t="str">
            <v>NM</v>
          </cell>
          <cell r="H108">
            <v>0.35164099129269888</v>
          </cell>
          <cell r="I108">
            <v>3.5104270109235163</v>
          </cell>
          <cell r="J108">
            <v>0.22097872932017226</v>
          </cell>
          <cell r="K108">
            <v>0.91528895391367848</v>
          </cell>
          <cell r="AG108">
            <v>0.15252154255628919</v>
          </cell>
          <cell r="AH108">
            <v>0.18388320640929587</v>
          </cell>
          <cell r="AI108">
            <v>0.17841038981505339</v>
          </cell>
          <cell r="AJ108">
            <v>0.20722324038369569</v>
          </cell>
          <cell r="AK108">
            <v>0.18114133857251466</v>
          </cell>
          <cell r="AL108">
            <v>-1.0976226208786954</v>
          </cell>
          <cell r="AM108">
            <v>-0.3499905696536908</v>
          </cell>
          <cell r="AN108">
            <v>7.4997449239191868E-2</v>
          </cell>
          <cell r="AO108">
            <v>0.30708490043816467</v>
          </cell>
          <cell r="AP108">
            <v>-0.32079035793897082</v>
          </cell>
          <cell r="AQ108">
            <v>3.8344579937342509</v>
          </cell>
          <cell r="AR108">
            <v>0.20860648787556538</v>
          </cell>
          <cell r="AS108">
            <v>0.28438020471353781</v>
          </cell>
          <cell r="AT108">
            <v>-0.48555963149384551</v>
          </cell>
          <cell r="AU108">
            <v>0.34543078505832658</v>
          </cell>
          <cell r="AV108">
            <v>-1.7067099567099546</v>
          </cell>
          <cell r="AW108">
            <v>8.509162303664807</v>
          </cell>
          <cell r="AX108">
            <v>0.21854873336195793</v>
          </cell>
          <cell r="AY108">
            <v>0.25305434629967705</v>
          </cell>
          <cell r="AZ108">
            <v>0.24166972364881409</v>
          </cell>
          <cell r="BA108">
            <v>0.15206248621222121</v>
          </cell>
          <cell r="BB108">
            <v>0.14819935592299563</v>
          </cell>
          <cell r="BC108">
            <v>-0.13127084432490838</v>
          </cell>
          <cell r="BD108">
            <v>-1.8025503086077883</v>
          </cell>
          <cell r="BE108">
            <v>3.1733688426362094E-2</v>
          </cell>
          <cell r="BF108">
            <v>-0.14599999999999999</v>
          </cell>
          <cell r="BG108">
            <v>-0.19400000000000001</v>
          </cell>
          <cell r="BH108">
            <v>-0.18</v>
          </cell>
          <cell r="BI108">
            <v>-0.183</v>
          </cell>
          <cell r="BJ108">
            <v>0.39917958067199538</v>
          </cell>
        </row>
        <row r="109">
          <cell r="B109" t="str">
            <v>Total</v>
          </cell>
          <cell r="C109" t="str">
            <v>NM</v>
          </cell>
          <cell r="D109" t="str">
            <v>NM</v>
          </cell>
          <cell r="E109" t="str">
            <v>NM</v>
          </cell>
          <cell r="F109" t="str">
            <v>NM</v>
          </cell>
          <cell r="G109" t="str">
            <v>NM</v>
          </cell>
          <cell r="H109">
            <v>0.41874832677773466</v>
          </cell>
          <cell r="I109">
            <v>0.29178677546676152</v>
          </cell>
          <cell r="J109">
            <v>0.17983100270310481</v>
          </cell>
          <cell r="K109">
            <v>0.21973869604201296</v>
          </cell>
          <cell r="L109">
            <v>0.36210868139426911</v>
          </cell>
          <cell r="M109">
            <v>3.6422839506171467</v>
          </cell>
          <cell r="N109">
            <v>-0.27982836193967647</v>
          </cell>
          <cell r="O109">
            <v>-0.31770579639551894</v>
          </cell>
          <cell r="P109">
            <v>2.077803203661329</v>
          </cell>
          <cell r="Q109">
            <v>0.75431989958068946</v>
          </cell>
          <cell r="R109">
            <v>-0.3647521783940782</v>
          </cell>
          <cell r="S109">
            <v>0.21298680399098974</v>
          </cell>
          <cell r="T109">
            <v>0.69186141083337438</v>
          </cell>
          <cell r="U109">
            <v>-0.10151364871275124</v>
          </cell>
          <cell r="V109">
            <v>-2.6035637506200315E-2</v>
          </cell>
          <cell r="W109">
            <v>-0.25529028082055383</v>
          </cell>
          <cell r="X109">
            <v>0.48157623183420623</v>
          </cell>
          <cell r="Y109">
            <v>0.25862536795540092</v>
          </cell>
          <cell r="Z109">
            <v>-1.9588686170787128E-2</v>
          </cell>
          <cell r="AA109">
            <v>0.16344119189364234</v>
          </cell>
          <cell r="AB109">
            <v>0.51657891437884118</v>
          </cell>
          <cell r="AC109">
            <v>0.45940260233640456</v>
          </cell>
          <cell r="AD109">
            <v>0.21814527862651065</v>
          </cell>
          <cell r="AE109">
            <v>0.1398777932010562</v>
          </cell>
          <cell r="AF109">
            <v>0.33864312650469863</v>
          </cell>
          <cell r="AG109">
            <v>0.65761645764138832</v>
          </cell>
          <cell r="AH109">
            <v>-0.78711183694676368</v>
          </cell>
          <cell r="AI109">
            <v>0.32914900709482731</v>
          </cell>
          <cell r="AJ109">
            <v>0.25222151287615563</v>
          </cell>
          <cell r="AK109">
            <v>0.21538605014896489</v>
          </cell>
          <cell r="AL109">
            <v>0.36536753401526167</v>
          </cell>
          <cell r="AM109">
            <v>-0.32764793606834164</v>
          </cell>
          <cell r="AN109">
            <v>-0.14888429531255332</v>
          </cell>
          <cell r="AO109">
            <v>0.62082063376158847</v>
          </cell>
          <cell r="AP109">
            <v>-0.17580253254534617</v>
          </cell>
          <cell r="AQ109">
            <v>0.83002387656360399</v>
          </cell>
          <cell r="AR109">
            <v>0.2413369754496171</v>
          </cell>
          <cell r="AS109">
            <v>0.18308384037459535</v>
          </cell>
          <cell r="AT109">
            <v>0.20906362255733546</v>
          </cell>
          <cell r="AU109">
            <v>0.26634848124579197</v>
          </cell>
          <cell r="AV109">
            <v>-0.5896382929794024</v>
          </cell>
          <cell r="AW109">
            <v>53.771929824545921</v>
          </cell>
          <cell r="AX109">
            <v>0.41739338191375075</v>
          </cell>
          <cell r="AY109">
            <v>0.2988492272824963</v>
          </cell>
          <cell r="AZ109">
            <v>0.25581002186506746</v>
          </cell>
          <cell r="BA109">
            <v>0.23779374849952084</v>
          </cell>
          <cell r="BB109">
            <v>0.22266459951747314</v>
          </cell>
          <cell r="BC109">
            <v>0.17726014925624695</v>
          </cell>
          <cell r="BD109">
            <v>6.1106083294382163E-2</v>
          </cell>
          <cell r="BE109">
            <v>0.19760410657419067</v>
          </cell>
          <cell r="BF109">
            <v>-0.13273714535247155</v>
          </cell>
          <cell r="BG109">
            <v>-0.16579678645648524</v>
          </cell>
          <cell r="BH109">
            <v>-0.18135135736324251</v>
          </cell>
          <cell r="BI109">
            <v>-0.20801496989289411</v>
          </cell>
          <cell r="BJ109">
            <v>0.29331610679579845</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Name val="BA_Drivers"/>
      <sheetName val="BA_IS"/>
      <sheetName val="BA_FCF"/>
      <sheetName val="BA_BlueMatrix"/>
      <sheetName val="BA_comp"/>
      <sheetName val="Boeing_EC"/>
      <sheetName val="Timeline"/>
      <sheetName val="Production"/>
      <sheetName val="Inventory"/>
      <sheetName val="Monthly"/>
      <sheetName val="Delivery Tracker"/>
      <sheetName val="Orders"/>
      <sheetName val="Narrowbody"/>
      <sheetName val="Widebody"/>
      <sheetName val="Org Chart"/>
      <sheetName val="Valuation2"/>
      <sheetName val="1x"/>
      <sheetName val="2x"/>
      <sheetName val="3x"/>
      <sheetName val="4x"/>
      <sheetName val="5x"/>
      <sheetName val="6x"/>
      <sheetName val="BCA Issues "/>
      <sheetName val="China 1"/>
      <sheetName val="China 2"/>
      <sheetName val="BCA M&amp;A"/>
      <sheetName val="BDS M&amp;A"/>
      <sheetName val="BGS M&amp;A"/>
      <sheetName val="Cash Flows"/>
      <sheetName val="Revenue Mix Specifics"/>
      <sheetName val="BDS Issues"/>
      <sheetName val="BA Suppliers"/>
      <sheetName val="BGS Growth"/>
      <sheetName val="BGS Margins"/>
      <sheetName val="BGS Breakdown"/>
      <sheetName val="Sum of Parts"/>
    </sheetNames>
    <sheetDataSet>
      <sheetData sheetId="0"/>
      <sheetData sheetId="1"/>
      <sheetData sheetId="2">
        <row r="72">
          <cell r="P72">
            <v>9</v>
          </cell>
          <cell r="Q72">
            <v>6</v>
          </cell>
          <cell r="R72">
            <v>4</v>
          </cell>
          <cell r="S72">
            <v>8</v>
          </cell>
          <cell r="T72">
            <v>27</v>
          </cell>
          <cell r="U72">
            <v>7</v>
          </cell>
          <cell r="V72">
            <v>6</v>
          </cell>
          <cell r="W72">
            <v>7</v>
          </cell>
          <cell r="X72">
            <v>5</v>
          </cell>
          <cell r="Y72">
            <v>25</v>
          </cell>
          <cell r="Z72">
            <v>7</v>
          </cell>
          <cell r="AA72">
            <v>5</v>
          </cell>
          <cell r="AB72">
            <v>5</v>
          </cell>
          <cell r="AC72">
            <v>3</v>
          </cell>
          <cell r="AD72">
            <v>20</v>
          </cell>
        </row>
        <row r="73">
          <cell r="P73">
            <v>15</v>
          </cell>
          <cell r="Q73">
            <v>16</v>
          </cell>
          <cell r="R73">
            <v>11</v>
          </cell>
          <cell r="S73">
            <v>14</v>
          </cell>
          <cell r="T73">
            <v>56</v>
          </cell>
          <cell r="U73">
            <v>15</v>
          </cell>
          <cell r="V73">
            <v>13</v>
          </cell>
          <cell r="W73">
            <v>8</v>
          </cell>
          <cell r="X73">
            <v>14</v>
          </cell>
          <cell r="Y73">
            <v>50</v>
          </cell>
          <cell r="Z73">
            <v>13</v>
          </cell>
          <cell r="AA73">
            <v>16</v>
          </cell>
          <cell r="AB73">
            <v>9</v>
          </cell>
          <cell r="AC73">
            <v>19</v>
          </cell>
          <cell r="AD73">
            <v>57</v>
          </cell>
        </row>
        <row r="74">
          <cell r="P74">
            <v>3</v>
          </cell>
          <cell r="Q74">
            <v>3</v>
          </cell>
          <cell r="R74">
            <v>6</v>
          </cell>
          <cell r="S74">
            <v>3</v>
          </cell>
          <cell r="T74">
            <v>15</v>
          </cell>
          <cell r="U74">
            <v>3</v>
          </cell>
          <cell r="V74">
            <v>5</v>
          </cell>
          <cell r="W74">
            <v>1</v>
          </cell>
          <cell r="X74">
            <v>9</v>
          </cell>
          <cell r="Y74">
            <v>18</v>
          </cell>
          <cell r="Z74">
            <v>5</v>
          </cell>
          <cell r="AA74">
            <v>2</v>
          </cell>
          <cell r="AB74">
            <v>1</v>
          </cell>
          <cell r="AC74">
            <v>3</v>
          </cell>
          <cell r="AD74">
            <v>11</v>
          </cell>
        </row>
        <row r="75">
          <cell r="P75">
            <v>3</v>
          </cell>
          <cell r="Q75">
            <v>1</v>
          </cell>
          <cell r="R75">
            <v>1</v>
          </cell>
          <cell r="S75">
            <v>0</v>
          </cell>
          <cell r="T75">
            <v>5</v>
          </cell>
          <cell r="U75">
            <v>1</v>
          </cell>
          <cell r="V75">
            <v>1</v>
          </cell>
          <cell r="W75">
            <v>2</v>
          </cell>
          <cell r="X75">
            <v>3</v>
          </cell>
          <cell r="Y75">
            <v>7</v>
          </cell>
          <cell r="Z75">
            <v>1</v>
          </cell>
          <cell r="AA75">
            <v>3</v>
          </cell>
          <cell r="AB75">
            <v>3</v>
          </cell>
          <cell r="AC75">
            <v>2</v>
          </cell>
          <cell r="AD75">
            <v>9</v>
          </cell>
        </row>
        <row r="79">
          <cell r="P79">
            <v>3</v>
          </cell>
          <cell r="Q79">
            <v>3</v>
          </cell>
          <cell r="R79">
            <v>5</v>
          </cell>
          <cell r="S79">
            <v>5</v>
          </cell>
          <cell r="T79">
            <v>16</v>
          </cell>
          <cell r="U79">
            <v>0</v>
          </cell>
          <cell r="V79">
            <v>3</v>
          </cell>
          <cell r="W79">
            <v>4</v>
          </cell>
          <cell r="X79">
            <v>2</v>
          </cell>
          <cell r="Y79">
            <v>9</v>
          </cell>
          <cell r="Z79">
            <v>3</v>
          </cell>
          <cell r="AA79">
            <v>2</v>
          </cell>
          <cell r="AB79">
            <v>2</v>
          </cell>
          <cell r="AC79">
            <v>4</v>
          </cell>
          <cell r="AD79">
            <v>11</v>
          </cell>
        </row>
      </sheetData>
      <sheetData sheetId="3"/>
      <sheetData sheetId="4"/>
      <sheetData sheetId="5"/>
      <sheetData sheetId="6"/>
      <sheetData sheetId="7"/>
      <sheetData sheetId="8"/>
      <sheetData sheetId="9">
        <row r="20">
          <cell r="J20">
            <v>0</v>
          </cell>
          <cell r="K20">
            <v>0</v>
          </cell>
          <cell r="L20">
            <v>13.333333333333334</v>
          </cell>
          <cell r="M20">
            <v>15.333333333333334</v>
          </cell>
          <cell r="N20">
            <v>16.333333333333332</v>
          </cell>
          <cell r="O20">
            <v>23.666666666666668</v>
          </cell>
          <cell r="P20">
            <v>24.333333333333332</v>
          </cell>
          <cell r="Q20">
            <v>22.666666666666668</v>
          </cell>
          <cell r="T20">
            <v>29</v>
          </cell>
          <cell r="U20">
            <v>33</v>
          </cell>
          <cell r="V20">
            <v>33</v>
          </cell>
          <cell r="W20">
            <v>38</v>
          </cell>
          <cell r="Y20">
            <v>30</v>
          </cell>
          <cell r="Z20">
            <v>32</v>
          </cell>
          <cell r="AA20">
            <v>37</v>
          </cell>
          <cell r="AB20">
            <v>38</v>
          </cell>
          <cell r="AC20">
            <v>38</v>
          </cell>
          <cell r="AD20">
            <v>40</v>
          </cell>
          <cell r="AE20">
            <v>42</v>
          </cell>
          <cell r="AF20">
            <v>45</v>
          </cell>
          <cell r="AG20">
            <v>47</v>
          </cell>
          <cell r="AH20">
            <v>47</v>
          </cell>
        </row>
        <row r="21">
          <cell r="J21">
            <v>0.5</v>
          </cell>
          <cell r="K21">
            <v>0.5</v>
          </cell>
          <cell r="L21">
            <v>0.5</v>
          </cell>
          <cell r="M21">
            <v>0.5</v>
          </cell>
          <cell r="N21">
            <v>0.5</v>
          </cell>
          <cell r="O21">
            <v>0.5</v>
          </cell>
          <cell r="P21">
            <v>0.5</v>
          </cell>
          <cell r="Q21">
            <v>0.5</v>
          </cell>
        </row>
        <row r="22">
          <cell r="J22">
            <v>3</v>
          </cell>
          <cell r="K22">
            <v>3</v>
          </cell>
          <cell r="L22">
            <v>3</v>
          </cell>
          <cell r="M22">
            <v>3</v>
          </cell>
          <cell r="N22">
            <v>3</v>
          </cell>
          <cell r="O22">
            <v>3</v>
          </cell>
          <cell r="P22">
            <v>3</v>
          </cell>
          <cell r="Q22">
            <v>3</v>
          </cell>
          <cell r="T22">
            <v>3</v>
          </cell>
          <cell r="U22">
            <v>3</v>
          </cell>
          <cell r="V22">
            <v>3</v>
          </cell>
          <cell r="W22">
            <v>3</v>
          </cell>
          <cell r="Y22">
            <v>3</v>
          </cell>
          <cell r="Z22">
            <v>3</v>
          </cell>
          <cell r="AA22">
            <v>3</v>
          </cell>
          <cell r="AB22">
            <v>3</v>
          </cell>
          <cell r="AD22">
            <v>3</v>
          </cell>
          <cell r="AE22">
            <v>3</v>
          </cell>
          <cell r="AF22">
            <v>3</v>
          </cell>
          <cell r="AG22">
            <v>3</v>
          </cell>
        </row>
        <row r="23">
          <cell r="J23">
            <v>2</v>
          </cell>
          <cell r="K23">
            <v>2</v>
          </cell>
          <cell r="L23">
            <v>2</v>
          </cell>
          <cell r="M23">
            <v>2</v>
          </cell>
          <cell r="N23">
            <v>2</v>
          </cell>
          <cell r="O23">
            <v>2</v>
          </cell>
          <cell r="P23">
            <v>2</v>
          </cell>
          <cell r="Q23">
            <v>3</v>
          </cell>
          <cell r="T23">
            <v>3</v>
          </cell>
          <cell r="U23">
            <v>3</v>
          </cell>
          <cell r="V23">
            <v>3</v>
          </cell>
          <cell r="W23">
            <v>3</v>
          </cell>
          <cell r="Y23">
            <v>3</v>
          </cell>
          <cell r="Z23">
            <v>3</v>
          </cell>
          <cell r="AA23">
            <v>3</v>
          </cell>
          <cell r="AB23">
            <v>3</v>
          </cell>
          <cell r="AD23">
            <v>3</v>
          </cell>
          <cell r="AE23">
            <v>3</v>
          </cell>
          <cell r="AF23">
            <v>3</v>
          </cell>
          <cell r="AG23">
            <v>4</v>
          </cell>
        </row>
        <row r="24">
          <cell r="J24">
            <v>0</v>
          </cell>
          <cell r="K24">
            <v>2</v>
          </cell>
          <cell r="L24">
            <v>2</v>
          </cell>
          <cell r="M24">
            <v>2</v>
          </cell>
          <cell r="N24">
            <v>2</v>
          </cell>
          <cell r="O24">
            <v>3</v>
          </cell>
          <cell r="P24">
            <v>3</v>
          </cell>
          <cell r="Q24">
            <v>3</v>
          </cell>
          <cell r="T24">
            <v>2</v>
          </cell>
          <cell r="U24">
            <v>3</v>
          </cell>
          <cell r="V24">
            <v>3</v>
          </cell>
          <cell r="W24">
            <v>5</v>
          </cell>
          <cell r="Y24">
            <v>5</v>
          </cell>
          <cell r="Z24">
            <v>6</v>
          </cell>
          <cell r="AA24">
            <v>7</v>
          </cell>
          <cell r="AB24">
            <v>8</v>
          </cell>
          <cell r="AD24">
            <v>8</v>
          </cell>
          <cell r="AE24">
            <v>8</v>
          </cell>
          <cell r="AF24">
            <v>9</v>
          </cell>
          <cell r="AG24">
            <v>10</v>
          </cell>
        </row>
        <row r="31">
          <cell r="T31">
            <v>6</v>
          </cell>
          <cell r="U31">
            <v>6</v>
          </cell>
          <cell r="V31">
            <v>6</v>
          </cell>
          <cell r="W31">
            <v>6</v>
          </cell>
          <cell r="Y31">
            <v>6</v>
          </cell>
          <cell r="Z31">
            <v>7</v>
          </cell>
          <cell r="AA31">
            <v>8</v>
          </cell>
          <cell r="AB31">
            <v>9</v>
          </cell>
          <cell r="AD31">
            <v>10</v>
          </cell>
          <cell r="AE31">
            <v>10</v>
          </cell>
          <cell r="AF31">
            <v>11</v>
          </cell>
          <cell r="AG31">
            <v>12</v>
          </cell>
        </row>
        <row r="32">
          <cell r="T32">
            <v>45</v>
          </cell>
          <cell r="U32">
            <v>45</v>
          </cell>
          <cell r="V32">
            <v>45</v>
          </cell>
          <cell r="W32">
            <v>51</v>
          </cell>
          <cell r="Y32">
            <v>53</v>
          </cell>
          <cell r="Z32">
            <v>55</v>
          </cell>
          <cell r="AA32">
            <v>59</v>
          </cell>
          <cell r="AB32">
            <v>61</v>
          </cell>
          <cell r="AD32">
            <v>62</v>
          </cell>
          <cell r="AE32">
            <v>63</v>
          </cell>
          <cell r="AF32">
            <v>64</v>
          </cell>
          <cell r="AG32">
            <v>65</v>
          </cell>
        </row>
        <row r="33">
          <cell r="T33">
            <v>3</v>
          </cell>
          <cell r="U33">
            <v>3</v>
          </cell>
          <cell r="V33">
            <v>3</v>
          </cell>
          <cell r="W33">
            <v>3</v>
          </cell>
          <cell r="Y33">
            <v>3</v>
          </cell>
          <cell r="Z33">
            <v>3</v>
          </cell>
          <cell r="AA33">
            <v>4</v>
          </cell>
          <cell r="AB33">
            <v>4</v>
          </cell>
          <cell r="AD33">
            <v>4</v>
          </cell>
          <cell r="AE33">
            <v>4</v>
          </cell>
          <cell r="AF33">
            <v>4</v>
          </cell>
          <cell r="AG33">
            <v>4</v>
          </cell>
        </row>
        <row r="34">
          <cell r="T34">
            <v>5</v>
          </cell>
          <cell r="U34">
            <v>5</v>
          </cell>
          <cell r="V34">
            <v>5</v>
          </cell>
          <cell r="W34">
            <v>6</v>
          </cell>
          <cell r="Y34">
            <v>6</v>
          </cell>
          <cell r="Z34">
            <v>6</v>
          </cell>
          <cell r="AA34">
            <v>6</v>
          </cell>
          <cell r="AB34">
            <v>7</v>
          </cell>
          <cell r="AD34">
            <v>7</v>
          </cell>
          <cell r="AE34">
            <v>7</v>
          </cell>
          <cell r="AF34">
            <v>8</v>
          </cell>
          <cell r="AG34">
            <v>9</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D_Drivers"/>
      <sheetName val="GD_IS"/>
      <sheetName val="GD_FCF"/>
      <sheetName val="GD_BlueMatrix"/>
      <sheetName val="GD_comp"/>
      <sheetName val="Marine_EC"/>
      <sheetName val="Aerospace_EC"/>
      <sheetName val="Combat_EC"/>
      <sheetName val="Tech_EC"/>
      <sheetName val="Financials_EC"/>
      <sheetName val="Macro_EC"/>
      <sheetName val="Timeline"/>
      <sheetName val="826"/>
      <sheetName val="G7"/>
      <sheetName val="1"/>
      <sheetName val="2"/>
      <sheetName val="3"/>
      <sheetName val="4"/>
      <sheetName val="5"/>
      <sheetName val="6"/>
      <sheetName val="7"/>
      <sheetName val="8"/>
      <sheetName val="9"/>
      <sheetName val="10"/>
      <sheetName val="14"/>
      <sheetName val="15"/>
      <sheetName val="16"/>
      <sheetName val="17"/>
      <sheetName val="18"/>
      <sheetName val="21"/>
      <sheetName val="22"/>
      <sheetName val="23"/>
      <sheetName val="24"/>
      <sheetName val="25"/>
      <sheetName val="26"/>
      <sheetName val="27a"/>
      <sheetName val="27b"/>
      <sheetName val="28"/>
      <sheetName val="29"/>
      <sheetName val="31"/>
      <sheetName val="33"/>
      <sheetName val="35"/>
      <sheetName val="36"/>
      <sheetName val="37"/>
      <sheetName val="38"/>
      <sheetName val="39"/>
      <sheetName val="41"/>
      <sheetName val="43"/>
      <sheetName val="44"/>
      <sheetName val="45"/>
      <sheetName val="46"/>
      <sheetName val="47"/>
      <sheetName val="Tickers3"/>
      <sheetName val="GD_contracts"/>
      <sheetName val="Marine1"/>
      <sheetName val="Aviation2"/>
      <sheetName val="sub_diagram"/>
      <sheetName val="Aviation3"/>
    </sheetNames>
    <sheetDataSet>
      <sheetData sheetId="0"/>
      <sheetData sheetId="1">
        <row r="59">
          <cell r="BE59">
            <v>3021.92</v>
          </cell>
          <cell r="BF59">
            <v>3089.59</v>
          </cell>
          <cell r="BG59">
            <v>3122.08</v>
          </cell>
          <cell r="BH59">
            <v>3578.4</v>
          </cell>
          <cell r="BJ59">
            <v>3233.4544000000001</v>
          </cell>
          <cell r="BK59">
            <v>3305.8613000000005</v>
          </cell>
          <cell r="BL59">
            <v>3340.6256000000003</v>
          </cell>
          <cell r="BM59">
            <v>3828.8880000000004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persons/person.xml><?xml version="1.0" encoding="utf-8"?>
<personList xmlns="http://schemas.microsoft.com/office/spreadsheetml/2018/threadedcomments" xmlns:x="http://schemas.openxmlformats.org/spreadsheetml/2006/main">
  <person displayName="Sparenblek, Ross" id="{930AE08B-3C1B-4163-AD81-8244210E243B}" userId="S::RSparenblek@williamblair.com::0b61d873-804f-4db3-8479-c2c4ba78678e" providerId="AD"/>
</personList>
</file>

<file path=xl/theme/theme1.xml><?xml version="1.0" encoding="utf-8"?>
<a:theme xmlns:a="http://schemas.openxmlformats.org/drawingml/2006/main" name="2011 Research Template">
  <a:themeElements>
    <a:clrScheme name="Research">
      <a:dk1>
        <a:srgbClr val="000000"/>
      </a:dk1>
      <a:lt1>
        <a:sysClr val="window" lastClr="FFFFFF"/>
      </a:lt1>
      <a:dk2>
        <a:srgbClr val="4D4F53"/>
      </a:dk2>
      <a:lt2>
        <a:srgbClr val="FFFFFF"/>
      </a:lt2>
      <a:accent1>
        <a:srgbClr val="007AC9"/>
      </a:accent1>
      <a:accent2>
        <a:srgbClr val="004165"/>
      </a:accent2>
      <a:accent3>
        <a:srgbClr val="7AB800"/>
      </a:accent3>
      <a:accent4>
        <a:srgbClr val="F3D311"/>
      </a:accent4>
      <a:accent5>
        <a:srgbClr val="4D4F53"/>
      </a:accent5>
      <a:accent6>
        <a:srgbClr val="DC5034"/>
      </a:accent6>
      <a:hlink>
        <a:srgbClr val="3DB7E4"/>
      </a:hlink>
      <a:folHlink>
        <a:srgbClr val="4D4F53"/>
      </a:folHlink>
    </a:clrScheme>
    <a:fontScheme name="2011 Fonts">
      <a:majorFont>
        <a:latin typeface="Cambria"/>
        <a:ea typeface=""/>
        <a:cs typeface=""/>
      </a:majorFont>
      <a:minorFont>
        <a:latin typeface="Cambri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C2DEEA"/>
        </a:solidFill>
        <a:ln>
          <a:noFill/>
        </a:ln>
      </a:spPr>
      <a:bodyPr lIns="84206" tIns="42104" rIns="84206" bIns="42104" rtlCol="0" anchor="ctr"/>
      <a:lstStyle>
        <a:defPPr>
          <a:defRPr sz="900" b="1" dirty="0" smtClean="0">
            <a:solidFill>
              <a:schemeClr val="accent2"/>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accent2"/>
          </a:solidFill>
          <a:tailEnd type="stealth" w="lg" len="med"/>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8" dT="2023-02-22T20:19:28.73" personId="{930AE08B-3C1B-4163-AD81-8244210E243B}" id="{B58C4043-06F4-414F-934D-359014C7BFC3}">
    <text>Actuation, Sensors, Surface Treatment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322B28-34BE-4DE4-8F6D-978D0A67DB47}">
  <we:reference id="wa200001456" version="3.1.1.0" store="en-US" storeType="OMEX"/>
  <we:alternateReferences>
    <we:reference id="WA200001456" version="3.1.1.0" store="" storeType="OMEX"/>
  </we:alternateReferences>
  <we:properties>
    <we:property name="Office.DisableTrustUX" value="true"/>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williamblair.bluematrix.com/sellside/Disclosures.action?ajax&amp;page=ajax/williamblairDisclosures.jsp&amp;firmId=18877&amp;companySymbol=CW" TargetMode="Externa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3" Type="http://schemas.openxmlformats.org/officeDocument/2006/relationships/hyperlink" Target="https://www.terrapower.com/terrapower-awards-another-round-of-vendor-contracts-for-natrium-reactor" TargetMode="External"/><Relationship Id="rId18" Type="http://schemas.openxmlformats.org/officeDocument/2006/relationships/hyperlink" Target="https://www.businesswire.com/news/home/20250811349630/en/Curtiss-Wright-Selected-by-Rheinmetall-to-Provide-Turret-Drive-Stabilization-System-for-the-KF51-Panther-Main-Battle-Tank" TargetMode="External"/><Relationship Id="rId26" Type="http://schemas.openxmlformats.org/officeDocument/2006/relationships/hyperlink" Target="https://www.bgr.com/2058119/biggest-nuclear-power-plant-us-vogtle-waynesboro-georgia/?utm_term=Autofeed&amp;utm_campaign=Echobox-BGR&amp;utm_medium=Social-Distribution&amp;utm_source=Twitter" TargetMode="External"/><Relationship Id="rId21" Type="http://schemas.openxmlformats.org/officeDocument/2006/relationships/hyperlink" Target="https://www.curtisswright.com/news/press-releases/news-release-details/2025/Curtiss-Wright-Selected-By-BELL-TEXTRON-To-Provide-Encrypted-Flight-Recorders-For-MV-75-Long-Range-Assault-Aircraft-Program" TargetMode="External"/><Relationship Id="rId34" Type="http://schemas.openxmlformats.org/officeDocument/2006/relationships/hyperlink" Target="https://www.world-nuclear-news.org/articles/laurentis-bwxt-and-cnpsa-sign-bulgarian-new-nuclear-contract" TargetMode="External"/><Relationship Id="rId7" Type="http://schemas.openxmlformats.org/officeDocument/2006/relationships/hyperlink" Target="https://www.businesswire.com/news/home/20230719503897/en/Energy-Northwest-and-X-energy-Sign-Joint-Development-Agreement-for-Xe-100-Advanced-Small-Modular-Reactor-Project" TargetMode="External"/><Relationship Id="rId12" Type="http://schemas.openxmlformats.org/officeDocument/2006/relationships/hyperlink" Target="https://www.neimagazine.com/news/newspoland-approves-second-large-npp-11335518" TargetMode="External"/><Relationship Id="rId17" Type="http://schemas.openxmlformats.org/officeDocument/2006/relationships/hyperlink" Target="https://www.businesswire.com/news/home/20250811349630/en/Curtiss-Wright-Selected-by-Rheinmetall-to-Provide-Turret-Drive-Stabilization-System-for-the-KF51-Panther-Main-Battle-Tank" TargetMode="External"/><Relationship Id="rId25" Type="http://schemas.openxmlformats.org/officeDocument/2006/relationships/hyperlink" Target="https://x.com/Andercot/status/1984847618489651636" TargetMode="External"/><Relationship Id="rId33" Type="http://schemas.openxmlformats.org/officeDocument/2006/relationships/hyperlink" Target="https://www.ans.org/news/article-7720/plans-for-polands-first-nuclear-power-plant-continue-to-progress/" TargetMode="External"/><Relationship Id="rId2" Type="http://schemas.openxmlformats.org/officeDocument/2006/relationships/hyperlink" Target="https://www.businesswire.com/news/home/20230628041690/en/KKR-Reaffirms-Intention-to-Acquire-CIRCOR-International" TargetMode="External"/><Relationship Id="rId16" Type="http://schemas.openxmlformats.org/officeDocument/2006/relationships/hyperlink" Target="https://www.businesswire.com/news/home/20250801821263/en/Curtiss-Wright-Signs-Strategic-Partnership-With-Rolls-Royce-SMR-for-Its-Small-Modular-Reactor-Technology" TargetMode="External"/><Relationship Id="rId20" Type="http://schemas.openxmlformats.org/officeDocument/2006/relationships/hyperlink" Target="https://www.businesswire.com/news/home/20250910554806/en/Curtiss-Wright-Announces-New-%24200-Million-Expansion-of-2025-Share-Repurchase-Program" TargetMode="External"/><Relationship Id="rId29" Type="http://schemas.openxmlformats.org/officeDocument/2006/relationships/hyperlink" Target="https://www.wsj.com/world/asia/the-u-s-s-most-ambitious-shipyard-project-just-got-tougher-2438cb49" TargetMode="External"/><Relationship Id="rId1" Type="http://schemas.openxmlformats.org/officeDocument/2006/relationships/hyperlink" Target="https://curtisswright.com/news/press-releases/news-release-details/2023/Honeywell-Curtiss-Wright-Receive-Certification-for-25-Hour-Cockpit-Voice-and-Flight-Data-Recorders/default.aspx" TargetMode="External"/><Relationship Id="rId6" Type="http://schemas.openxmlformats.org/officeDocument/2006/relationships/hyperlink" Target="https://www.wsj.com/articles/sam-altman-backed-nuclear-startup-is-going-public-through-altmans-spac-cf1ae712" TargetMode="External"/><Relationship Id="rId11" Type="http://schemas.openxmlformats.org/officeDocument/2006/relationships/hyperlink" Target="https://info.westinghousenuclear.com/news/historic-contract-paves-the-way-for-site-work-on-polands-first-nuclear-power-plant" TargetMode="External"/><Relationship Id="rId24" Type="http://schemas.openxmlformats.org/officeDocument/2006/relationships/hyperlink" Target="https://www.businesswire.com/news/home/20251014315357/en/Curtiss-Wright-Selected-by-American-Rheinmetall-to-Provide-Turret-Drive-Stabilization-Systems-for-U.S.-Armys-XM30-Combat-Vehicle-Prototypes" TargetMode="External"/><Relationship Id="rId32" Type="http://schemas.openxmlformats.org/officeDocument/2006/relationships/hyperlink" Target="https://x.com/NASA/status/2018692249714868417?s=20" TargetMode="External"/><Relationship Id="rId37" Type="http://schemas.openxmlformats.org/officeDocument/2006/relationships/printerSettings" Target="../printerSettings/printerSettings11.bin"/><Relationship Id="rId5" Type="http://schemas.openxmlformats.org/officeDocument/2006/relationships/hyperlink" Target="https://twitter.com/AirlineFlyer/status/1678418511821959170?s=20" TargetMode="External"/><Relationship Id="rId15" Type="http://schemas.openxmlformats.org/officeDocument/2006/relationships/hyperlink" Target="https://x-energy.com/media/news-releases/amazon-invests-in-x-energy-to-support-advanced-small-modular-nuclear-reactors-and-expand-carbon-free-power" TargetMode="External"/><Relationship Id="rId23" Type="http://schemas.openxmlformats.org/officeDocument/2006/relationships/hyperlink" Target="https://www.businesswire.com/news/home/20251014315357/en/Curtiss-Wright-Selected-by-American-Rheinmetall-to-Provide-Turret-Drive-Stabilization-Systems-for-U.S.-Armys-XM30-Combat-Vehicle-Prototypes" TargetMode="External"/><Relationship Id="rId28" Type="http://schemas.openxmlformats.org/officeDocument/2006/relationships/hyperlink" Target="https://x.com/WSJ/status/2005705100963025023?s=20" TargetMode="External"/><Relationship Id="rId36" Type="http://schemas.openxmlformats.org/officeDocument/2006/relationships/hyperlink" Target="https://curtisswright.com/news/press-releases/news-release-details/2026/Curtiss-Wright-selected-by-boeing-to-supply-mission-computers-for-us-air-force-c17-fleet-modernization" TargetMode="External"/><Relationship Id="rId10" Type="http://schemas.openxmlformats.org/officeDocument/2006/relationships/hyperlink" Target="https://www.defense.gov/News/Releases/Release/Article/3524458/dod-exercises-option-on-second-micro-nuclear-reactor-design/" TargetMode="External"/><Relationship Id="rId19" Type="http://schemas.openxmlformats.org/officeDocument/2006/relationships/hyperlink" Target="https://www.cnbc.com/2025/08/18/google-kairos-nuclear-smr-tennessee-valley-authority-tva-data-center-ai.html" TargetMode="External"/><Relationship Id="rId31" Type="http://schemas.openxmlformats.org/officeDocument/2006/relationships/hyperlink" Target="https://defensescoop.com/2026/01/14/navy-cno-adm-caudle-golden-fleet-battleship-propulsion/" TargetMode="External"/><Relationship Id="rId4" Type="http://schemas.openxmlformats.org/officeDocument/2006/relationships/hyperlink" Target="https://www.chicagotribune.com/politics/ct-illinois-nuclear-plant-moratorium-20230709-jy3bfze23jhmpiflfzetlkimiu-story.html" TargetMode="External"/><Relationship Id="rId9" Type="http://schemas.openxmlformats.org/officeDocument/2006/relationships/hyperlink" Target="https://curtisswright.com/news/press-releases/news-release-details/2023/Curtiss-Wright-Awarded-Contracts-Valued-in-Excess-of-250-Million-to-Support-Critical-U.S.-Naval-Defense-Platforms/default.aspx" TargetMode="External"/><Relationship Id="rId14" Type="http://schemas.openxmlformats.org/officeDocument/2006/relationships/hyperlink" Target="https://x-energy.com/media/news-releases/curtiss-wright-and-x-energy-sign-preferred-strategic-supplier-agreement" TargetMode="External"/><Relationship Id="rId22" Type="http://schemas.openxmlformats.org/officeDocument/2006/relationships/hyperlink" Target="https://www.curtisswright.com/news/press-releases/news-release-details/2025/Curtiss-Wright-Selected-By-BELL-TEXTRON-To-Provide-Encrypted-Flight-Recorders-For-MV-75-Long-Range-Assault-Aircraft-Program" TargetMode="External"/><Relationship Id="rId27" Type="http://schemas.openxmlformats.org/officeDocument/2006/relationships/hyperlink" Target="https://x.com/WSJ/status/2005705100963025023?s=20" TargetMode="External"/><Relationship Id="rId30" Type="http://schemas.openxmlformats.org/officeDocument/2006/relationships/hyperlink" Target="https://x.com/ChinaScience/status/2004054625524371625" TargetMode="External"/><Relationship Id="rId35" Type="http://schemas.openxmlformats.org/officeDocument/2006/relationships/hyperlink" Target="https://curtisswright.com/news/press-releases/news-release-details/2026/Curtiss-Wright-selected-by-boeing-to-supply-mission-computers-for-us-air-force-c17-fleet-modernization" TargetMode="External"/><Relationship Id="rId8" Type="http://schemas.openxmlformats.org/officeDocument/2006/relationships/hyperlink" Target="https://www.reuters.com/business/energy/britain-opens-small-nuclear-reactor-competition-launches-new-nuclear-body-2023-07-17/" TargetMode="External"/><Relationship Id="rId3" Type="http://schemas.openxmlformats.org/officeDocument/2006/relationships/hyperlink" Target="https://www.defenseone.com/business/2023/06/pending-sale-raises-fears-consolidation-among-submarine-suppliers/388149/"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defense.gov/News/Releases/Release/Article/3524458/dod-exercises-option-on-second-micro-nuclear-reactor-design/" TargetMode="External"/><Relationship Id="rId13" Type="http://schemas.openxmlformats.org/officeDocument/2006/relationships/hyperlink" Target="https://www.businesswire.com/news/home/20240402921844/en/" TargetMode="External"/><Relationship Id="rId18" Type="http://schemas.openxmlformats.org/officeDocument/2006/relationships/hyperlink" Target="https://www.businesswire.com/news/home/20250320895476/en/Curtiss-Wright-Awarded-Contracts-by-Rheinmetall-to-Provide-Turret-Drive-Stabilization-Systems-for-Boxer-Heavy-Weapon-Carriers-and-Lynx-Infantry-Fighting-Vehicles" TargetMode="External"/><Relationship Id="rId26" Type="http://schemas.openxmlformats.org/officeDocument/2006/relationships/hyperlink" Target="https://www.businesswire.com/news/home/20250801821263/en/Curtiss-Wright-Signs-Strategic-Partnership-With-Rolls-Royce-SMR-for-Its-Small-Modular-Reactor-Technology" TargetMode="External"/><Relationship Id="rId3" Type="http://schemas.openxmlformats.org/officeDocument/2006/relationships/hyperlink" Target="https://www.chicagotribune.com/politics/ct-illinois-nuclear-plant-moratorium-20230709-jy3bfze23jhmpiflfzetlkimiu-story.html" TargetMode="External"/><Relationship Id="rId21" Type="http://schemas.openxmlformats.org/officeDocument/2006/relationships/hyperlink" Target="https://www.anduril.com/article/anduril-to-acquire-klas-to-build-the-future-of-tactical-compute-and-communications/" TargetMode="External"/><Relationship Id="rId7" Type="http://schemas.openxmlformats.org/officeDocument/2006/relationships/hyperlink" Target="https://www.reuters.com/business/energy/britain-opens-small-nuclear-reactor-competition-launches-new-nuclear-body-2023-07-17/" TargetMode="External"/><Relationship Id="rId12" Type="http://schemas.openxmlformats.org/officeDocument/2006/relationships/hyperlink" Target="https://info.westinghousenuclear.com/news/westinghouse-bechtel-sign-cooperation-agreement-with-czech-power-industry-alliance" TargetMode="External"/><Relationship Id="rId17" Type="http://schemas.openxmlformats.org/officeDocument/2006/relationships/hyperlink" Target="https://www.curtisswrightds.com/media-center/news/curtiss-wright-ai-innovation-nvidia" TargetMode="External"/><Relationship Id="rId25" Type="http://schemas.openxmlformats.org/officeDocument/2006/relationships/hyperlink" Target="https://www.wsj.com/business/energy-oil/new-york-to-build-one-of-first-u-s-nuclear-power-plants-in-generation-271cfd33" TargetMode="External"/><Relationship Id="rId2" Type="http://schemas.openxmlformats.org/officeDocument/2006/relationships/hyperlink" Target="https://www.defenseone.com/business/2023/06/pending-sale-raises-fears-consolidation-among-submarine-suppliers/388149/" TargetMode="External"/><Relationship Id="rId16" Type="http://schemas.openxmlformats.org/officeDocument/2006/relationships/hyperlink" Target="https://curtisswright.com/news/press-releases/news-release-details/2025/curtisswright-awarded-contracts-by-terrapower-to-develop-training-simulator-and-distributed-control-systems-for-natrium-plant" TargetMode="External"/><Relationship Id="rId20" Type="http://schemas.openxmlformats.org/officeDocument/2006/relationships/hyperlink" Target="https://www.businesswire.com/news/home/20250326279032/en/Westinghouse-Suppliers-Meet-with-the-U.S.-Congress-in-Support-of-AP1000-Projects" TargetMode="External"/><Relationship Id="rId29" Type="http://schemas.openxmlformats.org/officeDocument/2006/relationships/hyperlink" Target="https://www.curtisswright.com/news/press-releases/news-release-details/2025/Curtiss-Wright-Selected-By-BELL-TEXTRON-To-Provide-Encrypted-Flight-Recorders-For-MV-75-Long-Range-Assault-Aircraft-Program" TargetMode="External"/><Relationship Id="rId1" Type="http://schemas.openxmlformats.org/officeDocument/2006/relationships/hyperlink" Target="https://www.businesswire.com/news/home/20230628041690/en/KKR-Reaffirms-Intention-to-Acquire-CIRCOR-International" TargetMode="External"/><Relationship Id="rId6" Type="http://schemas.openxmlformats.org/officeDocument/2006/relationships/hyperlink" Target="https://www.businesswire.com/news/home/20230719503897/en/Energy-Northwest-and-X-energy-Sign-Joint-Development-Agreement-for-Xe-100-Advanced-Small-Modular-Reactor-Project" TargetMode="External"/><Relationship Id="rId11" Type="http://schemas.openxmlformats.org/officeDocument/2006/relationships/hyperlink" Target="https://apnews.com/article/nuclear-power-nuscale-clean-energy-wind-biden-7f3a7fe754b77d8d6cbad8662b87a9c3" TargetMode="External"/><Relationship Id="rId24" Type="http://schemas.openxmlformats.org/officeDocument/2006/relationships/hyperlink" Target="https://www.world-nuclear-news.org/articles/ten-new-reactors-approved-in-china" TargetMode="External"/><Relationship Id="rId32" Type="http://schemas.openxmlformats.org/officeDocument/2006/relationships/printerSettings" Target="../printerSettings/printerSettings12.bin"/><Relationship Id="rId5" Type="http://schemas.openxmlformats.org/officeDocument/2006/relationships/hyperlink" Target="https://www.wsj.com/articles/sam-altman-backed-nuclear-startup-is-going-public-through-altmans-spac-cf1ae712" TargetMode="External"/><Relationship Id="rId15" Type="http://schemas.openxmlformats.org/officeDocument/2006/relationships/hyperlink" Target="https://www.curtisswright.com/news/press-releases/news-release-details/2024/Curtiss-Wright-and-Saipem-Achieve-New-Subsea-Processing-Milestone" TargetMode="External"/><Relationship Id="rId23" Type="http://schemas.openxmlformats.org/officeDocument/2006/relationships/hyperlink" Target="https://www.curtisswright.com/news/press-releases/news-release-details/2024/Honeywell-And-Curtiss-Wright-Develop-Cockpit-Voice-Recorders-To-Help-Boeing-Airbus-Meet-New-25-Hour-Safety-Mandate" TargetMode="External"/><Relationship Id="rId28" Type="http://schemas.openxmlformats.org/officeDocument/2006/relationships/hyperlink" Target="https://www.businesswire.com/news/home/20250910554806/en/Curtiss-Wright-Announces-New-%24200-Million-Expansion-of-2025-Share-Repurchase-Program" TargetMode="External"/><Relationship Id="rId10" Type="http://schemas.openxmlformats.org/officeDocument/2006/relationships/hyperlink" Target="https://www.businesswire.com/news/home/20231031076409/en/Westinghouse-Seeks-to-Expand-30-Year-Partnership-with-Czech-Republic-with-Proven-AP1000%C2%AE-Reactors" TargetMode="External"/><Relationship Id="rId19" Type="http://schemas.openxmlformats.org/officeDocument/2006/relationships/hyperlink" Target="https://www.defense.gov/News/Contracts/Contract/Article/4134550/" TargetMode="External"/><Relationship Id="rId31" Type="http://schemas.openxmlformats.org/officeDocument/2006/relationships/hyperlink" Target="https://curtisswright.com/news/press-releases/news-release-details/2026/Curtiss-Wright-selected-by-boeing-to-supply-mission-computers-for-us-air-force-c17-fleet-modernization" TargetMode="External"/><Relationship Id="rId4" Type="http://schemas.openxmlformats.org/officeDocument/2006/relationships/hyperlink" Target="https://twitter.com/AirlineFlyer/status/1678418511821959170?s=20" TargetMode="External"/><Relationship Id="rId9" Type="http://schemas.openxmlformats.org/officeDocument/2006/relationships/hyperlink" Target="https://www.environmentenergyleader.com/2023/10/westinghouse-bulgaria-plan-two-new-nuclear-reactors/" TargetMode="External"/><Relationship Id="rId14" Type="http://schemas.openxmlformats.org/officeDocument/2006/relationships/hyperlink" Target="https://www.curtisswright.com/news/press-releases/news-release-details/2024/curtiss-wright-acquire-ultra-energy" TargetMode="External"/><Relationship Id="rId22" Type="http://schemas.openxmlformats.org/officeDocument/2006/relationships/hyperlink" Target="https://www.datacenterdynamics.com/en/news/data4-signs-nuclear-smr-deal-with-westinghouse/" TargetMode="External"/><Relationship Id="rId27" Type="http://schemas.openxmlformats.org/officeDocument/2006/relationships/hyperlink" Target="https://www.businesswire.com/news/home/20250811349630/en/Curtiss-Wright-Selected-by-Rheinmetall-to-Provide-Turret-Drive-Stabilization-System-for-the-KF51-Panther-Main-Battle-Tank" TargetMode="External"/><Relationship Id="rId30" Type="http://schemas.openxmlformats.org/officeDocument/2006/relationships/hyperlink" Target="https://www.businesswire.com/news/home/20251014315357/en/Curtiss-Wright-Selected-by-American-Rheinmetall-to-Provide-Turret-Drive-Stabilization-Systems-for-U.S.-Armys-XM30-Combat-Vehicle-Prototype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5"/>
  <sheetViews>
    <sheetView workbookViewId="0"/>
  </sheetViews>
  <sheetFormatPr defaultRowHeight="11.25"/>
  <sheetData>
    <row r="1" spans="1:2">
      <c r="B1" t="s">
        <v>0</v>
      </c>
    </row>
    <row r="2" spans="1:2"/>
    <row r="3" spans="1:2"/>
    <row r="4" spans="1:2"/>
    <row r="5" spans="1:2"/>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2648-CCD1-4F57-8646-37B83B08A00C}">
  <sheetPr>
    <pageSetUpPr fitToPage="1"/>
  </sheetPr>
  <dimension ref="A1:CU88"/>
  <sheetViews>
    <sheetView showGridLines="0" zoomScale="110" zoomScaleNormal="110" workbookViewId="0">
      <pane xSplit="1" ySplit="3" topLeftCell="CB48" activePane="bottomRight" state="frozen"/>
      <selection pane="topRight" activeCell="C1" sqref="C1"/>
      <selection pane="bottomLeft" activeCell="A6" sqref="A6"/>
      <selection pane="bottomRight" activeCell="CD57" sqref="CD57"/>
    </sheetView>
  </sheetViews>
  <sheetFormatPr defaultColWidth="10.33203125" defaultRowHeight="12.75" outlineLevelRow="1" outlineLevelCol="1"/>
  <cols>
    <col min="1" max="1" width="42.5" style="762" customWidth="1"/>
    <col min="2" max="5" width="14.1640625" style="701" hidden="1" customWidth="1" outlineLevel="1"/>
    <col min="6" max="6" width="14.1640625" style="701" customWidth="1" collapsed="1"/>
    <col min="7" max="10" width="14.1640625" style="701" hidden="1" customWidth="1" outlineLevel="1"/>
    <col min="11" max="11" width="14.1640625" style="701" customWidth="1" collapsed="1"/>
    <col min="12" max="15" width="14.1640625" style="701" hidden="1" customWidth="1" outlineLevel="1"/>
    <col min="16" max="16" width="14.1640625" style="701" customWidth="1" collapsed="1"/>
    <col min="17" max="20" width="14.1640625" style="701" hidden="1" customWidth="1" outlineLevel="1"/>
    <col min="21" max="21" width="14.1640625" style="701" customWidth="1" collapsed="1"/>
    <col min="22" max="25" width="12.5" style="701" hidden="1" customWidth="1" outlineLevel="1"/>
    <col min="26" max="26" width="12.5" style="701" customWidth="1" collapsed="1"/>
    <col min="27" max="27" width="12.5" style="701" hidden="1" customWidth="1" outlineLevel="1"/>
    <col min="28" max="28" width="12" style="701" hidden="1" customWidth="1" outlineLevel="1"/>
    <col min="29" max="29" width="14" style="701" hidden="1" customWidth="1" outlineLevel="1"/>
    <col min="30" max="30" width="12" style="701" hidden="1" customWidth="1" outlineLevel="1"/>
    <col min="31" max="31" width="12.5" style="701" customWidth="1" collapsed="1"/>
    <col min="32" max="32" width="12.5" style="701" hidden="1" customWidth="1" outlineLevel="1"/>
    <col min="33" max="35" width="12" style="701" hidden="1" customWidth="1" outlineLevel="1"/>
    <col min="36" max="36" width="12.5" style="701" customWidth="1" collapsed="1"/>
    <col min="37" max="37" width="12" style="701" hidden="1" customWidth="1" outlineLevel="1"/>
    <col min="38" max="38" width="14.5" style="701" hidden="1" customWidth="1" outlineLevel="1"/>
    <col min="39" max="39" width="14" style="701" hidden="1" customWidth="1" outlineLevel="1"/>
    <col min="40" max="40" width="12" style="701" hidden="1" customWidth="1" outlineLevel="1"/>
    <col min="41" max="41" width="12" style="701" customWidth="1" collapsed="1"/>
    <col min="42" max="42" width="10.5" style="703" hidden="1" customWidth="1" outlineLevel="1"/>
    <col min="43" max="43" width="13.33203125" style="703" hidden="1" customWidth="1" outlineLevel="1"/>
    <col min="44" max="44" width="13.6640625" style="703" hidden="1" customWidth="1" outlineLevel="1"/>
    <col min="45" max="45" width="14.6640625" style="703" hidden="1" customWidth="1" outlineLevel="1"/>
    <col min="46" max="46" width="13.33203125" style="703" bestFit="1" customWidth="1" collapsed="1"/>
    <col min="47" max="48" width="14.6640625" style="703" hidden="1" customWidth="1" outlineLevel="1"/>
    <col min="49" max="50" width="12.33203125" style="703" hidden="1" customWidth="1" outlineLevel="1"/>
    <col min="51" max="51" width="14.5" style="703" bestFit="1" customWidth="1" collapsed="1"/>
    <col min="52" max="52" width="15.6640625" style="703" hidden="1" customWidth="1" outlineLevel="1"/>
    <col min="53" max="54" width="14.6640625" style="703" hidden="1" customWidth="1" outlineLevel="1"/>
    <col min="55" max="55" width="15.6640625" style="703" hidden="1" customWidth="1" outlineLevel="1"/>
    <col min="56" max="56" width="13.33203125" style="703" bestFit="1" customWidth="1" collapsed="1"/>
    <col min="57" max="57" width="16.1640625" style="703" hidden="1" customWidth="1" outlineLevel="1"/>
    <col min="58" max="58" width="11.5" style="703" hidden="1" customWidth="1" outlineLevel="1"/>
    <col min="59" max="59" width="14.6640625" style="703" hidden="1" customWidth="1" outlineLevel="1"/>
    <col min="60" max="60" width="13.33203125" style="703" hidden="1" customWidth="1" outlineLevel="1"/>
    <col min="61" max="61" width="13.1640625" style="703" customWidth="1" collapsed="1"/>
    <col min="62" max="62" width="12.5" style="703" hidden="1" customWidth="1" outlineLevel="1"/>
    <col min="63" max="64" width="12.6640625" style="703" hidden="1" customWidth="1" outlineLevel="1"/>
    <col min="65" max="65" width="13.6640625" style="703" hidden="1" customWidth="1" outlineLevel="1"/>
    <col min="66" max="66" width="12.33203125" style="703" customWidth="1" collapsed="1"/>
    <col min="67" max="68" width="14.5" style="701" hidden="1" customWidth="1" outlineLevel="1"/>
    <col min="69" max="69" width="13.1640625" style="701" hidden="1" customWidth="1" outlineLevel="1"/>
    <col min="70" max="70" width="12.6640625" style="701" hidden="1" customWidth="1" outlineLevel="1"/>
    <col min="71" max="71" width="12.6640625" style="701" customWidth="1" collapsed="1"/>
    <col min="72" max="72" width="12.33203125" style="701" customWidth="1" outlineLevel="1"/>
    <col min="73" max="73" width="13.33203125" style="701" customWidth="1" outlineLevel="1"/>
    <col min="74" max="75" width="12.5" style="701" customWidth="1" outlineLevel="1"/>
    <col min="76" max="76" width="12.6640625" style="701" bestFit="1" customWidth="1"/>
    <col min="77" max="77" width="12.5" style="701" customWidth="1" outlineLevel="1"/>
    <col min="78" max="78" width="12.33203125" style="701" customWidth="1" outlineLevel="1"/>
    <col min="79" max="80" width="12.5" style="701" customWidth="1" outlineLevel="1"/>
    <col min="81" max="81" width="12.5" style="701" bestFit="1" customWidth="1"/>
    <col min="82" max="83" width="12.5" style="701" customWidth="1" outlineLevel="1"/>
    <col min="84" max="85" width="11.5" style="701" customWidth="1" outlineLevel="1"/>
    <col min="86" max="86" width="11.5" style="701" bestFit="1" customWidth="1"/>
    <col min="87" max="90" width="10.33203125" style="701" customWidth="1" outlineLevel="1"/>
    <col min="91" max="91" width="10.33203125" style="701"/>
    <col min="92" max="95" width="10.33203125" style="701" customWidth="1" outlineLevel="1"/>
    <col min="96" max="97" width="10.33203125" style="701"/>
    <col min="98" max="98" width="14" style="701" bestFit="1" customWidth="1"/>
    <col min="99" max="16384" width="10.33203125" style="701"/>
  </cols>
  <sheetData>
    <row r="1" spans="1:96" ht="15.75">
      <c r="A1" s="689" t="s">
        <v>1</v>
      </c>
      <c r="B1" s="690"/>
      <c r="C1" s="690"/>
      <c r="D1" s="690"/>
      <c r="E1" s="690"/>
      <c r="F1" s="690"/>
      <c r="G1" s="690"/>
      <c r="H1" s="690"/>
      <c r="I1" s="690"/>
      <c r="J1" s="690"/>
      <c r="K1" s="690"/>
      <c r="L1" s="690"/>
      <c r="M1" s="690"/>
      <c r="N1" s="690"/>
      <c r="O1" s="690"/>
      <c r="P1" s="690"/>
      <c r="Q1" s="690"/>
      <c r="R1" s="690"/>
      <c r="S1" s="690"/>
      <c r="T1" s="690"/>
      <c r="U1" s="690"/>
      <c r="V1" s="691"/>
      <c r="W1" s="691"/>
      <c r="X1" s="691"/>
      <c r="Y1" s="692"/>
      <c r="Z1" s="690"/>
      <c r="AA1" s="691"/>
      <c r="AB1" s="693"/>
      <c r="AC1" s="693"/>
      <c r="AD1" s="693"/>
      <c r="AE1" s="691"/>
      <c r="AF1" s="691"/>
      <c r="AG1" s="693"/>
      <c r="AH1" s="693"/>
      <c r="AI1" s="693"/>
      <c r="AJ1" s="694"/>
      <c r="AK1" s="693"/>
      <c r="AL1" s="693"/>
      <c r="AM1" s="695"/>
      <c r="AN1" s="695"/>
      <c r="AO1" s="693"/>
      <c r="AP1" s="696"/>
      <c r="AQ1" s="696"/>
      <c r="AR1" s="696"/>
      <c r="AS1" s="697"/>
      <c r="AT1" s="698"/>
      <c r="AU1" s="698"/>
      <c r="AV1" s="698"/>
      <c r="AW1" s="698"/>
      <c r="AX1" s="698"/>
      <c r="AY1" s="698"/>
      <c r="AZ1" s="698"/>
      <c r="BA1" s="698"/>
      <c r="BB1" s="698"/>
      <c r="BC1" s="698"/>
      <c r="BD1" s="699"/>
      <c r="BE1" s="700"/>
      <c r="BF1" s="698"/>
      <c r="BG1" s="698"/>
      <c r="BH1" s="698"/>
      <c r="BI1" s="698"/>
      <c r="BJ1" s="698"/>
      <c r="BK1" s="698"/>
      <c r="BL1" s="698"/>
      <c r="BM1" s="698"/>
      <c r="BN1" s="698"/>
    </row>
    <row r="2" spans="1:96" ht="13.5" thickBot="1">
      <c r="A2" s="702" t="s">
        <v>2</v>
      </c>
      <c r="B2" s="703"/>
      <c r="C2" s="703"/>
      <c r="D2" s="703"/>
      <c r="E2" s="703"/>
      <c r="F2" s="704"/>
      <c r="G2" s="703"/>
      <c r="H2" s="703"/>
      <c r="I2" s="703"/>
      <c r="J2" s="703"/>
      <c r="K2" s="704"/>
      <c r="L2" s="703"/>
      <c r="M2" s="703"/>
      <c r="N2" s="703"/>
      <c r="O2" s="703"/>
      <c r="P2" s="704"/>
      <c r="Q2" s="703" t="s">
        <v>3</v>
      </c>
      <c r="R2" s="703" t="s">
        <v>4</v>
      </c>
      <c r="S2" s="703" t="s">
        <v>5</v>
      </c>
      <c r="T2" s="703" t="s">
        <v>6</v>
      </c>
      <c r="U2" s="704"/>
      <c r="V2" s="703" t="s">
        <v>7</v>
      </c>
      <c r="W2" s="703" t="s">
        <v>8</v>
      </c>
      <c r="X2" s="703" t="s">
        <v>9</v>
      </c>
      <c r="Y2" s="703" t="s">
        <v>10</v>
      </c>
      <c r="Z2" s="704"/>
      <c r="AA2" s="703"/>
      <c r="AB2" s="703"/>
      <c r="AC2" s="703"/>
      <c r="AD2" s="703"/>
      <c r="AE2" s="705"/>
      <c r="AF2" s="703"/>
      <c r="AG2" s="703"/>
      <c r="AH2" s="703"/>
      <c r="AI2" s="703"/>
      <c r="AJ2" s="705"/>
      <c r="AK2" s="703" t="s">
        <v>11</v>
      </c>
      <c r="AL2" s="703" t="s">
        <v>12</v>
      </c>
      <c r="AM2" s="703" t="s">
        <v>13</v>
      </c>
      <c r="AN2" s="703" t="s">
        <v>14</v>
      </c>
    </row>
    <row r="3" spans="1:96" s="713" customFormat="1">
      <c r="A3" s="706"/>
      <c r="B3" s="707" t="s">
        <v>15</v>
      </c>
      <c r="C3" s="707" t="s">
        <v>16</v>
      </c>
      <c r="D3" s="707" t="s">
        <v>17</v>
      </c>
      <c r="E3" s="707" t="s">
        <v>18</v>
      </c>
      <c r="F3" s="708">
        <v>2009</v>
      </c>
      <c r="G3" s="707" t="s">
        <v>19</v>
      </c>
      <c r="H3" s="707" t="s">
        <v>20</v>
      </c>
      <c r="I3" s="707" t="s">
        <v>21</v>
      </c>
      <c r="J3" s="707" t="s">
        <v>22</v>
      </c>
      <c r="K3" s="708">
        <v>2010</v>
      </c>
      <c r="L3" s="707" t="s">
        <v>23</v>
      </c>
      <c r="M3" s="707" t="s">
        <v>24</v>
      </c>
      <c r="N3" s="707" t="s">
        <v>25</v>
      </c>
      <c r="O3" s="707" t="s">
        <v>26</v>
      </c>
      <c r="P3" s="708">
        <v>2011</v>
      </c>
      <c r="Q3" s="707" t="s">
        <v>27</v>
      </c>
      <c r="R3" s="707" t="s">
        <v>28</v>
      </c>
      <c r="S3" s="707" t="s">
        <v>29</v>
      </c>
      <c r="T3" s="707" t="s">
        <v>30</v>
      </c>
      <c r="U3" s="708">
        <v>2012</v>
      </c>
      <c r="V3" s="707" t="s">
        <v>31</v>
      </c>
      <c r="W3" s="707" t="s">
        <v>32</v>
      </c>
      <c r="X3" s="707" t="s">
        <v>33</v>
      </c>
      <c r="Y3" s="707" t="s">
        <v>34</v>
      </c>
      <c r="Z3" s="708">
        <v>2013</v>
      </c>
      <c r="AA3" s="707" t="s">
        <v>35</v>
      </c>
      <c r="AB3" s="707" t="s">
        <v>36</v>
      </c>
      <c r="AC3" s="707" t="s">
        <v>37</v>
      </c>
      <c r="AD3" s="707" t="s">
        <v>38</v>
      </c>
      <c r="AE3" s="708" t="s">
        <v>39</v>
      </c>
      <c r="AF3" s="707" t="s">
        <v>40</v>
      </c>
      <c r="AG3" s="707" t="s">
        <v>41</v>
      </c>
      <c r="AH3" s="707" t="s">
        <v>42</v>
      </c>
      <c r="AI3" s="707" t="s">
        <v>43</v>
      </c>
      <c r="AJ3" s="708" t="s">
        <v>44</v>
      </c>
      <c r="AK3" s="707" t="s">
        <v>45</v>
      </c>
      <c r="AL3" s="707" t="s">
        <v>46</v>
      </c>
      <c r="AM3" s="707" t="s">
        <v>47</v>
      </c>
      <c r="AN3" s="707" t="s">
        <v>48</v>
      </c>
      <c r="AO3" s="708" t="s">
        <v>49</v>
      </c>
      <c r="AP3" s="709" t="s">
        <v>50</v>
      </c>
      <c r="AQ3" s="709" t="s">
        <v>51</v>
      </c>
      <c r="AR3" s="709" t="s">
        <v>52</v>
      </c>
      <c r="AS3" s="709" t="s">
        <v>53</v>
      </c>
      <c r="AT3" s="710">
        <v>2017</v>
      </c>
      <c r="AU3" s="711" t="s">
        <v>54</v>
      </c>
      <c r="AV3" s="711" t="s">
        <v>55</v>
      </c>
      <c r="AW3" s="711" t="s">
        <v>56</v>
      </c>
      <c r="AX3" s="711" t="s">
        <v>57</v>
      </c>
      <c r="AY3" s="710">
        <v>2018</v>
      </c>
      <c r="AZ3" s="712" t="s">
        <v>58</v>
      </c>
      <c r="BA3" s="712" t="s">
        <v>59</v>
      </c>
      <c r="BB3" s="712" t="s">
        <v>60</v>
      </c>
      <c r="BC3" s="712" t="s">
        <v>61</v>
      </c>
      <c r="BD3" s="710">
        <v>2019</v>
      </c>
      <c r="BE3" s="711" t="s">
        <v>62</v>
      </c>
      <c r="BF3" s="711" t="s">
        <v>63</v>
      </c>
      <c r="BG3" s="711" t="s">
        <v>64</v>
      </c>
      <c r="BH3" s="711" t="s">
        <v>65</v>
      </c>
      <c r="BI3" s="710">
        <v>2020</v>
      </c>
      <c r="BJ3" s="712" t="s">
        <v>66</v>
      </c>
      <c r="BK3" s="712" t="s">
        <v>67</v>
      </c>
      <c r="BL3" s="712" t="s">
        <v>68</v>
      </c>
      <c r="BM3" s="712" t="s">
        <v>69</v>
      </c>
      <c r="BN3" s="710">
        <v>2021</v>
      </c>
      <c r="BO3" s="711" t="s">
        <v>70</v>
      </c>
      <c r="BP3" s="711" t="s">
        <v>71</v>
      </c>
      <c r="BQ3" s="711" t="s">
        <v>72</v>
      </c>
      <c r="BR3" s="711" t="s">
        <v>73</v>
      </c>
      <c r="BS3" s="710">
        <v>2022</v>
      </c>
      <c r="BT3" s="711" t="s">
        <v>74</v>
      </c>
      <c r="BU3" s="711" t="s">
        <v>75</v>
      </c>
      <c r="BV3" s="711" t="s">
        <v>76</v>
      </c>
      <c r="BW3" s="711" t="s">
        <v>77</v>
      </c>
      <c r="BX3" s="710">
        <v>2023</v>
      </c>
      <c r="BY3" s="711" t="s">
        <v>78</v>
      </c>
      <c r="BZ3" s="711" t="s">
        <v>79</v>
      </c>
      <c r="CA3" s="711" t="s">
        <v>80</v>
      </c>
      <c r="CB3" s="711" t="s">
        <v>81</v>
      </c>
      <c r="CC3" s="710">
        <v>2024</v>
      </c>
      <c r="CD3" s="711" t="s">
        <v>82</v>
      </c>
      <c r="CE3" s="711" t="s">
        <v>1174</v>
      </c>
      <c r="CF3" s="711" t="s">
        <v>1227</v>
      </c>
      <c r="CG3" s="711" t="s">
        <v>1279</v>
      </c>
      <c r="CH3" s="710">
        <v>2025</v>
      </c>
      <c r="CI3" s="711" t="s">
        <v>86</v>
      </c>
      <c r="CJ3" s="711" t="s">
        <v>87</v>
      </c>
      <c r="CK3" s="711" t="s">
        <v>88</v>
      </c>
      <c r="CL3" s="711" t="s">
        <v>89</v>
      </c>
      <c r="CM3" s="710" t="s">
        <v>90</v>
      </c>
      <c r="CN3" s="711" t="s">
        <v>91</v>
      </c>
      <c r="CO3" s="711" t="s">
        <v>92</v>
      </c>
      <c r="CP3" s="711" t="s">
        <v>93</v>
      </c>
      <c r="CQ3" s="711" t="s">
        <v>94</v>
      </c>
      <c r="CR3" s="710" t="s">
        <v>95</v>
      </c>
    </row>
    <row r="4" spans="1:96" s="718" customFormat="1" ht="8.85" customHeight="1">
      <c r="A4" s="720"/>
      <c r="B4" s="705"/>
      <c r="C4" s="705"/>
      <c r="D4" s="705"/>
      <c r="E4" s="705"/>
      <c r="F4" s="705"/>
      <c r="G4" s="705"/>
      <c r="H4" s="705"/>
      <c r="I4" s="705"/>
      <c r="J4" s="705"/>
      <c r="K4" s="705"/>
      <c r="L4" s="705"/>
      <c r="M4" s="705"/>
      <c r="N4" s="705"/>
      <c r="O4" s="705"/>
      <c r="P4" s="705"/>
      <c r="Q4" s="705"/>
      <c r="R4" s="705"/>
      <c r="S4" s="705"/>
      <c r="T4" s="705"/>
      <c r="U4" s="705"/>
      <c r="V4" s="701"/>
      <c r="W4" s="701"/>
      <c r="X4" s="701"/>
      <c r="Y4" s="701"/>
      <c r="Z4" s="728"/>
      <c r="AA4" s="721"/>
      <c r="AB4" s="721"/>
      <c r="AC4" s="721"/>
      <c r="AD4" s="721"/>
      <c r="AE4" s="728"/>
      <c r="AF4" s="721"/>
      <c r="AG4" s="721"/>
      <c r="AH4" s="721"/>
      <c r="AI4" s="721"/>
      <c r="AJ4" s="728"/>
      <c r="AK4" s="722"/>
      <c r="AL4" s="722"/>
      <c r="AM4" s="722"/>
      <c r="AN4" s="722"/>
      <c r="AO4" s="729"/>
      <c r="AP4" s="722"/>
      <c r="AQ4" s="722"/>
      <c r="AR4" s="722"/>
      <c r="AS4" s="722"/>
      <c r="AT4" s="717"/>
      <c r="AU4" s="722"/>
      <c r="AV4" s="722"/>
      <c r="AW4" s="722"/>
      <c r="AX4" s="722"/>
      <c r="AY4" s="717"/>
      <c r="AZ4" s="723"/>
      <c r="BA4" s="715"/>
      <c r="BB4" s="722"/>
      <c r="BC4" s="719"/>
      <c r="BD4" s="724"/>
      <c r="BE4" s="719"/>
      <c r="BF4" s="719"/>
      <c r="BG4" s="719"/>
      <c r="BH4" s="719"/>
      <c r="BI4" s="725"/>
      <c r="BJ4" s="726"/>
      <c r="BK4" s="727"/>
      <c r="BL4" s="727"/>
      <c r="BM4" s="727"/>
      <c r="BN4" s="717"/>
      <c r="BO4" s="726"/>
      <c r="BP4" s="727"/>
      <c r="BQ4" s="727"/>
      <c r="BR4" s="727"/>
      <c r="BS4" s="717"/>
      <c r="BT4" s="726"/>
      <c r="BU4" s="716"/>
      <c r="BV4" s="727"/>
      <c r="BW4" s="716"/>
      <c r="BX4" s="717"/>
      <c r="BY4" s="716"/>
      <c r="BZ4" s="716"/>
      <c r="CA4" s="716"/>
      <c r="CB4" s="716"/>
      <c r="CC4" s="717"/>
      <c r="CD4" s="907"/>
      <c r="CE4" s="907"/>
      <c r="CF4" s="907"/>
      <c r="CG4" s="716"/>
      <c r="CH4" s="717"/>
      <c r="CI4" s="907"/>
      <c r="CJ4" s="907"/>
      <c r="CK4" s="907"/>
      <c r="CL4" s="907"/>
      <c r="CM4" s="717"/>
      <c r="CN4" s="907"/>
      <c r="CO4" s="907"/>
      <c r="CP4" s="907"/>
      <c r="CQ4" s="907"/>
      <c r="CR4" s="717"/>
    </row>
    <row r="5" spans="1:96" s="718" customFormat="1" ht="13.5" thickBot="1">
      <c r="A5" s="714" t="s">
        <v>96</v>
      </c>
      <c r="B5" s="705"/>
      <c r="C5" s="705"/>
      <c r="D5" s="705"/>
      <c r="E5" s="705"/>
      <c r="F5" s="705"/>
      <c r="G5" s="705"/>
      <c r="H5" s="705"/>
      <c r="I5" s="705"/>
      <c r="J5" s="705"/>
      <c r="K5" s="705"/>
      <c r="L5" s="705"/>
      <c r="M5" s="705"/>
      <c r="N5" s="705"/>
      <c r="O5" s="705"/>
      <c r="P5" s="705"/>
      <c r="Q5" s="705"/>
      <c r="R5" s="705"/>
      <c r="S5" s="705"/>
      <c r="T5" s="705"/>
      <c r="U5" s="705"/>
      <c r="V5" s="701"/>
      <c r="W5" s="701"/>
      <c r="X5" s="701"/>
      <c r="Y5" s="701"/>
      <c r="Z5" s="728"/>
      <c r="AA5" s="721"/>
      <c r="AB5" s="721"/>
      <c r="AC5" s="721"/>
      <c r="AD5" s="721"/>
      <c r="AE5" s="728"/>
      <c r="AF5" s="721"/>
      <c r="AG5" s="721"/>
      <c r="AH5" s="721"/>
      <c r="AI5" s="721"/>
      <c r="AJ5" s="728"/>
      <c r="AK5" s="722"/>
      <c r="AL5" s="722"/>
      <c r="AM5" s="722"/>
      <c r="AN5" s="722"/>
      <c r="AO5" s="729"/>
      <c r="AP5" s="722"/>
      <c r="AQ5" s="722"/>
      <c r="AR5" s="722"/>
      <c r="AS5" s="722"/>
      <c r="AT5" s="717"/>
      <c r="AU5" s="722"/>
      <c r="AV5" s="722"/>
      <c r="AW5" s="722"/>
      <c r="AX5" s="722"/>
      <c r="AY5" s="717"/>
      <c r="AZ5" s="723"/>
      <c r="BA5" s="715"/>
      <c r="BB5" s="722"/>
      <c r="BC5" s="719"/>
      <c r="BD5" s="724"/>
      <c r="BE5" s="719"/>
      <c r="BF5" s="719"/>
      <c r="BG5" s="719"/>
      <c r="BH5" s="719"/>
      <c r="BI5" s="725"/>
      <c r="BJ5" s="726"/>
      <c r="BK5" s="727"/>
      <c r="BL5" s="727"/>
      <c r="BM5" s="727"/>
      <c r="BN5" s="717"/>
      <c r="BO5" s="726"/>
      <c r="BP5" s="730"/>
      <c r="BQ5" s="727"/>
      <c r="BR5" s="727"/>
      <c r="BS5" s="717"/>
      <c r="BT5" s="726"/>
      <c r="BU5" s="716"/>
      <c r="BV5" s="727"/>
      <c r="BW5" s="716"/>
      <c r="BX5" s="717"/>
      <c r="BY5" s="716"/>
      <c r="BZ5" s="716"/>
      <c r="CA5" s="716"/>
      <c r="CB5" s="716"/>
      <c r="CC5" s="717"/>
      <c r="CD5" s="716"/>
      <c r="CE5" s="907"/>
      <c r="CF5" s="907"/>
      <c r="CG5" s="716"/>
      <c r="CH5" s="717"/>
      <c r="CI5" s="907"/>
      <c r="CJ5" s="907"/>
      <c r="CK5" s="907"/>
      <c r="CL5" s="907"/>
      <c r="CM5" s="717"/>
      <c r="CN5" s="907"/>
      <c r="CO5" s="907"/>
      <c r="CP5" s="907"/>
      <c r="CQ5" s="907"/>
      <c r="CR5" s="717"/>
    </row>
    <row r="6" spans="1:96">
      <c r="A6" s="731" t="s">
        <v>97</v>
      </c>
      <c r="B6" s="731"/>
      <c r="C6" s="731"/>
      <c r="D6" s="731"/>
      <c r="E6" s="732"/>
      <c r="F6" s="731"/>
      <c r="G6" s="731"/>
      <c r="H6" s="731"/>
      <c r="I6" s="731"/>
      <c r="J6" s="732"/>
      <c r="K6" s="731"/>
      <c r="L6" s="731"/>
      <c r="M6" s="731"/>
      <c r="N6" s="731"/>
      <c r="O6" s="732"/>
      <c r="P6" s="731"/>
      <c r="Q6" s="731"/>
      <c r="R6" s="731"/>
      <c r="S6" s="731"/>
      <c r="T6" s="732"/>
      <c r="U6" s="731"/>
      <c r="V6" s="733"/>
      <c r="W6" s="733"/>
      <c r="X6" s="733"/>
      <c r="Y6" s="733"/>
      <c r="Z6" s="734"/>
      <c r="AA6" s="733"/>
      <c r="AB6" s="733"/>
      <c r="AC6" s="733"/>
      <c r="AD6" s="733"/>
      <c r="AE6" s="734"/>
      <c r="AF6" s="733"/>
      <c r="AG6" s="733"/>
      <c r="AH6" s="733"/>
      <c r="AI6" s="733"/>
      <c r="AJ6" s="733"/>
      <c r="AK6" s="733"/>
      <c r="AL6" s="735"/>
      <c r="AM6" s="735"/>
      <c r="AN6" s="732"/>
      <c r="AO6" s="736"/>
      <c r="AP6" s="737"/>
      <c r="AQ6" s="737"/>
      <c r="AR6" s="737"/>
      <c r="AS6" s="737"/>
      <c r="AT6" s="805">
        <v>372.678</v>
      </c>
      <c r="AU6" s="737"/>
      <c r="AV6" s="737"/>
      <c r="AW6" s="737"/>
      <c r="AX6" s="737"/>
      <c r="AY6" s="805">
        <v>376.95100000000002</v>
      </c>
      <c r="AZ6" s="737"/>
      <c r="BA6" s="737"/>
      <c r="BB6" s="737"/>
      <c r="BC6" s="737"/>
      <c r="BD6" s="805">
        <v>416.84100000000001</v>
      </c>
      <c r="BE6" s="804">
        <v>101.827</v>
      </c>
      <c r="BF6" s="804">
        <v>109.506</v>
      </c>
      <c r="BG6" s="804">
        <v>122.735</v>
      </c>
      <c r="BH6" s="804">
        <v>130.785</v>
      </c>
      <c r="BI6" s="805">
        <f>SUM(BE6:BH6)</f>
        <v>464.85299999999995</v>
      </c>
      <c r="BJ6" s="804">
        <v>111.01600000000001</v>
      </c>
      <c r="BK6" s="804">
        <v>99.977000000000004</v>
      </c>
      <c r="BL6" s="804">
        <v>116.85299999999999</v>
      </c>
      <c r="BM6" s="804">
        <v>124.815</v>
      </c>
      <c r="BN6" s="805">
        <f>SUM(BJ6:BM6)</f>
        <v>452.661</v>
      </c>
      <c r="BO6" s="804">
        <v>98.004000000000005</v>
      </c>
      <c r="BP6" s="804">
        <v>94.545000000000002</v>
      </c>
      <c r="BQ6" s="804">
        <v>114.431</v>
      </c>
      <c r="BR6" s="804">
        <v>172.76300000000001</v>
      </c>
      <c r="BS6" s="805">
        <f>SUM(BO6:BR6)</f>
        <v>479.74300000000005</v>
      </c>
      <c r="BT6" s="804">
        <v>99.879000000000005</v>
      </c>
      <c r="BU6" s="804">
        <v>132.19200000000001</v>
      </c>
      <c r="BV6" s="804">
        <v>148.023</v>
      </c>
      <c r="BW6" s="804">
        <v>171.52699999999999</v>
      </c>
      <c r="BX6" s="805">
        <f>SUM(BT6:BW6)</f>
        <v>551.62100000000009</v>
      </c>
      <c r="BY6" s="804">
        <v>132.07400000000001</v>
      </c>
      <c r="BZ6" s="804">
        <v>154.10400000000001</v>
      </c>
      <c r="CA6" s="804">
        <v>158.97999999999999</v>
      </c>
      <c r="CB6" s="804">
        <v>171.43199999999999</v>
      </c>
      <c r="CC6" s="805">
        <f>SUM(BY6:CB6)</f>
        <v>616.59</v>
      </c>
      <c r="CD6" s="804">
        <v>151.72200000000001</v>
      </c>
      <c r="CE6" s="804">
        <v>167.58699999999999</v>
      </c>
      <c r="CF6" s="804">
        <v>161.16200000000001</v>
      </c>
      <c r="CG6" s="804">
        <v>192.05500000000001</v>
      </c>
      <c r="CH6" s="805">
        <f>SUM(CD6:CG6)</f>
        <v>672.52600000000007</v>
      </c>
      <c r="CI6" s="824">
        <f>CD6*(1+CI7)</f>
        <v>166.89420000000001</v>
      </c>
      <c r="CJ6" s="824">
        <f>CE6*(1+CJ7)</f>
        <v>180.99395999999999</v>
      </c>
      <c r="CK6" s="824">
        <f>CF6*(1+CK7)</f>
        <v>185.33629999999999</v>
      </c>
      <c r="CL6" s="824">
        <f>CG6*(1+CL7)</f>
        <v>207.41940000000002</v>
      </c>
      <c r="CM6" s="825">
        <f>SUM(CI6:CL6)</f>
        <v>740.6438599999999</v>
      </c>
      <c r="CN6" s="824">
        <f>CI6*(1+CN7)</f>
        <v>175.23891000000003</v>
      </c>
      <c r="CO6" s="824">
        <f>CJ6*(1+CO7)</f>
        <v>190.04365799999999</v>
      </c>
      <c r="CP6" s="824">
        <f>CK6*(1+CP7)</f>
        <v>194.603115</v>
      </c>
      <c r="CQ6" s="824">
        <f>CL6*(1+CQ7)</f>
        <v>217.79037000000002</v>
      </c>
      <c r="CR6" s="825">
        <f>SUM(CN6:CQ6)</f>
        <v>777.67605300000002</v>
      </c>
    </row>
    <row r="7" spans="1:96" s="743" customFormat="1">
      <c r="A7" s="738" t="s">
        <v>98</v>
      </c>
      <c r="B7" s="739"/>
      <c r="C7" s="739"/>
      <c r="D7" s="739"/>
      <c r="E7" s="739"/>
      <c r="F7" s="739"/>
      <c r="G7" s="739"/>
      <c r="H7" s="739"/>
      <c r="I7" s="739"/>
      <c r="J7" s="739"/>
      <c r="K7" s="739"/>
      <c r="L7" s="739"/>
      <c r="M7" s="739"/>
      <c r="N7" s="739"/>
      <c r="O7" s="739"/>
      <c r="P7" s="739"/>
      <c r="Q7" s="739"/>
      <c r="R7" s="739"/>
      <c r="S7" s="739"/>
      <c r="T7" s="739"/>
      <c r="U7" s="739"/>
      <c r="V7" s="740"/>
      <c r="W7" s="741"/>
      <c r="X7" s="741"/>
      <c r="Y7" s="741"/>
      <c r="Z7" s="742"/>
      <c r="AA7" s="740"/>
      <c r="AB7" s="740"/>
      <c r="AC7" s="740"/>
      <c r="AD7" s="740"/>
      <c r="AE7" s="742"/>
      <c r="AF7" s="740"/>
      <c r="AG7" s="740"/>
      <c r="AH7" s="740"/>
      <c r="AI7" s="740"/>
      <c r="AJ7" s="740"/>
      <c r="AK7" s="740"/>
      <c r="AN7" s="739"/>
      <c r="AO7" s="744"/>
      <c r="AP7" s="745"/>
      <c r="AQ7" s="745"/>
      <c r="AR7" s="745"/>
      <c r="AS7" s="745"/>
      <c r="AT7" s="747"/>
      <c r="AU7" s="745"/>
      <c r="AV7" s="745"/>
      <c r="AW7" s="745"/>
      <c r="AX7" s="745"/>
      <c r="AY7" s="747">
        <f>AY6/AT6-1</f>
        <v>1.1465662046055813E-2</v>
      </c>
      <c r="AZ7" s="745"/>
      <c r="BA7" s="745"/>
      <c r="BB7" s="745"/>
      <c r="BC7" s="745"/>
      <c r="BD7" s="747">
        <f>BD6/AY6-1</f>
        <v>0.10582277272112295</v>
      </c>
      <c r="BE7" s="746"/>
      <c r="BF7" s="746"/>
      <c r="BG7" s="746"/>
      <c r="BH7" s="746"/>
      <c r="BI7" s="747">
        <f>BI6/BD6-1</f>
        <v>0.11518060843343125</v>
      </c>
      <c r="BJ7" s="746">
        <f>BJ6/BE6-1</f>
        <v>9.0241291602423779E-2</v>
      </c>
      <c r="BK7" s="746">
        <f t="shared" ref="BK7" si="0">BK6/BF6-1</f>
        <v>-8.701806293719061E-2</v>
      </c>
      <c r="BL7" s="746">
        <f t="shared" ref="BL7" si="1">BL6/BG6-1</f>
        <v>-4.7924389945818269E-2</v>
      </c>
      <c r="BM7" s="746">
        <f t="shared" ref="BM7" si="2">BM6/BH6-1</f>
        <v>-4.5647436632641369E-2</v>
      </c>
      <c r="BN7" s="747">
        <f>BN6/BI6-1</f>
        <v>-2.622764615910822E-2</v>
      </c>
      <c r="BO7" s="746">
        <f>BO6/BJ6-1</f>
        <v>-0.11720833033076317</v>
      </c>
      <c r="BP7" s="746">
        <f t="shared" ref="BP7:BR7" si="3">BP6/BK6-1</f>
        <v>-5.4332496474189029E-2</v>
      </c>
      <c r="BQ7" s="746">
        <f t="shared" si="3"/>
        <v>-2.0726896185806032E-2</v>
      </c>
      <c r="BR7" s="746">
        <f t="shared" si="3"/>
        <v>0.38415254576773639</v>
      </c>
      <c r="BS7" s="747">
        <f>BS6/BN6-1</f>
        <v>5.982843673300775E-2</v>
      </c>
      <c r="BT7" s="746">
        <f>BT6/BO6-1</f>
        <v>1.9131872168483E-2</v>
      </c>
      <c r="BU7" s="746">
        <f t="shared" ref="BU7:BV7" si="4">BU6/BP6-1</f>
        <v>0.39819133745835322</v>
      </c>
      <c r="BV7" s="746">
        <f t="shared" si="4"/>
        <v>0.29355681589778992</v>
      </c>
      <c r="BW7" s="746">
        <f>BW6/BR6-1</f>
        <v>-7.1543096612123325E-3</v>
      </c>
      <c r="BX7" s="747">
        <f>BX6/BS6-1</f>
        <v>0.14982605269904936</v>
      </c>
      <c r="BY7" s="746">
        <f>BY6/BT6-1</f>
        <v>0.32234003143804002</v>
      </c>
      <c r="BZ7" s="746">
        <f t="shared" ref="BZ7:CA7" si="5">BZ6/BU6-1</f>
        <v>0.16575889615105299</v>
      </c>
      <c r="CA7" s="746">
        <f t="shared" si="5"/>
        <v>7.4022280321301315E-2</v>
      </c>
      <c r="CB7" s="746">
        <f>CB6/BW6-1</f>
        <v>-5.5384866522467657E-4</v>
      </c>
      <c r="CC7" s="747">
        <f>CC6/BX6-1</f>
        <v>0.11777832968650559</v>
      </c>
      <c r="CD7" s="746">
        <f>CD6/BY6-1</f>
        <v>0.14876508623953244</v>
      </c>
      <c r="CE7" s="746">
        <f t="shared" ref="CE7:CF7" si="6">CE6/BZ6-1</f>
        <v>8.7492861963349267E-2</v>
      </c>
      <c r="CF7" s="746">
        <f t="shared" si="6"/>
        <v>1.3724996854950433E-2</v>
      </c>
      <c r="CG7" s="746">
        <f>CG6/CB6-1</f>
        <v>0.12029842736478624</v>
      </c>
      <c r="CH7" s="747">
        <f>CH6/CC6-1</f>
        <v>9.0718305519064568E-2</v>
      </c>
      <c r="CI7" s="748">
        <v>0.1</v>
      </c>
      <c r="CJ7" s="748">
        <v>0.08</v>
      </c>
      <c r="CK7" s="748">
        <v>0.15</v>
      </c>
      <c r="CL7" s="748">
        <v>0.08</v>
      </c>
      <c r="CM7" s="749">
        <f>CM6/CH6-1</f>
        <v>0.10128658222879094</v>
      </c>
      <c r="CN7" s="748">
        <v>0.05</v>
      </c>
      <c r="CO7" s="748">
        <v>0.05</v>
      </c>
      <c r="CP7" s="748">
        <v>0.05</v>
      </c>
      <c r="CQ7" s="748">
        <v>0.05</v>
      </c>
      <c r="CR7" s="749">
        <f>CR6/CM6-1</f>
        <v>5.0000000000000266E-2</v>
      </c>
    </row>
    <row r="8" spans="1:96" s="743" customFormat="1">
      <c r="A8" s="738" t="s">
        <v>99</v>
      </c>
      <c r="B8" s="739"/>
      <c r="C8" s="739"/>
      <c r="D8" s="739"/>
      <c r="E8" s="739"/>
      <c r="F8" s="739"/>
      <c r="G8" s="739"/>
      <c r="H8" s="739"/>
      <c r="I8" s="739"/>
      <c r="J8" s="739"/>
      <c r="K8" s="739"/>
      <c r="L8" s="739"/>
      <c r="M8" s="739"/>
      <c r="N8" s="739"/>
      <c r="O8" s="739"/>
      <c r="P8" s="739"/>
      <c r="Q8" s="739"/>
      <c r="R8" s="739"/>
      <c r="S8" s="739"/>
      <c r="T8" s="739"/>
      <c r="U8" s="739"/>
      <c r="V8" s="740"/>
      <c r="W8" s="741"/>
      <c r="X8" s="741"/>
      <c r="Y8" s="741"/>
      <c r="Z8" s="742"/>
      <c r="AA8" s="740"/>
      <c r="AB8" s="740"/>
      <c r="AC8" s="740"/>
      <c r="AD8" s="740"/>
      <c r="AE8" s="742"/>
      <c r="AF8" s="740"/>
      <c r="AG8" s="740"/>
      <c r="AH8" s="740"/>
      <c r="AI8" s="740"/>
      <c r="AJ8" s="740"/>
      <c r="AK8" s="740"/>
      <c r="AN8" s="739"/>
      <c r="AO8" s="744"/>
      <c r="AP8" s="745"/>
      <c r="AQ8" s="745"/>
      <c r="AR8" s="745"/>
      <c r="AS8" s="745"/>
      <c r="AT8" s="747">
        <f>AT6/AT77</f>
        <v>0.15784578399390775</v>
      </c>
      <c r="AU8" s="745"/>
      <c r="AV8" s="745"/>
      <c r="AW8" s="745"/>
      <c r="AX8" s="745"/>
      <c r="AY8" s="747">
        <f>AY6/AY77</f>
        <v>0.1562922007517098</v>
      </c>
      <c r="AZ8" s="745"/>
      <c r="BA8" s="745"/>
      <c r="BB8" s="745"/>
      <c r="BC8" s="745"/>
      <c r="BD8" s="747">
        <f t="shared" ref="BD8:CH8" si="7">BD6/BD77</f>
        <v>0.16754322113570108</v>
      </c>
      <c r="BE8" s="746">
        <f t="shared" si="7"/>
        <v>0.16936418780801388</v>
      </c>
      <c r="BF8" s="746">
        <f t="shared" si="7"/>
        <v>0.20556670414846548</v>
      </c>
      <c r="BG8" s="746">
        <f t="shared" si="7"/>
        <v>0.22317808059759028</v>
      </c>
      <c r="BH8" s="746">
        <f t="shared" si="7"/>
        <v>0.20388453947676102</v>
      </c>
      <c r="BI8" s="747">
        <f t="shared" si="7"/>
        <v>0.19990736846450971</v>
      </c>
      <c r="BJ8" s="746">
        <f t="shared" si="7"/>
        <v>0.18817642641751853</v>
      </c>
      <c r="BK8" s="746">
        <f t="shared" si="7"/>
        <v>0.1640642820454333</v>
      </c>
      <c r="BL8" s="746">
        <f t="shared" si="7"/>
        <v>0.1903620777849819</v>
      </c>
      <c r="BM8" s="746">
        <f t="shared" si="7"/>
        <v>0.19047030439539814</v>
      </c>
      <c r="BN8" s="747">
        <f t="shared" si="7"/>
        <v>0.18337648406164281</v>
      </c>
      <c r="BO8" s="746">
        <f t="shared" si="7"/>
        <v>0.17517574951605205</v>
      </c>
      <c r="BP8" s="746">
        <f t="shared" si="7"/>
        <v>0.15515535228117508</v>
      </c>
      <c r="BQ8" s="746">
        <f t="shared" si="7"/>
        <v>0.18148008938327762</v>
      </c>
      <c r="BR8" s="746">
        <f t="shared" si="7"/>
        <v>0.22802029920875322</v>
      </c>
      <c r="BS8" s="747">
        <f t="shared" si="7"/>
        <v>0.18761756822183273</v>
      </c>
      <c r="BT8" s="746">
        <f t="shared" si="7"/>
        <v>0.15832197317946931</v>
      </c>
      <c r="BU8" s="746">
        <f t="shared" si="7"/>
        <v>0.18766716449270013</v>
      </c>
      <c r="BV8" s="746">
        <f t="shared" si="7"/>
        <v>0.20435963916799893</v>
      </c>
      <c r="BW8" s="746">
        <f t="shared" si="7"/>
        <v>0.21828577827946616</v>
      </c>
      <c r="BX8" s="747">
        <f t="shared" si="7"/>
        <v>0.19386597117495669</v>
      </c>
      <c r="BY8" s="746">
        <f t="shared" si="7"/>
        <v>0.18519365029509222</v>
      </c>
      <c r="BZ8" s="746">
        <f t="shared" si="7"/>
        <v>0.19636310813961938</v>
      </c>
      <c r="CA8" s="746">
        <f t="shared" si="7"/>
        <v>0.19899413957377352</v>
      </c>
      <c r="CB8" s="746">
        <f t="shared" si="7"/>
        <v>0.20796954554883884</v>
      </c>
      <c r="CC8" s="747">
        <f t="shared" si="7"/>
        <v>0.19754971582944836</v>
      </c>
      <c r="CD8" s="746">
        <f t="shared" si="7"/>
        <v>0.18832364130603432</v>
      </c>
      <c r="CE8" s="746">
        <f t="shared" si="7"/>
        <v>0.19118365093272002</v>
      </c>
      <c r="CF8" s="746">
        <f t="shared" si="7"/>
        <v>0.18542057365072426</v>
      </c>
      <c r="CG8" s="746">
        <f t="shared" si="7"/>
        <v>0.20280765928777875</v>
      </c>
      <c r="CH8" s="747">
        <f t="shared" si="7"/>
        <v>0.19223970463975815</v>
      </c>
      <c r="CI8" s="750"/>
      <c r="CJ8" s="750"/>
      <c r="CK8" s="750"/>
      <c r="CL8" s="750"/>
      <c r="CM8" s="749">
        <f>CM6/CM77</f>
        <v>0.19808173823971159</v>
      </c>
      <c r="CN8" s="750"/>
      <c r="CO8" s="750"/>
      <c r="CP8" s="750"/>
      <c r="CQ8" s="750"/>
      <c r="CR8" s="749">
        <f>CR6/CR77</f>
        <v>0.19647925636971802</v>
      </c>
    </row>
    <row r="9" spans="1:96" s="819" customFormat="1">
      <c r="A9" s="751" t="s">
        <v>100</v>
      </c>
      <c r="AP9" s="757"/>
      <c r="AQ9" s="757"/>
      <c r="AR9" s="757"/>
      <c r="AS9" s="757"/>
      <c r="AT9" s="818"/>
      <c r="AU9" s="757"/>
      <c r="AV9" s="757"/>
      <c r="AW9" s="757"/>
      <c r="AX9" s="757"/>
      <c r="AY9" s="818"/>
      <c r="AZ9" s="757"/>
      <c r="BA9" s="757"/>
      <c r="BB9" s="757"/>
      <c r="BC9" s="757"/>
      <c r="BD9" s="818"/>
      <c r="BE9" s="757"/>
      <c r="BF9" s="757"/>
      <c r="BG9" s="757"/>
      <c r="BH9" s="758" t="s">
        <v>101</v>
      </c>
      <c r="BI9" s="822" t="str">
        <f>BH9</f>
        <v>2-4%</v>
      </c>
      <c r="BJ9" s="757" t="s">
        <v>101</v>
      </c>
      <c r="BK9" s="757"/>
      <c r="BL9" s="757"/>
      <c r="BM9" s="758" t="s">
        <v>102</v>
      </c>
      <c r="BN9" s="822" t="str">
        <f>BM9</f>
        <v>0-2%</v>
      </c>
      <c r="BO9" s="758"/>
      <c r="BP9" s="757" t="s">
        <v>103</v>
      </c>
      <c r="BQ9" s="821" t="s">
        <v>104</v>
      </c>
      <c r="BR9" s="760" t="s">
        <v>103</v>
      </c>
      <c r="BS9" s="756" t="str">
        <f>BR9</f>
        <v>9-11%</v>
      </c>
      <c r="BT9" s="760" t="s">
        <v>103</v>
      </c>
      <c r="BU9" s="760" t="s">
        <v>103</v>
      </c>
      <c r="BV9" s="821" t="s">
        <v>105</v>
      </c>
      <c r="BW9" s="821" t="s">
        <v>106</v>
      </c>
      <c r="BX9" s="756" t="str">
        <f>BW9</f>
        <v>5-7%</v>
      </c>
      <c r="BY9" s="983" t="s">
        <v>107</v>
      </c>
      <c r="BZ9" s="983" t="s">
        <v>108</v>
      </c>
      <c r="CA9" s="983" t="s">
        <v>103</v>
      </c>
      <c r="CB9" s="983" t="s">
        <v>107</v>
      </c>
      <c r="CC9" s="756" t="str">
        <f>CB9</f>
        <v>6-8%</v>
      </c>
      <c r="CD9" s="983" t="s">
        <v>107</v>
      </c>
      <c r="CE9" s="983" t="s">
        <v>108</v>
      </c>
      <c r="CF9" s="983" t="s">
        <v>108</v>
      </c>
      <c r="CG9" s="983" t="s">
        <v>103</v>
      </c>
      <c r="CH9" s="756" t="str">
        <f>CG9</f>
        <v>9-11%</v>
      </c>
      <c r="CM9" s="820"/>
      <c r="CR9" s="820"/>
    </row>
    <row r="10" spans="1:96" ht="13.5" thickBot="1">
      <c r="B10" s="704"/>
      <c r="C10" s="704"/>
      <c r="D10" s="704"/>
      <c r="E10" s="704"/>
      <c r="F10" s="704"/>
      <c r="G10" s="704"/>
      <c r="H10" s="704"/>
      <c r="I10" s="704"/>
      <c r="J10" s="704"/>
      <c r="K10" s="704"/>
      <c r="L10" s="704"/>
      <c r="M10" s="704"/>
      <c r="N10" s="704"/>
      <c r="O10" s="704"/>
      <c r="P10" s="704"/>
      <c r="Q10" s="704"/>
      <c r="R10" s="704"/>
      <c r="S10" s="704"/>
      <c r="T10" s="704"/>
      <c r="U10" s="704"/>
      <c r="V10" s="763"/>
      <c r="W10" s="764"/>
      <c r="X10" s="764"/>
      <c r="Y10" s="764"/>
      <c r="Z10" s="765"/>
      <c r="AA10" s="763"/>
      <c r="AB10" s="763"/>
      <c r="AC10" s="763"/>
      <c r="AD10" s="763"/>
      <c r="AE10" s="765"/>
      <c r="AF10" s="763"/>
      <c r="AG10" s="763"/>
      <c r="AH10" s="763"/>
      <c r="AI10" s="763"/>
      <c r="AJ10" s="763"/>
      <c r="AK10" s="763"/>
      <c r="AN10" s="704"/>
      <c r="AO10" s="766"/>
      <c r="AT10" s="769"/>
      <c r="AY10" s="769"/>
      <c r="BD10" s="769"/>
      <c r="BE10" s="767"/>
      <c r="BF10" s="768"/>
      <c r="BG10" s="768"/>
      <c r="BH10" s="768"/>
      <c r="BI10" s="769"/>
      <c r="BJ10" s="767"/>
      <c r="BK10" s="768"/>
      <c r="BL10" s="768"/>
      <c r="BM10" s="768"/>
      <c r="BN10" s="769"/>
      <c r="BO10" s="767"/>
      <c r="BP10" s="768"/>
      <c r="BQ10" s="768"/>
      <c r="BR10" s="768"/>
      <c r="BS10" s="769"/>
      <c r="BT10" s="767"/>
      <c r="BU10" s="768"/>
      <c r="BV10" s="768"/>
      <c r="BW10" s="768"/>
      <c r="BX10" s="769"/>
      <c r="BY10" s="767"/>
      <c r="BZ10" s="768"/>
      <c r="CA10" s="768"/>
      <c r="CB10" s="768"/>
      <c r="CC10" s="769"/>
      <c r="CD10" s="767"/>
      <c r="CE10" s="768"/>
      <c r="CF10" s="768"/>
      <c r="CG10" s="768"/>
      <c r="CH10" s="769"/>
      <c r="CI10" s="768"/>
      <c r="CJ10" s="768"/>
      <c r="CK10" s="768"/>
      <c r="CL10" s="768"/>
      <c r="CM10" s="770"/>
      <c r="CN10" s="768"/>
      <c r="CO10" s="768"/>
      <c r="CP10" s="768"/>
      <c r="CQ10" s="768"/>
      <c r="CR10" s="770"/>
    </row>
    <row r="11" spans="1:96">
      <c r="A11" s="731" t="s">
        <v>109</v>
      </c>
      <c r="B11" s="731"/>
      <c r="C11" s="731"/>
      <c r="D11" s="731"/>
      <c r="E11" s="732"/>
      <c r="F11" s="731"/>
      <c r="G11" s="731"/>
      <c r="H11" s="731"/>
      <c r="I11" s="731"/>
      <c r="J11" s="732"/>
      <c r="K11" s="731"/>
      <c r="L11" s="731"/>
      <c r="M11" s="731"/>
      <c r="N11" s="731"/>
      <c r="O11" s="732"/>
      <c r="P11" s="731"/>
      <c r="Q11" s="731"/>
      <c r="R11" s="731"/>
      <c r="S11" s="731"/>
      <c r="T11" s="732"/>
      <c r="U11" s="731"/>
      <c r="V11" s="733"/>
      <c r="W11" s="733"/>
      <c r="X11" s="733"/>
      <c r="Y11" s="733"/>
      <c r="Z11" s="734"/>
      <c r="AA11" s="733"/>
      <c r="AB11" s="733"/>
      <c r="AC11" s="733"/>
      <c r="AD11" s="733"/>
      <c r="AE11" s="734"/>
      <c r="AF11" s="733"/>
      <c r="AG11" s="733"/>
      <c r="AH11" s="733"/>
      <c r="AI11" s="733"/>
      <c r="AJ11" s="733"/>
      <c r="AK11" s="733"/>
      <c r="AL11" s="735"/>
      <c r="AM11" s="735"/>
      <c r="AN11" s="732"/>
      <c r="AO11" s="736"/>
      <c r="AP11" s="737"/>
      <c r="AQ11" s="737"/>
      <c r="AR11" s="737"/>
      <c r="AS11" s="737"/>
      <c r="AT11" s="805">
        <v>96.042000000000002</v>
      </c>
      <c r="AU11" s="737"/>
      <c r="AV11" s="737"/>
      <c r="AW11" s="737"/>
      <c r="AX11" s="737"/>
      <c r="AY11" s="805">
        <v>97.131</v>
      </c>
      <c r="AZ11" s="737"/>
      <c r="BA11" s="737"/>
      <c r="BB11" s="737"/>
      <c r="BC11" s="737"/>
      <c r="BD11" s="805">
        <v>93.432000000000002</v>
      </c>
      <c r="BE11" s="804">
        <v>22.657</v>
      </c>
      <c r="BF11" s="804">
        <v>20.029</v>
      </c>
      <c r="BG11" s="804">
        <v>20.518999999999998</v>
      </c>
      <c r="BH11" s="804">
        <v>44.963000000000001</v>
      </c>
      <c r="BI11" s="805">
        <f>SUM(BE11:BH11)</f>
        <v>108.16800000000001</v>
      </c>
      <c r="BJ11" s="804">
        <v>56.826000000000001</v>
      </c>
      <c r="BK11" s="804">
        <v>49.301000000000002</v>
      </c>
      <c r="BL11" s="804">
        <v>56.204000000000001</v>
      </c>
      <c r="BM11" s="804">
        <v>61.558999999999997</v>
      </c>
      <c r="BN11" s="805">
        <f>SUM(BJ11:BM11)</f>
        <v>223.89000000000001</v>
      </c>
      <c r="BO11" s="804">
        <v>39.107999999999997</v>
      </c>
      <c r="BP11" s="804">
        <v>44.393000000000001</v>
      </c>
      <c r="BQ11" s="804">
        <v>54.89</v>
      </c>
      <c r="BR11" s="804">
        <v>81.347999999999999</v>
      </c>
      <c r="BS11" s="805">
        <f>SUM(BO11:BR11)</f>
        <v>219.73900000000003</v>
      </c>
      <c r="BT11" s="804">
        <v>66.256</v>
      </c>
      <c r="BU11" s="804">
        <v>70.875</v>
      </c>
      <c r="BV11" s="804">
        <v>83.185000000000002</v>
      </c>
      <c r="BW11" s="804">
        <v>87.691000000000003</v>
      </c>
      <c r="BX11" s="805">
        <f>SUM(BT11:BW11)</f>
        <v>308.00700000000001</v>
      </c>
      <c r="BY11" s="804">
        <v>90.76</v>
      </c>
      <c r="BZ11" s="804">
        <v>84.938999999999993</v>
      </c>
      <c r="CA11" s="804">
        <v>92.972999999999999</v>
      </c>
      <c r="CB11" s="804">
        <v>84.653999999999996</v>
      </c>
      <c r="CC11" s="805">
        <f>SUM(BY11:CB11)</f>
        <v>353.32600000000002</v>
      </c>
      <c r="CD11" s="804">
        <v>97.236999999999995</v>
      </c>
      <c r="CE11" s="804">
        <v>97.542000000000002</v>
      </c>
      <c r="CF11" s="804">
        <v>96.789000000000001</v>
      </c>
      <c r="CG11" s="804">
        <v>115.235</v>
      </c>
      <c r="CH11" s="805">
        <f>SUM(CD11:CG11)</f>
        <v>406.803</v>
      </c>
      <c r="CI11" s="824">
        <f>CD11*(1+CI12)</f>
        <v>93.347519999999989</v>
      </c>
      <c r="CJ11" s="824">
        <f>CE11*(1+CJ12)</f>
        <v>96.566580000000002</v>
      </c>
      <c r="CK11" s="824">
        <f>CF11*(1+CK12)</f>
        <v>96.789000000000001</v>
      </c>
      <c r="CL11" s="824">
        <f>CG11*(1+CL12)</f>
        <v>103.7115</v>
      </c>
      <c r="CM11" s="825">
        <f>SUM(CI11:CL11)</f>
        <v>390.41460000000001</v>
      </c>
      <c r="CN11" s="824">
        <f>CI11*(1+CN12)</f>
        <v>97.081420799999989</v>
      </c>
      <c r="CO11" s="824">
        <f>CJ11*(1+CO12)</f>
        <v>100.4292432</v>
      </c>
      <c r="CP11" s="824">
        <f>CK11*(1+CP12)</f>
        <v>100.66056</v>
      </c>
      <c r="CQ11" s="824">
        <f>CL11*(1+CQ12)</f>
        <v>107.85996</v>
      </c>
      <c r="CR11" s="825">
        <f>SUM(CN11:CQ11)</f>
        <v>406.031184</v>
      </c>
    </row>
    <row r="12" spans="1:96" s="743" customFormat="1">
      <c r="A12" s="738" t="s">
        <v>98</v>
      </c>
      <c r="B12" s="739"/>
      <c r="C12" s="739"/>
      <c r="D12" s="739"/>
      <c r="E12" s="739"/>
      <c r="F12" s="739"/>
      <c r="G12" s="739"/>
      <c r="H12" s="739"/>
      <c r="I12" s="739"/>
      <c r="J12" s="739"/>
      <c r="K12" s="739"/>
      <c r="L12" s="739"/>
      <c r="M12" s="739"/>
      <c r="N12" s="739"/>
      <c r="O12" s="739"/>
      <c r="P12" s="739"/>
      <c r="Q12" s="739"/>
      <c r="R12" s="739"/>
      <c r="S12" s="739"/>
      <c r="T12" s="739"/>
      <c r="U12" s="739"/>
      <c r="V12" s="740"/>
      <c r="W12" s="741"/>
      <c r="X12" s="741"/>
      <c r="Y12" s="741"/>
      <c r="Z12" s="742"/>
      <c r="AA12" s="740"/>
      <c r="AB12" s="740"/>
      <c r="AC12" s="740"/>
      <c r="AD12" s="740"/>
      <c r="AE12" s="742"/>
      <c r="AF12" s="740"/>
      <c r="AG12" s="740"/>
      <c r="AH12" s="740"/>
      <c r="AI12" s="740"/>
      <c r="AJ12" s="740"/>
      <c r="AK12" s="740"/>
      <c r="AN12" s="739"/>
      <c r="AO12" s="744"/>
      <c r="AP12" s="745"/>
      <c r="AQ12" s="745"/>
      <c r="AR12" s="745"/>
      <c r="AS12" s="745"/>
      <c r="AT12" s="747"/>
      <c r="AU12" s="745"/>
      <c r="AV12" s="745"/>
      <c r="AW12" s="745"/>
      <c r="AX12" s="745"/>
      <c r="AY12" s="747">
        <f>AY11/AT11-1</f>
        <v>1.133878927969012E-2</v>
      </c>
      <c r="AZ12" s="745"/>
      <c r="BA12" s="745"/>
      <c r="BB12" s="745"/>
      <c r="BC12" s="745"/>
      <c r="BD12" s="747">
        <f>BD11/AY11-1</f>
        <v>-3.8082589492540952E-2</v>
      </c>
      <c r="BE12" s="746"/>
      <c r="BF12" s="746"/>
      <c r="BG12" s="746"/>
      <c r="BH12" s="746"/>
      <c r="BI12" s="747">
        <f>BI11/BD11-1</f>
        <v>0.15771898278962238</v>
      </c>
      <c r="BJ12" s="746">
        <f>BJ11/BE11-1</f>
        <v>1.5080990422386016</v>
      </c>
      <c r="BK12" s="746">
        <f t="shared" ref="BK12" si="8">BK11/BF11-1</f>
        <v>1.461480852763493</v>
      </c>
      <c r="BL12" s="746">
        <f t="shared" ref="BL12" si="9">BL11/BG11-1</f>
        <v>1.7391198401481556</v>
      </c>
      <c r="BM12" s="746">
        <f t="shared" ref="BM12" si="10">BM11/BH11-1</f>
        <v>0.36910348508773883</v>
      </c>
      <c r="BN12" s="747">
        <f>BN11/BI11-1</f>
        <v>1.0698358109607278</v>
      </c>
      <c r="BO12" s="746">
        <f>BO11/BJ11-1</f>
        <v>-0.31179389715975092</v>
      </c>
      <c r="BP12" s="746">
        <f t="shared" ref="BP12" si="11">BP11/BK11-1</f>
        <v>-9.9551733230563322E-2</v>
      </c>
      <c r="BQ12" s="746">
        <f t="shared" ref="BQ12" si="12">BQ11/BL11-1</f>
        <v>-2.3379118923919973E-2</v>
      </c>
      <c r="BR12" s="746">
        <f t="shared" ref="BR12" si="13">BR11/BM11-1</f>
        <v>0.3214639614028818</v>
      </c>
      <c r="BS12" s="747">
        <f>BS11/BN11-1</f>
        <v>-1.8540354638438394E-2</v>
      </c>
      <c r="BT12" s="746">
        <f>BT11/BO11-1</f>
        <v>0.69418021888104753</v>
      </c>
      <c r="BU12" s="746">
        <f t="shared" ref="BU12:BV12" si="14">BU11/BP11-1</f>
        <v>0.59653548982947768</v>
      </c>
      <c r="BV12" s="746">
        <f t="shared" si="14"/>
        <v>0.5154855164875205</v>
      </c>
      <c r="BW12" s="746">
        <f>BW11/BR11-1</f>
        <v>7.7973644096966055E-2</v>
      </c>
      <c r="BX12" s="747">
        <f>BX11/BS11-1</f>
        <v>0.40169473784808329</v>
      </c>
      <c r="BY12" s="746">
        <f>BY11/BT11-1</f>
        <v>0.36983820333252848</v>
      </c>
      <c r="BZ12" s="746">
        <f t="shared" ref="BZ12:CA12" si="15">BZ11/BU11-1</f>
        <v>0.19843386243386241</v>
      </c>
      <c r="CA12" s="746">
        <f t="shared" si="15"/>
        <v>0.1176654444911942</v>
      </c>
      <c r="CB12" s="746">
        <f>CB11/BW11-1</f>
        <v>-3.4632972596959855E-2</v>
      </c>
      <c r="CC12" s="747">
        <f>CC11/BX11-1</f>
        <v>0.14713626638355626</v>
      </c>
      <c r="CD12" s="746">
        <f>CD11/BY11-1</f>
        <v>7.1364037020713811E-2</v>
      </c>
      <c r="CE12" s="746">
        <f t="shared" ref="CE12:CF12" si="16">CE11/BZ11-1</f>
        <v>0.14837707060360983</v>
      </c>
      <c r="CF12" s="746">
        <f t="shared" si="16"/>
        <v>4.1044174115065779E-2</v>
      </c>
      <c r="CG12" s="746">
        <f>CG11/CB11-1</f>
        <v>0.36124695820634578</v>
      </c>
      <c r="CH12" s="747">
        <f>CH11/CC11-1</f>
        <v>0.15135314129161159</v>
      </c>
      <c r="CI12" s="748">
        <v>-0.04</v>
      </c>
      <c r="CJ12" s="748">
        <v>-0.01</v>
      </c>
      <c r="CK12" s="748">
        <v>0</v>
      </c>
      <c r="CL12" s="748">
        <v>-0.1</v>
      </c>
      <c r="CM12" s="749">
        <f>CM11/CH11-1</f>
        <v>-4.0285838600010337E-2</v>
      </c>
      <c r="CN12" s="748">
        <v>0.04</v>
      </c>
      <c r="CO12" s="748">
        <v>0.04</v>
      </c>
      <c r="CP12" s="748">
        <v>0.04</v>
      </c>
      <c r="CQ12" s="748">
        <v>0.04</v>
      </c>
      <c r="CR12" s="749">
        <f>CR11/CM11-1</f>
        <v>4.0000000000000036E-2</v>
      </c>
    </row>
    <row r="13" spans="1:96" s="743" customFormat="1">
      <c r="A13" s="738" t="s">
        <v>99</v>
      </c>
      <c r="B13" s="739"/>
      <c r="C13" s="739"/>
      <c r="D13" s="739"/>
      <c r="E13" s="739"/>
      <c r="F13" s="739"/>
      <c r="G13" s="739"/>
      <c r="H13" s="739"/>
      <c r="I13" s="739"/>
      <c r="J13" s="739"/>
      <c r="K13" s="739"/>
      <c r="L13" s="739"/>
      <c r="M13" s="739"/>
      <c r="N13" s="739"/>
      <c r="O13" s="739"/>
      <c r="P13" s="739"/>
      <c r="Q13" s="739"/>
      <c r="R13" s="739"/>
      <c r="S13" s="739"/>
      <c r="T13" s="739"/>
      <c r="U13" s="739"/>
      <c r="V13" s="740"/>
      <c r="W13" s="741"/>
      <c r="X13" s="741"/>
      <c r="Y13" s="741"/>
      <c r="Z13" s="742"/>
      <c r="AA13" s="740"/>
      <c r="AB13" s="740"/>
      <c r="AC13" s="740"/>
      <c r="AD13" s="740"/>
      <c r="AE13" s="742"/>
      <c r="AF13" s="740"/>
      <c r="AG13" s="740"/>
      <c r="AH13" s="740"/>
      <c r="AI13" s="740"/>
      <c r="AJ13" s="740"/>
      <c r="AK13" s="740"/>
      <c r="AN13" s="739"/>
      <c r="AO13" s="744"/>
      <c r="AP13" s="745"/>
      <c r="AQ13" s="745"/>
      <c r="AR13" s="745"/>
      <c r="AS13" s="745"/>
      <c r="AT13" s="747">
        <f>AT11/AT77</f>
        <v>4.0678078089779614E-2</v>
      </c>
      <c r="AU13" s="745"/>
      <c r="AV13" s="745"/>
      <c r="AW13" s="745"/>
      <c r="AX13" s="745"/>
      <c r="AY13" s="747">
        <f>AY11/AY77</f>
        <v>4.027265546772478E-2</v>
      </c>
      <c r="AZ13" s="745"/>
      <c r="BA13" s="745"/>
      <c r="BB13" s="745"/>
      <c r="BC13" s="745"/>
      <c r="BD13" s="747">
        <f t="shared" ref="BD13:CH13" si="17">BD11/BD77</f>
        <v>3.7553643324794876E-2</v>
      </c>
      <c r="BE13" s="746">
        <f t="shared" si="17"/>
        <v>3.7684350939988127E-2</v>
      </c>
      <c r="BF13" s="746">
        <f t="shared" si="17"/>
        <v>3.7598812096046014E-2</v>
      </c>
      <c r="BG13" s="746">
        <f t="shared" si="17"/>
        <v>3.7311207363685622E-2</v>
      </c>
      <c r="BH13" s="746">
        <f t="shared" si="17"/>
        <v>7.0094128137734496E-2</v>
      </c>
      <c r="BI13" s="747">
        <f t="shared" si="17"/>
        <v>4.6517028462909976E-2</v>
      </c>
      <c r="BJ13" s="746">
        <f t="shared" si="17"/>
        <v>9.6322274335248148E-2</v>
      </c>
      <c r="BK13" s="746">
        <f t="shared" si="17"/>
        <v>8.090393959732646E-2</v>
      </c>
      <c r="BL13" s="746">
        <f t="shared" si="17"/>
        <v>9.1560423949980943E-2</v>
      </c>
      <c r="BM13" s="746">
        <f t="shared" si="17"/>
        <v>9.3940323424879332E-2</v>
      </c>
      <c r="BN13" s="747">
        <f t="shared" si="17"/>
        <v>9.0699576540857751E-2</v>
      </c>
      <c r="BO13" s="746">
        <f t="shared" si="17"/>
        <v>6.9902995919286587E-2</v>
      </c>
      <c r="BP13" s="746">
        <f t="shared" si="17"/>
        <v>7.285220322405421E-2</v>
      </c>
      <c r="BQ13" s="746">
        <f t="shared" si="17"/>
        <v>8.7051953633614218E-2</v>
      </c>
      <c r="BR13" s="746">
        <f t="shared" si="17"/>
        <v>0.10736671220130269</v>
      </c>
      <c r="BS13" s="747">
        <f t="shared" si="17"/>
        <v>8.5935379616789209E-2</v>
      </c>
      <c r="BT13" s="746">
        <f t="shared" si="17"/>
        <v>0.10502488666265099</v>
      </c>
      <c r="BU13" s="746">
        <f t="shared" si="17"/>
        <v>0.10061811821759351</v>
      </c>
      <c r="BV13" s="746">
        <f t="shared" si="17"/>
        <v>0.11484469700107411</v>
      </c>
      <c r="BW13" s="746">
        <f t="shared" si="17"/>
        <v>0.1115958314615464</v>
      </c>
      <c r="BX13" s="747">
        <f t="shared" si="17"/>
        <v>0.10824837376329921</v>
      </c>
      <c r="BY13" s="746">
        <f t="shared" si="17"/>
        <v>0.12726331981148878</v>
      </c>
      <c r="BZ13" s="746">
        <f t="shared" si="17"/>
        <v>0.10823136350952037</v>
      </c>
      <c r="CA13" s="746">
        <f t="shared" si="17"/>
        <v>0.1163736453553431</v>
      </c>
      <c r="CB13" s="746">
        <f t="shared" si="17"/>
        <v>0.10269642720665573</v>
      </c>
      <c r="CC13" s="747">
        <f t="shared" si="17"/>
        <v>0.11320237255738119</v>
      </c>
      <c r="CD13" s="746">
        <f t="shared" si="17"/>
        <v>0.12069459873765741</v>
      </c>
      <c r="CE13" s="746">
        <f t="shared" si="17"/>
        <v>0.11127614719088819</v>
      </c>
      <c r="CF13" s="746">
        <f t="shared" si="17"/>
        <v>0.11135796219381709</v>
      </c>
      <c r="CG13" s="746">
        <f t="shared" si="17"/>
        <v>0.12168670754745871</v>
      </c>
      <c r="CH13" s="747">
        <f t="shared" si="17"/>
        <v>0.11628351701877329</v>
      </c>
      <c r="CI13" s="750"/>
      <c r="CJ13" s="750"/>
      <c r="CK13" s="750"/>
      <c r="CL13" s="750"/>
      <c r="CM13" s="749">
        <f>CM11/CM77</f>
        <v>0.10441455978877853</v>
      </c>
      <c r="CN13" s="750"/>
      <c r="CO13" s="750"/>
      <c r="CP13" s="750"/>
      <c r="CQ13" s="750"/>
      <c r="CR13" s="749">
        <f>CR11/CR77</f>
        <v>0.10258346619712122</v>
      </c>
    </row>
    <row r="14" spans="1:96" s="819" customFormat="1" ht="12.6" customHeight="1">
      <c r="A14" s="751" t="s">
        <v>100</v>
      </c>
      <c r="AP14" s="757"/>
      <c r="AQ14" s="757"/>
      <c r="AR14" s="757"/>
      <c r="AS14" s="757"/>
      <c r="AT14" s="818"/>
      <c r="AU14" s="757"/>
      <c r="AV14" s="757"/>
      <c r="AW14" s="757"/>
      <c r="AX14" s="757"/>
      <c r="AY14" s="818"/>
      <c r="AZ14" s="757"/>
      <c r="BA14" s="757"/>
      <c r="BB14" s="757"/>
      <c r="BC14" s="757"/>
      <c r="BD14" s="818"/>
      <c r="BE14" s="757"/>
      <c r="BF14" s="757"/>
      <c r="BG14" s="757"/>
      <c r="BH14" s="758" t="s">
        <v>110</v>
      </c>
      <c r="BI14" s="822" t="str">
        <f>BH14</f>
        <v>100-105%</v>
      </c>
      <c r="BJ14" s="757"/>
      <c r="BK14" s="757"/>
      <c r="BL14" s="757"/>
      <c r="BM14" s="758" t="s">
        <v>101</v>
      </c>
      <c r="BN14" s="822" t="str">
        <f>BM14</f>
        <v>2-4%</v>
      </c>
      <c r="BO14" s="758"/>
      <c r="BP14" s="757" t="s">
        <v>111</v>
      </c>
      <c r="BQ14" s="757" t="s">
        <v>112</v>
      </c>
      <c r="BR14" s="760" t="s">
        <v>113</v>
      </c>
      <c r="BS14" s="756" t="str">
        <f>BR14</f>
        <v>4-6%</v>
      </c>
      <c r="BT14" s="760" t="s">
        <v>113</v>
      </c>
      <c r="BU14" s="757" t="s">
        <v>114</v>
      </c>
      <c r="BV14" s="757" t="s">
        <v>115</v>
      </c>
      <c r="BW14" s="757" t="s">
        <v>113</v>
      </c>
      <c r="BX14" s="756" t="str">
        <f>BW14</f>
        <v>4-6%</v>
      </c>
      <c r="BY14" s="983" t="s">
        <v>116</v>
      </c>
      <c r="BZ14" s="983" t="s">
        <v>116</v>
      </c>
      <c r="CA14" s="983" t="s">
        <v>116</v>
      </c>
      <c r="CB14" s="983" t="s">
        <v>104</v>
      </c>
      <c r="CC14" s="756" t="str">
        <f>CB14</f>
        <v>3-5%</v>
      </c>
      <c r="CD14" s="983" t="s">
        <v>107</v>
      </c>
      <c r="CE14" s="983" t="s">
        <v>107</v>
      </c>
      <c r="CF14" s="983" t="s">
        <v>107</v>
      </c>
      <c r="CG14" s="983" t="s">
        <v>1282</v>
      </c>
      <c r="CH14" s="756" t="str">
        <f>CG14</f>
        <v>(4-6)%</v>
      </c>
      <c r="CM14" s="820"/>
      <c r="CR14" s="820"/>
    </row>
    <row r="15" spans="1:96" ht="13.5" thickBot="1">
      <c r="B15" s="704"/>
      <c r="C15" s="704"/>
      <c r="D15" s="704"/>
      <c r="E15" s="704"/>
      <c r="F15" s="704"/>
      <c r="G15" s="704"/>
      <c r="H15" s="704"/>
      <c r="I15" s="704"/>
      <c r="J15" s="704"/>
      <c r="K15" s="704"/>
      <c r="L15" s="704"/>
      <c r="M15" s="704"/>
      <c r="N15" s="704"/>
      <c r="O15" s="704"/>
      <c r="P15" s="704"/>
      <c r="Q15" s="704"/>
      <c r="R15" s="704"/>
      <c r="S15" s="704"/>
      <c r="T15" s="704"/>
      <c r="U15" s="704"/>
      <c r="V15" s="763"/>
      <c r="W15" s="764"/>
      <c r="X15" s="764"/>
      <c r="Y15" s="764"/>
      <c r="Z15" s="765"/>
      <c r="AA15" s="763"/>
      <c r="AB15" s="763"/>
      <c r="AC15" s="763"/>
      <c r="AD15" s="763"/>
      <c r="AE15" s="765"/>
      <c r="AF15" s="763"/>
      <c r="AG15" s="763"/>
      <c r="AH15" s="763"/>
      <c r="AI15" s="763"/>
      <c r="AJ15" s="763"/>
      <c r="AK15" s="763"/>
      <c r="AN15" s="704"/>
      <c r="AO15" s="766"/>
      <c r="AT15" s="814"/>
      <c r="AU15" s="815"/>
      <c r="AV15" s="815"/>
      <c r="AW15" s="815"/>
      <c r="AX15" s="815"/>
      <c r="AY15" s="814"/>
      <c r="BD15" s="769"/>
      <c r="BE15" s="767"/>
      <c r="BF15" s="768"/>
      <c r="BG15" s="768"/>
      <c r="BH15" s="768"/>
      <c r="BI15" s="769"/>
      <c r="BJ15" s="767"/>
      <c r="BK15" s="768"/>
      <c r="BL15" s="768"/>
      <c r="BM15" s="768"/>
      <c r="BN15" s="769"/>
      <c r="BO15" s="767"/>
      <c r="BP15" s="768"/>
      <c r="BQ15" s="768"/>
      <c r="BR15" s="768"/>
      <c r="BS15" s="769"/>
      <c r="BT15" s="767"/>
      <c r="BU15" s="768"/>
      <c r="BV15" s="768"/>
      <c r="BW15" s="768"/>
      <c r="BX15" s="769"/>
      <c r="BY15" s="767"/>
      <c r="BZ15" s="768"/>
      <c r="CA15" s="768"/>
      <c r="CB15" s="768"/>
      <c r="CC15" s="769"/>
      <c r="CD15" s="767"/>
      <c r="CE15" s="746"/>
      <c r="CF15" s="768"/>
      <c r="CG15" s="768"/>
      <c r="CH15" s="769"/>
      <c r="CI15" s="768"/>
      <c r="CJ15" s="768"/>
      <c r="CK15" s="768"/>
      <c r="CL15" s="768"/>
      <c r="CM15" s="770"/>
      <c r="CN15" s="768"/>
      <c r="CO15" s="768"/>
      <c r="CP15" s="768"/>
      <c r="CQ15" s="768"/>
      <c r="CR15" s="770"/>
    </row>
    <row r="16" spans="1:96">
      <c r="A16" s="731" t="s">
        <v>117</v>
      </c>
      <c r="B16" s="731"/>
      <c r="C16" s="731"/>
      <c r="D16" s="731"/>
      <c r="E16" s="732"/>
      <c r="F16" s="731"/>
      <c r="G16" s="731"/>
      <c r="H16" s="731"/>
      <c r="I16" s="731"/>
      <c r="J16" s="732"/>
      <c r="K16" s="731"/>
      <c r="L16" s="731"/>
      <c r="M16" s="731"/>
      <c r="N16" s="731"/>
      <c r="O16" s="732"/>
      <c r="P16" s="731"/>
      <c r="Q16" s="731"/>
      <c r="R16" s="731"/>
      <c r="S16" s="731"/>
      <c r="T16" s="732"/>
      <c r="U16" s="731"/>
      <c r="V16" s="733"/>
      <c r="W16" s="733"/>
      <c r="X16" s="733"/>
      <c r="Y16" s="733"/>
      <c r="Z16" s="734"/>
      <c r="AA16" s="733"/>
      <c r="AB16" s="733"/>
      <c r="AC16" s="733"/>
      <c r="AD16" s="733"/>
      <c r="AE16" s="734"/>
      <c r="AF16" s="733"/>
      <c r="AG16" s="733"/>
      <c r="AH16" s="733"/>
      <c r="AI16" s="733"/>
      <c r="AJ16" s="733"/>
      <c r="AK16" s="733"/>
      <c r="AL16" s="735"/>
      <c r="AM16" s="735"/>
      <c r="AN16" s="732"/>
      <c r="AO16" s="736"/>
      <c r="AP16" s="737"/>
      <c r="AQ16" s="737"/>
      <c r="AR16" s="737"/>
      <c r="AS16" s="737"/>
      <c r="AT16" s="805">
        <v>408.221</v>
      </c>
      <c r="AU16" s="816"/>
      <c r="AV16" s="816"/>
      <c r="AW16" s="816"/>
      <c r="AX16" s="816"/>
      <c r="AY16" s="805">
        <v>486.476</v>
      </c>
      <c r="AZ16" s="737"/>
      <c r="BA16" s="737"/>
      <c r="BB16" s="737"/>
      <c r="BC16" s="737"/>
      <c r="BD16" s="805">
        <v>568.77599999999995</v>
      </c>
      <c r="BE16" s="804">
        <v>165.69300000000001</v>
      </c>
      <c r="BF16" s="804">
        <v>164.941</v>
      </c>
      <c r="BG16" s="804">
        <v>165.524</v>
      </c>
      <c r="BH16" s="804">
        <v>195.995</v>
      </c>
      <c r="BI16" s="805">
        <f>SUM(BE16:BH16)</f>
        <v>692.15300000000002</v>
      </c>
      <c r="BJ16" s="804">
        <v>177.905</v>
      </c>
      <c r="BK16" s="804">
        <v>177.72399999999999</v>
      </c>
      <c r="BL16" s="804">
        <v>175.8</v>
      </c>
      <c r="BM16" s="804">
        <v>179.25899999999999</v>
      </c>
      <c r="BN16" s="805">
        <f>SUM(BJ16:BM16)</f>
        <v>710.6880000000001</v>
      </c>
      <c r="BO16" s="804">
        <v>162.96700000000001</v>
      </c>
      <c r="BP16" s="804">
        <v>172.786</v>
      </c>
      <c r="BQ16" s="804">
        <v>174.84399999999999</v>
      </c>
      <c r="BR16" s="804">
        <v>183.41800000000001</v>
      </c>
      <c r="BS16" s="805">
        <f>SUM(BO16:BR16)</f>
        <v>694.0150000000001</v>
      </c>
      <c r="BT16" s="804">
        <v>171.95599999999999</v>
      </c>
      <c r="BU16" s="804">
        <v>180.95599999999999</v>
      </c>
      <c r="BV16" s="804">
        <v>179.86199999999999</v>
      </c>
      <c r="BW16" s="804">
        <v>187.24</v>
      </c>
      <c r="BX16" s="805">
        <f>SUM(BT16:BW16)</f>
        <v>720.01400000000001</v>
      </c>
      <c r="BY16" s="804">
        <v>177.64699999999999</v>
      </c>
      <c r="BZ16" s="804">
        <v>209.84700000000001</v>
      </c>
      <c r="CA16" s="804">
        <v>217.51</v>
      </c>
      <c r="CB16" s="804">
        <v>216.89400000000001</v>
      </c>
      <c r="CC16" s="805">
        <f>SUM(BY16:CB16)</f>
        <v>821.89800000000002</v>
      </c>
      <c r="CD16" s="804">
        <v>221.08600000000001</v>
      </c>
      <c r="CE16" s="804">
        <v>240.08600000000001</v>
      </c>
      <c r="CF16" s="804">
        <v>245.90600000000001</v>
      </c>
      <c r="CG16" s="804">
        <v>234.57599999999999</v>
      </c>
      <c r="CH16" s="805">
        <f>SUM(CD16:CG16)</f>
        <v>941.654</v>
      </c>
      <c r="CI16" s="824">
        <f>CD16*(1+CI17)</f>
        <v>237.66745</v>
      </c>
      <c r="CJ16" s="824">
        <f>CE16*(1+CJ17)</f>
        <v>254.49116000000004</v>
      </c>
      <c r="CK16" s="824">
        <f>CF16*(1+CK17)</f>
        <v>260.66036000000003</v>
      </c>
      <c r="CL16" s="824">
        <f>CG16*(1+CL17)</f>
        <v>246.3048</v>
      </c>
      <c r="CM16" s="825">
        <f>SUM(CI16:CL16)</f>
        <v>999.12377000000004</v>
      </c>
      <c r="CN16" s="824">
        <f>CI16*(1+CN17)</f>
        <v>251.92749700000002</v>
      </c>
      <c r="CO16" s="824">
        <f>CJ16*(1+CO17)</f>
        <v>269.76062960000007</v>
      </c>
      <c r="CP16" s="824">
        <f>CK16*(1+CP17)</f>
        <v>276.29998160000002</v>
      </c>
      <c r="CQ16" s="824">
        <f>CL16*(1+CQ17)</f>
        <v>261.08308800000003</v>
      </c>
      <c r="CR16" s="825">
        <f>SUM(CN16:CQ16)</f>
        <v>1059.0711962</v>
      </c>
    </row>
    <row r="17" spans="1:96" s="743" customFormat="1">
      <c r="A17" s="738" t="s">
        <v>98</v>
      </c>
      <c r="B17" s="739"/>
      <c r="C17" s="739"/>
      <c r="D17" s="739"/>
      <c r="E17" s="739"/>
      <c r="F17" s="739"/>
      <c r="G17" s="739"/>
      <c r="H17" s="739"/>
      <c r="I17" s="739"/>
      <c r="J17" s="739"/>
      <c r="K17" s="739"/>
      <c r="L17" s="739"/>
      <c r="M17" s="739"/>
      <c r="N17" s="739"/>
      <c r="O17" s="739"/>
      <c r="P17" s="739"/>
      <c r="Q17" s="739"/>
      <c r="R17" s="739"/>
      <c r="S17" s="739"/>
      <c r="T17" s="739"/>
      <c r="U17" s="739"/>
      <c r="V17" s="740"/>
      <c r="W17" s="741"/>
      <c r="X17" s="741"/>
      <c r="Y17" s="741"/>
      <c r="Z17" s="742"/>
      <c r="AA17" s="740"/>
      <c r="AB17" s="740"/>
      <c r="AC17" s="740"/>
      <c r="AD17" s="740"/>
      <c r="AE17" s="742"/>
      <c r="AF17" s="740"/>
      <c r="AG17" s="740"/>
      <c r="AH17" s="740"/>
      <c r="AI17" s="740"/>
      <c r="AJ17" s="740"/>
      <c r="AK17" s="740"/>
      <c r="AN17" s="739"/>
      <c r="AO17" s="744"/>
      <c r="AP17" s="745"/>
      <c r="AQ17" s="745"/>
      <c r="AR17" s="745"/>
      <c r="AS17" s="745"/>
      <c r="AT17" s="747"/>
      <c r="AU17" s="745"/>
      <c r="AV17" s="745"/>
      <c r="AW17" s="745"/>
      <c r="AX17" s="745"/>
      <c r="AY17" s="747">
        <f>AY16/AT16-1</f>
        <v>0.1916976343696184</v>
      </c>
      <c r="AZ17" s="745"/>
      <c r="BA17" s="745"/>
      <c r="BB17" s="745"/>
      <c r="BC17" s="745"/>
      <c r="BD17" s="747">
        <f>BD16/AY16-1</f>
        <v>0.16917586890206282</v>
      </c>
      <c r="BE17" s="746"/>
      <c r="BF17" s="746"/>
      <c r="BG17" s="746"/>
      <c r="BH17" s="746"/>
      <c r="BI17" s="747">
        <f>BI16/BD16-1</f>
        <v>0.21691667721563501</v>
      </c>
      <c r="BJ17" s="746">
        <f>BJ16/BE16-1</f>
        <v>7.3702570416372293E-2</v>
      </c>
      <c r="BK17" s="746">
        <f t="shared" ref="BK17" si="18">BK16/BF16-1</f>
        <v>7.7500439551112077E-2</v>
      </c>
      <c r="BL17" s="746">
        <f t="shared" ref="BL17" si="19">BL16/BG16-1</f>
        <v>6.2081631666706993E-2</v>
      </c>
      <c r="BM17" s="746">
        <f t="shared" ref="BM17" si="20">BM16/BH16-1</f>
        <v>-8.5389933416668895E-2</v>
      </c>
      <c r="BN17" s="747">
        <f>BN16/BI16-1</f>
        <v>2.6778761343229096E-2</v>
      </c>
      <c r="BO17" s="746">
        <f>BO16/BJ16-1</f>
        <v>-8.3966161715522292E-2</v>
      </c>
      <c r="BP17" s="746">
        <f t="shared" ref="BP17" si="21">BP16/BK16-1</f>
        <v>-2.778465485809456E-2</v>
      </c>
      <c r="BQ17" s="746">
        <f t="shared" ref="BQ17" si="22">BQ16/BL16-1</f>
        <v>-5.4379977246872269E-3</v>
      </c>
      <c r="BR17" s="746">
        <f t="shared" ref="BR17" si="23">BR16/BM16-1</f>
        <v>2.3201066613113053E-2</v>
      </c>
      <c r="BS17" s="747">
        <f>BS16/BN16-1</f>
        <v>-2.3460365167274566E-2</v>
      </c>
      <c r="BT17" s="746">
        <f>BT16/BO16-1</f>
        <v>5.5158406303116525E-2</v>
      </c>
      <c r="BU17" s="746">
        <f t="shared" ref="BU17:BV17" si="24">BU16/BP16-1</f>
        <v>4.7283923466021394E-2</v>
      </c>
      <c r="BV17" s="746">
        <f t="shared" si="24"/>
        <v>2.8699869598041605E-2</v>
      </c>
      <c r="BW17" s="746">
        <f>BW16/BR16-1</f>
        <v>2.0837649521857182E-2</v>
      </c>
      <c r="BX17" s="747">
        <f>BX16/BS16-1</f>
        <v>3.7461726331563305E-2</v>
      </c>
      <c r="BY17" s="746">
        <f>BY16/BT16-1</f>
        <v>3.3095675637953903E-2</v>
      </c>
      <c r="BZ17" s="746">
        <f t="shared" ref="BZ17:CA17" si="25">BZ16/BU16-1</f>
        <v>0.15965759632175791</v>
      </c>
      <c r="CA17" s="746">
        <f t="shared" si="25"/>
        <v>0.20931603117945974</v>
      </c>
      <c r="CB17" s="746">
        <f>CB16/BW16-1</f>
        <v>0.15837427900021361</v>
      </c>
      <c r="CC17" s="747">
        <f>CC16/BX16-1</f>
        <v>0.14150280411214222</v>
      </c>
      <c r="CD17" s="746">
        <f>CD16/BY16-1</f>
        <v>0.24452425315372639</v>
      </c>
      <c r="CE17" s="746">
        <f t="shared" ref="CE17:CF17" si="26">CE16/BZ16-1</f>
        <v>0.14410022540231693</v>
      </c>
      <c r="CF17" s="746">
        <f t="shared" si="26"/>
        <v>0.13055031952553908</v>
      </c>
      <c r="CG17" s="746">
        <f>CG16/CB16-1</f>
        <v>8.1523693601482705E-2</v>
      </c>
      <c r="CH17" s="747">
        <f>CH16/CC16-1</f>
        <v>0.14570664486347451</v>
      </c>
      <c r="CI17" s="748">
        <v>7.4999999999999997E-2</v>
      </c>
      <c r="CJ17" s="748">
        <v>0.06</v>
      </c>
      <c r="CK17" s="748">
        <v>0.06</v>
      </c>
      <c r="CL17" s="748">
        <v>0.05</v>
      </c>
      <c r="CM17" s="749">
        <f>CM16/CH16-1</f>
        <v>6.1030665191248668E-2</v>
      </c>
      <c r="CN17" s="748">
        <v>0.06</v>
      </c>
      <c r="CO17" s="748">
        <v>0.06</v>
      </c>
      <c r="CP17" s="748">
        <v>0.06</v>
      </c>
      <c r="CQ17" s="748">
        <v>0.06</v>
      </c>
      <c r="CR17" s="749">
        <f>CR16/CM16-1</f>
        <v>6.0000000000000053E-2</v>
      </c>
    </row>
    <row r="18" spans="1:96" s="743" customFormat="1">
      <c r="A18" s="738" t="s">
        <v>99</v>
      </c>
      <c r="B18" s="739"/>
      <c r="C18" s="739"/>
      <c r="D18" s="739"/>
      <c r="E18" s="739"/>
      <c r="F18" s="739"/>
      <c r="G18" s="739"/>
      <c r="H18" s="739"/>
      <c r="I18" s="739"/>
      <c r="J18" s="739"/>
      <c r="K18" s="739"/>
      <c r="L18" s="739"/>
      <c r="M18" s="739"/>
      <c r="N18" s="739"/>
      <c r="O18" s="739"/>
      <c r="P18" s="739"/>
      <c r="Q18" s="739"/>
      <c r="R18" s="739"/>
      <c r="S18" s="739"/>
      <c r="T18" s="739"/>
      <c r="U18" s="739"/>
      <c r="V18" s="740"/>
      <c r="W18" s="741"/>
      <c r="X18" s="741"/>
      <c r="Y18" s="741"/>
      <c r="Z18" s="742"/>
      <c r="AA18" s="740"/>
      <c r="AB18" s="740"/>
      <c r="AC18" s="740"/>
      <c r="AD18" s="740"/>
      <c r="AE18" s="742"/>
      <c r="AF18" s="740"/>
      <c r="AG18" s="740"/>
      <c r="AH18" s="740"/>
      <c r="AI18" s="740"/>
      <c r="AJ18" s="740"/>
      <c r="AK18" s="740"/>
      <c r="AN18" s="739"/>
      <c r="AO18" s="744"/>
      <c r="AP18" s="745"/>
      <c r="AQ18" s="745"/>
      <c r="AR18" s="745"/>
      <c r="AS18" s="745"/>
      <c r="AT18" s="747">
        <f>AT16/AT77</f>
        <v>0.17289983253043381</v>
      </c>
      <c r="AU18" s="745"/>
      <c r="AV18" s="745"/>
      <c r="AW18" s="745"/>
      <c r="AX18" s="745"/>
      <c r="AY18" s="747">
        <f>AY16/AY77</f>
        <v>0.20170368205121825</v>
      </c>
      <c r="AZ18" s="745"/>
      <c r="BA18" s="745"/>
      <c r="BB18" s="745"/>
      <c r="BC18" s="745"/>
      <c r="BD18" s="747">
        <f t="shared" ref="BD18:CH18" si="27">BD16/BD77</f>
        <v>0.22861130057906853</v>
      </c>
      <c r="BE18" s="746">
        <f t="shared" si="27"/>
        <v>0.27558958204084621</v>
      </c>
      <c r="BF18" s="746">
        <f t="shared" si="27"/>
        <v>0.30963031933366247</v>
      </c>
      <c r="BG18" s="746">
        <f t="shared" si="27"/>
        <v>0.30098446745293139</v>
      </c>
      <c r="BH18" s="746">
        <f t="shared" si="27"/>
        <v>0.30554230465839188</v>
      </c>
      <c r="BI18" s="747">
        <f t="shared" si="27"/>
        <v>0.2976564307529817</v>
      </c>
      <c r="BJ18" s="746">
        <f t="shared" si="27"/>
        <v>0.30155587610622464</v>
      </c>
      <c r="BK18" s="746">
        <f t="shared" si="27"/>
        <v>0.29164868381970438</v>
      </c>
      <c r="BL18" s="746">
        <f t="shared" si="27"/>
        <v>0.28639104922081438</v>
      </c>
      <c r="BM18" s="746">
        <f t="shared" si="27"/>
        <v>0.27355298878832407</v>
      </c>
      <c r="BN18" s="747">
        <f t="shared" si="27"/>
        <v>0.28790522422917109</v>
      </c>
      <c r="BO18" s="746">
        <f t="shared" si="27"/>
        <v>0.29129286938678478</v>
      </c>
      <c r="BP18" s="746">
        <f t="shared" si="27"/>
        <v>0.28355463217785304</v>
      </c>
      <c r="BQ18" s="746">
        <f t="shared" si="27"/>
        <v>0.2772911601587838</v>
      </c>
      <c r="BR18" s="746">
        <f t="shared" si="27"/>
        <v>0.24208324259402245</v>
      </c>
      <c r="BS18" s="747">
        <f t="shared" si="27"/>
        <v>0.27141491717331001</v>
      </c>
      <c r="BT18" s="746">
        <f t="shared" si="27"/>
        <v>0.27257394667596613</v>
      </c>
      <c r="BU18" s="746">
        <f t="shared" si="27"/>
        <v>0.25689526913838234</v>
      </c>
      <c r="BV18" s="746">
        <f t="shared" si="27"/>
        <v>0.24831636583527306</v>
      </c>
      <c r="BW18" s="746">
        <f t="shared" si="27"/>
        <v>0.23828218953894867</v>
      </c>
      <c r="BX18" s="747">
        <f t="shared" si="27"/>
        <v>0.25304731576492778</v>
      </c>
      <c r="BY18" s="746">
        <f t="shared" si="27"/>
        <v>0.24909593405191213</v>
      </c>
      <c r="BZ18" s="746">
        <f t="shared" si="27"/>
        <v>0.26739221015531528</v>
      </c>
      <c r="CA18" s="746">
        <f t="shared" si="27"/>
        <v>0.27225572586923813</v>
      </c>
      <c r="CB18" s="746">
        <f t="shared" si="27"/>
        <v>0.2631209261530511</v>
      </c>
      <c r="CC18" s="747">
        <f t="shared" si="27"/>
        <v>0.26332849436544858</v>
      </c>
      <c r="CD18" s="746">
        <f t="shared" si="27"/>
        <v>0.27442111600022345</v>
      </c>
      <c r="CE18" s="746">
        <f t="shared" si="27"/>
        <v>0.27389068375132336</v>
      </c>
      <c r="CF18" s="746">
        <f t="shared" si="27"/>
        <v>0.28292048736150582</v>
      </c>
      <c r="CG18" s="746">
        <f t="shared" si="27"/>
        <v>0.24770929934180305</v>
      </c>
      <c r="CH18" s="747">
        <f t="shared" si="27"/>
        <v>0.2691692021317344</v>
      </c>
      <c r="CI18" s="750"/>
      <c r="CJ18" s="750"/>
      <c r="CK18" s="750"/>
      <c r="CL18" s="750"/>
      <c r="CM18" s="749">
        <f>CM16/CM77</f>
        <v>0.26721098191270204</v>
      </c>
      <c r="CN18" s="750"/>
      <c r="CO18" s="750"/>
      <c r="CP18" s="750"/>
      <c r="CQ18" s="750"/>
      <c r="CR18" s="749">
        <f>CR16/CR77</f>
        <v>0.26757352276599383</v>
      </c>
    </row>
    <row r="19" spans="1:96" s="819" customFormat="1">
      <c r="A19" s="751" t="s">
        <v>100</v>
      </c>
      <c r="AP19" s="757"/>
      <c r="AQ19" s="757"/>
      <c r="AR19" s="757"/>
      <c r="AS19" s="757"/>
      <c r="AT19" s="818"/>
      <c r="AU19" s="757"/>
      <c r="AV19" s="757"/>
      <c r="AW19" s="757"/>
      <c r="AX19" s="757"/>
      <c r="AY19" s="818"/>
      <c r="AZ19" s="757"/>
      <c r="BA19" s="757"/>
      <c r="BB19" s="757"/>
      <c r="BC19" s="757"/>
      <c r="BD19" s="818"/>
      <c r="BE19" s="757"/>
      <c r="BF19" s="757"/>
      <c r="BG19" s="757"/>
      <c r="BH19" s="823">
        <v>0</v>
      </c>
      <c r="BI19" s="756">
        <f>BH19</f>
        <v>0</v>
      </c>
      <c r="BJ19" s="760"/>
      <c r="BK19" s="757" t="s">
        <v>102</v>
      </c>
      <c r="BL19" s="757"/>
      <c r="BM19" s="758" t="s">
        <v>118</v>
      </c>
      <c r="BN19" s="822" t="str">
        <f>BM19</f>
        <v>1-3%</v>
      </c>
      <c r="BO19" s="758"/>
      <c r="BP19" s="757"/>
      <c r="BQ19" s="760">
        <v>0</v>
      </c>
      <c r="BR19" s="760" t="s">
        <v>113</v>
      </c>
      <c r="BS19" s="756" t="str">
        <f>BR19</f>
        <v>4-6%</v>
      </c>
      <c r="BT19" s="760" t="s">
        <v>113</v>
      </c>
      <c r="BU19" s="757" t="s">
        <v>107</v>
      </c>
      <c r="BV19" s="760" t="s">
        <v>106</v>
      </c>
      <c r="BW19" s="760" t="s">
        <v>104</v>
      </c>
      <c r="BX19" s="756" t="str">
        <f>BW19</f>
        <v>3-5%</v>
      </c>
      <c r="BY19" s="983" t="s">
        <v>104</v>
      </c>
      <c r="BZ19" s="983" t="s">
        <v>106</v>
      </c>
      <c r="CA19" s="983" t="s">
        <v>103</v>
      </c>
      <c r="CB19" s="983" t="s">
        <v>104</v>
      </c>
      <c r="CC19" s="756" t="str">
        <f>CB19</f>
        <v>3-5%</v>
      </c>
      <c r="CD19" s="983" t="s">
        <v>106</v>
      </c>
      <c r="CE19" s="983" t="s">
        <v>108</v>
      </c>
      <c r="CF19" s="983" t="s">
        <v>103</v>
      </c>
      <c r="CG19" s="983" t="s">
        <v>106</v>
      </c>
      <c r="CH19" s="756" t="str">
        <f>CG19</f>
        <v>5-7%</v>
      </c>
      <c r="CM19" s="820"/>
      <c r="CR19" s="820"/>
    </row>
    <row r="20" spans="1:96" s="819" customFormat="1" ht="13.5" thickBot="1">
      <c r="A20" s="751"/>
      <c r="AP20" s="757"/>
      <c r="AQ20" s="757"/>
      <c r="AR20" s="757"/>
      <c r="AS20" s="757"/>
      <c r="AT20" s="818"/>
      <c r="AU20" s="757"/>
      <c r="AV20" s="757"/>
      <c r="AW20" s="757"/>
      <c r="AX20" s="757"/>
      <c r="AY20" s="818"/>
      <c r="AZ20" s="757"/>
      <c r="BA20" s="757"/>
      <c r="BB20" s="757"/>
      <c r="BC20" s="757"/>
      <c r="BD20" s="818"/>
      <c r="BE20" s="757"/>
      <c r="BF20" s="757"/>
      <c r="BG20" s="757"/>
      <c r="BH20" s="823"/>
      <c r="BI20" s="756"/>
      <c r="BJ20" s="760"/>
      <c r="BK20" s="757"/>
      <c r="BL20" s="757"/>
      <c r="BM20" s="758"/>
      <c r="BN20" s="822"/>
      <c r="BO20" s="758"/>
      <c r="BP20" s="757"/>
      <c r="BQ20" s="760"/>
      <c r="BR20" s="760"/>
      <c r="BS20" s="756"/>
      <c r="BT20" s="760"/>
      <c r="BU20" s="757"/>
      <c r="BV20" s="760"/>
      <c r="BW20" s="760"/>
      <c r="BX20" s="756"/>
      <c r="BY20" s="760"/>
      <c r="BZ20" s="757"/>
      <c r="CA20" s="760"/>
      <c r="CB20" s="760"/>
      <c r="CC20" s="756"/>
      <c r="CD20" s="760"/>
      <c r="CE20" s="757"/>
      <c r="CF20" s="760"/>
      <c r="CG20" s="760"/>
      <c r="CH20" s="756"/>
      <c r="CM20" s="820"/>
      <c r="CR20" s="820"/>
    </row>
    <row r="21" spans="1:96" s="704" customFormat="1">
      <c r="A21" s="807" t="s">
        <v>119</v>
      </c>
      <c r="B21" s="807"/>
      <c r="C21" s="807"/>
      <c r="D21" s="807"/>
      <c r="E21" s="809"/>
      <c r="F21" s="807"/>
      <c r="G21" s="807"/>
      <c r="H21" s="807"/>
      <c r="I21" s="807"/>
      <c r="J21" s="809"/>
      <c r="K21" s="807"/>
      <c r="L21" s="807"/>
      <c r="M21" s="807"/>
      <c r="N21" s="807"/>
      <c r="O21" s="809"/>
      <c r="P21" s="807"/>
      <c r="Q21" s="807"/>
      <c r="R21" s="807"/>
      <c r="S21" s="807"/>
      <c r="T21" s="809"/>
      <c r="U21" s="807"/>
      <c r="V21" s="810"/>
      <c r="W21" s="810"/>
      <c r="X21" s="810"/>
      <c r="Y21" s="810"/>
      <c r="Z21" s="811"/>
      <c r="AA21" s="810"/>
      <c r="AB21" s="810"/>
      <c r="AC21" s="810"/>
      <c r="AD21" s="810"/>
      <c r="AE21" s="811"/>
      <c r="AF21" s="810"/>
      <c r="AG21" s="810"/>
      <c r="AH21" s="810"/>
      <c r="AI21" s="810"/>
      <c r="AJ21" s="810"/>
      <c r="AK21" s="810"/>
      <c r="AL21" s="812"/>
      <c r="AM21" s="812"/>
      <c r="AN21" s="809"/>
      <c r="AO21" s="813"/>
      <c r="AP21" s="808"/>
      <c r="AQ21" s="808"/>
      <c r="AR21" s="808"/>
      <c r="AS21" s="808"/>
      <c r="AT21" s="1016">
        <f>AT16+AT11+AT6</f>
        <v>876.94100000000003</v>
      </c>
      <c r="AU21" s="1014">
        <f t="shared" ref="AU21:BT21" si="28">AU16+AU11+AU6</f>
        <v>0</v>
      </c>
      <c r="AV21" s="1014">
        <f t="shared" si="28"/>
        <v>0</v>
      </c>
      <c r="AW21" s="1014">
        <f t="shared" si="28"/>
        <v>0</v>
      </c>
      <c r="AX21" s="1014">
        <f t="shared" si="28"/>
        <v>0</v>
      </c>
      <c r="AY21" s="1016">
        <f t="shared" si="28"/>
        <v>960.55799999999999</v>
      </c>
      <c r="AZ21" s="1015">
        <f t="shared" si="28"/>
        <v>0</v>
      </c>
      <c r="BA21" s="1015">
        <f t="shared" si="28"/>
        <v>0</v>
      </c>
      <c r="BB21" s="1015">
        <f t="shared" si="28"/>
        <v>0</v>
      </c>
      <c r="BC21" s="1015">
        <f t="shared" si="28"/>
        <v>0</v>
      </c>
      <c r="BD21" s="1016">
        <f t="shared" si="28"/>
        <v>1079.049</v>
      </c>
      <c r="BE21" s="1015">
        <f t="shared" si="28"/>
        <v>290.17700000000002</v>
      </c>
      <c r="BF21" s="1015">
        <f t="shared" si="28"/>
        <v>294.476</v>
      </c>
      <c r="BG21" s="1015">
        <f t="shared" si="28"/>
        <v>308.77800000000002</v>
      </c>
      <c r="BH21" s="1015">
        <f t="shared" si="28"/>
        <v>371.74299999999999</v>
      </c>
      <c r="BI21" s="1016">
        <f t="shared" si="28"/>
        <v>1265.174</v>
      </c>
      <c r="BJ21" s="1015">
        <f t="shared" si="28"/>
        <v>345.74700000000001</v>
      </c>
      <c r="BK21" s="1015">
        <f t="shared" si="28"/>
        <v>327.00199999999995</v>
      </c>
      <c r="BL21" s="1015">
        <f t="shared" si="28"/>
        <v>348.85700000000003</v>
      </c>
      <c r="BM21" s="1015">
        <f t="shared" si="28"/>
        <v>365.63299999999998</v>
      </c>
      <c r="BN21" s="1016">
        <f t="shared" si="28"/>
        <v>1387.239</v>
      </c>
      <c r="BO21" s="1015">
        <f t="shared" si="28"/>
        <v>300.07900000000001</v>
      </c>
      <c r="BP21" s="1015">
        <f t="shared" si="28"/>
        <v>311.72399999999999</v>
      </c>
      <c r="BQ21" s="1015">
        <f t="shared" si="28"/>
        <v>344.16499999999996</v>
      </c>
      <c r="BR21" s="1015">
        <f t="shared" si="28"/>
        <v>437.529</v>
      </c>
      <c r="BS21" s="1016">
        <f t="shared" si="28"/>
        <v>1393.4970000000003</v>
      </c>
      <c r="BT21" s="1015">
        <f t="shared" si="28"/>
        <v>338.09100000000001</v>
      </c>
      <c r="BU21" s="1015">
        <f t="shared" ref="BU21" si="29">BU16+BU11+BU6</f>
        <v>384.02300000000002</v>
      </c>
      <c r="BV21" s="1015">
        <f>BV16+BV11+BV6</f>
        <v>411.07000000000005</v>
      </c>
      <c r="BW21" s="1015">
        <f>BW16+BW11+BW6</f>
        <v>446.45800000000003</v>
      </c>
      <c r="BX21" s="1016">
        <f>BX16+BX11+BX6</f>
        <v>1579.6420000000001</v>
      </c>
      <c r="BY21" s="1015">
        <f t="shared" ref="BY21:BZ21" si="30">BY16+BY11+BY6</f>
        <v>400.48099999999999</v>
      </c>
      <c r="BZ21" s="1015">
        <f t="shared" si="30"/>
        <v>448.89</v>
      </c>
      <c r="CA21" s="1015">
        <f>CA16+CA11+CA6</f>
        <v>469.46299999999997</v>
      </c>
      <c r="CB21" s="1015">
        <f>CB16+CB11+CB6</f>
        <v>472.98</v>
      </c>
      <c r="CC21" s="1016">
        <f>CC16+CC11+CC6</f>
        <v>1791.8140000000003</v>
      </c>
      <c r="CD21" s="1015">
        <f t="shared" ref="CD21:CE21" si="31">CD16+CD11+CD6</f>
        <v>470.04499999999996</v>
      </c>
      <c r="CE21" s="1015">
        <f t="shared" si="31"/>
        <v>505.21500000000003</v>
      </c>
      <c r="CF21" s="1015">
        <f>CF16+CF11+CF6</f>
        <v>503.85699999999997</v>
      </c>
      <c r="CG21" s="1015">
        <f>CG16+CG11+CG6</f>
        <v>541.86599999999999</v>
      </c>
      <c r="CH21" s="1016">
        <f>CH16+CH11+CH6</f>
        <v>2020.9829999999999</v>
      </c>
      <c r="CI21" s="1017">
        <f t="shared" ref="CI21:CR21" si="32">CI16+CI11+CI6</f>
        <v>497.90917000000002</v>
      </c>
      <c r="CJ21" s="1017">
        <f t="shared" si="32"/>
        <v>532.05169999999998</v>
      </c>
      <c r="CK21" s="1017">
        <f t="shared" si="32"/>
        <v>542.78566000000001</v>
      </c>
      <c r="CL21" s="1017">
        <f t="shared" si="32"/>
        <v>557.4357</v>
      </c>
      <c r="CM21" s="1018">
        <f t="shared" si="32"/>
        <v>2130.1822299999999</v>
      </c>
      <c r="CN21" s="1017">
        <f t="shared" si="32"/>
        <v>524.2478278000001</v>
      </c>
      <c r="CO21" s="1017">
        <f t="shared" si="32"/>
        <v>560.23353080000015</v>
      </c>
      <c r="CP21" s="1017">
        <f t="shared" si="32"/>
        <v>571.56365660000006</v>
      </c>
      <c r="CQ21" s="1017">
        <f t="shared" si="32"/>
        <v>586.73341800000003</v>
      </c>
      <c r="CR21" s="1018">
        <f t="shared" si="32"/>
        <v>2242.7784332000001</v>
      </c>
    </row>
    <row r="22" spans="1:96" s="704" customFormat="1">
      <c r="A22" s="738" t="s">
        <v>98</v>
      </c>
      <c r="B22" s="739"/>
      <c r="C22" s="739"/>
      <c r="D22" s="739"/>
      <c r="E22" s="739"/>
      <c r="F22" s="739"/>
      <c r="G22" s="739"/>
      <c r="H22" s="739"/>
      <c r="I22" s="739"/>
      <c r="J22" s="739"/>
      <c r="K22" s="739"/>
      <c r="L22" s="739"/>
      <c r="M22" s="739"/>
      <c r="N22" s="739"/>
      <c r="O22" s="739"/>
      <c r="P22" s="739"/>
      <c r="Q22" s="739"/>
      <c r="R22" s="739"/>
      <c r="S22" s="739"/>
      <c r="T22" s="739"/>
      <c r="U22" s="739"/>
      <c r="V22" s="740"/>
      <c r="W22" s="741"/>
      <c r="X22" s="741"/>
      <c r="Y22" s="741"/>
      <c r="Z22" s="742"/>
      <c r="AA22" s="740"/>
      <c r="AB22" s="740"/>
      <c r="AC22" s="740"/>
      <c r="AD22" s="740"/>
      <c r="AE22" s="742"/>
      <c r="AF22" s="740"/>
      <c r="AG22" s="740"/>
      <c r="AH22" s="740"/>
      <c r="AI22" s="740"/>
      <c r="AJ22" s="740"/>
      <c r="AK22" s="740"/>
      <c r="AL22" s="743"/>
      <c r="AM22" s="743"/>
      <c r="AN22" s="739"/>
      <c r="AO22" s="744"/>
      <c r="AP22" s="745"/>
      <c r="AQ22" s="745"/>
      <c r="AR22" s="745"/>
      <c r="AS22" s="745"/>
      <c r="AT22" s="747"/>
      <c r="AU22" s="745"/>
      <c r="AV22" s="745"/>
      <c r="AW22" s="745"/>
      <c r="AX22" s="745"/>
      <c r="AY22" s="747">
        <f>AY21/AT21-1</f>
        <v>9.5350770462322876E-2</v>
      </c>
      <c r="AZ22" s="745"/>
      <c r="BA22" s="745"/>
      <c r="BB22" s="745"/>
      <c r="BC22" s="745"/>
      <c r="BD22" s="747">
        <f>BD21/AY21-1</f>
        <v>0.12335642407850433</v>
      </c>
      <c r="BE22" s="746"/>
      <c r="BF22" s="746"/>
      <c r="BG22" s="746"/>
      <c r="BH22" s="746"/>
      <c r="BI22" s="747">
        <f>BI21/BD21-1</f>
        <v>0.17248984985853277</v>
      </c>
      <c r="BJ22" s="746">
        <f>BJ21/BE21-1</f>
        <v>0.19150380629753561</v>
      </c>
      <c r="BK22" s="746">
        <f t="shared" ref="BK22" si="33">BK21/BF21-1</f>
        <v>0.11045382306198115</v>
      </c>
      <c r="BL22" s="746">
        <f t="shared" ref="BL22" si="34">BL21/BG21-1</f>
        <v>0.12979875509265559</v>
      </c>
      <c r="BM22" s="746">
        <f t="shared" ref="BM22" si="35">BM21/BH21-1</f>
        <v>-1.6436086220856905E-2</v>
      </c>
      <c r="BN22" s="747">
        <f>BN21/BI21-1</f>
        <v>9.6480800269370004E-2</v>
      </c>
      <c r="BO22" s="746">
        <f>BO21/BJ21-1</f>
        <v>-0.13208502170662362</v>
      </c>
      <c r="BP22" s="746">
        <f t="shared" ref="BP22" si="36">BP21/BK21-1</f>
        <v>-4.6721426780264252E-2</v>
      </c>
      <c r="BQ22" s="746">
        <f t="shared" ref="BQ22" si="37">BQ21/BL21-1</f>
        <v>-1.3449636957263422E-2</v>
      </c>
      <c r="BR22" s="746">
        <f t="shared" ref="BR22" si="38">BR21/BM21-1</f>
        <v>0.19663433005226549</v>
      </c>
      <c r="BS22" s="747">
        <f>BS21/BN21-1</f>
        <v>4.5111188483024645E-3</v>
      </c>
      <c r="BT22" s="746">
        <f>BT21/BO21-1</f>
        <v>0.12667330936186794</v>
      </c>
      <c r="BU22" s="746">
        <f t="shared" ref="BU22:BV22" si="39">BU21/BP21-1</f>
        <v>0.23193273536846704</v>
      </c>
      <c r="BV22" s="746">
        <f t="shared" si="39"/>
        <v>0.1943980358258397</v>
      </c>
      <c r="BW22" s="746">
        <f>BW21/BR21-1</f>
        <v>2.0407790112198398E-2</v>
      </c>
      <c r="BX22" s="747">
        <f>BX21/BS21-1</f>
        <v>0.13358119895485943</v>
      </c>
      <c r="BY22" s="746">
        <f>BY21/BT21-1</f>
        <v>0.18453611601610209</v>
      </c>
      <c r="BZ22" s="746">
        <f t="shared" ref="BZ22:CA22" si="40">BZ21/BU21-1</f>
        <v>0.16891436190019848</v>
      </c>
      <c r="CA22" s="746">
        <f t="shared" si="40"/>
        <v>0.14205123215024185</v>
      </c>
      <c r="CB22" s="746">
        <f>CB21/BW21-1</f>
        <v>5.9405363998405125E-2</v>
      </c>
      <c r="CC22" s="747">
        <f>CC21/BX21-1</f>
        <v>0.13431650969017039</v>
      </c>
      <c r="CD22" s="746">
        <f>CD21/BY21-1</f>
        <v>0.17370112439791141</v>
      </c>
      <c r="CE22" s="746">
        <f t="shared" ref="CE22:CF22" si="41">CE21/BZ21-1</f>
        <v>0.12547617456392435</v>
      </c>
      <c r="CF22" s="746">
        <f t="shared" si="41"/>
        <v>7.3262429627041881E-2</v>
      </c>
      <c r="CG22" s="746">
        <f>CG21/CB21-1</f>
        <v>0.14564252188253191</v>
      </c>
      <c r="CH22" s="747">
        <f>CH21/CC21-1</f>
        <v>0.12789776170964151</v>
      </c>
      <c r="CI22" s="750">
        <f t="shared" ref="CI22:CR22" si="42">CI21/CD21-1</f>
        <v>5.9279792360306116E-2</v>
      </c>
      <c r="CJ22" s="750">
        <f t="shared" si="42"/>
        <v>5.3119365022811893E-2</v>
      </c>
      <c r="CK22" s="750">
        <f t="shared" si="42"/>
        <v>7.7261326130231511E-2</v>
      </c>
      <c r="CL22" s="750">
        <f t="shared" si="42"/>
        <v>2.8733487615019149E-2</v>
      </c>
      <c r="CM22" s="749">
        <f t="shared" si="42"/>
        <v>5.403273060683822E-2</v>
      </c>
      <c r="CN22" s="750">
        <f t="shared" si="42"/>
        <v>5.2898519221889595E-2</v>
      </c>
      <c r="CO22" s="750">
        <f t="shared" si="42"/>
        <v>5.2968218690026214E-2</v>
      </c>
      <c r="CP22" s="750">
        <f t="shared" si="42"/>
        <v>5.3019080496710336E-2</v>
      </c>
      <c r="CQ22" s="750">
        <f t="shared" si="42"/>
        <v>5.2558022387156011E-2</v>
      </c>
      <c r="CR22" s="749">
        <f t="shared" si="42"/>
        <v>5.2857545056133715E-2</v>
      </c>
    </row>
    <row r="23" spans="1:96" s="704" customFormat="1">
      <c r="A23" s="738" t="s">
        <v>99</v>
      </c>
      <c r="B23" s="739"/>
      <c r="C23" s="739"/>
      <c r="D23" s="739"/>
      <c r="E23" s="739"/>
      <c r="F23" s="739"/>
      <c r="G23" s="739"/>
      <c r="H23" s="739"/>
      <c r="I23" s="739"/>
      <c r="J23" s="739"/>
      <c r="K23" s="739"/>
      <c r="L23" s="739"/>
      <c r="M23" s="739"/>
      <c r="N23" s="739"/>
      <c r="O23" s="739"/>
      <c r="P23" s="739"/>
      <c r="Q23" s="739"/>
      <c r="R23" s="739"/>
      <c r="S23" s="739"/>
      <c r="T23" s="739"/>
      <c r="U23" s="739"/>
      <c r="V23" s="740"/>
      <c r="W23" s="741"/>
      <c r="X23" s="741"/>
      <c r="Y23" s="741"/>
      <c r="Z23" s="742"/>
      <c r="AA23" s="740"/>
      <c r="AB23" s="740"/>
      <c r="AC23" s="740"/>
      <c r="AD23" s="740"/>
      <c r="AE23" s="742"/>
      <c r="AF23" s="740"/>
      <c r="AG23" s="740"/>
      <c r="AH23" s="740"/>
      <c r="AI23" s="740"/>
      <c r="AJ23" s="740"/>
      <c r="AK23" s="740"/>
      <c r="AL23" s="743"/>
      <c r="AM23" s="743"/>
      <c r="AN23" s="739"/>
      <c r="AO23" s="744"/>
      <c r="AP23" s="745"/>
      <c r="AQ23" s="745"/>
      <c r="AR23" s="745"/>
      <c r="AS23" s="745"/>
      <c r="AT23" s="747">
        <f t="shared" ref="AT23:BY23" si="43">AT21/AT77</f>
        <v>0.37142369461412117</v>
      </c>
      <c r="AU23" s="745" t="e">
        <f t="shared" si="43"/>
        <v>#DIV/0!</v>
      </c>
      <c r="AV23" s="745" t="e">
        <f t="shared" si="43"/>
        <v>#DIV/0!</v>
      </c>
      <c r="AW23" s="745" t="e">
        <f t="shared" si="43"/>
        <v>#DIV/0!</v>
      </c>
      <c r="AX23" s="745" t="e">
        <f t="shared" si="43"/>
        <v>#DIV/0!</v>
      </c>
      <c r="AY23" s="747">
        <f t="shared" si="43"/>
        <v>0.39826853827065284</v>
      </c>
      <c r="AZ23" s="745" t="e">
        <f t="shared" si="43"/>
        <v>#DIV/0!</v>
      </c>
      <c r="BA23" s="745" t="e">
        <f t="shared" si="43"/>
        <v>#DIV/0!</v>
      </c>
      <c r="BB23" s="745" t="e">
        <f t="shared" si="43"/>
        <v>#DIV/0!</v>
      </c>
      <c r="BC23" s="745" t="e">
        <f t="shared" si="43"/>
        <v>#DIV/0!</v>
      </c>
      <c r="BD23" s="747">
        <f t="shared" si="43"/>
        <v>0.4337081650395645</v>
      </c>
      <c r="BE23" s="746">
        <f t="shared" si="43"/>
        <v>0.48263812078884827</v>
      </c>
      <c r="BF23" s="746">
        <f t="shared" si="43"/>
        <v>0.55279583557817402</v>
      </c>
      <c r="BG23" s="746">
        <f t="shared" si="43"/>
        <v>0.5614737554142073</v>
      </c>
      <c r="BH23" s="746">
        <f t="shared" si="43"/>
        <v>0.57952097227288735</v>
      </c>
      <c r="BI23" s="747">
        <f t="shared" si="43"/>
        <v>0.54408082768040134</v>
      </c>
      <c r="BJ23" s="746">
        <f t="shared" si="43"/>
        <v>0.58605457685899132</v>
      </c>
      <c r="BK23" s="746">
        <f t="shared" si="43"/>
        <v>0.5366169054624641</v>
      </c>
      <c r="BL23" s="746">
        <f t="shared" si="43"/>
        <v>0.56831355095577718</v>
      </c>
      <c r="BM23" s="746">
        <f t="shared" si="43"/>
        <v>0.55796361660860161</v>
      </c>
      <c r="BN23" s="747">
        <f t="shared" si="43"/>
        <v>0.56198128483167165</v>
      </c>
      <c r="BO23" s="746">
        <f t="shared" si="43"/>
        <v>0.53637161482212348</v>
      </c>
      <c r="BP23" s="746">
        <f t="shared" si="43"/>
        <v>0.51156218768308237</v>
      </c>
      <c r="BQ23" s="746">
        <f t="shared" si="43"/>
        <v>0.54582320317567556</v>
      </c>
      <c r="BR23" s="746">
        <f t="shared" si="43"/>
        <v>0.57747025400407836</v>
      </c>
      <c r="BS23" s="747">
        <f t="shared" si="43"/>
        <v>0.54496786501193195</v>
      </c>
      <c r="BT23" s="746">
        <f t="shared" si="43"/>
        <v>0.53592080651808638</v>
      </c>
      <c r="BU23" s="746">
        <f t="shared" si="43"/>
        <v>0.54518055184867598</v>
      </c>
      <c r="BV23" s="746">
        <f t="shared" si="43"/>
        <v>0.56752070200434612</v>
      </c>
      <c r="BW23" s="746">
        <f t="shared" si="43"/>
        <v>0.5681637992799613</v>
      </c>
      <c r="BX23" s="747">
        <f t="shared" si="43"/>
        <v>0.55516166070318362</v>
      </c>
      <c r="BY23" s="746">
        <f t="shared" si="43"/>
        <v>0.56155290415849313</v>
      </c>
      <c r="BZ23" s="746">
        <f t="shared" ref="BZ23:CR23" si="44">BZ21/BZ77</f>
        <v>0.571986681804455</v>
      </c>
      <c r="CA23" s="746">
        <f t="shared" si="44"/>
        <v>0.58762351079835473</v>
      </c>
      <c r="CB23" s="746">
        <f t="shared" si="44"/>
        <v>0.57378689890854573</v>
      </c>
      <c r="CC23" s="747">
        <f t="shared" si="44"/>
        <v>0.57408058275227813</v>
      </c>
      <c r="CD23" s="746">
        <f t="shared" si="44"/>
        <v>0.58343935604391506</v>
      </c>
      <c r="CE23" s="746">
        <f t="shared" si="44"/>
        <v>0.57635048187493154</v>
      </c>
      <c r="CF23" s="746">
        <f t="shared" si="44"/>
        <v>0.57969902320604716</v>
      </c>
      <c r="CG23" s="746">
        <f t="shared" si="44"/>
        <v>0.57220366617704055</v>
      </c>
      <c r="CH23" s="747">
        <f t="shared" si="44"/>
        <v>0.57769242379026586</v>
      </c>
      <c r="CI23" s="750">
        <f t="shared" si="44"/>
        <v>0.5721054319301524</v>
      </c>
      <c r="CJ23" s="750">
        <f t="shared" si="44"/>
        <v>0.56778687138587958</v>
      </c>
      <c r="CK23" s="750">
        <f t="shared" si="44"/>
        <v>0.5771428221451681</v>
      </c>
      <c r="CL23" s="750">
        <f t="shared" si="44"/>
        <v>0.56236243356068982</v>
      </c>
      <c r="CM23" s="749">
        <f t="shared" si="44"/>
        <v>0.56970727994119219</v>
      </c>
      <c r="CN23" s="750">
        <f t="shared" si="44"/>
        <v>0.56918899535340617</v>
      </c>
      <c r="CO23" s="750">
        <f t="shared" si="44"/>
        <v>0.56471686537394883</v>
      </c>
      <c r="CP23" s="750">
        <f t="shared" si="44"/>
        <v>0.57418997363376811</v>
      </c>
      <c r="CQ23" s="750">
        <f t="shared" si="44"/>
        <v>0.55904593547195747</v>
      </c>
      <c r="CR23" s="749">
        <f t="shared" si="44"/>
        <v>0.56663624533283308</v>
      </c>
    </row>
    <row r="24" spans="1:96" s="704" customFormat="1">
      <c r="A24" s="751"/>
      <c r="AP24" s="752"/>
      <c r="AQ24" s="752"/>
      <c r="AR24" s="752"/>
      <c r="AS24" s="752"/>
      <c r="AT24" s="759"/>
      <c r="AU24" s="752"/>
      <c r="AV24" s="752"/>
      <c r="AW24" s="752"/>
      <c r="AX24" s="752"/>
      <c r="AY24" s="759"/>
      <c r="AZ24" s="752"/>
      <c r="BA24" s="752"/>
      <c r="BB24" s="752"/>
      <c r="BC24" s="752"/>
      <c r="BD24" s="759"/>
      <c r="BE24" s="757"/>
      <c r="BF24" s="752"/>
      <c r="BG24" s="752"/>
      <c r="BH24" s="758"/>
      <c r="BI24" s="759"/>
      <c r="BJ24" s="757"/>
      <c r="BK24" s="752"/>
      <c r="BL24" s="752"/>
      <c r="BM24" s="758"/>
      <c r="BN24" s="759"/>
      <c r="BO24" s="758"/>
      <c r="BP24" s="752"/>
      <c r="BQ24" s="752"/>
      <c r="BR24" s="760"/>
      <c r="BS24" s="759"/>
      <c r="BT24" s="758"/>
      <c r="BU24" s="752"/>
      <c r="BV24" s="752"/>
      <c r="BW24" s="760"/>
      <c r="BX24" s="759"/>
      <c r="BY24" s="758"/>
      <c r="BZ24" s="752"/>
      <c r="CA24" s="752"/>
      <c r="CB24" s="760"/>
      <c r="CC24" s="759"/>
      <c r="CD24" s="758"/>
      <c r="CE24" s="752"/>
      <c r="CF24" s="752"/>
      <c r="CG24" s="760"/>
      <c r="CH24" s="759"/>
      <c r="CM24" s="761"/>
      <c r="CR24" s="761"/>
    </row>
    <row r="25" spans="1:96" s="704" customFormat="1" ht="13.5" thickBot="1">
      <c r="A25" s="751"/>
      <c r="AP25" s="752"/>
      <c r="AQ25" s="752"/>
      <c r="AR25" s="752"/>
      <c r="AS25" s="752"/>
      <c r="AT25" s="759"/>
      <c r="AU25" s="752"/>
      <c r="AV25" s="752"/>
      <c r="AW25" s="752"/>
      <c r="AX25" s="752"/>
      <c r="AY25" s="759"/>
      <c r="AZ25" s="752"/>
      <c r="BA25" s="752"/>
      <c r="BB25" s="752"/>
      <c r="BC25" s="752"/>
      <c r="BD25" s="759"/>
      <c r="BE25" s="757"/>
      <c r="BF25" s="752"/>
      <c r="BG25" s="752"/>
      <c r="BH25" s="758"/>
      <c r="BI25" s="759"/>
      <c r="BJ25" s="757"/>
      <c r="BK25" s="752"/>
      <c r="BL25" s="752"/>
      <c r="BM25" s="758"/>
      <c r="BN25" s="759"/>
      <c r="BO25" s="758"/>
      <c r="BP25" s="752"/>
      <c r="BQ25" s="752"/>
      <c r="BR25" s="760"/>
      <c r="BS25" s="759"/>
      <c r="BT25" s="758"/>
      <c r="BU25" s="752"/>
      <c r="BV25" s="752"/>
      <c r="BW25" s="760"/>
      <c r="BX25" s="759"/>
      <c r="BY25" s="758"/>
      <c r="BZ25" s="752"/>
      <c r="CA25" s="752"/>
      <c r="CB25" s="760"/>
      <c r="CC25" s="759"/>
      <c r="CD25" s="758"/>
      <c r="CE25" s="752"/>
      <c r="CF25" s="752"/>
      <c r="CG25" s="760"/>
      <c r="CH25" s="759"/>
      <c r="CM25" s="761"/>
      <c r="CR25" s="761"/>
    </row>
    <row r="26" spans="1:96" s="704" customFormat="1" hidden="1" outlineLevel="1">
      <c r="A26" s="1065" t="s">
        <v>1297</v>
      </c>
      <c r="AP26" s="752"/>
      <c r="AQ26" s="752"/>
      <c r="AR26" s="752"/>
      <c r="AS26" s="752"/>
      <c r="AT26" s="759"/>
      <c r="AU26" s="752"/>
      <c r="AV26" s="752"/>
      <c r="AW26" s="752"/>
      <c r="AX26" s="752"/>
      <c r="AY26" s="759"/>
      <c r="AZ26" s="752"/>
      <c r="BA26" s="752"/>
      <c r="BB26" s="752"/>
      <c r="BC26" s="752"/>
      <c r="BD26" s="759"/>
      <c r="BE26" s="757"/>
      <c r="BF26" s="752"/>
      <c r="BG26" s="752"/>
      <c r="BH26" s="758"/>
      <c r="BI26" s="1059">
        <f>BI27*BI30</f>
        <v>117.61025000000001</v>
      </c>
      <c r="BJ26" s="757"/>
      <c r="BK26" s="752"/>
      <c r="BL26" s="752"/>
      <c r="BM26" s="758"/>
      <c r="BN26" s="1059">
        <f>BN27*BN30</f>
        <v>102.61600000000001</v>
      </c>
      <c r="BO26" s="758"/>
      <c r="BP26" s="752"/>
      <c r="BQ26" s="752"/>
      <c r="BR26" s="760"/>
      <c r="BS26" s="1059">
        <f>BS27*BS30</f>
        <v>132.72911999999999</v>
      </c>
      <c r="BT26" s="758"/>
      <c r="BU26" s="752"/>
      <c r="BV26" s="752"/>
      <c r="BW26" s="760"/>
      <c r="BX26" s="1059">
        <f>BX27*BX30</f>
        <v>165.72399000000001</v>
      </c>
      <c r="BY26" s="758"/>
      <c r="BZ26" s="752"/>
      <c r="CA26" s="752"/>
      <c r="CB26" s="760"/>
      <c r="CC26" s="1059">
        <f>CC27*CC30</f>
        <v>204.16643999999999</v>
      </c>
      <c r="CD26" s="758"/>
      <c r="CE26" s="752"/>
      <c r="CF26" s="752"/>
      <c r="CG26" s="760"/>
      <c r="CH26" s="1059">
        <f>CH27*CH30</f>
        <v>232.25885999999997</v>
      </c>
      <c r="CM26" s="1060">
        <f>CM27*CM30</f>
        <v>252.71639183999997</v>
      </c>
      <c r="CR26" s="761"/>
    </row>
    <row r="27" spans="1:96" s="704" customFormat="1" hidden="1" outlineLevel="1">
      <c r="A27" s="1066" t="s">
        <v>99</v>
      </c>
      <c r="AP27" s="752"/>
      <c r="AQ27" s="752"/>
      <c r="AR27" s="752"/>
      <c r="AS27" s="752"/>
      <c r="AT27" s="759"/>
      <c r="AU27" s="752"/>
      <c r="AV27" s="752"/>
      <c r="AW27" s="752"/>
      <c r="AX27" s="752"/>
      <c r="AY27" s="759"/>
      <c r="AZ27" s="752"/>
      <c r="BA27" s="752"/>
      <c r="BB27" s="752"/>
      <c r="BC27" s="752"/>
      <c r="BD27" s="759"/>
      <c r="BE27" s="757"/>
      <c r="BF27" s="752"/>
      <c r="BG27" s="752"/>
      <c r="BH27" s="758"/>
      <c r="BI27" s="1063">
        <v>0.5</v>
      </c>
      <c r="BJ27" s="757"/>
      <c r="BK27" s="752"/>
      <c r="BL27" s="752"/>
      <c r="BM27" s="758"/>
      <c r="BN27" s="1063">
        <v>0.5</v>
      </c>
      <c r="BO27" s="758"/>
      <c r="BP27" s="752"/>
      <c r="BQ27" s="752"/>
      <c r="BR27" s="760"/>
      <c r="BS27" s="1063">
        <v>0.6</v>
      </c>
      <c r="BT27" s="758"/>
      <c r="BU27" s="752"/>
      <c r="BV27" s="752"/>
      <c r="BW27" s="760"/>
      <c r="BX27" s="1063">
        <v>0.6</v>
      </c>
      <c r="BY27" s="758"/>
      <c r="BZ27" s="752"/>
      <c r="CA27" s="752"/>
      <c r="CB27" s="760"/>
      <c r="CC27" s="1063">
        <v>0.6</v>
      </c>
      <c r="CD27" s="758"/>
      <c r="CE27" s="752"/>
      <c r="CF27" s="752"/>
      <c r="CG27" s="760"/>
      <c r="CH27" s="1063">
        <v>0.6</v>
      </c>
      <c r="CM27" s="1064">
        <v>0.6</v>
      </c>
      <c r="CR27" s="761"/>
    </row>
    <row r="28" spans="1:96" s="704" customFormat="1" hidden="1" outlineLevel="1">
      <c r="A28" s="1065" t="s">
        <v>1298</v>
      </c>
      <c r="AP28" s="752"/>
      <c r="AQ28" s="752"/>
      <c r="AR28" s="752"/>
      <c r="AS28" s="752"/>
      <c r="AT28" s="759"/>
      <c r="AU28" s="752"/>
      <c r="AV28" s="752"/>
      <c r="AW28" s="752"/>
      <c r="AX28" s="752"/>
      <c r="AY28" s="759"/>
      <c r="AZ28" s="752"/>
      <c r="BA28" s="752"/>
      <c r="BB28" s="752"/>
      <c r="BC28" s="752"/>
      <c r="BD28" s="759"/>
      <c r="BE28" s="757"/>
      <c r="BF28" s="752"/>
      <c r="BG28" s="752"/>
      <c r="BH28" s="758"/>
      <c r="BI28" s="1059">
        <f>BI30-BI26</f>
        <v>117.61025000000001</v>
      </c>
      <c r="BJ28" s="757"/>
      <c r="BK28" s="752"/>
      <c r="BL28" s="752"/>
      <c r="BM28" s="758"/>
      <c r="BN28" s="1059">
        <f>BN30-BN26</f>
        <v>102.61600000000001</v>
      </c>
      <c r="BO28" s="758"/>
      <c r="BP28" s="752"/>
      <c r="BQ28" s="752"/>
      <c r="BR28" s="760"/>
      <c r="BS28" s="1059">
        <f>BS30-BS26</f>
        <v>88.486080000000015</v>
      </c>
      <c r="BT28" s="758"/>
      <c r="BU28" s="752"/>
      <c r="BV28" s="752"/>
      <c r="BW28" s="760"/>
      <c r="BX28" s="1059">
        <f>BX30-BX26</f>
        <v>110.48266000000001</v>
      </c>
      <c r="BY28" s="758"/>
      <c r="BZ28" s="752"/>
      <c r="CA28" s="752"/>
      <c r="CB28" s="760"/>
      <c r="CC28" s="1059">
        <f>CC30-CC26</f>
        <v>136.11096000000001</v>
      </c>
      <c r="CD28" s="758"/>
      <c r="CE28" s="752"/>
      <c r="CF28" s="752"/>
      <c r="CG28" s="760"/>
      <c r="CH28" s="1059">
        <f>CH30-CH26</f>
        <v>154.83924000000002</v>
      </c>
      <c r="CM28" s="1060">
        <f>CM30-CM26</f>
        <v>168.47759456</v>
      </c>
      <c r="CR28" s="761"/>
    </row>
    <row r="29" spans="1:96" s="704" customFormat="1" hidden="1" outlineLevel="1">
      <c r="A29" s="1066" t="s">
        <v>99</v>
      </c>
      <c r="AP29" s="752"/>
      <c r="AQ29" s="752"/>
      <c r="AR29" s="752"/>
      <c r="AS29" s="752"/>
      <c r="AT29" s="759"/>
      <c r="AU29" s="752"/>
      <c r="AV29" s="752"/>
      <c r="AW29" s="752"/>
      <c r="AX29" s="752"/>
      <c r="AY29" s="759"/>
      <c r="AZ29" s="752"/>
      <c r="BA29" s="752"/>
      <c r="BB29" s="752"/>
      <c r="BC29" s="752"/>
      <c r="BD29" s="759"/>
      <c r="BE29" s="757"/>
      <c r="BF29" s="752"/>
      <c r="BG29" s="752"/>
      <c r="BH29" s="758"/>
      <c r="BI29" s="1063">
        <f>BI28/BI30</f>
        <v>0.5</v>
      </c>
      <c r="BJ29" s="757"/>
      <c r="BK29" s="752"/>
      <c r="BL29" s="752"/>
      <c r="BM29" s="758"/>
      <c r="BN29" s="1063">
        <f>BN28/BN30</f>
        <v>0.5</v>
      </c>
      <c r="BO29" s="758"/>
      <c r="BP29" s="752"/>
      <c r="BQ29" s="752"/>
      <c r="BR29" s="760"/>
      <c r="BS29" s="1063">
        <f>BS28/BS30</f>
        <v>0.40000000000000008</v>
      </c>
      <c r="BT29" s="758"/>
      <c r="BU29" s="752"/>
      <c r="BV29" s="752"/>
      <c r="BW29" s="760"/>
      <c r="BX29" s="1063">
        <f>BX28/BX30</f>
        <v>0.4</v>
      </c>
      <c r="BY29" s="758"/>
      <c r="BZ29" s="752"/>
      <c r="CA29" s="752"/>
      <c r="CB29" s="760"/>
      <c r="CC29" s="1063">
        <f>CC28/CC30</f>
        <v>0.4</v>
      </c>
      <c r="CD29" s="758"/>
      <c r="CE29" s="752"/>
      <c r="CF29" s="752"/>
      <c r="CG29" s="760"/>
      <c r="CH29" s="1063">
        <f>CH28/CH30</f>
        <v>0.40000000000000008</v>
      </c>
      <c r="CM29" s="1064">
        <f>CM28/CM30</f>
        <v>0.4</v>
      </c>
      <c r="CR29" s="761"/>
    </row>
    <row r="30" spans="1:96" s="704" customFormat="1" hidden="1" outlineLevel="1">
      <c r="A30" s="1058" t="s">
        <v>1109</v>
      </c>
      <c r="AP30" s="752"/>
      <c r="AQ30" s="752"/>
      <c r="AR30" s="752"/>
      <c r="AS30" s="752"/>
      <c r="AT30" s="759"/>
      <c r="AU30" s="752"/>
      <c r="AV30" s="752"/>
      <c r="AW30" s="752"/>
      <c r="AX30" s="752"/>
      <c r="AY30" s="759"/>
      <c r="AZ30" s="752"/>
      <c r="BA30" s="752"/>
      <c r="BB30" s="752"/>
      <c r="BC30" s="752"/>
      <c r="BD30" s="759"/>
      <c r="BE30" s="757"/>
      <c r="BF30" s="752"/>
      <c r="BG30" s="752"/>
      <c r="BH30" s="758"/>
      <c r="BI30" s="1059">
        <f>BI31*BI34</f>
        <v>235.22050000000002</v>
      </c>
      <c r="BJ30" s="757"/>
      <c r="BK30" s="752"/>
      <c r="BL30" s="752"/>
      <c r="BM30" s="758"/>
      <c r="BN30" s="1059">
        <f>BN31*BN34</f>
        <v>205.23200000000003</v>
      </c>
      <c r="BO30" s="758"/>
      <c r="BP30" s="752"/>
      <c r="BQ30" s="752"/>
      <c r="BR30" s="760"/>
      <c r="BS30" s="1059">
        <f>BS31*BS34</f>
        <v>221.21520000000001</v>
      </c>
      <c r="BT30" s="758"/>
      <c r="BU30" s="752"/>
      <c r="BV30" s="752"/>
      <c r="BW30" s="760"/>
      <c r="BX30" s="1059">
        <f>BX31*BX34</f>
        <v>276.20665000000002</v>
      </c>
      <c r="BY30" s="758"/>
      <c r="BZ30" s="752"/>
      <c r="CA30" s="752"/>
      <c r="CB30" s="760"/>
      <c r="CC30" s="1059">
        <f>CC31*CC34</f>
        <v>340.2774</v>
      </c>
      <c r="CD30" s="758"/>
      <c r="CE30" s="752"/>
      <c r="CF30" s="752"/>
      <c r="CG30" s="760"/>
      <c r="CH30" s="1059">
        <f>CH31*CH34</f>
        <v>387.09809999999999</v>
      </c>
      <c r="CM30" s="1060">
        <f>CM31*CM34</f>
        <v>421.19398639999997</v>
      </c>
      <c r="CR30" s="761"/>
    </row>
    <row r="31" spans="1:96" s="704" customFormat="1" hidden="1" outlineLevel="1">
      <c r="A31" s="1061"/>
      <c r="AP31" s="752"/>
      <c r="AQ31" s="752"/>
      <c r="AR31" s="752"/>
      <c r="AS31" s="752"/>
      <c r="AT31" s="759"/>
      <c r="AU31" s="752"/>
      <c r="AV31" s="752"/>
      <c r="AW31" s="752"/>
      <c r="AX31" s="752"/>
      <c r="AY31" s="759"/>
      <c r="AZ31" s="752"/>
      <c r="BA31" s="752"/>
      <c r="BB31" s="752"/>
      <c r="BC31" s="752"/>
      <c r="BD31" s="759"/>
      <c r="BE31" s="757"/>
      <c r="BF31" s="752"/>
      <c r="BG31" s="752"/>
      <c r="BH31" s="758"/>
      <c r="BI31" s="1063">
        <v>0.85</v>
      </c>
      <c r="BJ31" s="757"/>
      <c r="BK31" s="752"/>
      <c r="BL31" s="752"/>
      <c r="BM31" s="758"/>
      <c r="BN31" s="1063">
        <v>0.8</v>
      </c>
      <c r="BO31" s="758"/>
      <c r="BP31" s="752"/>
      <c r="BQ31" s="752"/>
      <c r="BR31" s="760"/>
      <c r="BS31" s="1063">
        <v>0.8</v>
      </c>
      <c r="BT31" s="758"/>
      <c r="BU31" s="752"/>
      <c r="BV31" s="752"/>
      <c r="BW31" s="760"/>
      <c r="BX31" s="1063">
        <v>0.85</v>
      </c>
      <c r="BY31" s="758"/>
      <c r="BZ31" s="752"/>
      <c r="CA31" s="752"/>
      <c r="CB31" s="760"/>
      <c r="CC31" s="1063">
        <v>0.9</v>
      </c>
      <c r="CD31" s="758"/>
      <c r="CE31" s="752"/>
      <c r="CF31" s="752"/>
      <c r="CG31" s="760"/>
      <c r="CH31" s="1063">
        <v>0.9</v>
      </c>
      <c r="CM31" s="1064">
        <v>0.88</v>
      </c>
      <c r="CR31" s="761"/>
    </row>
    <row r="32" spans="1:96" s="704" customFormat="1" hidden="1" outlineLevel="1">
      <c r="A32" s="1058" t="s">
        <v>1106</v>
      </c>
      <c r="AP32" s="752"/>
      <c r="AQ32" s="752"/>
      <c r="AR32" s="752"/>
      <c r="AS32" s="752"/>
      <c r="AT32" s="759"/>
      <c r="AU32" s="752"/>
      <c r="AV32" s="752"/>
      <c r="AW32" s="752"/>
      <c r="AX32" s="752"/>
      <c r="AY32" s="759"/>
      <c r="AZ32" s="752"/>
      <c r="BA32" s="752"/>
      <c r="BB32" s="752"/>
      <c r="BC32" s="752"/>
      <c r="BD32" s="759"/>
      <c r="BE32" s="757"/>
      <c r="BF32" s="752"/>
      <c r="BG32" s="752"/>
      <c r="BH32" s="758"/>
      <c r="BI32" s="1059">
        <f>BI34-BI30</f>
        <v>41.509500000000003</v>
      </c>
      <c r="BJ32" s="757"/>
      <c r="BK32" s="752"/>
      <c r="BL32" s="752"/>
      <c r="BM32" s="758"/>
      <c r="BN32" s="1059">
        <f>BN34-BN30</f>
        <v>51.307999999999993</v>
      </c>
      <c r="BO32" s="758"/>
      <c r="BP32" s="752"/>
      <c r="BQ32" s="752"/>
      <c r="BR32" s="760"/>
      <c r="BS32" s="1059">
        <f>BS34-BS30</f>
        <v>55.303799999999995</v>
      </c>
      <c r="BT32" s="758"/>
      <c r="BU32" s="752"/>
      <c r="BV32" s="752"/>
      <c r="BW32" s="760"/>
      <c r="BX32" s="1059">
        <f>BX34-BX30</f>
        <v>48.742349999999988</v>
      </c>
      <c r="BY32" s="758"/>
      <c r="BZ32" s="752"/>
      <c r="CA32" s="752"/>
      <c r="CB32" s="760"/>
      <c r="CC32" s="1059">
        <f>CC34-CC30</f>
        <v>37.808600000000013</v>
      </c>
      <c r="CD32" s="758"/>
      <c r="CE32" s="752"/>
      <c r="CF32" s="752"/>
      <c r="CG32" s="760"/>
      <c r="CH32" s="1059">
        <f>CH34-CH30</f>
        <v>43.010899999999992</v>
      </c>
      <c r="CM32" s="1060">
        <f>CM34-CM30</f>
        <v>57.435543600000017</v>
      </c>
      <c r="CR32" s="761"/>
    </row>
    <row r="33" spans="1:98" s="704" customFormat="1" ht="13.5" hidden="1" outlineLevel="1" thickBot="1">
      <c r="A33" s="751"/>
      <c r="AP33" s="752"/>
      <c r="AQ33" s="752"/>
      <c r="AR33" s="752"/>
      <c r="AS33" s="752"/>
      <c r="AT33" s="759"/>
      <c r="AU33" s="752"/>
      <c r="AV33" s="752"/>
      <c r="AW33" s="752"/>
      <c r="AX33" s="752"/>
      <c r="AY33" s="759"/>
      <c r="AZ33" s="752"/>
      <c r="BA33" s="752"/>
      <c r="BB33" s="752"/>
      <c r="BC33" s="752"/>
      <c r="BD33" s="759"/>
      <c r="BE33" s="757"/>
      <c r="BF33" s="752"/>
      <c r="BG33" s="752"/>
      <c r="BH33" s="758"/>
      <c r="BI33" s="1063">
        <f>BI32/BI34</f>
        <v>0.15</v>
      </c>
      <c r="BJ33" s="757"/>
      <c r="BK33" s="752"/>
      <c r="BL33" s="752"/>
      <c r="BM33" s="758"/>
      <c r="BN33" s="1063">
        <f>BN32/BN34</f>
        <v>0.19999999999999996</v>
      </c>
      <c r="BO33" s="758"/>
      <c r="BP33" s="752"/>
      <c r="BQ33" s="752"/>
      <c r="BR33" s="760"/>
      <c r="BS33" s="1063">
        <f>BS32/BS34</f>
        <v>0.19999999999999998</v>
      </c>
      <c r="BT33" s="758"/>
      <c r="BU33" s="752"/>
      <c r="BV33" s="752"/>
      <c r="BW33" s="760"/>
      <c r="BX33" s="1063">
        <f>BX32/BX34</f>
        <v>0.14999999999999997</v>
      </c>
      <c r="BY33" s="758"/>
      <c r="BZ33" s="752"/>
      <c r="CA33" s="752"/>
      <c r="CB33" s="760"/>
      <c r="CC33" s="1063">
        <f>CC32/CC34</f>
        <v>0.10000000000000003</v>
      </c>
      <c r="CD33" s="758"/>
      <c r="CE33" s="752"/>
      <c r="CF33" s="752"/>
      <c r="CG33" s="760"/>
      <c r="CH33" s="1063">
        <f>CH32/CH34</f>
        <v>9.9999999999999992E-2</v>
      </c>
      <c r="CM33" s="1064">
        <f>CM32/CM34</f>
        <v>0.12000000000000004</v>
      </c>
      <c r="CR33" s="761"/>
    </row>
    <row r="34" spans="1:98" collapsed="1">
      <c r="A34" s="731" t="s">
        <v>120</v>
      </c>
      <c r="B34" s="731"/>
      <c r="C34" s="731"/>
      <c r="D34" s="731"/>
      <c r="E34" s="732"/>
      <c r="F34" s="731"/>
      <c r="G34" s="731"/>
      <c r="H34" s="731"/>
      <c r="I34" s="731"/>
      <c r="J34" s="732"/>
      <c r="K34" s="731"/>
      <c r="L34" s="731"/>
      <c r="M34" s="731"/>
      <c r="N34" s="731"/>
      <c r="O34" s="732"/>
      <c r="P34" s="731"/>
      <c r="Q34" s="731"/>
      <c r="R34" s="731"/>
      <c r="S34" s="731"/>
      <c r="T34" s="732"/>
      <c r="U34" s="731"/>
      <c r="V34" s="733"/>
      <c r="W34" s="733"/>
      <c r="X34" s="733"/>
      <c r="Y34" s="733"/>
      <c r="Z34" s="734"/>
      <c r="AA34" s="733"/>
      <c r="AB34" s="733"/>
      <c r="AC34" s="733"/>
      <c r="AD34" s="733"/>
      <c r="AE34" s="734"/>
      <c r="AF34" s="733"/>
      <c r="AG34" s="733"/>
      <c r="AH34" s="733"/>
      <c r="AI34" s="733"/>
      <c r="AJ34" s="733"/>
      <c r="AK34" s="733"/>
      <c r="AL34" s="735"/>
      <c r="AM34" s="735"/>
      <c r="AN34" s="732"/>
      <c r="AO34" s="736"/>
      <c r="AP34" s="737"/>
      <c r="AQ34" s="737"/>
      <c r="AR34" s="737"/>
      <c r="AS34" s="737"/>
      <c r="AT34" s="1019">
        <v>409.38400000000001</v>
      </c>
      <c r="AU34" s="1020"/>
      <c r="AV34" s="1020"/>
      <c r="AW34" s="1020"/>
      <c r="AX34" s="1020"/>
      <c r="AY34" s="1019">
        <v>414.42200000000003</v>
      </c>
      <c r="AZ34" s="1020"/>
      <c r="BA34" s="1020"/>
      <c r="BB34" s="1020"/>
      <c r="BC34" s="1020"/>
      <c r="BD34" s="1019">
        <v>433.03800000000001</v>
      </c>
      <c r="BE34" s="1021">
        <v>100.68</v>
      </c>
      <c r="BF34" s="1021">
        <v>59.374000000000002</v>
      </c>
      <c r="BG34" s="1021">
        <v>54.418999999999997</v>
      </c>
      <c r="BH34" s="1021">
        <v>62.256999999999998</v>
      </c>
      <c r="BI34" s="1019">
        <f>SUM(BE34:BH34)</f>
        <v>276.73</v>
      </c>
      <c r="BJ34" s="1021">
        <v>54.67</v>
      </c>
      <c r="BK34" s="1021">
        <v>65.771000000000001</v>
      </c>
      <c r="BL34" s="1021">
        <v>67.08</v>
      </c>
      <c r="BM34" s="1021">
        <v>69.019000000000005</v>
      </c>
      <c r="BN34" s="1019">
        <f>SUM(BJ34:BM34)</f>
        <v>256.54000000000002</v>
      </c>
      <c r="BO34" s="1021">
        <v>60.892000000000003</v>
      </c>
      <c r="BP34" s="1021">
        <v>68.191999999999993</v>
      </c>
      <c r="BQ34" s="1021">
        <v>70.257000000000005</v>
      </c>
      <c r="BR34" s="1021">
        <v>77.177999999999997</v>
      </c>
      <c r="BS34" s="1019">
        <f>SUM(BO34:BR34)</f>
        <v>276.51900000000001</v>
      </c>
      <c r="BT34" s="1021">
        <v>70.489999999999995</v>
      </c>
      <c r="BU34" s="1021">
        <v>82.033000000000001</v>
      </c>
      <c r="BV34" s="1021">
        <v>79.703000000000003</v>
      </c>
      <c r="BW34" s="1021">
        <v>92.722999999999999</v>
      </c>
      <c r="BX34" s="1019">
        <f>SUM(BT34:BW34)</f>
        <v>324.94900000000001</v>
      </c>
      <c r="BY34" s="1021">
        <v>89.775000000000006</v>
      </c>
      <c r="BZ34" s="1021">
        <v>93.316000000000003</v>
      </c>
      <c r="CA34" s="1021">
        <v>96.677000000000007</v>
      </c>
      <c r="CB34" s="1021">
        <v>98.317999999999998</v>
      </c>
      <c r="CC34" s="1019">
        <f>SUM(BY34:CB34)</f>
        <v>378.08600000000001</v>
      </c>
      <c r="CD34" s="1021">
        <v>92.876999999999995</v>
      </c>
      <c r="CE34" s="1021">
        <v>103.318</v>
      </c>
      <c r="CF34" s="1021">
        <v>113.85599999999999</v>
      </c>
      <c r="CG34" s="1021">
        <v>120.05800000000001</v>
      </c>
      <c r="CH34" s="1019">
        <f>SUM(CD34:CG34)</f>
        <v>430.10899999999998</v>
      </c>
      <c r="CI34" s="1022">
        <f>CD34*(1+CI35)</f>
        <v>106.80854999999998</v>
      </c>
      <c r="CJ34" s="1022">
        <f>CE34*(1+CJ35)</f>
        <v>115.71616</v>
      </c>
      <c r="CK34" s="1022">
        <f>CF34*(1+CK35)</f>
        <v>125.24160000000001</v>
      </c>
      <c r="CL34" s="1022">
        <f>CG34*(1+CL35)</f>
        <v>130.86322000000001</v>
      </c>
      <c r="CM34" s="1023">
        <f>SUM(CI34:CL34)</f>
        <v>478.62952999999999</v>
      </c>
      <c r="CN34" s="1022">
        <f>CI34*(1+CN35)</f>
        <v>114.28514849999999</v>
      </c>
      <c r="CO34" s="1022">
        <f>CJ34*(1+CO35)</f>
        <v>123.81629120000001</v>
      </c>
      <c r="CP34" s="1022">
        <f>CK34*(1+CP35)</f>
        <v>134.00851200000002</v>
      </c>
      <c r="CQ34" s="1022">
        <f>CL34*(1+CQ35)</f>
        <v>140.02364540000002</v>
      </c>
      <c r="CR34" s="1023">
        <f>SUM(CN34:CQ34)</f>
        <v>512.13359710000009</v>
      </c>
      <c r="CT34" s="1068"/>
    </row>
    <row r="35" spans="1:98" s="743" customFormat="1">
      <c r="A35" s="738" t="s">
        <v>98</v>
      </c>
      <c r="B35" s="739"/>
      <c r="C35" s="739"/>
      <c r="D35" s="739"/>
      <c r="E35" s="739"/>
      <c r="F35" s="739"/>
      <c r="G35" s="739"/>
      <c r="H35" s="739"/>
      <c r="I35" s="739"/>
      <c r="J35" s="739"/>
      <c r="K35" s="739"/>
      <c r="L35" s="739"/>
      <c r="M35" s="739"/>
      <c r="N35" s="739"/>
      <c r="O35" s="739"/>
      <c r="P35" s="739"/>
      <c r="Q35" s="739"/>
      <c r="R35" s="739"/>
      <c r="S35" s="739"/>
      <c r="T35" s="739"/>
      <c r="U35" s="739"/>
      <c r="V35" s="740"/>
      <c r="W35" s="741"/>
      <c r="X35" s="741"/>
      <c r="Y35" s="741"/>
      <c r="Z35" s="742"/>
      <c r="AA35" s="740"/>
      <c r="AB35" s="740"/>
      <c r="AC35" s="740"/>
      <c r="AD35" s="740"/>
      <c r="AE35" s="742"/>
      <c r="AF35" s="740"/>
      <c r="AG35" s="740"/>
      <c r="AH35" s="740"/>
      <c r="AI35" s="740"/>
      <c r="AJ35" s="740"/>
      <c r="AK35" s="740"/>
      <c r="AN35" s="739"/>
      <c r="AO35" s="744"/>
      <c r="AP35" s="745"/>
      <c r="AQ35" s="745"/>
      <c r="AR35" s="745"/>
      <c r="AS35" s="745"/>
      <c r="AT35" s="747"/>
      <c r="AU35" s="745"/>
      <c r="AV35" s="745"/>
      <c r="AW35" s="745"/>
      <c r="AX35" s="745"/>
      <c r="AY35" s="747">
        <f>AY34/AT34-1</f>
        <v>1.2306294334903267E-2</v>
      </c>
      <c r="AZ35" s="745"/>
      <c r="BA35" s="745"/>
      <c r="BB35" s="745"/>
      <c r="BC35" s="745"/>
      <c r="BD35" s="747">
        <f>BD34/AY34-1</f>
        <v>4.4920395152767023E-2</v>
      </c>
      <c r="BE35" s="746"/>
      <c r="BF35" s="746"/>
      <c r="BG35" s="746"/>
      <c r="BH35" s="746"/>
      <c r="BI35" s="747">
        <f>BI34/BD34-1</f>
        <v>-0.36095677515599089</v>
      </c>
      <c r="BJ35" s="746">
        <f>BJ34/BE34-1</f>
        <v>-0.45699245133094957</v>
      </c>
      <c r="BK35" s="746">
        <f t="shared" ref="BK35" si="45">BK34/BF34-1</f>
        <v>0.10774076194967486</v>
      </c>
      <c r="BL35" s="746">
        <f t="shared" ref="BL35" si="46">BL34/BG34-1</f>
        <v>0.23265771146107062</v>
      </c>
      <c r="BM35" s="746">
        <f t="shared" ref="BM35" si="47">BM34/BH34-1</f>
        <v>0.10861429236872966</v>
      </c>
      <c r="BN35" s="747">
        <f>BN34/BI34-1</f>
        <v>-7.2959202110360222E-2</v>
      </c>
      <c r="BO35" s="746">
        <f>BO34/BJ34-1</f>
        <v>0.11381013352844338</v>
      </c>
      <c r="BP35" s="746">
        <f t="shared" ref="BP35" si="48">BP34/BK34-1</f>
        <v>3.6809536117741848E-2</v>
      </c>
      <c r="BQ35" s="746">
        <f t="shared" ref="BQ35" si="49">BQ34/BL34-1</f>
        <v>4.7361359570661898E-2</v>
      </c>
      <c r="BR35" s="746">
        <f t="shared" ref="BR35" si="50">BR34/BM34-1</f>
        <v>0.11821382517857382</v>
      </c>
      <c r="BS35" s="747">
        <f>BS34/BN34-1</f>
        <v>7.7878693381149056E-2</v>
      </c>
      <c r="BT35" s="746">
        <f>BT34/BO34-1</f>
        <v>0.15762333311436638</v>
      </c>
      <c r="BU35" s="746">
        <f t="shared" ref="BU35:BV35" si="51">BU34/BP34-1</f>
        <v>0.20297102299389969</v>
      </c>
      <c r="BV35" s="746">
        <f t="shared" si="51"/>
        <v>0.13444923637502315</v>
      </c>
      <c r="BW35" s="746">
        <f>BW34/BR34-1</f>
        <v>0.20141750239705614</v>
      </c>
      <c r="BX35" s="747">
        <f>BX34/BS34-1</f>
        <v>0.17514167200083897</v>
      </c>
      <c r="BY35" s="746">
        <f>BY34/BT34-1</f>
        <v>0.27358490566037763</v>
      </c>
      <c r="BZ35" s="746">
        <f t="shared" ref="BZ35:CA35" si="52">BZ34/BU34-1</f>
        <v>0.13754220862335886</v>
      </c>
      <c r="CA35" s="746">
        <f t="shared" si="52"/>
        <v>0.21296563491963916</v>
      </c>
      <c r="CB35" s="746">
        <f>CB34/BW34-1</f>
        <v>6.034101571346917E-2</v>
      </c>
      <c r="CC35" s="747">
        <f>CC34/BX34-1</f>
        <v>0.16352412224687574</v>
      </c>
      <c r="CD35" s="746">
        <f>CD34/BY34-1</f>
        <v>3.4553049289891336E-2</v>
      </c>
      <c r="CE35" s="746">
        <f t="shared" ref="CE35:CF35" si="53">CE34/BZ34-1</f>
        <v>0.10718419134982216</v>
      </c>
      <c r="CF35" s="746">
        <f t="shared" si="53"/>
        <v>0.17769479814226741</v>
      </c>
      <c r="CG35" s="746">
        <f>CG34/CB34-1</f>
        <v>0.22111922537073592</v>
      </c>
      <c r="CH35" s="747">
        <f>CH34/CC34-1</f>
        <v>0.13759567928989691</v>
      </c>
      <c r="CI35" s="748">
        <v>0.15</v>
      </c>
      <c r="CJ35" s="748">
        <v>0.12</v>
      </c>
      <c r="CK35" s="748">
        <v>0.1</v>
      </c>
      <c r="CL35" s="748">
        <v>0.09</v>
      </c>
      <c r="CM35" s="749">
        <f>CM34/CH34-1</f>
        <v>0.11280984587627785</v>
      </c>
      <c r="CN35" s="748">
        <v>7.0000000000000007E-2</v>
      </c>
      <c r="CO35" s="748">
        <v>7.0000000000000007E-2</v>
      </c>
      <c r="CP35" s="748">
        <v>7.0000000000000007E-2</v>
      </c>
      <c r="CQ35" s="748">
        <v>7.0000000000000007E-2</v>
      </c>
      <c r="CR35" s="749">
        <f>CR34/CM34-1</f>
        <v>7.0000000000000284E-2</v>
      </c>
    </row>
    <row r="36" spans="1:98" s="743" customFormat="1">
      <c r="A36" s="738" t="s">
        <v>99</v>
      </c>
      <c r="B36" s="739"/>
      <c r="C36" s="739"/>
      <c r="D36" s="739"/>
      <c r="E36" s="739"/>
      <c r="F36" s="739"/>
      <c r="G36" s="739"/>
      <c r="H36" s="739"/>
      <c r="I36" s="739"/>
      <c r="J36" s="739"/>
      <c r="K36" s="739"/>
      <c r="L36" s="739"/>
      <c r="M36" s="739"/>
      <c r="N36" s="739"/>
      <c r="O36" s="739"/>
      <c r="P36" s="739"/>
      <c r="Q36" s="739"/>
      <c r="R36" s="739"/>
      <c r="S36" s="739"/>
      <c r="T36" s="739"/>
      <c r="U36" s="739"/>
      <c r="V36" s="740"/>
      <c r="W36" s="741"/>
      <c r="X36" s="741"/>
      <c r="Y36" s="741"/>
      <c r="Z36" s="742"/>
      <c r="AA36" s="740"/>
      <c r="AB36" s="740"/>
      <c r="AC36" s="740"/>
      <c r="AD36" s="740"/>
      <c r="AE36" s="742"/>
      <c r="AF36" s="740"/>
      <c r="AG36" s="740"/>
      <c r="AH36" s="740"/>
      <c r="AI36" s="740"/>
      <c r="AJ36" s="740"/>
      <c r="AK36" s="740"/>
      <c r="AN36" s="739"/>
      <c r="AO36" s="744"/>
      <c r="AP36" s="745"/>
      <c r="AQ36" s="745"/>
      <c r="AR36" s="745"/>
      <c r="AS36" s="745"/>
      <c r="AT36" s="747">
        <f>AT34/AT77</f>
        <v>0.17339241499246516</v>
      </c>
      <c r="AU36" s="745"/>
      <c r="AV36" s="745"/>
      <c r="AW36" s="745"/>
      <c r="AX36" s="745"/>
      <c r="AY36" s="747">
        <f>AY34/AY77</f>
        <v>0.17182850402287056</v>
      </c>
      <c r="AZ36" s="745"/>
      <c r="BA36" s="745"/>
      <c r="BB36" s="745"/>
      <c r="BC36" s="745"/>
      <c r="BD36" s="747">
        <f t="shared" ref="BD36:CH36" si="54">BD34/BD77</f>
        <v>0.17405337141538793</v>
      </c>
      <c r="BE36" s="746">
        <f t="shared" si="54"/>
        <v>0.16745643521375314</v>
      </c>
      <c r="BF36" s="746">
        <f t="shared" si="54"/>
        <v>0.11145797939940268</v>
      </c>
      <c r="BG36" s="746">
        <f t="shared" si="54"/>
        <v>9.8954071520269402E-2</v>
      </c>
      <c r="BH36" s="746">
        <f t="shared" si="54"/>
        <v>9.7054247614059036E-2</v>
      </c>
      <c r="BI36" s="747">
        <f t="shared" si="54"/>
        <v>0.11900615049313176</v>
      </c>
      <c r="BJ36" s="746">
        <f t="shared" si="54"/>
        <v>9.2667770701932495E-2</v>
      </c>
      <c r="BK36" s="746">
        <f t="shared" si="54"/>
        <v>0.10793154319903772</v>
      </c>
      <c r="BL36" s="746">
        <f t="shared" si="54"/>
        <v>0.10927822287674759</v>
      </c>
      <c r="BM36" s="746">
        <f t="shared" si="54"/>
        <v>0.10532443968325911</v>
      </c>
      <c r="BN36" s="747">
        <f t="shared" si="54"/>
        <v>0.10392634492738241</v>
      </c>
      <c r="BO36" s="746">
        <f t="shared" si="54"/>
        <v>0.10884047324120895</v>
      </c>
      <c r="BP36" s="746">
        <f t="shared" si="54"/>
        <v>0.11190812610669935</v>
      </c>
      <c r="BQ36" s="746">
        <f t="shared" si="54"/>
        <v>0.11142301159476835</v>
      </c>
      <c r="BR36" s="746">
        <f t="shared" si="54"/>
        <v>0.101862960543248</v>
      </c>
      <c r="BS36" s="747">
        <f t="shared" si="54"/>
        <v>0.10814086364393637</v>
      </c>
      <c r="BT36" s="746">
        <f t="shared" si="54"/>
        <v>0.1117363598896744</v>
      </c>
      <c r="BU36" s="746">
        <f t="shared" si="54"/>
        <v>0.1164586397424176</v>
      </c>
      <c r="BV36" s="746">
        <f t="shared" si="54"/>
        <v>0.11003746931630233</v>
      </c>
      <c r="BW36" s="746">
        <f t="shared" si="54"/>
        <v>0.11799956986017911</v>
      </c>
      <c r="BX36" s="747">
        <f t="shared" si="54"/>
        <v>0.11420260190843168</v>
      </c>
      <c r="BY36" s="746">
        <f t="shared" si="54"/>
        <v>0.12588215663371977</v>
      </c>
      <c r="BZ36" s="746">
        <f t="shared" si="54"/>
        <v>0.11890554300444324</v>
      </c>
      <c r="CA36" s="746">
        <f t="shared" si="54"/>
        <v>0.12100991591127</v>
      </c>
      <c r="CB36" s="746">
        <f t="shared" si="54"/>
        <v>0.11927265492598078</v>
      </c>
      <c r="CC36" s="747">
        <f t="shared" si="54"/>
        <v>0.12113524685624615</v>
      </c>
      <c r="CD36" s="746">
        <f t="shared" si="54"/>
        <v>0.11528278584239957</v>
      </c>
      <c r="CE36" s="746">
        <f t="shared" si="54"/>
        <v>0.11786542182309348</v>
      </c>
      <c r="CF36" s="746">
        <f t="shared" si="54"/>
        <v>0.13099393674425025</v>
      </c>
      <c r="CG36" s="746">
        <f t="shared" si="54"/>
        <v>0.12677973475708595</v>
      </c>
      <c r="CH36" s="747">
        <f t="shared" si="54"/>
        <v>0.12294547292283381</v>
      </c>
      <c r="CI36" s="750"/>
      <c r="CJ36" s="750"/>
      <c r="CK36" s="750"/>
      <c r="CL36" s="750"/>
      <c r="CM36" s="749">
        <f>CM34/CM77</f>
        <v>0.12800723045926041</v>
      </c>
      <c r="CN36" s="750"/>
      <c r="CO36" s="750"/>
      <c r="CP36" s="750"/>
      <c r="CQ36" s="750"/>
      <c r="CR36" s="749">
        <f>CR34/CR77</f>
        <v>0.12939015922116454</v>
      </c>
    </row>
    <row r="37" spans="1:98" s="819" customFormat="1">
      <c r="A37" s="751" t="s">
        <v>100</v>
      </c>
      <c r="AP37" s="757"/>
      <c r="AQ37" s="757"/>
      <c r="AR37" s="757"/>
      <c r="AS37" s="757"/>
      <c r="AT37" s="818"/>
      <c r="AU37" s="757"/>
      <c r="AV37" s="757"/>
      <c r="AW37" s="757"/>
      <c r="AX37" s="757"/>
      <c r="AY37" s="818"/>
      <c r="AZ37" s="757"/>
      <c r="BA37" s="757"/>
      <c r="BB37" s="757"/>
      <c r="BC37" s="757"/>
      <c r="BD37" s="818"/>
      <c r="BE37" s="757"/>
      <c r="BF37" s="757"/>
      <c r="BG37" s="757"/>
      <c r="BH37" s="823">
        <v>0</v>
      </c>
      <c r="BI37" s="756">
        <f>BH37</f>
        <v>0</v>
      </c>
      <c r="BJ37" s="760"/>
      <c r="BK37" s="760"/>
      <c r="BL37" s="760"/>
      <c r="BM37" s="758" t="s">
        <v>103</v>
      </c>
      <c r="BN37" s="822" t="str">
        <f>BM37</f>
        <v>9-11%</v>
      </c>
      <c r="BO37" s="758"/>
      <c r="BP37" s="821"/>
      <c r="BQ37" s="757"/>
      <c r="BR37" s="760" t="s">
        <v>106</v>
      </c>
      <c r="BS37" s="756" t="str">
        <f>BR37</f>
        <v>5-7%</v>
      </c>
      <c r="BT37" s="760" t="s">
        <v>106</v>
      </c>
      <c r="BU37" s="821" t="s">
        <v>103</v>
      </c>
      <c r="BV37" s="757" t="s">
        <v>121</v>
      </c>
      <c r="BW37" s="757" t="s">
        <v>116</v>
      </c>
      <c r="BX37" s="756" t="str">
        <f>BW37</f>
        <v>10-12%</v>
      </c>
      <c r="BY37" s="983" t="s">
        <v>116</v>
      </c>
      <c r="BZ37" s="983" t="s">
        <v>122</v>
      </c>
      <c r="CA37" s="983" t="s">
        <v>114</v>
      </c>
      <c r="CB37" s="983" t="s">
        <v>116</v>
      </c>
      <c r="CC37" s="756" t="str">
        <f>CB37</f>
        <v>10-12%</v>
      </c>
      <c r="CD37" s="983" t="s">
        <v>122</v>
      </c>
      <c r="CE37" s="983" t="s">
        <v>122</v>
      </c>
      <c r="CF37" s="983" t="s">
        <v>122</v>
      </c>
      <c r="CG37" s="983" t="s">
        <v>116</v>
      </c>
      <c r="CH37" s="756" t="str">
        <f>CG37</f>
        <v>10-12%</v>
      </c>
      <c r="CM37" s="820"/>
      <c r="CR37" s="820"/>
    </row>
    <row r="38" spans="1:98" s="819" customFormat="1">
      <c r="A38" s="751"/>
      <c r="AP38" s="757"/>
      <c r="AQ38" s="757"/>
      <c r="AR38" s="757"/>
      <c r="AS38" s="757"/>
      <c r="AT38" s="818"/>
      <c r="AU38" s="757"/>
      <c r="AV38" s="757"/>
      <c r="AW38" s="757"/>
      <c r="AX38" s="757"/>
      <c r="AY38" s="818"/>
      <c r="AZ38" s="757"/>
      <c r="BA38" s="757"/>
      <c r="BB38" s="757"/>
      <c r="BC38" s="757"/>
      <c r="BD38" s="818"/>
      <c r="BE38" s="757"/>
      <c r="BF38" s="757"/>
      <c r="BG38" s="757"/>
      <c r="BH38" s="823"/>
      <c r="BI38" s="756"/>
      <c r="BJ38" s="760"/>
      <c r="BK38" s="760"/>
      <c r="BL38" s="760"/>
      <c r="BM38" s="758"/>
      <c r="BN38" s="822"/>
      <c r="BO38" s="758"/>
      <c r="BP38" s="821"/>
      <c r="BQ38" s="757"/>
      <c r="BR38" s="760"/>
      <c r="BS38" s="756"/>
      <c r="BT38" s="760"/>
      <c r="BU38" s="821"/>
      <c r="BV38" s="757"/>
      <c r="BW38" s="760"/>
      <c r="BX38" s="756"/>
      <c r="BY38" s="760"/>
      <c r="BZ38" s="821"/>
      <c r="CA38" s="757"/>
      <c r="CB38" s="760"/>
      <c r="CC38" s="756"/>
      <c r="CD38" s="760"/>
      <c r="CE38" s="821"/>
      <c r="CF38" s="757"/>
      <c r="CG38" s="760"/>
      <c r="CH38" s="756"/>
      <c r="CM38" s="820"/>
      <c r="CR38" s="820"/>
    </row>
    <row r="39" spans="1:98" s="704" customFormat="1" ht="13.5" thickBot="1">
      <c r="A39" s="751"/>
      <c r="AP39" s="752"/>
      <c r="AQ39" s="752"/>
      <c r="AR39" s="752"/>
      <c r="AS39" s="752"/>
      <c r="AT39" s="759"/>
      <c r="AU39" s="752"/>
      <c r="AV39" s="752"/>
      <c r="AW39" s="752"/>
      <c r="AX39" s="752"/>
      <c r="AY39" s="759"/>
      <c r="AZ39" s="752"/>
      <c r="BA39" s="752"/>
      <c r="BB39" s="752"/>
      <c r="BC39" s="752"/>
      <c r="BD39" s="759"/>
      <c r="BE39" s="757"/>
      <c r="BF39" s="752"/>
      <c r="BG39" s="752"/>
      <c r="BH39" s="758"/>
      <c r="BI39" s="759"/>
      <c r="BJ39" s="757"/>
      <c r="BK39" s="752"/>
      <c r="BL39" s="752"/>
      <c r="BM39" s="758"/>
      <c r="BN39" s="759"/>
      <c r="BO39" s="758"/>
      <c r="BP39" s="752"/>
      <c r="BQ39" s="752"/>
      <c r="BR39" s="760"/>
      <c r="BS39" s="759"/>
      <c r="BT39" s="758"/>
      <c r="BU39" s="752"/>
      <c r="BV39" s="752"/>
      <c r="BW39" s="760"/>
      <c r="BX39" s="759"/>
      <c r="BY39" s="758"/>
      <c r="BZ39" s="752"/>
      <c r="CA39" s="752"/>
      <c r="CB39" s="760"/>
      <c r="CC39" s="759"/>
      <c r="CD39" s="758"/>
      <c r="CE39" s="752"/>
      <c r="CF39" s="752"/>
      <c r="CG39" s="760"/>
      <c r="CH39" s="759"/>
      <c r="CM39" s="761"/>
      <c r="CR39" s="761"/>
    </row>
    <row r="40" spans="1:98" s="704" customFormat="1">
      <c r="A40" s="807" t="s">
        <v>123</v>
      </c>
      <c r="B40" s="807"/>
      <c r="C40" s="807"/>
      <c r="D40" s="807"/>
      <c r="E40" s="809"/>
      <c r="F40" s="807"/>
      <c r="G40" s="807"/>
      <c r="H40" s="807"/>
      <c r="I40" s="807"/>
      <c r="J40" s="809"/>
      <c r="K40" s="807"/>
      <c r="L40" s="807"/>
      <c r="M40" s="807"/>
      <c r="N40" s="807"/>
      <c r="O40" s="809"/>
      <c r="P40" s="807"/>
      <c r="Q40" s="807"/>
      <c r="R40" s="807"/>
      <c r="S40" s="807"/>
      <c r="T40" s="809"/>
      <c r="U40" s="807"/>
      <c r="V40" s="810"/>
      <c r="W40" s="810"/>
      <c r="X40" s="810"/>
      <c r="Y40" s="810"/>
      <c r="Z40" s="811"/>
      <c r="AA40" s="810"/>
      <c r="AB40" s="810"/>
      <c r="AC40" s="810"/>
      <c r="AD40" s="810"/>
      <c r="AE40" s="811"/>
      <c r="AF40" s="810"/>
      <c r="AG40" s="810"/>
      <c r="AH40" s="810"/>
      <c r="AI40" s="810"/>
      <c r="AJ40" s="810"/>
      <c r="AK40" s="810"/>
      <c r="AL40" s="812"/>
      <c r="AM40" s="812"/>
      <c r="AN40" s="809"/>
      <c r="AO40" s="813"/>
      <c r="AP40" s="808"/>
      <c r="AQ40" s="808"/>
      <c r="AR40" s="808"/>
      <c r="AS40" s="808"/>
      <c r="AT40" s="1016">
        <f>AT6+AT11+AT16+AT34</f>
        <v>1286.325</v>
      </c>
      <c r="AU40" s="1014"/>
      <c r="AV40" s="1014"/>
      <c r="AW40" s="1014"/>
      <c r="AX40" s="1014"/>
      <c r="AY40" s="1016">
        <f>AY6+AY11+AY16+AY34</f>
        <v>1374.98</v>
      </c>
      <c r="AZ40" s="1015"/>
      <c r="BA40" s="1015"/>
      <c r="BB40" s="1015"/>
      <c r="BC40" s="1015"/>
      <c r="BD40" s="1016">
        <f>BD6+BD11+BD16+BD34</f>
        <v>1512.087</v>
      </c>
      <c r="BE40" s="1015">
        <f>BE6+BE11+BE16+BE34</f>
        <v>390.85700000000003</v>
      </c>
      <c r="BF40" s="1015">
        <f>BF6+BF11+BF16+BF34</f>
        <v>353.85</v>
      </c>
      <c r="BG40" s="1015">
        <f>BG6+BG11+BG16+BG34</f>
        <v>363.197</v>
      </c>
      <c r="BH40" s="1015">
        <f>BH6+BH11+BH16+BH34</f>
        <v>434</v>
      </c>
      <c r="BI40" s="1016">
        <f>SUM(BE40:BH40)</f>
        <v>1541.904</v>
      </c>
      <c r="BJ40" s="1015">
        <f>BJ6+BJ11+BJ16+BJ34</f>
        <v>400.41700000000003</v>
      </c>
      <c r="BK40" s="1015">
        <f>BK6+BK11+BK16+BK34</f>
        <v>392.77300000000002</v>
      </c>
      <c r="BL40" s="1015">
        <f>BL6+BL11+BL16+BL34</f>
        <v>415.93699999999995</v>
      </c>
      <c r="BM40" s="1015">
        <f>BM6+BM11+BM16+BM34</f>
        <v>434.65199999999999</v>
      </c>
      <c r="BN40" s="1016">
        <f>SUM(BJ40:BM40)</f>
        <v>1643.779</v>
      </c>
      <c r="BO40" s="1015">
        <f>BO6+BO11+BO16+BO34</f>
        <v>360.971</v>
      </c>
      <c r="BP40" s="1015">
        <f>BP6+BP11+BP16+BP34</f>
        <v>379.916</v>
      </c>
      <c r="BQ40" s="1015">
        <f>BQ6+BQ11+BQ16+BQ34</f>
        <v>414.42199999999997</v>
      </c>
      <c r="BR40" s="1015">
        <f>BR6+BR11+BR16+BR34</f>
        <v>514.70699999999999</v>
      </c>
      <c r="BS40" s="1016">
        <f>SUM(BO40:BR40)</f>
        <v>1670.0160000000001</v>
      </c>
      <c r="BT40" s="1015">
        <f>BT6+BT11+BT16+BT34</f>
        <v>408.58100000000002</v>
      </c>
      <c r="BU40" s="1015">
        <f>BU6+BU11+BU16+BU34</f>
        <v>466.05600000000004</v>
      </c>
      <c r="BV40" s="1015">
        <f>BV6+BV11+BV16+BV34</f>
        <v>490.77300000000002</v>
      </c>
      <c r="BW40" s="1015">
        <f>BW6+BW11+BW16+BW34</f>
        <v>539.18099999999993</v>
      </c>
      <c r="BX40" s="1016">
        <f>SUM(BT40:BW40)</f>
        <v>1904.5909999999999</v>
      </c>
      <c r="BY40" s="1015">
        <f>BY6+BY11+BY16+BY34</f>
        <v>490.25599999999997</v>
      </c>
      <c r="BZ40" s="1015">
        <f>BZ6+BZ11+BZ16+BZ34</f>
        <v>542.20600000000002</v>
      </c>
      <c r="CA40" s="1015">
        <f>CA6+CA11+CA16+CA34</f>
        <v>566.14</v>
      </c>
      <c r="CB40" s="1015">
        <f>CB6+CB11+CB16+CB34</f>
        <v>571.298</v>
      </c>
      <c r="CC40" s="1016">
        <f>SUM(BY40:CB40)</f>
        <v>2169.8999999999996</v>
      </c>
      <c r="CD40" s="1015">
        <f>CD6+CD11+CD16+CD34</f>
        <v>562.92200000000003</v>
      </c>
      <c r="CE40" s="1015">
        <f>CE6+CE11+CE16+CE34</f>
        <v>608.53300000000002</v>
      </c>
      <c r="CF40" s="1015">
        <f>CF6+CF11+CF16+CF34</f>
        <v>617.71299999999997</v>
      </c>
      <c r="CG40" s="1015">
        <f>CG6+CG11+CG16+CG34</f>
        <v>661.92399999999998</v>
      </c>
      <c r="CH40" s="1016">
        <f>SUM(CD40:CG40)</f>
        <v>2451.0919999999996</v>
      </c>
      <c r="CI40" s="1017">
        <f>CI6+CI11+CI16+CI34</f>
        <v>604.71771999999999</v>
      </c>
      <c r="CJ40" s="1017">
        <f>CJ6+CJ11+CJ16+CJ34</f>
        <v>647.76785999999993</v>
      </c>
      <c r="CK40" s="1017">
        <f>CK6+CK11+CK16+CK34</f>
        <v>668.02726000000007</v>
      </c>
      <c r="CL40" s="1017">
        <f>CL6+CL11+CL16+CL34</f>
        <v>688.29891999999995</v>
      </c>
      <c r="CM40" s="1018">
        <f>SUM(CI40:CL40)</f>
        <v>2608.81176</v>
      </c>
      <c r="CN40" s="1017">
        <f>CN6+CN11+CN16+CN34</f>
        <v>638.53297630000009</v>
      </c>
      <c r="CO40" s="1017">
        <f>CO6+CO11+CO16+CO34</f>
        <v>684.04982200000018</v>
      </c>
      <c r="CP40" s="1017">
        <f>CP6+CP11+CP16+CP34</f>
        <v>705.57216860000005</v>
      </c>
      <c r="CQ40" s="1017">
        <f>CQ6+CQ11+CQ16+CQ34</f>
        <v>726.75706340000011</v>
      </c>
      <c r="CR40" s="1018">
        <f>SUM(CN40:CQ40)</f>
        <v>2754.9120303000009</v>
      </c>
    </row>
    <row r="41" spans="1:98" s="704" customFormat="1">
      <c r="A41" s="738" t="s">
        <v>98</v>
      </c>
      <c r="B41" s="739"/>
      <c r="C41" s="739"/>
      <c r="D41" s="739"/>
      <c r="E41" s="739"/>
      <c r="F41" s="739"/>
      <c r="G41" s="739"/>
      <c r="H41" s="739"/>
      <c r="I41" s="739"/>
      <c r="J41" s="739"/>
      <c r="K41" s="739"/>
      <c r="L41" s="739"/>
      <c r="M41" s="739"/>
      <c r="N41" s="739"/>
      <c r="O41" s="739"/>
      <c r="P41" s="739"/>
      <c r="Q41" s="739"/>
      <c r="R41" s="739"/>
      <c r="S41" s="739"/>
      <c r="T41" s="739"/>
      <c r="U41" s="739"/>
      <c r="V41" s="740"/>
      <c r="W41" s="741"/>
      <c r="X41" s="741"/>
      <c r="Y41" s="741"/>
      <c r="Z41" s="742"/>
      <c r="AA41" s="740"/>
      <c r="AB41" s="740"/>
      <c r="AC41" s="740"/>
      <c r="AD41" s="740"/>
      <c r="AE41" s="742"/>
      <c r="AF41" s="740"/>
      <c r="AG41" s="740"/>
      <c r="AH41" s="740"/>
      <c r="AI41" s="740"/>
      <c r="AJ41" s="740"/>
      <c r="AK41" s="740"/>
      <c r="AL41" s="743"/>
      <c r="AM41" s="743"/>
      <c r="AN41" s="739"/>
      <c r="AO41" s="744"/>
      <c r="AP41" s="745"/>
      <c r="AQ41" s="745"/>
      <c r="AR41" s="745"/>
      <c r="AS41" s="745"/>
      <c r="AT41" s="747"/>
      <c r="AU41" s="745"/>
      <c r="AV41" s="745"/>
      <c r="AW41" s="745"/>
      <c r="AX41" s="745"/>
      <c r="AY41" s="747">
        <f>AY40/AT40-1</f>
        <v>6.8921151342001385E-2</v>
      </c>
      <c r="AZ41" s="745"/>
      <c r="BA41" s="745"/>
      <c r="BB41" s="745"/>
      <c r="BC41" s="745"/>
      <c r="BD41" s="747">
        <f>BD40/AY40-1</f>
        <v>9.9715632227377782E-2</v>
      </c>
      <c r="BE41" s="746"/>
      <c r="BF41" s="746"/>
      <c r="BG41" s="746"/>
      <c r="BH41" s="746"/>
      <c r="BI41" s="747">
        <f>BI40/BD40-1</f>
        <v>1.9719103464284737E-2</v>
      </c>
      <c r="BJ41" s="746">
        <f>BJ40/BE40-1</f>
        <v>2.44590732672052E-2</v>
      </c>
      <c r="BK41" s="746">
        <f t="shared" ref="BK41" si="55">BK40/BF40-1</f>
        <v>0.1099985869718807</v>
      </c>
      <c r="BL41" s="746">
        <f t="shared" ref="BL41" si="56">BL40/BG40-1</f>
        <v>0.145210450526849</v>
      </c>
      <c r="BM41" s="746">
        <f t="shared" ref="BM41" si="57">BM40/BH40-1</f>
        <v>1.5023041474653276E-3</v>
      </c>
      <c r="BN41" s="747">
        <f>BN40/BI40-1</f>
        <v>6.6070909732382832E-2</v>
      </c>
      <c r="BO41" s="746">
        <f>BO40/BJ40-1</f>
        <v>-9.851230092628438E-2</v>
      </c>
      <c r="BP41" s="746">
        <f t="shared" ref="BP41" si="58">BP40/BK40-1</f>
        <v>-3.2733920101432723E-2</v>
      </c>
      <c r="BQ41" s="746">
        <f t="shared" ref="BQ41" si="59">BQ40/BL40-1</f>
        <v>-3.6423785332874159E-3</v>
      </c>
      <c r="BR41" s="746">
        <f t="shared" ref="BR41" si="60">BR40/BM40-1</f>
        <v>0.18418182822119777</v>
      </c>
      <c r="BS41" s="747">
        <f>BS40/BN40-1</f>
        <v>1.5961391403588987E-2</v>
      </c>
      <c r="BT41" s="746">
        <f>BT40/BO40-1</f>
        <v>0.13189425189281145</v>
      </c>
      <c r="BU41" s="746">
        <f t="shared" ref="BU41:BV41" si="61">BU40/BP40-1</f>
        <v>0.22673433074679683</v>
      </c>
      <c r="BV41" s="746">
        <f t="shared" si="61"/>
        <v>0.18423491030881589</v>
      </c>
      <c r="BW41" s="746">
        <f>BW40/BR40-1</f>
        <v>4.7549382464197931E-2</v>
      </c>
      <c r="BX41" s="747">
        <f>BX40/BS40-1</f>
        <v>0.14046272610561794</v>
      </c>
      <c r="BY41" s="746">
        <f>BY40/BT40-1</f>
        <v>0.19989916320142131</v>
      </c>
      <c r="BZ41" s="746">
        <f t="shared" ref="BZ41:CA41" si="62">BZ40/BU40-1</f>
        <v>0.16339238203134387</v>
      </c>
      <c r="CA41" s="746">
        <f t="shared" si="62"/>
        <v>0.15356794281674002</v>
      </c>
      <c r="CB41" s="746">
        <f>CB40/BW40-1</f>
        <v>5.9566268099209951E-2</v>
      </c>
      <c r="CC41" s="747">
        <f>CC40/BX40-1</f>
        <v>0.13929972366770604</v>
      </c>
      <c r="CD41" s="746">
        <f>CD40/BY40-1</f>
        <v>0.14822052152344911</v>
      </c>
      <c r="CE41" s="746">
        <f t="shared" ref="CE41:CF41" si="63">CE40/BZ40-1</f>
        <v>0.12232804506036454</v>
      </c>
      <c r="CF41" s="746">
        <f t="shared" si="63"/>
        <v>9.109584201787535E-2</v>
      </c>
      <c r="CG41" s="746">
        <f>CG40/CB40-1</f>
        <v>0.15863174735427044</v>
      </c>
      <c r="CH41" s="747">
        <f>CH40/CC40-1</f>
        <v>0.12958753859624861</v>
      </c>
      <c r="CI41" s="750">
        <f t="shared" ref="CI41:CR41" si="64">CI40/CD40-1</f>
        <v>7.4247799872806386E-2</v>
      </c>
      <c r="CJ41" s="750">
        <f t="shared" si="64"/>
        <v>6.4474498507065103E-2</v>
      </c>
      <c r="CK41" s="750">
        <f t="shared" si="64"/>
        <v>8.1452486834501014E-2</v>
      </c>
      <c r="CL41" s="750">
        <f t="shared" si="64"/>
        <v>3.984584332944574E-2</v>
      </c>
      <c r="CM41" s="749">
        <f t="shared" si="64"/>
        <v>6.4346731987212413E-2</v>
      </c>
      <c r="CN41" s="750">
        <f t="shared" si="64"/>
        <v>5.5919076259250522E-2</v>
      </c>
      <c r="CO41" s="750">
        <f t="shared" si="64"/>
        <v>5.6010747430414787E-2</v>
      </c>
      <c r="CP41" s="750">
        <f t="shared" si="64"/>
        <v>5.6202659454346104E-2</v>
      </c>
      <c r="CQ41" s="750">
        <f t="shared" si="64"/>
        <v>5.5874188208809183E-2</v>
      </c>
      <c r="CR41" s="749">
        <f t="shared" si="64"/>
        <v>5.6002611050787632E-2</v>
      </c>
    </row>
    <row r="42" spans="1:98" s="704" customFormat="1">
      <c r="A42" s="738" t="s">
        <v>99</v>
      </c>
      <c r="B42" s="739"/>
      <c r="C42" s="739"/>
      <c r="D42" s="739"/>
      <c r="E42" s="739"/>
      <c r="F42" s="739"/>
      <c r="G42" s="739"/>
      <c r="H42" s="739"/>
      <c r="I42" s="739"/>
      <c r="J42" s="739"/>
      <c r="K42" s="739"/>
      <c r="L42" s="739"/>
      <c r="M42" s="739"/>
      <c r="N42" s="739"/>
      <c r="O42" s="739"/>
      <c r="P42" s="739"/>
      <c r="Q42" s="739"/>
      <c r="R42" s="739"/>
      <c r="S42" s="739"/>
      <c r="T42" s="739"/>
      <c r="U42" s="739"/>
      <c r="V42" s="740"/>
      <c r="W42" s="741"/>
      <c r="X42" s="741"/>
      <c r="Y42" s="741"/>
      <c r="Z42" s="742"/>
      <c r="AA42" s="740"/>
      <c r="AB42" s="740"/>
      <c r="AC42" s="740"/>
      <c r="AD42" s="740"/>
      <c r="AE42" s="742"/>
      <c r="AF42" s="740"/>
      <c r="AG42" s="740"/>
      <c r="AH42" s="740"/>
      <c r="AI42" s="740"/>
      <c r="AJ42" s="740"/>
      <c r="AK42" s="740"/>
      <c r="AL42" s="743"/>
      <c r="AM42" s="743"/>
      <c r="AN42" s="739"/>
      <c r="AO42" s="744"/>
      <c r="AP42" s="745"/>
      <c r="AQ42" s="745"/>
      <c r="AR42" s="745"/>
      <c r="AS42" s="745"/>
      <c r="AT42" s="747">
        <f>AT40/AT77</f>
        <v>0.54481610960658633</v>
      </c>
      <c r="AU42" s="745"/>
      <c r="AV42" s="745"/>
      <c r="AW42" s="745"/>
      <c r="AX42" s="745"/>
      <c r="AY42" s="747">
        <f>AY40/AY77</f>
        <v>0.57009704229352343</v>
      </c>
      <c r="AZ42" s="745"/>
      <c r="BA42" s="745"/>
      <c r="BB42" s="745"/>
      <c r="BC42" s="745"/>
      <c r="BD42" s="747">
        <f t="shared" ref="BD42:CH42" si="65">BD40/BD77</f>
        <v>0.60776153645495246</v>
      </c>
      <c r="BE42" s="746">
        <f t="shared" si="65"/>
        <v>0.65009455600260135</v>
      </c>
      <c r="BF42" s="746">
        <f t="shared" si="65"/>
        <v>0.66425381497757674</v>
      </c>
      <c r="BG42" s="746">
        <f t="shared" si="65"/>
        <v>0.66042782693447677</v>
      </c>
      <c r="BH42" s="746">
        <f t="shared" si="65"/>
        <v>0.67657521988694647</v>
      </c>
      <c r="BI42" s="747">
        <f t="shared" si="65"/>
        <v>0.66308697817353313</v>
      </c>
      <c r="BJ42" s="746">
        <f t="shared" si="65"/>
        <v>0.67872234756092387</v>
      </c>
      <c r="BK42" s="746">
        <f t="shared" si="65"/>
        <v>0.64454844866150196</v>
      </c>
      <c r="BL42" s="746">
        <f t="shared" si="65"/>
        <v>0.67759177383252467</v>
      </c>
      <c r="BM42" s="746">
        <f t="shared" si="65"/>
        <v>0.66328805629186072</v>
      </c>
      <c r="BN42" s="747">
        <f t="shared" si="65"/>
        <v>0.66590762975905393</v>
      </c>
      <c r="BO42" s="746">
        <f t="shared" si="65"/>
        <v>0.64521208806333241</v>
      </c>
      <c r="BP42" s="746">
        <f t="shared" si="65"/>
        <v>0.62347031378978168</v>
      </c>
      <c r="BQ42" s="746">
        <f t="shared" si="65"/>
        <v>0.65724621477044398</v>
      </c>
      <c r="BR42" s="746">
        <f t="shared" si="65"/>
        <v>0.67933321454732631</v>
      </c>
      <c r="BS42" s="747">
        <f t="shared" si="65"/>
        <v>0.65310872865586822</v>
      </c>
      <c r="BT42" s="746">
        <f t="shared" si="65"/>
        <v>0.64765716640776083</v>
      </c>
      <c r="BU42" s="746">
        <f t="shared" si="65"/>
        <v>0.66163919159109363</v>
      </c>
      <c r="BV42" s="746">
        <f t="shared" si="65"/>
        <v>0.67755817132064844</v>
      </c>
      <c r="BW42" s="746">
        <f t="shared" si="65"/>
        <v>0.68616336914014031</v>
      </c>
      <c r="BX42" s="747">
        <f t="shared" si="65"/>
        <v>0.6693642626116153</v>
      </c>
      <c r="BY42" s="746">
        <f t="shared" si="65"/>
        <v>0.68743506079221284</v>
      </c>
      <c r="BZ42" s="746">
        <f t="shared" si="65"/>
        <v>0.69089222480889823</v>
      </c>
      <c r="CA42" s="746">
        <f t="shared" si="65"/>
        <v>0.7086334267096247</v>
      </c>
      <c r="CB42" s="746">
        <f t="shared" si="65"/>
        <v>0.69305955383452644</v>
      </c>
      <c r="CC42" s="747">
        <f t="shared" si="65"/>
        <v>0.69521582960852413</v>
      </c>
      <c r="CD42" s="746">
        <f t="shared" si="65"/>
        <v>0.69872214188631476</v>
      </c>
      <c r="CE42" s="746">
        <f t="shared" si="65"/>
        <v>0.69421590369802499</v>
      </c>
      <c r="CF42" s="746">
        <f t="shared" si="65"/>
        <v>0.71069295995029735</v>
      </c>
      <c r="CG42" s="746">
        <f t="shared" si="65"/>
        <v>0.69898340093412648</v>
      </c>
      <c r="CH42" s="747">
        <f t="shared" si="65"/>
        <v>0.70063789671309951</v>
      </c>
      <c r="CI42" s="750"/>
      <c r="CJ42" s="750"/>
      <c r="CK42" s="750"/>
      <c r="CL42" s="750"/>
      <c r="CM42" s="749">
        <f>CM40/CM77</f>
        <v>0.69771451040045263</v>
      </c>
      <c r="CN42" s="750"/>
      <c r="CO42" s="750"/>
      <c r="CP42" s="750"/>
      <c r="CQ42" s="750"/>
      <c r="CR42" s="749">
        <f>CR40/CR77</f>
        <v>0.69602640455399778</v>
      </c>
    </row>
    <row r="43" spans="1:98" s="819" customFormat="1">
      <c r="A43" s="751" t="s">
        <v>100</v>
      </c>
      <c r="AP43" s="757"/>
      <c r="AQ43" s="757"/>
      <c r="AR43" s="757"/>
      <c r="AS43" s="757"/>
      <c r="AT43" s="818"/>
      <c r="AU43" s="757"/>
      <c r="AV43" s="757"/>
      <c r="AW43" s="757"/>
      <c r="AX43" s="757"/>
      <c r="AY43" s="818"/>
      <c r="AZ43" s="757"/>
      <c r="BA43" s="757"/>
      <c r="BB43" s="757"/>
      <c r="BC43" s="757"/>
      <c r="BD43" s="818"/>
      <c r="BE43" s="757"/>
      <c r="BF43" s="757"/>
      <c r="BG43" s="757"/>
      <c r="BH43" s="758" t="s">
        <v>107</v>
      </c>
      <c r="BI43" s="818" t="s">
        <v>107</v>
      </c>
      <c r="BJ43" s="757" t="s">
        <v>108</v>
      </c>
      <c r="BK43" s="757"/>
      <c r="BL43" s="757"/>
      <c r="BM43" s="758" t="s">
        <v>101</v>
      </c>
      <c r="BN43" s="822" t="str">
        <f>BM43</f>
        <v>2-4%</v>
      </c>
      <c r="BO43" s="758"/>
      <c r="BP43" s="757" t="s">
        <v>113</v>
      </c>
      <c r="BQ43" s="757" t="s">
        <v>118</v>
      </c>
      <c r="BR43" s="760" t="s">
        <v>107</v>
      </c>
      <c r="BS43" s="756" t="str">
        <f>BR43</f>
        <v>6-8%</v>
      </c>
      <c r="BT43" s="760" t="s">
        <v>107</v>
      </c>
      <c r="BU43" s="757" t="s">
        <v>103</v>
      </c>
      <c r="BV43" s="821" t="s">
        <v>116</v>
      </c>
      <c r="BW43" s="821" t="s">
        <v>106</v>
      </c>
      <c r="BX43" s="756" t="str">
        <f>BW43</f>
        <v>5-7%</v>
      </c>
      <c r="BY43" s="983" t="s">
        <v>107</v>
      </c>
      <c r="BZ43" s="983" t="s">
        <v>124</v>
      </c>
      <c r="CA43" s="983" t="s">
        <v>116</v>
      </c>
      <c r="CB43" s="983" t="s">
        <v>106</v>
      </c>
      <c r="CC43" s="756" t="str">
        <f>CB43</f>
        <v>5-7%</v>
      </c>
      <c r="CD43" s="983" t="s">
        <v>108</v>
      </c>
      <c r="CE43" s="983" t="s">
        <v>124</v>
      </c>
      <c r="CF43" s="983" t="s">
        <v>1231</v>
      </c>
      <c r="CG43" s="983" t="s">
        <v>106</v>
      </c>
      <c r="CH43" s="756" t="str">
        <f>CG43</f>
        <v>5-7%</v>
      </c>
      <c r="CM43" s="820"/>
      <c r="CR43" s="820"/>
    </row>
    <row r="44" spans="1:98" s="704" customFormat="1">
      <c r="A44" s="751"/>
      <c r="AP44" s="752"/>
      <c r="AQ44" s="752"/>
      <c r="AR44" s="752"/>
      <c r="AS44" s="752"/>
      <c r="AT44" s="759"/>
      <c r="AU44" s="752"/>
      <c r="AV44" s="752"/>
      <c r="AW44" s="752"/>
      <c r="AX44" s="752"/>
      <c r="AY44" s="759"/>
      <c r="AZ44" s="752"/>
      <c r="BA44" s="752"/>
      <c r="BB44" s="752"/>
      <c r="BC44" s="752"/>
      <c r="BD44" s="759"/>
      <c r="BE44" s="757"/>
      <c r="BF44" s="752"/>
      <c r="BG44" s="752"/>
      <c r="BH44" s="758"/>
      <c r="BI44" s="759"/>
      <c r="BJ44" s="757"/>
      <c r="BK44" s="752"/>
      <c r="BL44" s="752"/>
      <c r="BM44" s="758"/>
      <c r="BN44" s="759"/>
      <c r="BO44" s="758"/>
      <c r="BP44" s="752"/>
      <c r="BQ44" s="752"/>
      <c r="BR44" s="760"/>
      <c r="BS44" s="759"/>
      <c r="BT44" s="758"/>
      <c r="BU44" s="752"/>
      <c r="BV44" s="752"/>
      <c r="BW44" s="760"/>
      <c r="BX44" s="759"/>
      <c r="BY44" s="758"/>
      <c r="BZ44" s="752"/>
      <c r="CA44" s="752"/>
      <c r="CB44" s="760"/>
      <c r="CC44" s="759"/>
      <c r="CD44" s="758"/>
      <c r="CE44" s="752"/>
      <c r="CF44" s="752"/>
      <c r="CG44" s="760"/>
      <c r="CH44" s="759"/>
      <c r="CM44" s="761"/>
      <c r="CR44" s="761"/>
    </row>
    <row r="45" spans="1:98" s="704" customFormat="1">
      <c r="A45" s="714" t="s">
        <v>125</v>
      </c>
      <c r="AP45" s="752"/>
      <c r="AQ45" s="752"/>
      <c r="AR45" s="752"/>
      <c r="AS45" s="752"/>
      <c r="AT45" s="759"/>
      <c r="AU45" s="752"/>
      <c r="AV45" s="752"/>
      <c r="AW45" s="752"/>
      <c r="AX45" s="752"/>
      <c r="AY45" s="759"/>
      <c r="AZ45" s="752"/>
      <c r="BA45" s="752"/>
      <c r="BB45" s="752"/>
      <c r="BC45" s="752"/>
      <c r="BD45" s="759"/>
      <c r="BE45" s="757"/>
      <c r="BF45" s="752"/>
      <c r="BG45" s="752"/>
      <c r="BH45" s="758"/>
      <c r="BI45" s="759"/>
      <c r="BJ45" s="757"/>
      <c r="BK45" s="752"/>
      <c r="BL45" s="752"/>
      <c r="BM45" s="758"/>
      <c r="BN45" s="759"/>
      <c r="BO45" s="758"/>
      <c r="BP45" s="752"/>
      <c r="BQ45" s="752"/>
      <c r="BR45" s="760"/>
      <c r="BS45" s="759"/>
      <c r="BT45" s="758"/>
      <c r="BU45" s="752"/>
      <c r="BV45" s="752"/>
      <c r="BW45" s="760"/>
      <c r="BX45" s="759"/>
      <c r="BY45" s="758"/>
      <c r="BZ45" s="752"/>
      <c r="CA45" s="752"/>
      <c r="CB45" s="760"/>
      <c r="CC45" s="759"/>
      <c r="CD45" s="758"/>
      <c r="CE45" s="752"/>
      <c r="CF45" s="752"/>
      <c r="CG45" s="760"/>
      <c r="CH45" s="759"/>
      <c r="CM45" s="761"/>
      <c r="CR45" s="761"/>
    </row>
    <row r="46" spans="1:98" s="704" customFormat="1">
      <c r="A46" s="1057"/>
      <c r="AP46" s="752"/>
      <c r="AQ46" s="752"/>
      <c r="AR46" s="752"/>
      <c r="AS46" s="752"/>
      <c r="AT46" s="759"/>
      <c r="AU46" s="752"/>
      <c r="AV46" s="752"/>
      <c r="AW46" s="752"/>
      <c r="AX46" s="752"/>
      <c r="AY46" s="759"/>
      <c r="AZ46" s="752"/>
      <c r="BA46" s="752"/>
      <c r="BB46" s="752"/>
      <c r="BC46" s="752"/>
      <c r="BD46" s="759"/>
      <c r="BE46" s="757"/>
      <c r="BF46" s="752"/>
      <c r="BG46" s="752"/>
      <c r="BH46" s="758"/>
      <c r="BI46" s="759"/>
      <c r="BJ46" s="757"/>
      <c r="BK46" s="752"/>
      <c r="BL46" s="752"/>
      <c r="BM46" s="758"/>
      <c r="BN46" s="759"/>
      <c r="BO46" s="758"/>
      <c r="BP46" s="752"/>
      <c r="BQ46" s="752"/>
      <c r="BR46" s="760"/>
      <c r="BS46" s="759"/>
      <c r="BT46" s="758"/>
      <c r="BU46" s="752"/>
      <c r="BV46" s="752"/>
      <c r="BW46" s="760"/>
      <c r="BX46" s="759"/>
      <c r="BY46" s="758"/>
      <c r="BZ46" s="752"/>
      <c r="CA46" s="752"/>
      <c r="CB46" s="760"/>
      <c r="CC46" s="759"/>
      <c r="CD46" s="758"/>
      <c r="CE46" s="752"/>
      <c r="CF46" s="752"/>
      <c r="CG46" s="760"/>
      <c r="CH46" s="759"/>
      <c r="CM46" s="761"/>
      <c r="CR46" s="761"/>
    </row>
    <row r="47" spans="1:98" s="704" customFormat="1">
      <c r="A47" s="1057"/>
      <c r="AP47" s="752"/>
      <c r="AQ47" s="752"/>
      <c r="AR47" s="752"/>
      <c r="AS47" s="752"/>
      <c r="AT47" s="759"/>
      <c r="AU47" s="752"/>
      <c r="AV47" s="752"/>
      <c r="AW47" s="752"/>
      <c r="AX47" s="752"/>
      <c r="AY47" s="759"/>
      <c r="AZ47" s="752"/>
      <c r="BA47" s="752"/>
      <c r="BB47" s="752"/>
      <c r="BC47" s="752"/>
      <c r="BD47" s="759"/>
      <c r="BE47" s="757"/>
      <c r="BF47" s="752"/>
      <c r="BG47" s="752"/>
      <c r="BH47" s="758"/>
      <c r="BI47" s="759"/>
      <c r="BJ47" s="757"/>
      <c r="BK47" s="752"/>
      <c r="BL47" s="752"/>
      <c r="BM47" s="758"/>
      <c r="BN47" s="759"/>
      <c r="BO47" s="758"/>
      <c r="BP47" s="752"/>
      <c r="BQ47" s="752"/>
      <c r="BR47" s="760"/>
      <c r="BS47" s="759"/>
      <c r="BT47" s="758"/>
      <c r="BU47" s="752"/>
      <c r="BV47" s="752"/>
      <c r="BW47" s="760"/>
      <c r="BX47" s="759"/>
      <c r="BY47" s="758"/>
      <c r="BZ47" s="752"/>
      <c r="CA47" s="752"/>
      <c r="CB47" s="760"/>
      <c r="CC47" s="759"/>
      <c r="CD47" s="758"/>
      <c r="CE47" s="752"/>
      <c r="CF47" s="752"/>
      <c r="CG47" s="760"/>
      <c r="CH47" s="759"/>
      <c r="CM47" s="1062"/>
      <c r="CR47" s="761"/>
    </row>
    <row r="48" spans="1:98" s="704" customFormat="1" ht="13.5" customHeight="1" outlineLevel="1">
      <c r="A48" s="1065" t="s">
        <v>1293</v>
      </c>
      <c r="AP48" s="752"/>
      <c r="AQ48" s="752"/>
      <c r="AR48" s="752"/>
      <c r="AS48" s="752"/>
      <c r="AT48" s="759"/>
      <c r="AU48" s="752"/>
      <c r="AV48" s="752"/>
      <c r="AW48" s="752"/>
      <c r="AX48" s="752"/>
      <c r="AY48" s="759"/>
      <c r="AZ48" s="752"/>
      <c r="BA48" s="752"/>
      <c r="BB48" s="752"/>
      <c r="BC48" s="752"/>
      <c r="BD48" s="759"/>
      <c r="BE48" s="757"/>
      <c r="BF48" s="752"/>
      <c r="BG48" s="752"/>
      <c r="BH48" s="758"/>
      <c r="BI48" s="759"/>
      <c r="BJ48" s="757"/>
      <c r="BK48" s="752"/>
      <c r="BL48" s="752"/>
      <c r="BM48" s="758"/>
      <c r="BN48" s="1059"/>
      <c r="BO48" s="758"/>
      <c r="BP48" s="752"/>
      <c r="BQ48" s="752"/>
      <c r="BR48" s="760"/>
      <c r="BS48" s="1059">
        <f>BS49*BS52</f>
        <v>255.042</v>
      </c>
      <c r="BT48" s="758"/>
      <c r="BU48" s="752"/>
      <c r="BV48" s="752"/>
      <c r="BW48" s="760"/>
      <c r="BX48" s="1059">
        <f>BX49*BX52</f>
        <v>275.39891999999998</v>
      </c>
      <c r="BY48" s="758"/>
      <c r="BZ48" s="752"/>
      <c r="CA48" s="752"/>
      <c r="CB48" s="760"/>
      <c r="CC48" s="1059">
        <f>CC49*CC52</f>
        <v>292.02552000000003</v>
      </c>
      <c r="CD48" s="758"/>
      <c r="CE48" s="752"/>
      <c r="CF48" s="752"/>
      <c r="CG48" s="760"/>
      <c r="CH48" s="1059">
        <f>CH49*CH52</f>
        <v>342.97559999999999</v>
      </c>
      <c r="CM48" s="1060">
        <f>CM49*CM52</f>
        <v>410.77049155999998</v>
      </c>
      <c r="CR48" s="761"/>
    </row>
    <row r="49" spans="1:99" s="704" customFormat="1" outlineLevel="1">
      <c r="A49" s="1066" t="s">
        <v>99</v>
      </c>
      <c r="AP49" s="752"/>
      <c r="AQ49" s="752"/>
      <c r="AR49" s="752"/>
      <c r="AS49" s="752"/>
      <c r="AT49" s="759"/>
      <c r="AU49" s="752"/>
      <c r="AV49" s="752"/>
      <c r="AW49" s="752"/>
      <c r="AX49" s="752"/>
      <c r="AY49" s="759"/>
      <c r="AZ49" s="752"/>
      <c r="BA49" s="752"/>
      <c r="BB49" s="752"/>
      <c r="BC49" s="752"/>
      <c r="BD49" s="759"/>
      <c r="BE49" s="757"/>
      <c r="BF49" s="752"/>
      <c r="BG49" s="752"/>
      <c r="BH49" s="758"/>
      <c r="BI49" s="759"/>
      <c r="BJ49" s="757"/>
      <c r="BK49" s="752"/>
      <c r="BL49" s="752"/>
      <c r="BM49" s="758"/>
      <c r="BN49" s="1063"/>
      <c r="BO49" s="758"/>
      <c r="BP49" s="752"/>
      <c r="BQ49" s="752"/>
      <c r="BR49" s="760"/>
      <c r="BS49" s="1063">
        <v>0.9</v>
      </c>
      <c r="BT49" s="758"/>
      <c r="BU49" s="752"/>
      <c r="BV49" s="752"/>
      <c r="BW49" s="760"/>
      <c r="BX49" s="1063">
        <v>0.9</v>
      </c>
      <c r="BY49" s="758"/>
      <c r="BZ49" s="752"/>
      <c r="CA49" s="752"/>
      <c r="CB49" s="760"/>
      <c r="CC49" s="1063">
        <v>0.9</v>
      </c>
      <c r="CD49" s="758"/>
      <c r="CE49" s="752"/>
      <c r="CF49" s="752"/>
      <c r="CG49" s="760"/>
      <c r="CH49" s="1063">
        <v>0.9</v>
      </c>
      <c r="CM49" s="1064">
        <v>0.88</v>
      </c>
      <c r="CR49" s="761"/>
    </row>
    <row r="50" spans="1:99" s="704" customFormat="1" outlineLevel="1">
      <c r="A50" s="1065" t="s">
        <v>1294</v>
      </c>
      <c r="AP50" s="752"/>
      <c r="AQ50" s="752"/>
      <c r="AR50" s="752"/>
      <c r="AS50" s="752"/>
      <c r="AT50" s="759"/>
      <c r="AU50" s="752"/>
      <c r="AV50" s="752"/>
      <c r="AW50" s="752"/>
      <c r="AX50" s="752"/>
      <c r="AY50" s="759"/>
      <c r="AZ50" s="752"/>
      <c r="BA50" s="752"/>
      <c r="BB50" s="752"/>
      <c r="BC50" s="752"/>
      <c r="BD50" s="759"/>
      <c r="BE50" s="757"/>
      <c r="BF50" s="752"/>
      <c r="BG50" s="752"/>
      <c r="BH50" s="758"/>
      <c r="BI50" s="759"/>
      <c r="BJ50" s="757"/>
      <c r="BK50" s="752"/>
      <c r="BL50" s="752"/>
      <c r="BM50" s="758"/>
      <c r="BN50" s="1059"/>
      <c r="BO50" s="758"/>
      <c r="BP50" s="752"/>
      <c r="BQ50" s="752"/>
      <c r="BR50" s="760"/>
      <c r="BS50" s="1059">
        <f>BS52-BS48</f>
        <v>28.337999999999994</v>
      </c>
      <c r="BT50" s="758"/>
      <c r="BU50" s="752"/>
      <c r="BV50" s="752"/>
      <c r="BW50" s="760"/>
      <c r="BX50" s="1059">
        <f>BX52-BX48</f>
        <v>30.599879999999985</v>
      </c>
      <c r="BY50" s="758"/>
      <c r="BZ50" s="752"/>
      <c r="CA50" s="752"/>
      <c r="CB50" s="760"/>
      <c r="CC50" s="1059">
        <f>CC52-CC48</f>
        <v>32.447279999999978</v>
      </c>
      <c r="CD50" s="758"/>
      <c r="CE50" s="752"/>
      <c r="CF50" s="752"/>
      <c r="CG50" s="760"/>
      <c r="CH50" s="1059">
        <f>CH52-CH48</f>
        <v>38.108400000000017</v>
      </c>
      <c r="CM50" s="1060">
        <f>CM52-CM48</f>
        <v>56.014157940000018</v>
      </c>
      <c r="CR50" s="761"/>
    </row>
    <row r="51" spans="1:99" s="704" customFormat="1" outlineLevel="1">
      <c r="A51" s="1066" t="s">
        <v>99</v>
      </c>
      <c r="AP51" s="752"/>
      <c r="AQ51" s="752"/>
      <c r="AR51" s="752"/>
      <c r="AS51" s="752"/>
      <c r="AT51" s="759"/>
      <c r="AU51" s="752"/>
      <c r="AV51" s="752"/>
      <c r="AW51" s="752"/>
      <c r="AX51" s="752"/>
      <c r="AY51" s="759"/>
      <c r="AZ51" s="752"/>
      <c r="BA51" s="752"/>
      <c r="BB51" s="752"/>
      <c r="BC51" s="752"/>
      <c r="BD51" s="759"/>
      <c r="BE51" s="757"/>
      <c r="BF51" s="752"/>
      <c r="BG51" s="752"/>
      <c r="BH51" s="758"/>
      <c r="BI51" s="759"/>
      <c r="BJ51" s="757"/>
      <c r="BK51" s="752"/>
      <c r="BL51" s="752"/>
      <c r="BM51" s="758"/>
      <c r="BN51" s="1063"/>
      <c r="BO51" s="758"/>
      <c r="BP51" s="752"/>
      <c r="BQ51" s="752"/>
      <c r="BR51" s="760"/>
      <c r="BS51" s="1063">
        <f>BS50/BS52</f>
        <v>9.9999999999999978E-2</v>
      </c>
      <c r="BT51" s="758"/>
      <c r="BU51" s="752"/>
      <c r="BV51" s="752"/>
      <c r="BW51" s="760"/>
      <c r="BX51" s="1063">
        <f>BX50/BX52</f>
        <v>9.9999999999999964E-2</v>
      </c>
      <c r="BY51" s="758"/>
      <c r="BZ51" s="752"/>
      <c r="CA51" s="752"/>
      <c r="CB51" s="760"/>
      <c r="CC51" s="1063">
        <f>CC50/CC52</f>
        <v>9.9999999999999936E-2</v>
      </c>
      <c r="CD51" s="758"/>
      <c r="CE51" s="752"/>
      <c r="CF51" s="752"/>
      <c r="CG51" s="760"/>
      <c r="CH51" s="1063">
        <f>CH50/CH52</f>
        <v>0.10000000000000005</v>
      </c>
      <c r="CM51" s="1064">
        <f>CM50/CM52</f>
        <v>0.12000000000000004</v>
      </c>
      <c r="CR51" s="761"/>
    </row>
    <row r="52" spans="1:99" s="704" customFormat="1" outlineLevel="1">
      <c r="A52" s="1058" t="s">
        <v>1139</v>
      </c>
      <c r="AP52" s="752"/>
      <c r="AQ52" s="752"/>
      <c r="AR52" s="752"/>
      <c r="AS52" s="752"/>
      <c r="AT52" s="759"/>
      <c r="AU52" s="752"/>
      <c r="AV52" s="752"/>
      <c r="AW52" s="752"/>
      <c r="AX52" s="752"/>
      <c r="AY52" s="759"/>
      <c r="AZ52" s="752"/>
      <c r="BA52" s="752"/>
      <c r="BB52" s="752"/>
      <c r="BC52" s="752"/>
      <c r="BD52" s="759"/>
      <c r="BE52" s="757"/>
      <c r="BF52" s="752"/>
      <c r="BG52" s="752"/>
      <c r="BH52" s="758"/>
      <c r="BI52" s="1059">
        <f>BI53*BI57</f>
        <v>296.23815000000002</v>
      </c>
      <c r="BJ52" s="757"/>
      <c r="BK52" s="752"/>
      <c r="BL52" s="752"/>
      <c r="BM52" s="758"/>
      <c r="BN52" s="1059">
        <f>BN53*BN57</f>
        <v>288.35235</v>
      </c>
      <c r="BO52" s="758"/>
      <c r="BP52" s="752"/>
      <c r="BQ52" s="752"/>
      <c r="BR52" s="760"/>
      <c r="BS52" s="1059">
        <f>BS53*BS57</f>
        <v>283.38</v>
      </c>
      <c r="BT52" s="758"/>
      <c r="BU52" s="752"/>
      <c r="BV52" s="752"/>
      <c r="BW52" s="760"/>
      <c r="BX52" s="1059">
        <f>BX53*BX57</f>
        <v>305.99879999999996</v>
      </c>
      <c r="BY52" s="758"/>
      <c r="BZ52" s="752"/>
      <c r="CA52" s="752"/>
      <c r="CB52" s="760"/>
      <c r="CC52" s="1059">
        <f>CC53*CC57</f>
        <v>324.47280000000001</v>
      </c>
      <c r="CD52" s="758"/>
      <c r="CE52" s="752"/>
      <c r="CF52" s="752"/>
      <c r="CG52" s="760"/>
      <c r="CH52" s="1059">
        <f>CH53*CH57</f>
        <v>381.084</v>
      </c>
      <c r="CM52" s="1060">
        <f>CM53*CM57</f>
        <v>466.7846495</v>
      </c>
      <c r="CR52" s="761"/>
      <c r="CT52" s="1068">
        <f>1500</f>
        <v>1500</v>
      </c>
      <c r="CU52" s="1069">
        <f>+CT52-CH52</f>
        <v>1118.9159999999999</v>
      </c>
    </row>
    <row r="53" spans="1:99" s="704" customFormat="1" outlineLevel="1">
      <c r="A53" s="1061" t="s">
        <v>99</v>
      </c>
      <c r="AP53" s="752"/>
      <c r="AQ53" s="752"/>
      <c r="AR53" s="752"/>
      <c r="AS53" s="752"/>
      <c r="AT53" s="759"/>
      <c r="AU53" s="752"/>
      <c r="AV53" s="752"/>
      <c r="AW53" s="752"/>
      <c r="AX53" s="752"/>
      <c r="AY53" s="759"/>
      <c r="AZ53" s="752"/>
      <c r="BA53" s="752"/>
      <c r="BB53" s="752"/>
      <c r="BC53" s="752"/>
      <c r="BD53" s="759"/>
      <c r="BE53" s="757"/>
      <c r="BF53" s="752"/>
      <c r="BG53" s="752"/>
      <c r="BH53" s="758"/>
      <c r="BI53" s="1063">
        <v>0.65</v>
      </c>
      <c r="BJ53" s="757"/>
      <c r="BK53" s="752"/>
      <c r="BL53" s="752"/>
      <c r="BM53" s="758"/>
      <c r="BN53" s="1063">
        <v>0.65</v>
      </c>
      <c r="BO53" s="758"/>
      <c r="BP53" s="752"/>
      <c r="BQ53" s="752"/>
      <c r="BR53" s="760"/>
      <c r="BS53" s="1063">
        <v>0.6</v>
      </c>
      <c r="BT53" s="758"/>
      <c r="BU53" s="752"/>
      <c r="BV53" s="752"/>
      <c r="BW53" s="760"/>
      <c r="BX53" s="1063">
        <v>0.6</v>
      </c>
      <c r="BY53" s="758"/>
      <c r="BZ53" s="752"/>
      <c r="CA53" s="752"/>
      <c r="CB53" s="760"/>
      <c r="CC53" s="1063">
        <v>0.6</v>
      </c>
      <c r="CD53" s="758"/>
      <c r="CE53" s="752"/>
      <c r="CF53" s="752"/>
      <c r="CG53" s="760"/>
      <c r="CH53" s="1063">
        <v>0.6</v>
      </c>
      <c r="CM53" s="1064">
        <v>0.65</v>
      </c>
      <c r="CR53" s="761"/>
      <c r="CT53" s="704">
        <f>+(CT52/CH52)^(1/10)-1</f>
        <v>0.14685114997485482</v>
      </c>
    </row>
    <row r="54" spans="1:99" s="704" customFormat="1" outlineLevel="1">
      <c r="A54" s="1061"/>
      <c r="AP54" s="752"/>
      <c r="AQ54" s="752"/>
      <c r="AR54" s="752"/>
      <c r="AS54" s="752"/>
      <c r="AT54" s="759"/>
      <c r="AU54" s="752"/>
      <c r="AV54" s="752"/>
      <c r="AW54" s="752"/>
      <c r="AX54" s="752"/>
      <c r="AY54" s="759"/>
      <c r="AZ54" s="752"/>
      <c r="BA54" s="752"/>
      <c r="BB54" s="752"/>
      <c r="BC54" s="752"/>
      <c r="BD54" s="759"/>
      <c r="BE54" s="757"/>
      <c r="BF54" s="752"/>
      <c r="BG54" s="752"/>
      <c r="BH54" s="758"/>
      <c r="BI54" s="1063"/>
      <c r="BJ54" s="757"/>
      <c r="BK54" s="752"/>
      <c r="BL54" s="752"/>
      <c r="BM54" s="758"/>
      <c r="BN54" s="1063">
        <f>+BN52/BI52-1</f>
        <v>-2.6619798969173991E-2</v>
      </c>
      <c r="BO54" s="758"/>
      <c r="BP54" s="752"/>
      <c r="BQ54" s="752"/>
      <c r="BR54" s="760"/>
      <c r="BS54" s="1063">
        <f>+BS52/BN52-1</f>
        <v>-1.7244007201606015E-2</v>
      </c>
      <c r="BT54" s="758"/>
      <c r="BU54" s="752"/>
      <c r="BV54" s="752"/>
      <c r="BW54" s="760"/>
      <c r="BX54" s="1063">
        <f>+BX52/BS52-1</f>
        <v>7.9817912343849162E-2</v>
      </c>
      <c r="BY54" s="758"/>
      <c r="BZ54" s="752"/>
      <c r="CA54" s="752"/>
      <c r="CB54" s="760"/>
      <c r="CC54" s="1063">
        <f>+CC52/BX52-1</f>
        <v>6.0372785775630655E-2</v>
      </c>
      <c r="CD54" s="758"/>
      <c r="CE54" s="752"/>
      <c r="CF54" s="752"/>
      <c r="CG54" s="760"/>
      <c r="CH54" s="1063">
        <f>+CH52/CC52-1</f>
        <v>0.17447132702648727</v>
      </c>
      <c r="CM54" s="1063">
        <f>+CM52/CH52-1</f>
        <v>0.22488650664945253</v>
      </c>
      <c r="CR54" s="761"/>
      <c r="CT54" s="704">
        <f>+CH52/CC52-1</f>
        <v>0.17447132702648727</v>
      </c>
    </row>
    <row r="55" spans="1:99" s="704" customFormat="1" outlineLevel="1">
      <c r="A55" s="1058" t="s">
        <v>222</v>
      </c>
      <c r="AP55" s="752"/>
      <c r="AQ55" s="752"/>
      <c r="AR55" s="752"/>
      <c r="AS55" s="752"/>
      <c r="AT55" s="759"/>
      <c r="AU55" s="752"/>
      <c r="AV55" s="752"/>
      <c r="AW55" s="752"/>
      <c r="AX55" s="752"/>
      <c r="AY55" s="759"/>
      <c r="AZ55" s="752"/>
      <c r="BA55" s="752"/>
      <c r="BB55" s="752"/>
      <c r="BC55" s="752"/>
      <c r="BD55" s="759"/>
      <c r="BE55" s="757"/>
      <c r="BF55" s="752"/>
      <c r="BG55" s="752"/>
      <c r="BH55" s="758"/>
      <c r="BI55" s="1059">
        <f>BI57-BI52</f>
        <v>159.51284999999996</v>
      </c>
      <c r="BJ55" s="757"/>
      <c r="BK55" s="752"/>
      <c r="BL55" s="752"/>
      <c r="BM55" s="758"/>
      <c r="BN55" s="1059">
        <f>BN57-BN52</f>
        <v>155.26664999999997</v>
      </c>
      <c r="BO55" s="758"/>
      <c r="BP55" s="752"/>
      <c r="BQ55" s="752"/>
      <c r="BR55" s="760"/>
      <c r="BS55" s="1059">
        <f>BS57-BS52</f>
        <v>188.92000000000002</v>
      </c>
      <c r="BT55" s="758"/>
      <c r="BU55" s="752"/>
      <c r="BV55" s="752"/>
      <c r="BW55" s="760"/>
      <c r="BX55" s="1059">
        <f>BX57-BX52</f>
        <v>203.99920000000003</v>
      </c>
      <c r="BY55" s="758"/>
      <c r="BZ55" s="752"/>
      <c r="CA55" s="752"/>
      <c r="CB55" s="760"/>
      <c r="CC55" s="1059">
        <f>CC57-CC52</f>
        <v>216.3152</v>
      </c>
      <c r="CD55" s="758"/>
      <c r="CE55" s="752"/>
      <c r="CF55" s="752"/>
      <c r="CG55" s="760"/>
      <c r="CH55" s="1059">
        <f>CH57-CH52</f>
        <v>254.05599999999998</v>
      </c>
      <c r="CM55" s="1060">
        <f>CM57-CM52</f>
        <v>251.34558049999998</v>
      </c>
      <c r="CR55" s="761"/>
    </row>
    <row r="56" spans="1:99" s="704" customFormat="1" ht="13.5" outlineLevel="1" thickBot="1">
      <c r="A56" s="1061" t="s">
        <v>99</v>
      </c>
      <c r="AP56" s="752"/>
      <c r="AQ56" s="752"/>
      <c r="AR56" s="752"/>
      <c r="AS56" s="752"/>
      <c r="AT56" s="759"/>
      <c r="AU56" s="752"/>
      <c r="AV56" s="752"/>
      <c r="AW56" s="752"/>
      <c r="AX56" s="752"/>
      <c r="AY56" s="759"/>
      <c r="AZ56" s="752"/>
      <c r="BA56" s="752"/>
      <c r="BB56" s="752"/>
      <c r="BC56" s="752"/>
      <c r="BD56" s="759"/>
      <c r="BE56" s="757"/>
      <c r="BF56" s="752"/>
      <c r="BG56" s="752"/>
      <c r="BH56" s="758"/>
      <c r="BI56" s="1063">
        <f>BI55/BI57</f>
        <v>0.34999999999999992</v>
      </c>
      <c r="BJ56" s="757"/>
      <c r="BK56" s="752"/>
      <c r="BL56" s="752"/>
      <c r="BM56" s="758"/>
      <c r="BN56" s="1063">
        <f>BN55/BN57</f>
        <v>0.35</v>
      </c>
      <c r="BO56" s="758"/>
      <c r="BP56" s="752"/>
      <c r="BQ56" s="752"/>
      <c r="BR56" s="760"/>
      <c r="BS56" s="1063">
        <f>BS55/BS57</f>
        <v>0.4</v>
      </c>
      <c r="BT56" s="758"/>
      <c r="BU56" s="752"/>
      <c r="BV56" s="752"/>
      <c r="BW56" s="760"/>
      <c r="BX56" s="1063">
        <f>BX55/BX57</f>
        <v>0.40000000000000008</v>
      </c>
      <c r="BY56" s="758"/>
      <c r="BZ56" s="752"/>
      <c r="CA56" s="752"/>
      <c r="CB56" s="760"/>
      <c r="CC56" s="1063">
        <f>CC55/CC57</f>
        <v>0.4</v>
      </c>
      <c r="CD56" s="758"/>
      <c r="CE56" s="752"/>
      <c r="CF56" s="752"/>
      <c r="CG56" s="760"/>
      <c r="CH56" s="1063">
        <f>CH55/CH57</f>
        <v>0.39999999999999997</v>
      </c>
      <c r="CM56" s="1064">
        <f>CM55/CM57</f>
        <v>0.35</v>
      </c>
      <c r="CR56" s="761"/>
    </row>
    <row r="57" spans="1:99">
      <c r="A57" s="731" t="s">
        <v>126</v>
      </c>
      <c r="B57" s="731"/>
      <c r="C57" s="731"/>
      <c r="D57" s="731"/>
      <c r="E57" s="732"/>
      <c r="F57" s="731"/>
      <c r="G57" s="731"/>
      <c r="H57" s="731"/>
      <c r="I57" s="731"/>
      <c r="J57" s="732"/>
      <c r="K57" s="731"/>
      <c r="L57" s="731"/>
      <c r="M57" s="731"/>
      <c r="N57" s="731"/>
      <c r="O57" s="732"/>
      <c r="P57" s="731"/>
      <c r="Q57" s="731"/>
      <c r="R57" s="731"/>
      <c r="S57" s="731"/>
      <c r="T57" s="732"/>
      <c r="U57" s="734">
        <v>433.8</v>
      </c>
      <c r="V57" s="733"/>
      <c r="W57" s="733"/>
      <c r="X57" s="733"/>
      <c r="Y57" s="733"/>
      <c r="Z57" s="734">
        <v>461.6</v>
      </c>
      <c r="AA57" s="733"/>
      <c r="AB57" s="733"/>
      <c r="AC57" s="733"/>
      <c r="AD57" s="733"/>
      <c r="AE57" s="734">
        <v>427.5</v>
      </c>
      <c r="AF57" s="733"/>
      <c r="AG57" s="733"/>
      <c r="AH57" s="733"/>
      <c r="AI57" s="733"/>
      <c r="AJ57" s="733">
        <v>436.4</v>
      </c>
      <c r="AK57" s="733"/>
      <c r="AL57" s="735"/>
      <c r="AM57" s="735"/>
      <c r="AN57" s="732"/>
      <c r="AO57" s="1019">
        <v>408.4</v>
      </c>
      <c r="AP57" s="737"/>
      <c r="AQ57" s="737"/>
      <c r="AR57" s="737"/>
      <c r="AS57" s="737"/>
      <c r="AT57" s="1019">
        <v>423.74700000000001</v>
      </c>
      <c r="AU57" s="1020"/>
      <c r="AV57" s="1020"/>
      <c r="AW57" s="1020"/>
      <c r="AX57" s="1020"/>
      <c r="AY57" s="1019">
        <v>431.79300000000001</v>
      </c>
      <c r="AZ57" s="1020"/>
      <c r="BA57" s="1020"/>
      <c r="BB57" s="1020"/>
      <c r="BC57" s="1020"/>
      <c r="BD57" s="1019">
        <v>392.173</v>
      </c>
      <c r="BE57" s="1021">
        <v>123.926</v>
      </c>
      <c r="BF57" s="1021">
        <v>106.952</v>
      </c>
      <c r="BG57" s="1021">
        <v>108.023</v>
      </c>
      <c r="BH57" s="1021">
        <v>116.85</v>
      </c>
      <c r="BI57" s="1019">
        <f>SUM(BE57:BH57)</f>
        <v>455.75099999999998</v>
      </c>
      <c r="BJ57" s="1021">
        <v>99.921000000000006</v>
      </c>
      <c r="BK57" s="1021">
        <v>117.919</v>
      </c>
      <c r="BL57" s="1021">
        <v>105.264</v>
      </c>
      <c r="BM57" s="1021">
        <v>120.515</v>
      </c>
      <c r="BN57" s="1019">
        <f>SUM(BJ57:BM57)</f>
        <v>443.61899999999997</v>
      </c>
      <c r="BO57" s="1021">
        <v>104.788</v>
      </c>
      <c r="BP57" s="1021">
        <v>125.355</v>
      </c>
      <c r="BQ57" s="1021">
        <v>110.559</v>
      </c>
      <c r="BR57" s="1021">
        <v>131.59800000000001</v>
      </c>
      <c r="BS57" s="1019">
        <f>SUM(BO57:BR57)</f>
        <v>472.3</v>
      </c>
      <c r="BT57" s="1021">
        <v>120.339</v>
      </c>
      <c r="BU57" s="1021">
        <v>131</v>
      </c>
      <c r="BV57" s="1021">
        <v>122.11799999999999</v>
      </c>
      <c r="BW57" s="1021">
        <v>136.541</v>
      </c>
      <c r="BX57" s="1019">
        <f>SUM(BT57:BW57)</f>
        <v>509.99799999999999</v>
      </c>
      <c r="BY57" s="1021">
        <v>124.039</v>
      </c>
      <c r="BZ57" s="1021">
        <v>138.601</v>
      </c>
      <c r="CA57" s="1021">
        <v>131.376</v>
      </c>
      <c r="CB57" s="1021">
        <v>146.77199999999999</v>
      </c>
      <c r="CC57" s="1019">
        <f>SUM(BY57:CB57)</f>
        <v>540.78800000000001</v>
      </c>
      <c r="CD57" s="1021">
        <v>142.934</v>
      </c>
      <c r="CE57" s="1021">
        <v>163.47300000000001</v>
      </c>
      <c r="CF57" s="1021">
        <v>149.9</v>
      </c>
      <c r="CG57" s="1021">
        <v>178.833</v>
      </c>
      <c r="CH57" s="1019">
        <f>SUM(CD57:CG57)</f>
        <v>635.14</v>
      </c>
      <c r="CI57" s="1022">
        <f>CD57*(1+CI58)</f>
        <v>165.80343999999999</v>
      </c>
      <c r="CJ57" s="1022">
        <f>CE57*(1+CJ58)</f>
        <v>184.72449</v>
      </c>
      <c r="CK57" s="1022">
        <f>CF57*(1+CK58)</f>
        <v>170.88600000000002</v>
      </c>
      <c r="CL57" s="1022">
        <f>CG57*(1+CL58)</f>
        <v>196.71630000000002</v>
      </c>
      <c r="CM57" s="1023">
        <f>SUM(CI57:CL57)</f>
        <v>718.13022999999998</v>
      </c>
      <c r="CN57" s="1022">
        <f>CI57*(1+CN58)</f>
        <v>180.7257496</v>
      </c>
      <c r="CO57" s="1022">
        <f>CJ57*(1+CO58)</f>
        <v>201.34969410000002</v>
      </c>
      <c r="CP57" s="1022">
        <f>CK57*(1+CP58)</f>
        <v>186.26574000000005</v>
      </c>
      <c r="CQ57" s="1022">
        <f>CL57*(1+CQ58)</f>
        <v>214.42076700000004</v>
      </c>
      <c r="CR57" s="1023">
        <f>SUM(CN57:CQ57)</f>
        <v>782.76195070000017</v>
      </c>
      <c r="CT57" s="1068">
        <f>+BX57*2</f>
        <v>1019.996</v>
      </c>
    </row>
    <row r="58" spans="1:99" s="743" customFormat="1">
      <c r="A58" s="738" t="s">
        <v>98</v>
      </c>
      <c r="B58" s="739"/>
      <c r="C58" s="739"/>
      <c r="D58" s="739"/>
      <c r="E58" s="739"/>
      <c r="F58" s="739"/>
      <c r="G58" s="739"/>
      <c r="H58" s="739"/>
      <c r="I58" s="739"/>
      <c r="J58" s="739"/>
      <c r="K58" s="739"/>
      <c r="L58" s="739"/>
      <c r="M58" s="739"/>
      <c r="N58" s="739"/>
      <c r="O58" s="739"/>
      <c r="P58" s="739"/>
      <c r="Q58" s="739"/>
      <c r="R58" s="739"/>
      <c r="S58" s="739"/>
      <c r="T58" s="739"/>
      <c r="U58" s="739"/>
      <c r="V58" s="740"/>
      <c r="W58" s="741"/>
      <c r="X58" s="741"/>
      <c r="Y58" s="741"/>
      <c r="Z58" s="747">
        <f>Z57/U57-1</f>
        <v>6.4084831719686486E-2</v>
      </c>
      <c r="AA58" s="740"/>
      <c r="AB58" s="740"/>
      <c r="AC58" s="740"/>
      <c r="AD58" s="740"/>
      <c r="AE58" s="747">
        <f>AE57/Z57-1</f>
        <v>-7.3873483535528695E-2</v>
      </c>
      <c r="AF58" s="740"/>
      <c r="AG58" s="740"/>
      <c r="AH58" s="740"/>
      <c r="AI58" s="740"/>
      <c r="AJ58" s="747">
        <f>AJ57/AE57-1</f>
        <v>2.0818713450292403E-2</v>
      </c>
      <c r="AK58" s="740"/>
      <c r="AN58" s="739"/>
      <c r="AO58" s="747">
        <f>AO57/AJ57-1</f>
        <v>-6.4161319890009172E-2</v>
      </c>
      <c r="AP58" s="745"/>
      <c r="AQ58" s="745"/>
      <c r="AR58" s="745"/>
      <c r="AS58" s="745"/>
      <c r="AT58" s="747">
        <f>AT57/AO57-1</f>
        <v>3.7578354554358651E-2</v>
      </c>
      <c r="AU58" s="745"/>
      <c r="AV58" s="745"/>
      <c r="AW58" s="745"/>
      <c r="AX58" s="745"/>
      <c r="AY58" s="747">
        <f>AY57/AT57-1</f>
        <v>1.8987745045982551E-2</v>
      </c>
      <c r="AZ58" s="745"/>
      <c r="BA58" s="745"/>
      <c r="BB58" s="745"/>
      <c r="BC58" s="745"/>
      <c r="BD58" s="747">
        <f>BD57/AY57-1</f>
        <v>-9.1756929825170919E-2</v>
      </c>
      <c r="BE58" s="746"/>
      <c r="BF58" s="746"/>
      <c r="BG58" s="746"/>
      <c r="BH58" s="746"/>
      <c r="BI58" s="747">
        <f>BI57/BD57-1</f>
        <v>0.16211722887603175</v>
      </c>
      <c r="BJ58" s="746">
        <f>BJ57/BE57-1</f>
        <v>-0.19370430740926037</v>
      </c>
      <c r="BK58" s="746">
        <f t="shared" ref="BK58" si="66">BK57/BF57-1</f>
        <v>0.10254132695040763</v>
      </c>
      <c r="BL58" s="746">
        <f t="shared" ref="BL58" si="67">BL57/BG57-1</f>
        <v>-2.5540857039704545E-2</v>
      </c>
      <c r="BM58" s="746">
        <f t="shared" ref="BM58" si="68">BM57/BH57-1</f>
        <v>3.1364997860505062E-2</v>
      </c>
      <c r="BN58" s="747">
        <f>BN57/BI57-1</f>
        <v>-2.6619798969173991E-2</v>
      </c>
      <c r="BO58" s="746">
        <f>BO57/BJ57-1</f>
        <v>4.8708479698962082E-2</v>
      </c>
      <c r="BP58" s="746">
        <f t="shared" ref="BP58" si="69">BP57/BK57-1</f>
        <v>6.3060236263876135E-2</v>
      </c>
      <c r="BQ58" s="746">
        <f t="shared" ref="BQ58" si="70">BQ57/BL57-1</f>
        <v>5.0302097583219352E-2</v>
      </c>
      <c r="BR58" s="746">
        <f t="shared" ref="BR58" si="71">BR57/BM57-1</f>
        <v>9.1963655976434522E-2</v>
      </c>
      <c r="BS58" s="747">
        <f>BS57/BN57-1</f>
        <v>6.4652325531593613E-2</v>
      </c>
      <c r="BT58" s="746">
        <f>BT57/BO57-1</f>
        <v>0.14840439745008971</v>
      </c>
      <c r="BU58" s="746">
        <f t="shared" ref="BU58:BV58" si="72">BU57/BP57-1</f>
        <v>4.5032108810976856E-2</v>
      </c>
      <c r="BV58" s="746">
        <f t="shared" si="72"/>
        <v>0.10455051149160166</v>
      </c>
      <c r="BW58" s="746">
        <f>BW57/BR57-1</f>
        <v>3.7561361114910374E-2</v>
      </c>
      <c r="BX58" s="747">
        <f>BX57/BS57-1</f>
        <v>7.9817912343849162E-2</v>
      </c>
      <c r="BY58" s="746">
        <f>BY57/BT57-1</f>
        <v>3.0746474542750146E-2</v>
      </c>
      <c r="BZ58" s="746">
        <f t="shared" ref="BZ58:CA58" si="73">BZ57/BU57-1</f>
        <v>5.8022900763358809E-2</v>
      </c>
      <c r="CA58" s="746">
        <f t="shared" si="73"/>
        <v>7.5811919618729462E-2</v>
      </c>
      <c r="CB58" s="746">
        <f>CB57/BW57-1</f>
        <v>7.4929874543177455E-2</v>
      </c>
      <c r="CC58" s="747">
        <f>CC57/BX57-1</f>
        <v>6.0372785775630433E-2</v>
      </c>
      <c r="CD58" s="746">
        <f>CD57/BY57-1</f>
        <v>0.15233112166334783</v>
      </c>
      <c r="CE58" s="746">
        <f t="shared" ref="CE58:CF58" si="74">CE57/BZ57-1</f>
        <v>0.1794503647159833</v>
      </c>
      <c r="CF58" s="746">
        <f t="shared" si="74"/>
        <v>0.14099987821215443</v>
      </c>
      <c r="CG58" s="746">
        <f>CG57/CB57-1</f>
        <v>0.21844084702804345</v>
      </c>
      <c r="CH58" s="747">
        <f>CH57/CC57-1</f>
        <v>0.17447132702648727</v>
      </c>
      <c r="CI58" s="748">
        <v>0.16</v>
      </c>
      <c r="CJ58" s="748">
        <v>0.13</v>
      </c>
      <c r="CK58" s="748">
        <v>0.14000000000000001</v>
      </c>
      <c r="CL58" s="748">
        <v>0.1</v>
      </c>
      <c r="CM58" s="749">
        <f>CM57/CH57-1</f>
        <v>0.13066446767641771</v>
      </c>
      <c r="CN58" s="748">
        <v>0.09</v>
      </c>
      <c r="CO58" s="748">
        <v>0.09</v>
      </c>
      <c r="CP58" s="748">
        <v>0.09</v>
      </c>
      <c r="CQ58" s="748">
        <v>0.09</v>
      </c>
      <c r="CR58" s="749">
        <f>CR57/CM57-1</f>
        <v>9.0000000000000302E-2</v>
      </c>
    </row>
    <row r="59" spans="1:99" s="743" customFormat="1">
      <c r="A59" s="738" t="s">
        <v>99</v>
      </c>
      <c r="B59" s="739"/>
      <c r="C59" s="739"/>
      <c r="D59" s="739"/>
      <c r="E59" s="739"/>
      <c r="F59" s="739"/>
      <c r="G59" s="739"/>
      <c r="H59" s="739"/>
      <c r="I59" s="739"/>
      <c r="J59" s="739"/>
      <c r="K59" s="739"/>
      <c r="L59" s="739"/>
      <c r="M59" s="739"/>
      <c r="N59" s="739"/>
      <c r="O59" s="739"/>
      <c r="P59" s="739"/>
      <c r="Q59" s="739"/>
      <c r="R59" s="739"/>
      <c r="S59" s="739"/>
      <c r="T59" s="739"/>
      <c r="U59" s="739"/>
      <c r="V59" s="740"/>
      <c r="W59" s="741"/>
      <c r="X59" s="741"/>
      <c r="Y59" s="741"/>
      <c r="Z59" s="742"/>
      <c r="AA59" s="740"/>
      <c r="AB59" s="740"/>
      <c r="AC59" s="740"/>
      <c r="AD59" s="740"/>
      <c r="AE59" s="742"/>
      <c r="AF59" s="740"/>
      <c r="AG59" s="740"/>
      <c r="AH59" s="740"/>
      <c r="AI59" s="740"/>
      <c r="AJ59" s="740"/>
      <c r="AK59" s="740"/>
      <c r="AN59" s="739"/>
      <c r="AO59" s="744"/>
      <c r="AP59" s="745"/>
      <c r="AQ59" s="745"/>
      <c r="AR59" s="745"/>
      <c r="AS59" s="745"/>
      <c r="AT59" s="747">
        <f>AT57/AT77</f>
        <v>0.17947578722131821</v>
      </c>
      <c r="AU59" s="745"/>
      <c r="AV59" s="745"/>
      <c r="AW59" s="745"/>
      <c r="AX59" s="745"/>
      <c r="AY59" s="747">
        <f>AY57/AY77</f>
        <v>0.17903090385536324</v>
      </c>
      <c r="AZ59" s="745"/>
      <c r="BA59" s="745"/>
      <c r="BB59" s="745"/>
      <c r="BC59" s="745"/>
      <c r="BD59" s="747">
        <f>BD57/BD77</f>
        <v>0.15762827471974036</v>
      </c>
      <c r="BE59" s="746">
        <f>BE57/BE77</f>
        <v>0.2061204428913346</v>
      </c>
      <c r="BF59" s="746">
        <f t="shared" ref="BF59:BH59" si="75">BF57/BF77</f>
        <v>0.20077228774758168</v>
      </c>
      <c r="BG59" s="746">
        <f t="shared" si="75"/>
        <v>0.19642616857777728</v>
      </c>
      <c r="BH59" s="746">
        <f t="shared" si="75"/>
        <v>0.18216086277370896</v>
      </c>
      <c r="BI59" s="747">
        <f>BI57/BI77</f>
        <v>0.19599310553028326</v>
      </c>
      <c r="BJ59" s="746">
        <f>BJ57/BJ77</f>
        <v>0.16936997103178705</v>
      </c>
      <c r="BK59" s="746">
        <f t="shared" ref="BK59:BM59" si="76">BK57/BK77</f>
        <v>0.19350746746267089</v>
      </c>
      <c r="BL59" s="746">
        <f t="shared" si="76"/>
        <v>0.17148274974505007</v>
      </c>
      <c r="BM59" s="746">
        <f t="shared" si="76"/>
        <v>0.18390841432689506</v>
      </c>
      <c r="BN59" s="747">
        <f>BN57/BN77</f>
        <v>0.17971349968948486</v>
      </c>
      <c r="BO59" s="746">
        <f>BO57/BO77</f>
        <v>0.18730170646390007</v>
      </c>
      <c r="BP59" s="746">
        <f t="shared" ref="BP59:BR59" si="77">BP57/BP77</f>
        <v>0.20571684578990643</v>
      </c>
      <c r="BQ59" s="746">
        <f t="shared" si="77"/>
        <v>0.17533935036944351</v>
      </c>
      <c r="BR59" s="746">
        <f t="shared" si="77"/>
        <v>0.1736888994476451</v>
      </c>
      <c r="BS59" s="747">
        <f>BS57/BS77</f>
        <v>0.18470676481193388</v>
      </c>
      <c r="BT59" s="746">
        <f>BT57/BT77</f>
        <v>0.19075389151317249</v>
      </c>
      <c r="BU59" s="746">
        <f t="shared" ref="BU59:BV59" si="78">BU57/BU77</f>
        <v>0.18597493455385888</v>
      </c>
      <c r="BV59" s="746">
        <f t="shared" si="78"/>
        <v>0.16859535623462363</v>
      </c>
      <c r="BW59" s="746">
        <f>BW57/BW77</f>
        <v>0.17376248900789143</v>
      </c>
      <c r="BX59" s="747">
        <f>BX57/BX77</f>
        <v>0.17923766058087987</v>
      </c>
      <c r="BY59" s="746">
        <f>BY57/BY77</f>
        <v>0.17392700447440784</v>
      </c>
      <c r="BZ59" s="746">
        <f t="shared" ref="BZ59:CA59" si="79">BZ57/BZ77</f>
        <v>0.17660880412746835</v>
      </c>
      <c r="CA59" s="746">
        <f t="shared" si="79"/>
        <v>0.16444240835730325</v>
      </c>
      <c r="CB59" s="746">
        <f>CB57/CB77</f>
        <v>0.17805372473805459</v>
      </c>
      <c r="CC59" s="747">
        <f>CC57/CC77</f>
        <v>0.17326345825260822</v>
      </c>
      <c r="CD59" s="746">
        <f>CD57/CD77</f>
        <v>0.17741561109421644</v>
      </c>
      <c r="CE59" s="746">
        <f t="shared" ref="CE59:CF59" si="80">CE57/CE77</f>
        <v>0.18649038988062644</v>
      </c>
      <c r="CF59" s="746">
        <f t="shared" si="80"/>
        <v>0.17246338460830449</v>
      </c>
      <c r="CG59" s="746">
        <f>CG57/CG77</f>
        <v>0.18884539394137792</v>
      </c>
      <c r="CH59" s="747">
        <f>CH57/CH77</f>
        <v>0.1815530195187933</v>
      </c>
      <c r="CI59" s="750"/>
      <c r="CJ59" s="750"/>
      <c r="CK59" s="750"/>
      <c r="CL59" s="750"/>
      <c r="CM59" s="749">
        <f>CM57/CM77</f>
        <v>0.19206057313549307</v>
      </c>
      <c r="CN59" s="750"/>
      <c r="CO59" s="750"/>
      <c r="CP59" s="750"/>
      <c r="CQ59" s="750"/>
      <c r="CR59" s="749">
        <f>CR57/CR77</f>
        <v>0.19776420451003127</v>
      </c>
    </row>
    <row r="60" spans="1:99" s="819" customFormat="1">
      <c r="A60" s="751" t="s">
        <v>100</v>
      </c>
      <c r="AP60" s="757"/>
      <c r="AQ60" s="757"/>
      <c r="AR60" s="757"/>
      <c r="AS60" s="757"/>
      <c r="AT60" s="818"/>
      <c r="AU60" s="757"/>
      <c r="AV60" s="757"/>
      <c r="AW60" s="757"/>
      <c r="AX60" s="757"/>
      <c r="AY60" s="818"/>
      <c r="AZ60" s="757"/>
      <c r="BA60" s="757"/>
      <c r="BB60" s="757"/>
      <c r="BC60" s="757"/>
      <c r="BD60" s="818"/>
      <c r="BE60" s="757"/>
      <c r="BF60" s="757"/>
      <c r="BG60" s="757"/>
      <c r="BH60" s="758" t="s">
        <v>104</v>
      </c>
      <c r="BI60" s="822" t="str">
        <f>BH60</f>
        <v>3-5%</v>
      </c>
      <c r="BJ60" s="757"/>
      <c r="BK60" s="757" t="s">
        <v>118</v>
      </c>
      <c r="BL60" s="757"/>
      <c r="BM60" s="758" t="s">
        <v>118</v>
      </c>
      <c r="BN60" s="822" t="str">
        <f>BM60</f>
        <v>1-3%</v>
      </c>
      <c r="BO60" s="758"/>
      <c r="BP60" s="757" t="s">
        <v>113</v>
      </c>
      <c r="BQ60" s="757" t="s">
        <v>106</v>
      </c>
      <c r="BR60" s="760">
        <v>0</v>
      </c>
      <c r="BS60" s="756">
        <f>BR60</f>
        <v>0</v>
      </c>
      <c r="BT60" s="760">
        <v>0</v>
      </c>
      <c r="BU60" s="757" t="s">
        <v>104</v>
      </c>
      <c r="BV60" s="757" t="s">
        <v>113</v>
      </c>
      <c r="BW60" s="757" t="s">
        <v>104</v>
      </c>
      <c r="BX60" s="756" t="str">
        <f>BW60</f>
        <v>3-5%</v>
      </c>
      <c r="BY60" s="983" t="s">
        <v>113</v>
      </c>
      <c r="BZ60" s="983" t="s">
        <v>113</v>
      </c>
      <c r="CA60" s="983" t="s">
        <v>106</v>
      </c>
      <c r="CB60" s="983" t="s">
        <v>114</v>
      </c>
      <c r="CC60" s="756" t="str">
        <f>CB60</f>
        <v>16-18%</v>
      </c>
      <c r="CD60" s="983" t="s">
        <v>114</v>
      </c>
      <c r="CE60" s="983" t="s">
        <v>114</v>
      </c>
      <c r="CF60" s="983" t="s">
        <v>114</v>
      </c>
      <c r="CG60" s="983" t="s">
        <v>1283</v>
      </c>
      <c r="CH60" s="756" t="str">
        <f>CG60</f>
        <v>12-14%</v>
      </c>
      <c r="CM60" s="820"/>
      <c r="CR60" s="820"/>
    </row>
    <row r="61" spans="1:99" s="819" customFormat="1" ht="13.5" thickBot="1">
      <c r="A61" s="751"/>
      <c r="AP61" s="757"/>
      <c r="AQ61" s="757"/>
      <c r="AR61" s="757"/>
      <c r="AS61" s="757"/>
      <c r="AT61" s="818"/>
      <c r="AU61" s="757"/>
      <c r="AV61" s="757"/>
      <c r="AW61" s="757"/>
      <c r="AX61" s="757"/>
      <c r="AY61" s="818"/>
      <c r="AZ61" s="757"/>
      <c r="BA61" s="757"/>
      <c r="BB61" s="757"/>
      <c r="BC61" s="757"/>
      <c r="BD61" s="818"/>
      <c r="BE61" s="757"/>
      <c r="BF61" s="757"/>
      <c r="BG61" s="757"/>
      <c r="BH61" s="758"/>
      <c r="BI61" s="822"/>
      <c r="BJ61" s="757"/>
      <c r="BK61" s="757"/>
      <c r="BL61" s="757"/>
      <c r="BM61" s="758"/>
      <c r="BN61" s="822"/>
      <c r="BO61" s="758"/>
      <c r="BP61" s="757"/>
      <c r="BQ61" s="757"/>
      <c r="BR61" s="760"/>
      <c r="BS61" s="756"/>
      <c r="BT61" s="760"/>
      <c r="BU61" s="757"/>
      <c r="BV61" s="757"/>
      <c r="BW61" s="757"/>
      <c r="BX61" s="756"/>
      <c r="BY61" s="983"/>
      <c r="BZ61" s="983"/>
      <c r="CA61" s="983"/>
      <c r="CB61" s="983"/>
      <c r="CC61" s="756"/>
      <c r="CD61" s="983"/>
      <c r="CE61" s="983"/>
      <c r="CF61" s="983"/>
      <c r="CG61" s="983"/>
      <c r="CH61" s="756"/>
      <c r="CM61" s="820"/>
      <c r="CR61" s="820"/>
    </row>
    <row r="62" spans="1:99" s="704" customFormat="1" hidden="1" outlineLevel="1">
      <c r="A62" s="1058" t="s">
        <v>1295</v>
      </c>
      <c r="AP62" s="752"/>
      <c r="AQ62" s="752"/>
      <c r="AR62" s="752"/>
      <c r="AS62" s="752"/>
      <c r="AT62" s="759"/>
      <c r="AU62" s="752"/>
      <c r="AV62" s="752"/>
      <c r="AW62" s="752"/>
      <c r="AX62" s="752"/>
      <c r="AY62" s="759"/>
      <c r="AZ62" s="752"/>
      <c r="BA62" s="752"/>
      <c r="BB62" s="752"/>
      <c r="BC62" s="752"/>
      <c r="BD62" s="759"/>
      <c r="BE62" s="757"/>
      <c r="BF62" s="752"/>
      <c r="BG62" s="752"/>
      <c r="BH62" s="758"/>
      <c r="BI62" s="1059">
        <f>BI63*BI66</f>
        <v>212.99654999999998</v>
      </c>
      <c r="BJ62" s="757"/>
      <c r="BK62" s="752"/>
      <c r="BL62" s="752"/>
      <c r="BM62" s="758"/>
      <c r="BN62" s="1059">
        <f>BN63*BN66</f>
        <v>266.75670000000002</v>
      </c>
      <c r="BO62" s="758"/>
      <c r="BP62" s="752"/>
      <c r="BQ62" s="752"/>
      <c r="BR62" s="760"/>
      <c r="BS62" s="1059">
        <f>BS63*BS66</f>
        <v>290.29700000000003</v>
      </c>
      <c r="BT62" s="758"/>
      <c r="BU62" s="752"/>
      <c r="BV62" s="752"/>
      <c r="BW62" s="760"/>
      <c r="BX62" s="1059">
        <f>BX63*BX66</f>
        <v>280.00960000000003</v>
      </c>
      <c r="BY62" s="758"/>
      <c r="BZ62" s="752"/>
      <c r="CA62" s="752"/>
      <c r="CB62" s="760"/>
      <c r="CC62" s="1059">
        <f>CC63*CC66</f>
        <v>266.82565</v>
      </c>
      <c r="CD62" s="758"/>
      <c r="CE62" s="752"/>
      <c r="CF62" s="752"/>
      <c r="CG62" s="760"/>
      <c r="CH62" s="1059">
        <f>CH63*CH66</f>
        <v>267.89100000000002</v>
      </c>
      <c r="CM62" s="1060">
        <f>CM63*CM66</f>
        <v>267.89100000000002</v>
      </c>
      <c r="CR62" s="761"/>
    </row>
    <row r="63" spans="1:99" s="704" customFormat="1" hidden="1" outlineLevel="1">
      <c r="A63" s="1061"/>
      <c r="AP63" s="752"/>
      <c r="AQ63" s="752"/>
      <c r="AR63" s="752"/>
      <c r="AS63" s="752"/>
      <c r="AT63" s="759"/>
      <c r="AU63" s="752"/>
      <c r="AV63" s="752"/>
      <c r="AW63" s="752"/>
      <c r="AX63" s="752"/>
      <c r="AY63" s="759"/>
      <c r="AZ63" s="752"/>
      <c r="BA63" s="752"/>
      <c r="BB63" s="752"/>
      <c r="BC63" s="752"/>
      <c r="BD63" s="759"/>
      <c r="BE63" s="757"/>
      <c r="BF63" s="752"/>
      <c r="BG63" s="752"/>
      <c r="BH63" s="758"/>
      <c r="BI63" s="1063">
        <v>0.65</v>
      </c>
      <c r="BJ63" s="757"/>
      <c r="BK63" s="752"/>
      <c r="BL63" s="752"/>
      <c r="BM63" s="758"/>
      <c r="BN63" s="1063">
        <v>0.7</v>
      </c>
      <c r="BO63" s="758"/>
      <c r="BP63" s="752"/>
      <c r="BQ63" s="752"/>
      <c r="BR63" s="760"/>
      <c r="BS63" s="1063">
        <v>0.7</v>
      </c>
      <c r="BT63" s="758"/>
      <c r="BU63" s="752"/>
      <c r="BV63" s="752"/>
      <c r="BW63" s="760"/>
      <c r="BX63" s="1063">
        <v>0.65</v>
      </c>
      <c r="BY63" s="758"/>
      <c r="BZ63" s="752"/>
      <c r="CA63" s="752"/>
      <c r="CB63" s="760"/>
      <c r="CC63" s="1063">
        <v>0.65</v>
      </c>
      <c r="CD63" s="758"/>
      <c r="CE63" s="752"/>
      <c r="CF63" s="752"/>
      <c r="CG63" s="760"/>
      <c r="CH63" s="1063">
        <v>0.65</v>
      </c>
      <c r="CM63" s="1064">
        <v>0.65</v>
      </c>
      <c r="CR63" s="761"/>
    </row>
    <row r="64" spans="1:99" s="704" customFormat="1" hidden="1" outlineLevel="1">
      <c r="A64" s="1058" t="s">
        <v>1296</v>
      </c>
      <c r="AP64" s="752"/>
      <c r="AQ64" s="752"/>
      <c r="AR64" s="752"/>
      <c r="AS64" s="752"/>
      <c r="AT64" s="759"/>
      <c r="AU64" s="752"/>
      <c r="AV64" s="752"/>
      <c r="AW64" s="752"/>
      <c r="AX64" s="752"/>
      <c r="AY64" s="759"/>
      <c r="AZ64" s="752"/>
      <c r="BA64" s="752"/>
      <c r="BB64" s="752"/>
      <c r="BC64" s="752"/>
      <c r="BD64" s="759"/>
      <c r="BE64" s="757"/>
      <c r="BF64" s="752"/>
      <c r="BG64" s="752"/>
      <c r="BH64" s="758"/>
      <c r="BI64" s="1059">
        <f>BI66-BI62</f>
        <v>114.69044999999997</v>
      </c>
      <c r="BJ64" s="757"/>
      <c r="BK64" s="752"/>
      <c r="BL64" s="752"/>
      <c r="BM64" s="758"/>
      <c r="BN64" s="1059">
        <f>BN66-BN62</f>
        <v>114.32429999999999</v>
      </c>
      <c r="BO64" s="758"/>
      <c r="BP64" s="752"/>
      <c r="BQ64" s="752"/>
      <c r="BR64" s="760"/>
      <c r="BS64" s="1059">
        <f>BS66-BS62</f>
        <v>124.41300000000001</v>
      </c>
      <c r="BT64" s="758"/>
      <c r="BU64" s="752"/>
      <c r="BV64" s="752"/>
      <c r="BW64" s="760"/>
      <c r="BX64" s="1059">
        <f>BX66-BX62</f>
        <v>150.77440000000001</v>
      </c>
      <c r="BY64" s="758"/>
      <c r="BZ64" s="752"/>
      <c r="CA64" s="752"/>
      <c r="CB64" s="760"/>
      <c r="CC64" s="1059">
        <f>CC66-CC62</f>
        <v>143.67534999999998</v>
      </c>
      <c r="CD64" s="758"/>
      <c r="CE64" s="752"/>
      <c r="CF64" s="752"/>
      <c r="CG64" s="760"/>
      <c r="CH64" s="1059">
        <f>CH66-CH62</f>
        <v>144.24899999999997</v>
      </c>
      <c r="CM64" s="1060">
        <f>CM66-CM62</f>
        <v>144.24899999999997</v>
      </c>
      <c r="CR64" s="761"/>
    </row>
    <row r="65" spans="1:97" s="704" customFormat="1" ht="13.5" hidden="1" outlineLevel="1" thickBot="1">
      <c r="A65" s="1061"/>
      <c r="AP65" s="752"/>
      <c r="AQ65" s="752"/>
      <c r="AR65" s="752"/>
      <c r="AS65" s="752"/>
      <c r="AT65" s="759"/>
      <c r="AU65" s="752"/>
      <c r="AV65" s="752"/>
      <c r="AW65" s="752"/>
      <c r="AX65" s="752"/>
      <c r="AY65" s="759"/>
      <c r="AZ65" s="752"/>
      <c r="BA65" s="752"/>
      <c r="BB65" s="752"/>
      <c r="BC65" s="752"/>
      <c r="BD65" s="759"/>
      <c r="BE65" s="757"/>
      <c r="BF65" s="752"/>
      <c r="BG65" s="752"/>
      <c r="BH65" s="758"/>
      <c r="BI65" s="1063">
        <f>BI64/BI66</f>
        <v>0.35</v>
      </c>
      <c r="BJ65" s="757"/>
      <c r="BK65" s="752"/>
      <c r="BL65" s="752"/>
      <c r="BM65" s="758"/>
      <c r="BN65" s="1063">
        <f>BN64/BN66</f>
        <v>0.3</v>
      </c>
      <c r="BO65" s="758"/>
      <c r="BP65" s="752"/>
      <c r="BQ65" s="752"/>
      <c r="BR65" s="760"/>
      <c r="BS65" s="1063">
        <f>BS64/BS66</f>
        <v>0.3</v>
      </c>
      <c r="BT65" s="758"/>
      <c r="BU65" s="752"/>
      <c r="BV65" s="752"/>
      <c r="BW65" s="760"/>
      <c r="BX65" s="1063">
        <f>BX64/BX66</f>
        <v>0.35</v>
      </c>
      <c r="BY65" s="758"/>
      <c r="BZ65" s="752"/>
      <c r="CA65" s="752"/>
      <c r="CB65" s="760"/>
      <c r="CC65" s="1063">
        <f>CC64/CC66</f>
        <v>0.35</v>
      </c>
      <c r="CD65" s="758"/>
      <c r="CE65" s="752"/>
      <c r="CF65" s="752"/>
      <c r="CG65" s="760"/>
      <c r="CH65" s="1063">
        <f>CH64/CH66</f>
        <v>0.34999999999999992</v>
      </c>
      <c r="CM65" s="1064">
        <f>CM64/CM66</f>
        <v>0.34999999999999992</v>
      </c>
      <c r="CR65" s="761"/>
    </row>
    <row r="66" spans="1:97" collapsed="1">
      <c r="A66" s="731" t="s">
        <v>127</v>
      </c>
      <c r="B66" s="731"/>
      <c r="C66" s="731"/>
      <c r="D66" s="731"/>
      <c r="E66" s="732"/>
      <c r="F66" s="731"/>
      <c r="G66" s="731"/>
      <c r="H66" s="731"/>
      <c r="I66" s="731"/>
      <c r="J66" s="732"/>
      <c r="K66" s="731"/>
      <c r="L66" s="731"/>
      <c r="M66" s="731"/>
      <c r="N66" s="731"/>
      <c r="O66" s="732"/>
      <c r="P66" s="731"/>
      <c r="Q66" s="731"/>
      <c r="R66" s="731"/>
      <c r="S66" s="731"/>
      <c r="T66" s="732"/>
      <c r="U66" s="731"/>
      <c r="V66" s="733"/>
      <c r="W66" s="733"/>
      <c r="X66" s="733"/>
      <c r="Y66" s="733"/>
      <c r="Z66" s="734"/>
      <c r="AA66" s="733"/>
      <c r="AB66" s="733"/>
      <c r="AC66" s="733"/>
      <c r="AD66" s="733"/>
      <c r="AE66" s="734"/>
      <c r="AF66" s="733"/>
      <c r="AG66" s="733"/>
      <c r="AH66" s="733"/>
      <c r="AI66" s="733"/>
      <c r="AJ66" s="733"/>
      <c r="AK66" s="733"/>
      <c r="AL66" s="735"/>
      <c r="AM66" s="735"/>
      <c r="AN66" s="732"/>
      <c r="AO66" s="736"/>
      <c r="AP66" s="737"/>
      <c r="AQ66" s="737"/>
      <c r="AR66" s="737"/>
      <c r="AS66" s="737"/>
      <c r="AT66" s="1019">
        <v>650.95399999999995</v>
      </c>
      <c r="AU66" s="1020"/>
      <c r="AV66" s="1020"/>
      <c r="AW66" s="1020"/>
      <c r="AX66" s="1020"/>
      <c r="AY66" s="1019">
        <v>605.06200000000001</v>
      </c>
      <c r="AZ66" s="1020"/>
      <c r="BA66" s="1020"/>
      <c r="BB66" s="1020"/>
      <c r="BC66" s="1020"/>
      <c r="BD66" s="1019">
        <v>583.70100000000002</v>
      </c>
      <c r="BE66" s="1021">
        <v>86.447999999999993</v>
      </c>
      <c r="BF66" s="1021">
        <v>71.900999999999996</v>
      </c>
      <c r="BG66" s="1021">
        <v>78.721999999999994</v>
      </c>
      <c r="BH66" s="1021">
        <v>90.616</v>
      </c>
      <c r="BI66" s="1019">
        <f>SUM(BE66:BH66)</f>
        <v>327.68699999999995</v>
      </c>
      <c r="BJ66" s="1021">
        <v>89.619</v>
      </c>
      <c r="BK66" s="1021">
        <v>98.685000000000002</v>
      </c>
      <c r="BL66" s="1021">
        <v>92.644999999999996</v>
      </c>
      <c r="BM66" s="1021">
        <v>100.13200000000001</v>
      </c>
      <c r="BN66" s="1019">
        <f>SUM(BJ66:BM66)</f>
        <v>381.08100000000002</v>
      </c>
      <c r="BO66" s="1021">
        <v>93.701999999999998</v>
      </c>
      <c r="BP66" s="1021">
        <v>104.086</v>
      </c>
      <c r="BQ66" s="1021">
        <v>105.562</v>
      </c>
      <c r="BR66" s="1021">
        <v>111.36</v>
      </c>
      <c r="BS66" s="1019">
        <f>SUM(BO66:BR66)</f>
        <v>414.71000000000004</v>
      </c>
      <c r="BT66" s="1021">
        <v>101.94</v>
      </c>
      <c r="BU66" s="1021">
        <v>107.34</v>
      </c>
      <c r="BV66" s="1021">
        <v>111.435</v>
      </c>
      <c r="BW66" s="1021">
        <v>110.069</v>
      </c>
      <c r="BX66" s="1019">
        <f>SUM(BT66:BW66)</f>
        <v>430.78400000000005</v>
      </c>
      <c r="BY66" s="1021">
        <v>98.872</v>
      </c>
      <c r="BZ66" s="1021">
        <v>103.98399999999999</v>
      </c>
      <c r="CA66" s="1021">
        <v>101.402</v>
      </c>
      <c r="CB66" s="1021">
        <v>106.24299999999999</v>
      </c>
      <c r="CC66" s="1019">
        <f>SUM(BY66:CB66)</f>
        <v>410.50099999999998</v>
      </c>
      <c r="CD66" s="1021">
        <v>99.789000000000001</v>
      </c>
      <c r="CE66" s="1021">
        <v>104.57</v>
      </c>
      <c r="CF66" s="1021">
        <v>101.557</v>
      </c>
      <c r="CG66" s="1021">
        <v>106.224</v>
      </c>
      <c r="CH66" s="1019">
        <f>SUM(CD66:CG66)</f>
        <v>412.14</v>
      </c>
      <c r="CI66" s="1022">
        <f>CD66*(1+CI67)</f>
        <v>99.789000000000001</v>
      </c>
      <c r="CJ66" s="1022">
        <f>CE66*(1+CJ67)</f>
        <v>104.57</v>
      </c>
      <c r="CK66" s="1022">
        <f>CF66*(1+CK67)</f>
        <v>101.557</v>
      </c>
      <c r="CL66" s="1022">
        <f>CG66*(1+CL67)</f>
        <v>106.224</v>
      </c>
      <c r="CM66" s="1023">
        <f>SUM(CI66:CL66)</f>
        <v>412.14</v>
      </c>
      <c r="CN66" s="1022">
        <f>CI66*(1+CN67)</f>
        <v>101.78478</v>
      </c>
      <c r="CO66" s="1022">
        <f>CJ66*(1+CO67)</f>
        <v>106.6614</v>
      </c>
      <c r="CP66" s="1022">
        <f>CK66*(1+CP67)</f>
        <v>103.58814000000001</v>
      </c>
      <c r="CQ66" s="1022">
        <f>CL66*(1+CQ67)</f>
        <v>108.34848000000001</v>
      </c>
      <c r="CR66" s="1023">
        <f>SUM(CN66:CQ66)</f>
        <v>420.38279999999997</v>
      </c>
    </row>
    <row r="67" spans="1:97" s="743" customFormat="1">
      <c r="A67" s="738" t="s">
        <v>98</v>
      </c>
      <c r="B67" s="739"/>
      <c r="C67" s="739"/>
      <c r="D67" s="739"/>
      <c r="E67" s="739"/>
      <c r="F67" s="739"/>
      <c r="G67" s="739"/>
      <c r="H67" s="739"/>
      <c r="I67" s="739"/>
      <c r="J67" s="739"/>
      <c r="K67" s="739"/>
      <c r="L67" s="739"/>
      <c r="M67" s="739"/>
      <c r="N67" s="739"/>
      <c r="O67" s="739"/>
      <c r="P67" s="739"/>
      <c r="Q67" s="739"/>
      <c r="R67" s="739"/>
      <c r="S67" s="739"/>
      <c r="T67" s="739"/>
      <c r="U67" s="739"/>
      <c r="V67" s="740"/>
      <c r="W67" s="741"/>
      <c r="X67" s="741"/>
      <c r="Y67" s="741"/>
      <c r="Z67" s="742"/>
      <c r="AA67" s="740"/>
      <c r="AB67" s="740"/>
      <c r="AC67" s="740"/>
      <c r="AD67" s="740"/>
      <c r="AE67" s="742"/>
      <c r="AF67" s="740"/>
      <c r="AG67" s="740"/>
      <c r="AH67" s="740"/>
      <c r="AI67" s="740"/>
      <c r="AJ67" s="740"/>
      <c r="AK67" s="740"/>
      <c r="AN67" s="739"/>
      <c r="AO67" s="744"/>
      <c r="AP67" s="745"/>
      <c r="AQ67" s="745"/>
      <c r="AR67" s="745"/>
      <c r="AS67" s="745"/>
      <c r="AT67" s="747"/>
      <c r="AU67" s="745"/>
      <c r="AV67" s="745"/>
      <c r="AW67" s="745"/>
      <c r="AX67" s="745"/>
      <c r="AY67" s="747">
        <f>AY66/AT66-1</f>
        <v>-7.0499605194837001E-2</v>
      </c>
      <c r="AZ67" s="745"/>
      <c r="BA67" s="745"/>
      <c r="BB67" s="745"/>
      <c r="BC67" s="745"/>
      <c r="BD67" s="747">
        <f>BD66/AY66-1</f>
        <v>-3.530382010438593E-2</v>
      </c>
      <c r="BE67" s="746"/>
      <c r="BF67" s="746"/>
      <c r="BG67" s="746"/>
      <c r="BH67" s="746"/>
      <c r="BI67" s="747">
        <f>BI66/BD66-1</f>
        <v>-0.43860469658266832</v>
      </c>
      <c r="BJ67" s="746">
        <f>BJ66/BE66-1</f>
        <v>3.6681010549694637E-2</v>
      </c>
      <c r="BK67" s="746">
        <f t="shared" ref="BK67" si="81">BK66/BF66-1</f>
        <v>0.37251220428088638</v>
      </c>
      <c r="BL67" s="746">
        <f t="shared" ref="BL67" si="82">BL66/BG66-1</f>
        <v>0.17686288458118438</v>
      </c>
      <c r="BM67" s="746">
        <f t="shared" ref="BM67" si="83">BM66/BH66-1</f>
        <v>0.10501456696389155</v>
      </c>
      <c r="BN67" s="747">
        <f>BN66/BI66-1</f>
        <v>0.16294207582235498</v>
      </c>
      <c r="BO67" s="746">
        <f>BO66/BJ66-1</f>
        <v>4.5559535366384241E-2</v>
      </c>
      <c r="BP67" s="746">
        <f t="shared" ref="BP67" si="84">BP66/BK66-1</f>
        <v>5.4729695495769226E-2</v>
      </c>
      <c r="BQ67" s="746">
        <f t="shared" ref="BQ67" si="85">BQ66/BL66-1</f>
        <v>0.13942468562793464</v>
      </c>
      <c r="BR67" s="746">
        <f t="shared" ref="BR67" si="86">BR66/BM66-1</f>
        <v>0.11213198577877193</v>
      </c>
      <c r="BS67" s="747">
        <f>BS66/BN66-1</f>
        <v>8.8246330832552733E-2</v>
      </c>
      <c r="BT67" s="746">
        <f>BT66/BO66-1</f>
        <v>8.7917013510917519E-2</v>
      </c>
      <c r="BU67" s="746">
        <f t="shared" ref="BU67:BV67" si="87">BU66/BP66-1</f>
        <v>3.1262609765002169E-2</v>
      </c>
      <c r="BV67" s="746">
        <f t="shared" si="87"/>
        <v>5.5635550671643275E-2</v>
      </c>
      <c r="BW67" s="746">
        <f>BW66/BR66-1</f>
        <v>-1.1593031609195337E-2</v>
      </c>
      <c r="BX67" s="747">
        <f>BX66/BS66-1</f>
        <v>3.8759615152757387E-2</v>
      </c>
      <c r="BY67" s="746">
        <f>BY66/BT66-1</f>
        <v>-3.0096134981361544E-2</v>
      </c>
      <c r="BZ67" s="746">
        <f t="shared" ref="BZ67:CA67" si="88">BZ66/BU66-1</f>
        <v>-3.1265138811254034E-2</v>
      </c>
      <c r="CA67" s="746">
        <f t="shared" si="88"/>
        <v>-9.003454928882304E-2</v>
      </c>
      <c r="CB67" s="746">
        <f>CB66/BW66-1</f>
        <v>-3.4760014172927955E-2</v>
      </c>
      <c r="CC67" s="747">
        <f>CC66/BX66-1</f>
        <v>-4.7083921408409002E-2</v>
      </c>
      <c r="CD67" s="746">
        <f>CD66/BY66-1</f>
        <v>9.2746176875151409E-3</v>
      </c>
      <c r="CE67" s="746">
        <f t="shared" ref="CE67:CF67" si="89">CE66/BZ66-1</f>
        <v>5.6354823819049216E-3</v>
      </c>
      <c r="CF67" s="746">
        <f t="shared" si="89"/>
        <v>1.5285694562237051E-3</v>
      </c>
      <c r="CG67" s="746">
        <f>CG66/CB66-1</f>
        <v>-1.7883531150275633E-4</v>
      </c>
      <c r="CH67" s="747">
        <f>CH66/CC66-1</f>
        <v>3.9926821128328793E-3</v>
      </c>
      <c r="CI67" s="748">
        <v>0</v>
      </c>
      <c r="CJ67" s="748">
        <v>0</v>
      </c>
      <c r="CK67" s="748">
        <v>0</v>
      </c>
      <c r="CL67" s="748">
        <v>0</v>
      </c>
      <c r="CM67" s="749">
        <f>CM66/CH66-1</f>
        <v>0</v>
      </c>
      <c r="CN67" s="748">
        <v>0.02</v>
      </c>
      <c r="CO67" s="748">
        <v>0.02</v>
      </c>
      <c r="CP67" s="748">
        <v>0.02</v>
      </c>
      <c r="CQ67" s="748">
        <v>0.02</v>
      </c>
      <c r="CR67" s="749">
        <f>CR66/CM66-1</f>
        <v>2.0000000000000018E-2</v>
      </c>
    </row>
    <row r="68" spans="1:97" s="743" customFormat="1">
      <c r="A68" s="738" t="s">
        <v>99</v>
      </c>
      <c r="B68" s="739"/>
      <c r="C68" s="739"/>
      <c r="D68" s="739"/>
      <c r="E68" s="739"/>
      <c r="F68" s="739"/>
      <c r="G68" s="739"/>
      <c r="H68" s="739"/>
      <c r="I68" s="739"/>
      <c r="J68" s="739"/>
      <c r="K68" s="739"/>
      <c r="L68" s="739"/>
      <c r="M68" s="739"/>
      <c r="N68" s="739"/>
      <c r="O68" s="739"/>
      <c r="P68" s="739"/>
      <c r="Q68" s="739"/>
      <c r="R68" s="739"/>
      <c r="S68" s="739"/>
      <c r="T68" s="739"/>
      <c r="U68" s="739"/>
      <c r="V68" s="740"/>
      <c r="W68" s="741"/>
      <c r="X68" s="741"/>
      <c r="Y68" s="741"/>
      <c r="Z68" s="742"/>
      <c r="AA68" s="740"/>
      <c r="AB68" s="740"/>
      <c r="AC68" s="740"/>
      <c r="AD68" s="740"/>
      <c r="AE68" s="742"/>
      <c r="AF68" s="740"/>
      <c r="AG68" s="740"/>
      <c r="AH68" s="740"/>
      <c r="AI68" s="740"/>
      <c r="AJ68" s="740"/>
      <c r="AK68" s="740"/>
      <c r="AN68" s="739"/>
      <c r="AO68" s="744"/>
      <c r="AP68" s="745"/>
      <c r="AQ68" s="745"/>
      <c r="AR68" s="745"/>
      <c r="AS68" s="745"/>
      <c r="AT68" s="747">
        <f>AT66/AT77</f>
        <v>0.27570810317209554</v>
      </c>
      <c r="AU68" s="745"/>
      <c r="AV68" s="745"/>
      <c r="AW68" s="745"/>
      <c r="AX68" s="745"/>
      <c r="AY68" s="747">
        <f>AY66/AY77</f>
        <v>0.25087205385111339</v>
      </c>
      <c r="AZ68" s="745"/>
      <c r="BA68" s="745"/>
      <c r="BB68" s="745"/>
      <c r="BC68" s="745"/>
      <c r="BD68" s="747">
        <f>BD66/BD77</f>
        <v>0.23461018882530713</v>
      </c>
      <c r="BE68" s="746">
        <f>BE66/BE77</f>
        <v>0.14378500110606404</v>
      </c>
      <c r="BF68" s="746">
        <f t="shared" ref="BF68:BH68" si="90">BF66/BF77</f>
        <v>0.13497389727484171</v>
      </c>
      <c r="BG68" s="746">
        <f t="shared" si="90"/>
        <v>0.14314600448774598</v>
      </c>
      <c r="BH68" s="746">
        <f t="shared" si="90"/>
        <v>0.14126391733934457</v>
      </c>
      <c r="BI68" s="747">
        <f>BI66/BI77</f>
        <v>0.1409199162961835</v>
      </c>
      <c r="BJ68" s="746">
        <f>BJ66/BJ77</f>
        <v>0.15190768140728897</v>
      </c>
      <c r="BK68" s="746">
        <f t="shared" ref="BK68:BM68" si="91">BK66/BK77</f>
        <v>0.16194408387582729</v>
      </c>
      <c r="BL68" s="746">
        <f t="shared" si="91"/>
        <v>0.15092547642242515</v>
      </c>
      <c r="BM68" s="746">
        <f t="shared" si="91"/>
        <v>0.15280352938124431</v>
      </c>
      <c r="BN68" s="747">
        <f>BN66/BN77</f>
        <v>0.15437887055146104</v>
      </c>
      <c r="BO68" s="746">
        <f>BO66/BO77</f>
        <v>0.16748620547276752</v>
      </c>
      <c r="BP68" s="746">
        <f t="shared" ref="BP68:BR68" si="92">BP66/BP77</f>
        <v>0.17081284042031192</v>
      </c>
      <c r="BQ68" s="746">
        <f t="shared" si="92"/>
        <v>0.16741443486011265</v>
      </c>
      <c r="BR68" s="746">
        <f t="shared" si="92"/>
        <v>0.14697788600502862</v>
      </c>
      <c r="BS68" s="747">
        <f>BS66/BS77</f>
        <v>0.16218450653219799</v>
      </c>
      <c r="BT68" s="746">
        <f>BT66/BT77</f>
        <v>0.16158894207906666</v>
      </c>
      <c r="BU68" s="746">
        <f t="shared" ref="BU68:BV68" si="93">BU66/BU77</f>
        <v>0.15238587385504743</v>
      </c>
      <c r="BV68" s="746">
        <f t="shared" si="93"/>
        <v>0.15384647244472793</v>
      </c>
      <c r="BW68" s="746">
        <f>BW66/BW77</f>
        <v>0.14007414185196829</v>
      </c>
      <c r="BX68" s="747">
        <f>BX66/BX77</f>
        <v>0.15139807680750467</v>
      </c>
      <c r="BY68" s="746">
        <f>BY66/BY77</f>
        <v>0.13863793473337943</v>
      </c>
      <c r="BZ68" s="746">
        <f t="shared" ref="BZ68:CA68" si="94">BZ66/BZ77</f>
        <v>0.13249897106363351</v>
      </c>
      <c r="CA68" s="746">
        <f t="shared" si="94"/>
        <v>0.12692416493307199</v>
      </c>
      <c r="CB68" s="746">
        <f>CB66/CB77</f>
        <v>0.12888672142741894</v>
      </c>
      <c r="CC68" s="747">
        <f>CC66/CC77</f>
        <v>0.1315207121388676</v>
      </c>
      <c r="CD68" s="746">
        <f>CD66/CD77</f>
        <v>0.12386224701946888</v>
      </c>
      <c r="CE68" s="746">
        <f t="shared" ref="CE68:CF68" si="95">CE66/CE77</f>
        <v>0.11929370642134851</v>
      </c>
      <c r="CF68" s="746">
        <f t="shared" si="95"/>
        <v>0.11684365544139812</v>
      </c>
      <c r="CG68" s="746">
        <f>CG66/CG77</f>
        <v>0.11217120512449563</v>
      </c>
      <c r="CH68" s="747">
        <f>CH66/CH77</f>
        <v>0.11780908376810698</v>
      </c>
      <c r="CI68" s="750"/>
      <c r="CJ68" s="750"/>
      <c r="CK68" s="750"/>
      <c r="CL68" s="750"/>
      <c r="CM68" s="749">
        <f>CM66/CM77</f>
        <v>0.11022491646405431</v>
      </c>
      <c r="CN68" s="750"/>
      <c r="CO68" s="750"/>
      <c r="CP68" s="750"/>
      <c r="CQ68" s="750"/>
      <c r="CR68" s="749">
        <f>CR66/CR77</f>
        <v>0.10620939093597098</v>
      </c>
    </row>
    <row r="69" spans="1:97" s="819" customFormat="1">
      <c r="A69" s="751" t="s">
        <v>100</v>
      </c>
      <c r="AP69" s="757"/>
      <c r="AQ69" s="757"/>
      <c r="AR69" s="757"/>
      <c r="AS69" s="757"/>
      <c r="AT69" s="818"/>
      <c r="AU69" s="757"/>
      <c r="AV69" s="757"/>
      <c r="AW69" s="757"/>
      <c r="AX69" s="757"/>
      <c r="AY69" s="818"/>
      <c r="AZ69" s="757"/>
      <c r="BA69" s="757"/>
      <c r="BB69" s="757"/>
      <c r="BC69" s="757"/>
      <c r="BD69" s="818"/>
      <c r="BE69" s="757"/>
      <c r="BF69" s="757"/>
      <c r="BG69" s="757"/>
      <c r="BH69" s="758" t="s">
        <v>103</v>
      </c>
      <c r="BI69" s="822" t="str">
        <f>BH69</f>
        <v>9-11%</v>
      </c>
      <c r="BJ69" s="757"/>
      <c r="BK69" s="757" t="s">
        <v>128</v>
      </c>
      <c r="BL69" s="757"/>
      <c r="BM69" s="758"/>
      <c r="BN69" s="818"/>
      <c r="BO69" s="758" t="s">
        <v>107</v>
      </c>
      <c r="BP69" s="757"/>
      <c r="BQ69" s="757"/>
      <c r="BR69" s="760" t="s">
        <v>101</v>
      </c>
      <c r="BS69" s="756" t="str">
        <f>BR69</f>
        <v>2-4%</v>
      </c>
      <c r="BT69" s="760" t="s">
        <v>101</v>
      </c>
      <c r="BU69" s="757" t="s">
        <v>104</v>
      </c>
      <c r="BV69" s="757" t="s">
        <v>104</v>
      </c>
      <c r="BW69" s="757" t="s">
        <v>118</v>
      </c>
      <c r="BX69" s="756" t="str">
        <f>BW69</f>
        <v>1-3%</v>
      </c>
      <c r="BY69" s="983" t="s">
        <v>118</v>
      </c>
      <c r="BZ69" s="983">
        <v>0</v>
      </c>
      <c r="CA69" s="983" t="s">
        <v>129</v>
      </c>
      <c r="CB69" s="983">
        <v>0</v>
      </c>
      <c r="CC69" s="756">
        <f>CB69</f>
        <v>0</v>
      </c>
      <c r="CD69" s="983">
        <v>0</v>
      </c>
      <c r="CE69" s="983">
        <v>0</v>
      </c>
      <c r="CF69" s="983">
        <v>0</v>
      </c>
      <c r="CG69" s="983">
        <v>0</v>
      </c>
      <c r="CH69" s="756">
        <f>CG69</f>
        <v>0</v>
      </c>
      <c r="CM69" s="820"/>
      <c r="CR69" s="820"/>
    </row>
    <row r="70" spans="1:97" s="704" customFormat="1" ht="12" customHeight="1" thickBot="1">
      <c r="A70" s="751"/>
      <c r="AP70" s="752"/>
      <c r="AQ70" s="752"/>
      <c r="AR70" s="752"/>
      <c r="AS70" s="752"/>
      <c r="AT70" s="759"/>
      <c r="AU70" s="752"/>
      <c r="AV70" s="752"/>
      <c r="AW70" s="752"/>
      <c r="AX70" s="752"/>
      <c r="AY70" s="759"/>
      <c r="AZ70" s="752"/>
      <c r="BA70" s="752"/>
      <c r="BB70" s="752"/>
      <c r="BC70" s="752"/>
      <c r="BD70" s="759"/>
      <c r="BE70" s="757"/>
      <c r="BF70" s="752"/>
      <c r="BG70" s="752"/>
      <c r="BH70" s="758"/>
      <c r="BI70" s="759"/>
      <c r="BJ70" s="757"/>
      <c r="BK70" s="752"/>
      <c r="BL70" s="752"/>
      <c r="BM70" s="758"/>
      <c r="BN70" s="759"/>
      <c r="BO70" s="758"/>
      <c r="BP70" s="752"/>
      <c r="BQ70" s="752"/>
      <c r="BR70" s="760"/>
      <c r="BS70" s="759"/>
      <c r="BT70" s="758"/>
      <c r="BU70" s="752"/>
      <c r="BV70" s="752"/>
      <c r="BW70" s="760"/>
      <c r="BX70" s="759"/>
      <c r="BY70" s="758"/>
      <c r="BZ70" s="752"/>
      <c r="CA70" s="752"/>
      <c r="CB70" s="760"/>
      <c r="CC70" s="759"/>
      <c r="CD70" s="758"/>
      <c r="CE70" s="752"/>
      <c r="CF70" s="752"/>
      <c r="CG70" s="760"/>
      <c r="CH70" s="759"/>
      <c r="CM70" s="761"/>
      <c r="CR70" s="761"/>
    </row>
    <row r="71" spans="1:97" s="704" customFormat="1">
      <c r="A71" s="807" t="s">
        <v>130</v>
      </c>
      <c r="B71" s="807"/>
      <c r="C71" s="807"/>
      <c r="D71" s="807"/>
      <c r="E71" s="809"/>
      <c r="F71" s="807"/>
      <c r="G71" s="807"/>
      <c r="H71" s="807"/>
      <c r="I71" s="807"/>
      <c r="J71" s="809"/>
      <c r="K71" s="807"/>
      <c r="L71" s="807"/>
      <c r="M71" s="807"/>
      <c r="N71" s="807"/>
      <c r="O71" s="809"/>
      <c r="P71" s="807"/>
      <c r="Q71" s="807"/>
      <c r="R71" s="807"/>
      <c r="S71" s="807"/>
      <c r="T71" s="809"/>
      <c r="U71" s="807"/>
      <c r="V71" s="810"/>
      <c r="W71" s="810"/>
      <c r="X71" s="810"/>
      <c r="Y71" s="810"/>
      <c r="Z71" s="811"/>
      <c r="AA71" s="810"/>
      <c r="AB71" s="810"/>
      <c r="AC71" s="810"/>
      <c r="AD71" s="810"/>
      <c r="AE71" s="811"/>
      <c r="AF71" s="810"/>
      <c r="AG71" s="810"/>
      <c r="AH71" s="810"/>
      <c r="AI71" s="810"/>
      <c r="AJ71" s="810"/>
      <c r="AK71" s="810"/>
      <c r="AL71" s="812"/>
      <c r="AM71" s="812"/>
      <c r="AN71" s="809"/>
      <c r="AO71" s="813"/>
      <c r="AP71" s="808"/>
      <c r="AQ71" s="808"/>
      <c r="AR71" s="808"/>
      <c r="AS71" s="808"/>
      <c r="AT71" s="1016">
        <f>AT57+AT66</f>
        <v>1074.701</v>
      </c>
      <c r="AU71" s="1014"/>
      <c r="AV71" s="1014"/>
      <c r="AW71" s="1014"/>
      <c r="AX71" s="1014"/>
      <c r="AY71" s="1016">
        <f>AY57+AY66</f>
        <v>1036.855</v>
      </c>
      <c r="AZ71" s="1015"/>
      <c r="BA71" s="1015"/>
      <c r="BB71" s="1015"/>
      <c r="BC71" s="1015"/>
      <c r="BD71" s="1016">
        <f>BD57+BD66</f>
        <v>975.87400000000002</v>
      </c>
      <c r="BE71" s="1015">
        <f>BE57+BE66</f>
        <v>210.374</v>
      </c>
      <c r="BF71" s="1015">
        <f>BF57+BF66</f>
        <v>178.85300000000001</v>
      </c>
      <c r="BG71" s="1015">
        <f>BG57+BG66</f>
        <v>186.745</v>
      </c>
      <c r="BH71" s="1015">
        <f>BH57+BH66</f>
        <v>207.46600000000001</v>
      </c>
      <c r="BI71" s="1016">
        <f>SUM(BE71:BH71)</f>
        <v>783.43799999999999</v>
      </c>
      <c r="BJ71" s="1015">
        <f>BJ57+BJ66</f>
        <v>189.54000000000002</v>
      </c>
      <c r="BK71" s="1015">
        <f>BK57+BK66</f>
        <v>216.60399999999998</v>
      </c>
      <c r="BL71" s="1015">
        <f>BL57+BL66</f>
        <v>197.90899999999999</v>
      </c>
      <c r="BM71" s="1015">
        <f>BM57+BM66</f>
        <v>220.64699999999999</v>
      </c>
      <c r="BN71" s="1016">
        <f>SUM(BJ71:BM71)</f>
        <v>824.7</v>
      </c>
      <c r="BO71" s="1015">
        <f>BO57+BO66</f>
        <v>198.49</v>
      </c>
      <c r="BP71" s="1015">
        <f>BP57+BP66</f>
        <v>229.441</v>
      </c>
      <c r="BQ71" s="1015">
        <f>BQ57+BQ66</f>
        <v>216.12099999999998</v>
      </c>
      <c r="BR71" s="1015">
        <f>BR57+BR66</f>
        <v>242.95800000000003</v>
      </c>
      <c r="BS71" s="1016">
        <f>SUM(BO71:BR71)</f>
        <v>887.01</v>
      </c>
      <c r="BT71" s="1015">
        <f>BT57+BT66</f>
        <v>222.279</v>
      </c>
      <c r="BU71" s="1015">
        <f>BU57+BU66</f>
        <v>238.34</v>
      </c>
      <c r="BV71" s="1015">
        <f>BV57+BV66</f>
        <v>233.553</v>
      </c>
      <c r="BW71" s="1015">
        <f>BW57+BW66</f>
        <v>246.61</v>
      </c>
      <c r="BX71" s="1016">
        <f>SUM(BT71:BW71)</f>
        <v>940.78200000000004</v>
      </c>
      <c r="BY71" s="1015">
        <f>BY57+BY66</f>
        <v>222.911</v>
      </c>
      <c r="BZ71" s="1015">
        <f>BZ57+BZ66</f>
        <v>242.58499999999998</v>
      </c>
      <c r="CA71" s="1015">
        <f>CA57+CA66</f>
        <v>232.77800000000002</v>
      </c>
      <c r="CB71" s="1015">
        <f>CB57+CB66</f>
        <v>253.01499999999999</v>
      </c>
      <c r="CC71" s="1016">
        <f>SUM(BY71:CB71)</f>
        <v>951.28899999999999</v>
      </c>
      <c r="CD71" s="1015">
        <f>CD57+CD66</f>
        <v>242.72300000000001</v>
      </c>
      <c r="CE71" s="1015">
        <f>CE57+CE66</f>
        <v>268.04300000000001</v>
      </c>
      <c r="CF71" s="1015">
        <f>CF57+CF66</f>
        <v>251.45699999999999</v>
      </c>
      <c r="CG71" s="1015">
        <f>CG57+CG66</f>
        <v>285.05700000000002</v>
      </c>
      <c r="CH71" s="1016">
        <f>SUM(CD71:CG71)</f>
        <v>1047.28</v>
      </c>
      <c r="CI71" s="1017">
        <f>CI57+CI66</f>
        <v>265.59244000000001</v>
      </c>
      <c r="CJ71" s="1017">
        <f>CJ57+CJ66</f>
        <v>289.29449</v>
      </c>
      <c r="CK71" s="1017">
        <f>CK57+CK66</f>
        <v>272.44300000000004</v>
      </c>
      <c r="CL71" s="1017">
        <f>CL57+CL66</f>
        <v>302.94030000000004</v>
      </c>
      <c r="CM71" s="1018">
        <f>SUM(CI71:CL71)</f>
        <v>1130.2702300000001</v>
      </c>
      <c r="CN71" s="1017">
        <f>CN57+CN66</f>
        <v>282.51052959999998</v>
      </c>
      <c r="CO71" s="1017">
        <f>CO57+CO66</f>
        <v>308.01109410000004</v>
      </c>
      <c r="CP71" s="1017">
        <f>CP57+CP66</f>
        <v>289.85388000000006</v>
      </c>
      <c r="CQ71" s="1017">
        <f>CQ57+CQ66</f>
        <v>322.76924700000006</v>
      </c>
      <c r="CR71" s="1018">
        <f>SUM(CN71:CQ71)</f>
        <v>1203.1447507000003</v>
      </c>
      <c r="CS71" s="1024"/>
    </row>
    <row r="72" spans="1:97" s="743" customFormat="1">
      <c r="A72" s="738" t="s">
        <v>98</v>
      </c>
      <c r="B72" s="739"/>
      <c r="C72" s="739"/>
      <c r="D72" s="739"/>
      <c r="E72" s="739"/>
      <c r="F72" s="739"/>
      <c r="G72" s="739"/>
      <c r="H72" s="739"/>
      <c r="I72" s="739"/>
      <c r="J72" s="739"/>
      <c r="K72" s="739"/>
      <c r="L72" s="739"/>
      <c r="M72" s="739"/>
      <c r="N72" s="739"/>
      <c r="O72" s="739"/>
      <c r="P72" s="739"/>
      <c r="Q72" s="739"/>
      <c r="R72" s="739"/>
      <c r="S72" s="739"/>
      <c r="T72" s="739"/>
      <c r="U72" s="739"/>
      <c r="V72" s="740"/>
      <c r="W72" s="741"/>
      <c r="X72" s="741"/>
      <c r="Y72" s="741"/>
      <c r="Z72" s="742"/>
      <c r="AA72" s="740"/>
      <c r="AB72" s="740"/>
      <c r="AC72" s="740"/>
      <c r="AD72" s="740"/>
      <c r="AE72" s="742"/>
      <c r="AF72" s="740"/>
      <c r="AG72" s="740"/>
      <c r="AH72" s="740"/>
      <c r="AI72" s="740"/>
      <c r="AJ72" s="740"/>
      <c r="AK72" s="740"/>
      <c r="AN72" s="739"/>
      <c r="AO72" s="744"/>
      <c r="AP72" s="745"/>
      <c r="AQ72" s="745"/>
      <c r="AR72" s="745"/>
      <c r="AS72" s="745"/>
      <c r="AT72" s="747"/>
      <c r="AU72" s="745"/>
      <c r="AV72" s="745"/>
      <c r="AW72" s="745"/>
      <c r="AX72" s="745"/>
      <c r="AY72" s="747">
        <f>AY71/AT71-1</f>
        <v>-3.5215376183701297E-2</v>
      </c>
      <c r="AZ72" s="745"/>
      <c r="BA72" s="745"/>
      <c r="BB72" s="745"/>
      <c r="BC72" s="745"/>
      <c r="BD72" s="747">
        <f>BD71/AY71-1</f>
        <v>-5.8813431000477423E-2</v>
      </c>
      <c r="BE72" s="746"/>
      <c r="BF72" s="746"/>
      <c r="BG72" s="746"/>
      <c r="BH72" s="746"/>
      <c r="BI72" s="747">
        <f>BI71/BD71-1</f>
        <v>-0.19719349014319476</v>
      </c>
      <c r="BJ72" s="746">
        <f>BJ71/BE71-1</f>
        <v>-9.9033150484375332E-2</v>
      </c>
      <c r="BK72" s="746">
        <f t="shared" ref="BK72" si="96">BK71/BF71-1</f>
        <v>0.21107278043980249</v>
      </c>
      <c r="BL72" s="746">
        <f t="shared" ref="BL72" si="97">BL71/BG71-1</f>
        <v>5.978205574446438E-2</v>
      </c>
      <c r="BM72" s="746">
        <f t="shared" ref="BM72" si="98">BM71/BH71-1</f>
        <v>6.3533301842229495E-2</v>
      </c>
      <c r="BN72" s="747">
        <f>BN71/BI71-1</f>
        <v>5.2667856294946302E-2</v>
      </c>
      <c r="BO72" s="746">
        <f>BO71/BJ71-1</f>
        <v>4.7219584256621205E-2</v>
      </c>
      <c r="BP72" s="746">
        <f t="shared" ref="BP72" si="99">BP71/BK71-1</f>
        <v>5.9264833521079918E-2</v>
      </c>
      <c r="BQ72" s="746">
        <f t="shared" ref="BQ72" si="100">BQ71/BL71-1</f>
        <v>9.2022090960997227E-2</v>
      </c>
      <c r="BR72" s="746">
        <f t="shared" ref="BR72" si="101">BR71/BM71-1</f>
        <v>0.10111626262763607</v>
      </c>
      <c r="BS72" s="747">
        <f>BS71/BN71-1</f>
        <v>7.5554747180792914E-2</v>
      </c>
      <c r="BT72" s="746">
        <f>BT71/BO71-1</f>
        <v>0.11984986649201468</v>
      </c>
      <c r="BU72" s="746">
        <f t="shared" ref="BU72:BV72" si="102">BU71/BP71-1</f>
        <v>3.8785570146573578E-2</v>
      </c>
      <c r="BV72" s="746">
        <f t="shared" si="102"/>
        <v>8.065851999574325E-2</v>
      </c>
      <c r="BW72" s="746">
        <f>BW71/BR71-1</f>
        <v>1.5031404604911147E-2</v>
      </c>
      <c r="BX72" s="747">
        <f>BX71/BS71-1</f>
        <v>6.0621638989413862E-2</v>
      </c>
      <c r="BY72" s="746">
        <f>BY71/BT71-1</f>
        <v>2.8432735436096923E-3</v>
      </c>
      <c r="BZ72" s="746">
        <f t="shared" ref="BZ72:CA72" si="103">BZ71/BU71-1</f>
        <v>1.7810690610052804E-2</v>
      </c>
      <c r="CA72" s="746">
        <f t="shared" si="103"/>
        <v>-3.3183046246461068E-3</v>
      </c>
      <c r="CB72" s="746">
        <f>CB71/BW71-1</f>
        <v>2.5972182798750909E-2</v>
      </c>
      <c r="CC72" s="747">
        <f>CC71/BX71-1</f>
        <v>1.1168368442423304E-2</v>
      </c>
      <c r="CD72" s="746">
        <f>CD71/BY71-1</f>
        <v>8.8878521024085888E-2</v>
      </c>
      <c r="CE72" s="746">
        <f t="shared" ref="CE72:CF72" si="104">CE71/BZ71-1</f>
        <v>0.10494465857328361</v>
      </c>
      <c r="CF72" s="746">
        <f t="shared" si="104"/>
        <v>8.0243837476050128E-2</v>
      </c>
      <c r="CG72" s="746">
        <f>CG71/CB71-1</f>
        <v>0.1266407130012055</v>
      </c>
      <c r="CH72" s="747">
        <f>CH71/CC71-1</f>
        <v>0.10090624405412019</v>
      </c>
      <c r="CI72" s="750">
        <f t="shared" ref="CI72:CR72" si="105">CI71/CD71-1</f>
        <v>9.4220325226698654E-2</v>
      </c>
      <c r="CJ72" s="750">
        <f t="shared" si="105"/>
        <v>7.9283883555996582E-2</v>
      </c>
      <c r="CK72" s="750">
        <f t="shared" si="105"/>
        <v>8.3457609054431003E-2</v>
      </c>
      <c r="CL72" s="750">
        <f t="shared" si="105"/>
        <v>6.2735873877856063E-2</v>
      </c>
      <c r="CM72" s="749">
        <f t="shared" si="105"/>
        <v>7.9243592926438122E-2</v>
      </c>
      <c r="CN72" s="750">
        <f t="shared" si="105"/>
        <v>6.3699439637664224E-2</v>
      </c>
      <c r="CO72" s="750">
        <f t="shared" si="105"/>
        <v>6.4697409549694607E-2</v>
      </c>
      <c r="CP72" s="750">
        <f t="shared" si="105"/>
        <v>6.3906505213934706E-2</v>
      </c>
      <c r="CQ72" s="750">
        <f t="shared" si="105"/>
        <v>6.5454965879415905E-2</v>
      </c>
      <c r="CR72" s="749">
        <f t="shared" si="105"/>
        <v>6.4475307555433181E-2</v>
      </c>
    </row>
    <row r="73" spans="1:97" s="743" customFormat="1">
      <c r="A73" s="738" t="s">
        <v>99</v>
      </c>
      <c r="B73" s="739"/>
      <c r="C73" s="739"/>
      <c r="D73" s="739"/>
      <c r="E73" s="739"/>
      <c r="F73" s="739"/>
      <c r="G73" s="739"/>
      <c r="H73" s="739"/>
      <c r="I73" s="739"/>
      <c r="J73" s="739"/>
      <c r="K73" s="739"/>
      <c r="L73" s="739"/>
      <c r="M73" s="739"/>
      <c r="N73" s="739"/>
      <c r="O73" s="739"/>
      <c r="P73" s="739"/>
      <c r="Q73" s="739"/>
      <c r="R73" s="739"/>
      <c r="S73" s="739"/>
      <c r="T73" s="739"/>
      <c r="U73" s="739"/>
      <c r="V73" s="740"/>
      <c r="W73" s="741"/>
      <c r="X73" s="741"/>
      <c r="Y73" s="741"/>
      <c r="Z73" s="742"/>
      <c r="AA73" s="740"/>
      <c r="AB73" s="740"/>
      <c r="AC73" s="740"/>
      <c r="AD73" s="740"/>
      <c r="AE73" s="742"/>
      <c r="AF73" s="740"/>
      <c r="AG73" s="740"/>
      <c r="AH73" s="740"/>
      <c r="AI73" s="740"/>
      <c r="AJ73" s="740"/>
      <c r="AK73" s="740"/>
      <c r="AN73" s="739"/>
      <c r="AO73" s="744"/>
      <c r="AP73" s="745"/>
      <c r="AQ73" s="745"/>
      <c r="AR73" s="745"/>
      <c r="AS73" s="745"/>
      <c r="AT73" s="747">
        <f>AT71/AT77</f>
        <v>0.45518389039341373</v>
      </c>
      <c r="AU73" s="745"/>
      <c r="AV73" s="745"/>
      <c r="AW73" s="745"/>
      <c r="AX73" s="745"/>
      <c r="AY73" s="747">
        <f>AY71/AY77</f>
        <v>0.42990295770647663</v>
      </c>
      <c r="AZ73" s="745"/>
      <c r="BA73" s="745"/>
      <c r="BB73" s="745"/>
      <c r="BC73" s="745"/>
      <c r="BD73" s="747">
        <f>BD71/BD77</f>
        <v>0.39223846354504749</v>
      </c>
      <c r="BE73" s="746">
        <f>BE71/BE77</f>
        <v>0.34990544399739865</v>
      </c>
      <c r="BF73" s="746">
        <f t="shared" ref="BF73:BH73" si="106">BF71/BF77</f>
        <v>0.33574618502242343</v>
      </c>
      <c r="BG73" s="746">
        <f t="shared" si="106"/>
        <v>0.33957217306552329</v>
      </c>
      <c r="BH73" s="746">
        <f t="shared" si="106"/>
        <v>0.32342478011305353</v>
      </c>
      <c r="BI73" s="747">
        <f>BI71/BI77</f>
        <v>0.33691302182646682</v>
      </c>
      <c r="BJ73" s="746">
        <f>BJ71/BJ77</f>
        <v>0.32127765243907602</v>
      </c>
      <c r="BK73" s="746">
        <f t="shared" ref="BK73:BM73" si="107">BK71/BK77</f>
        <v>0.35545155133849815</v>
      </c>
      <c r="BL73" s="746">
        <f t="shared" si="107"/>
        <v>0.32240822616747522</v>
      </c>
      <c r="BM73" s="746">
        <f t="shared" si="107"/>
        <v>0.33671194370813934</v>
      </c>
      <c r="BN73" s="747">
        <f>BN71/BN77</f>
        <v>0.3340923702409459</v>
      </c>
      <c r="BO73" s="746">
        <f>BO71/BO77</f>
        <v>0.35478791193666764</v>
      </c>
      <c r="BP73" s="746">
        <f t="shared" ref="BP73:BR73" si="108">BP71/BP77</f>
        <v>0.37652968621021832</v>
      </c>
      <c r="BQ73" s="746">
        <f t="shared" si="108"/>
        <v>0.34275378522955613</v>
      </c>
      <c r="BR73" s="746">
        <f t="shared" si="108"/>
        <v>0.32066678545267374</v>
      </c>
      <c r="BS73" s="747">
        <f>BS71/BS77</f>
        <v>0.34689127134413184</v>
      </c>
      <c r="BT73" s="746">
        <f>BT71/BT77</f>
        <v>0.35234283359223917</v>
      </c>
      <c r="BU73" s="746">
        <f t="shared" ref="BU73:BV73" si="109">BU71/BU77</f>
        <v>0.33836080840890631</v>
      </c>
      <c r="BV73" s="746">
        <f t="shared" si="109"/>
        <v>0.32244182867935156</v>
      </c>
      <c r="BW73" s="746">
        <f>BW71/BW77</f>
        <v>0.31383663085985974</v>
      </c>
      <c r="BX73" s="747">
        <f>BX71/BX77</f>
        <v>0.33063573738838453</v>
      </c>
      <c r="BY73" s="746">
        <f>BY71/BY77</f>
        <v>0.31256493920778727</v>
      </c>
      <c r="BZ73" s="746">
        <f t="shared" ref="BZ73:CA73" si="110">BZ71/BZ77</f>
        <v>0.30910777519110183</v>
      </c>
      <c r="CA73" s="746">
        <f t="shared" si="110"/>
        <v>0.29136657329037524</v>
      </c>
      <c r="CB73" s="746">
        <f>CB71/CB77</f>
        <v>0.30694044616547356</v>
      </c>
      <c r="CC73" s="747">
        <f>CC71/CC77</f>
        <v>0.30478417039147582</v>
      </c>
      <c r="CD73" s="746">
        <f>CD71/CD77</f>
        <v>0.30127785811368535</v>
      </c>
      <c r="CE73" s="746">
        <f t="shared" ref="CE73:CF73" si="111">CE71/CE77</f>
        <v>0.30578409630197495</v>
      </c>
      <c r="CF73" s="746">
        <f t="shared" si="111"/>
        <v>0.28930704004970259</v>
      </c>
      <c r="CG73" s="746">
        <f>CG71/CG77</f>
        <v>0.30101659906587358</v>
      </c>
      <c r="CH73" s="747">
        <f>CH71/CH77</f>
        <v>0.29936210328690027</v>
      </c>
      <c r="CI73" s="750"/>
      <c r="CJ73" s="750"/>
      <c r="CK73" s="750"/>
      <c r="CL73" s="750"/>
      <c r="CM73" s="749">
        <f>CM71/CM77</f>
        <v>0.30228548959954743</v>
      </c>
      <c r="CN73" s="750"/>
      <c r="CO73" s="750"/>
      <c r="CP73" s="750"/>
      <c r="CQ73" s="750"/>
      <c r="CR73" s="749">
        <f>CR71/CR77</f>
        <v>0.30397359544600228</v>
      </c>
    </row>
    <row r="74" spans="1:97" s="819" customFormat="1">
      <c r="A74" s="751" t="s">
        <v>100</v>
      </c>
      <c r="AP74" s="757"/>
      <c r="AQ74" s="757"/>
      <c r="AR74" s="757"/>
      <c r="AS74" s="757"/>
      <c r="AT74" s="818"/>
      <c r="AU74" s="757"/>
      <c r="AV74" s="757"/>
      <c r="AW74" s="757"/>
      <c r="AX74" s="757"/>
      <c r="AY74" s="818"/>
      <c r="AZ74" s="757"/>
      <c r="BA74" s="757"/>
      <c r="BB74" s="757"/>
      <c r="BC74" s="757"/>
      <c r="BD74" s="818"/>
      <c r="BE74" s="757"/>
      <c r="BF74" s="757"/>
      <c r="BG74" s="757"/>
      <c r="BH74" s="758" t="s">
        <v>107</v>
      </c>
      <c r="BI74" s="822" t="str">
        <f>BH74</f>
        <v>6-8%</v>
      </c>
      <c r="BJ74" s="757"/>
      <c r="BK74" s="757"/>
      <c r="BL74" s="757"/>
      <c r="BM74" s="758" t="s">
        <v>113</v>
      </c>
      <c r="BN74" s="822" t="str">
        <f>BM74</f>
        <v>4-6%</v>
      </c>
      <c r="BO74" s="758"/>
      <c r="BP74" s="757" t="s">
        <v>106</v>
      </c>
      <c r="BQ74" s="757" t="s">
        <v>107</v>
      </c>
      <c r="BR74" s="760" t="s">
        <v>102</v>
      </c>
      <c r="BS74" s="756" t="str">
        <f>BR74</f>
        <v>0-2%</v>
      </c>
      <c r="BT74" s="760" t="s">
        <v>102</v>
      </c>
      <c r="BU74" s="757" t="s">
        <v>104</v>
      </c>
      <c r="BV74" s="757" t="s">
        <v>104</v>
      </c>
      <c r="BW74" s="757" t="s">
        <v>101</v>
      </c>
      <c r="BX74" s="756" t="str">
        <f>BW74</f>
        <v>2-4%</v>
      </c>
      <c r="BY74" s="983" t="s">
        <v>101</v>
      </c>
      <c r="BZ74" s="983" t="s">
        <v>118</v>
      </c>
      <c r="CA74" s="983" t="s">
        <v>118</v>
      </c>
      <c r="CB74" s="983" t="s">
        <v>103</v>
      </c>
      <c r="CC74" s="756" t="str">
        <f>CB74</f>
        <v>9-11%</v>
      </c>
      <c r="CD74" s="983" t="s">
        <v>103</v>
      </c>
      <c r="CE74" s="983" t="s">
        <v>103</v>
      </c>
      <c r="CF74" s="983" t="s">
        <v>103</v>
      </c>
      <c r="CG74" s="983" t="s">
        <v>108</v>
      </c>
      <c r="CH74" s="756" t="str">
        <f>CG74</f>
        <v>7-9%</v>
      </c>
      <c r="CM74" s="820"/>
      <c r="CR74" s="820"/>
    </row>
    <row r="75" spans="1:97" s="704" customFormat="1">
      <c r="A75" s="751"/>
      <c r="AP75" s="752"/>
      <c r="AQ75" s="752"/>
      <c r="AR75" s="752"/>
      <c r="AS75" s="752"/>
      <c r="AT75" s="759"/>
      <c r="AU75" s="752"/>
      <c r="AV75" s="752"/>
      <c r="AW75" s="752"/>
      <c r="AX75" s="752"/>
      <c r="AY75" s="759"/>
      <c r="AZ75" s="752"/>
      <c r="BA75" s="752"/>
      <c r="BB75" s="752"/>
      <c r="BC75" s="752"/>
      <c r="BD75" s="753"/>
      <c r="BE75" s="757"/>
      <c r="BF75" s="752"/>
      <c r="BG75" s="752"/>
      <c r="BH75" s="758"/>
      <c r="BI75" s="759"/>
      <c r="BJ75" s="757"/>
      <c r="BK75" s="752"/>
      <c r="BL75" s="752"/>
      <c r="BM75" s="758"/>
      <c r="BN75" s="759"/>
      <c r="BO75" s="758"/>
      <c r="BP75" s="752"/>
      <c r="BQ75" s="752"/>
      <c r="BR75" s="760"/>
      <c r="BS75" s="759"/>
      <c r="BT75" s="758"/>
      <c r="BU75" s="752"/>
      <c r="BV75" s="752"/>
      <c r="BW75" s="760"/>
      <c r="BX75" s="759"/>
      <c r="BY75" s="758"/>
      <c r="BZ75" s="752"/>
      <c r="CA75" s="752"/>
      <c r="CB75" s="760"/>
      <c r="CC75" s="759"/>
      <c r="CD75" s="758"/>
      <c r="CE75" s="752"/>
      <c r="CF75" s="752"/>
      <c r="CG75" s="760"/>
      <c r="CH75" s="759"/>
      <c r="CM75" s="761"/>
      <c r="CR75" s="761"/>
    </row>
    <row r="76" spans="1:97" s="704" customFormat="1" ht="13.5" thickBot="1">
      <c r="A76" s="714" t="s">
        <v>131</v>
      </c>
      <c r="AP76" s="752"/>
      <c r="AQ76" s="752"/>
      <c r="AR76" s="752"/>
      <c r="AS76" s="752"/>
      <c r="AT76" s="759"/>
      <c r="AU76" s="752"/>
      <c r="AV76" s="752"/>
      <c r="AW76" s="752"/>
      <c r="AX76" s="752"/>
      <c r="AY76" s="759"/>
      <c r="AZ76" s="752"/>
      <c r="BA76" s="752"/>
      <c r="BB76" s="752"/>
      <c r="BC76" s="752"/>
      <c r="BD76" s="753"/>
      <c r="BE76" s="757"/>
      <c r="BF76" s="752"/>
      <c r="BG76" s="752"/>
      <c r="BH76" s="758"/>
      <c r="BI76" s="759"/>
      <c r="BJ76" s="757"/>
      <c r="BK76" s="752"/>
      <c r="BL76" s="752"/>
      <c r="BM76" s="758"/>
      <c r="BN76" s="759"/>
      <c r="BO76" s="758"/>
      <c r="BP76" s="752"/>
      <c r="BQ76" s="752"/>
      <c r="BR76" s="760"/>
      <c r="BS76" s="759"/>
      <c r="BT76" s="758"/>
      <c r="BU76" s="752"/>
      <c r="BV76" s="752"/>
      <c r="BW76" s="760"/>
      <c r="BX76" s="759"/>
      <c r="BY76" s="758"/>
      <c r="BZ76" s="752"/>
      <c r="CA76" s="752"/>
      <c r="CB76" s="760"/>
      <c r="CC76" s="759"/>
      <c r="CD76" s="758"/>
      <c r="CE76" s="752"/>
      <c r="CF76" s="752"/>
      <c r="CG76" s="760"/>
      <c r="CH76" s="759"/>
      <c r="CM76" s="761"/>
      <c r="CR76" s="761"/>
    </row>
    <row r="77" spans="1:97" s="704" customFormat="1">
      <c r="A77" s="807" t="s">
        <v>132</v>
      </c>
      <c r="AP77" s="752"/>
      <c r="AQ77" s="752"/>
      <c r="AR77" s="752"/>
      <c r="AS77" s="752"/>
      <c r="AT77" s="1013">
        <f>AT71+AT40</f>
        <v>2361.0259999999998</v>
      </c>
      <c r="AU77" s="1014"/>
      <c r="AV77" s="1014"/>
      <c r="AW77" s="1014"/>
      <c r="AX77" s="1014"/>
      <c r="AY77" s="1013">
        <f>AY71+AY40</f>
        <v>2411.835</v>
      </c>
      <c r="AZ77" s="1015"/>
      <c r="BA77" s="1015"/>
      <c r="BB77" s="1015"/>
      <c r="BC77" s="1015"/>
      <c r="BD77" s="1013">
        <f>BD71+BD40</f>
        <v>2487.9610000000002</v>
      </c>
      <c r="BE77" s="1015">
        <f>BE40+BE71</f>
        <v>601.23099999999999</v>
      </c>
      <c r="BF77" s="1015">
        <f>BF40+BF71</f>
        <v>532.70299999999997</v>
      </c>
      <c r="BG77" s="1015">
        <f>BG40+BG71</f>
        <v>549.94200000000001</v>
      </c>
      <c r="BH77" s="1015">
        <f>BH40+BH71</f>
        <v>641.46600000000001</v>
      </c>
      <c r="BI77" s="1016">
        <f>SUM(BE77:BH77)</f>
        <v>2325.3420000000001</v>
      </c>
      <c r="BJ77" s="1015">
        <f>BJ40+BJ71</f>
        <v>589.95700000000011</v>
      </c>
      <c r="BK77" s="1015">
        <f>BK40+BK71</f>
        <v>609.37699999999995</v>
      </c>
      <c r="BL77" s="1015">
        <f>BL40+BL71</f>
        <v>613.846</v>
      </c>
      <c r="BM77" s="1015">
        <f>BM40+BM71</f>
        <v>655.29899999999998</v>
      </c>
      <c r="BN77" s="1016">
        <f>SUM(BJ77:BM77)</f>
        <v>2468.4790000000003</v>
      </c>
      <c r="BO77" s="1015">
        <f>BO40+BO71</f>
        <v>559.46100000000001</v>
      </c>
      <c r="BP77" s="1015">
        <f>BP40+BP71</f>
        <v>609.35699999999997</v>
      </c>
      <c r="BQ77" s="1015">
        <f>BQ40+BQ71</f>
        <v>630.54299999999989</v>
      </c>
      <c r="BR77" s="1015">
        <f>BR40+BR71</f>
        <v>757.66499999999996</v>
      </c>
      <c r="BS77" s="1016">
        <f>SUM(BO77:BR77)</f>
        <v>2557.0259999999998</v>
      </c>
      <c r="BT77" s="1015">
        <f>BT40+BT71</f>
        <v>630.86</v>
      </c>
      <c r="BU77" s="1015">
        <f>BU40+BU71</f>
        <v>704.39600000000007</v>
      </c>
      <c r="BV77" s="1015">
        <f>BV40+BV71</f>
        <v>724.32600000000002</v>
      </c>
      <c r="BW77" s="1015">
        <f>BW40+BW71</f>
        <v>785.79099999999994</v>
      </c>
      <c r="BX77" s="1016">
        <f>SUM(BT77:BW77)</f>
        <v>2845.3730000000005</v>
      </c>
      <c r="BY77" s="1015">
        <f>BY40+BY71</f>
        <v>713.16699999999992</v>
      </c>
      <c r="BZ77" s="1015">
        <f>BZ40+BZ71</f>
        <v>784.79099999999994</v>
      </c>
      <c r="CA77" s="1015">
        <f>CA40+CA71</f>
        <v>798.91800000000001</v>
      </c>
      <c r="CB77" s="1015">
        <f>CB40+CB71</f>
        <v>824.31299999999999</v>
      </c>
      <c r="CC77" s="1016">
        <f>SUM(BY77:CB77)</f>
        <v>3121.1889999999999</v>
      </c>
      <c r="CD77" s="1015">
        <f>CD40+CD71</f>
        <v>805.64499999999998</v>
      </c>
      <c r="CE77" s="1015">
        <f>CE40+CE71</f>
        <v>876.57600000000002</v>
      </c>
      <c r="CF77" s="1015">
        <f>CF40+CF71</f>
        <v>869.17</v>
      </c>
      <c r="CG77" s="1015">
        <f>CG40+CG71</f>
        <v>946.98099999999999</v>
      </c>
      <c r="CH77" s="1016">
        <f>SUM(CD77:CG77)</f>
        <v>3498.3720000000003</v>
      </c>
      <c r="CI77" s="1017">
        <f>CI40+CI71</f>
        <v>870.31016</v>
      </c>
      <c r="CJ77" s="1017">
        <f>CJ40+CJ71</f>
        <v>937.06234999999992</v>
      </c>
      <c r="CK77" s="1017">
        <f>CK40+CK71</f>
        <v>940.47026000000005</v>
      </c>
      <c r="CL77" s="1017">
        <f>CL40+CL71</f>
        <v>991.23921999999993</v>
      </c>
      <c r="CM77" s="1018">
        <f>SUM(CI77:CL77)</f>
        <v>3739.0819900000001</v>
      </c>
      <c r="CN77" s="1017">
        <f>CN40+CN71</f>
        <v>921.04350590000013</v>
      </c>
      <c r="CO77" s="1017">
        <f>CO40+CO71</f>
        <v>992.06091610000021</v>
      </c>
      <c r="CP77" s="1017">
        <f>CP40+CP71</f>
        <v>995.42604860000006</v>
      </c>
      <c r="CQ77" s="1017">
        <f>CQ40+CQ71</f>
        <v>1049.5263104000001</v>
      </c>
      <c r="CR77" s="1018">
        <f>SUM(CN77:CQ77)</f>
        <v>3958.0567810000007</v>
      </c>
    </row>
    <row r="78" spans="1:97" s="704" customFormat="1">
      <c r="A78" s="738" t="s">
        <v>98</v>
      </c>
      <c r="AP78" s="752"/>
      <c r="AQ78" s="752"/>
      <c r="AR78" s="752"/>
      <c r="AS78" s="752"/>
      <c r="AT78" s="759"/>
      <c r="AU78" s="752"/>
      <c r="AV78" s="752"/>
      <c r="AW78" s="752"/>
      <c r="AX78" s="752"/>
      <c r="AY78" s="747">
        <f>AY77/AT77-1</f>
        <v>2.1519881610791325E-2</v>
      </c>
      <c r="AZ78" s="752"/>
      <c r="BA78" s="752"/>
      <c r="BB78" s="752"/>
      <c r="BC78" s="752"/>
      <c r="BD78" s="747">
        <f>BD77/AY77-1</f>
        <v>3.1563519063285916E-2</v>
      </c>
      <c r="BE78" s="754"/>
      <c r="BF78" s="754"/>
      <c r="BG78" s="754"/>
      <c r="BH78" s="755"/>
      <c r="BI78" s="747">
        <f>BI77/BD77-1</f>
        <v>-6.5362358975884272E-2</v>
      </c>
      <c r="BJ78" s="746">
        <f>BJ77/BE77-1</f>
        <v>-1.8751528114817617E-2</v>
      </c>
      <c r="BK78" s="746">
        <f t="shared" ref="BK78" si="112">BK77/BF77-1</f>
        <v>0.14393386183295376</v>
      </c>
      <c r="BL78" s="746">
        <f t="shared" ref="BL78" si="113">BL77/BG77-1</f>
        <v>0.11620134486909528</v>
      </c>
      <c r="BM78" s="746">
        <f t="shared" ref="BM78" si="114">BM77/BH77-1</f>
        <v>2.1564665937087835E-2</v>
      </c>
      <c r="BN78" s="747">
        <f>BN77/BI77-1</f>
        <v>6.1555246497074556E-2</v>
      </c>
      <c r="BO78" s="746">
        <f>BO77/BJ77-1</f>
        <v>-5.1691902969199566E-2</v>
      </c>
      <c r="BP78" s="746">
        <f t="shared" ref="BP78" si="115">BP77/BK77-1</f>
        <v>-3.2820405102218508E-5</v>
      </c>
      <c r="BQ78" s="746">
        <f t="shared" ref="BQ78" si="116">BQ77/BL77-1</f>
        <v>2.7200633383617223E-2</v>
      </c>
      <c r="BR78" s="746">
        <f t="shared" ref="BR78" si="117">BR77/BM77-1</f>
        <v>0.15621266017497359</v>
      </c>
      <c r="BS78" s="747">
        <f>BS77/BN77-1</f>
        <v>3.5871076885806819E-2</v>
      </c>
      <c r="BT78" s="746">
        <f>BT77/BO77-1</f>
        <v>0.12762104954590225</v>
      </c>
      <c r="BU78" s="746">
        <f t="shared" ref="BU78:BV78" si="118">BU77/BP77-1</f>
        <v>0.15596604289439542</v>
      </c>
      <c r="BV78" s="746">
        <f t="shared" si="118"/>
        <v>0.1487337104685964</v>
      </c>
      <c r="BW78" s="746">
        <f>BW77/BR77-1</f>
        <v>3.7121947034639335E-2</v>
      </c>
      <c r="BX78" s="747">
        <f>BX77/BS77-1</f>
        <v>0.11276654989038071</v>
      </c>
      <c r="BY78" s="746">
        <f>BY77/BT77-1</f>
        <v>0.13046793266334822</v>
      </c>
      <c r="BZ78" s="746">
        <f t="shared" ref="BZ78:CA78" si="119">BZ77/BU77-1</f>
        <v>0.11413324323249974</v>
      </c>
      <c r="CA78" s="746">
        <f t="shared" si="119"/>
        <v>0.10298125429709826</v>
      </c>
      <c r="CB78" s="746">
        <f>CB77/BW77-1</f>
        <v>4.9023213551695033E-2</v>
      </c>
      <c r="CC78" s="747">
        <f>CC77/BX77-1</f>
        <v>9.6934918550221516E-2</v>
      </c>
      <c r="CD78" s="746">
        <f>CD77/BY77-1</f>
        <v>0.12967229274489722</v>
      </c>
      <c r="CE78" s="746">
        <f t="shared" ref="CE78:CF78" si="120">CE77/BZ77-1</f>
        <v>0.11695470513805595</v>
      </c>
      <c r="CF78" s="746">
        <f t="shared" si="120"/>
        <v>8.7933930641192148E-2</v>
      </c>
      <c r="CG78" s="746">
        <f>CG77/CB77-1</f>
        <v>0.14881240499664572</v>
      </c>
      <c r="CH78" s="747">
        <f>CH77/CC77-1</f>
        <v>0.12084593403347266</v>
      </c>
      <c r="CI78" s="750">
        <f t="shared" ref="CI78:CR78" si="121">CI77/CD77-1</f>
        <v>8.0265079532548578E-2</v>
      </c>
      <c r="CJ78" s="750">
        <f t="shared" si="121"/>
        <v>6.9002972931040629E-2</v>
      </c>
      <c r="CK78" s="750">
        <f t="shared" si="121"/>
        <v>8.2032582808886811E-2</v>
      </c>
      <c r="CL78" s="750">
        <f t="shared" si="121"/>
        <v>4.6736122477642139E-2</v>
      </c>
      <c r="CM78" s="749">
        <f t="shared" si="121"/>
        <v>6.8806287610351236E-2</v>
      </c>
      <c r="CN78" s="750">
        <f t="shared" si="121"/>
        <v>5.8293408754414688E-2</v>
      </c>
      <c r="CO78" s="750">
        <f t="shared" si="121"/>
        <v>5.8692536414466145E-2</v>
      </c>
      <c r="CP78" s="750">
        <f t="shared" si="121"/>
        <v>5.8434371545145858E-2</v>
      </c>
      <c r="CQ78" s="750">
        <f t="shared" si="121"/>
        <v>5.8802243922511543E-2</v>
      </c>
      <c r="CR78" s="749">
        <f t="shared" si="121"/>
        <v>5.8563784261922658E-2</v>
      </c>
    </row>
    <row r="79" spans="1:97" s="704" customFormat="1" ht="17.100000000000001" customHeight="1" thickBot="1">
      <c r="A79" s="751" t="s">
        <v>100</v>
      </c>
      <c r="B79" s="701"/>
      <c r="C79" s="701"/>
      <c r="D79" s="701"/>
      <c r="E79" s="701"/>
      <c r="F79" s="701"/>
      <c r="G79" s="701"/>
      <c r="H79" s="701"/>
      <c r="I79" s="701"/>
      <c r="J79" s="701"/>
      <c r="K79" s="701"/>
      <c r="L79" s="701"/>
      <c r="M79" s="701"/>
      <c r="N79" s="701"/>
      <c r="O79" s="701"/>
      <c r="P79" s="701"/>
      <c r="Q79" s="772"/>
      <c r="R79" s="772"/>
      <c r="S79" s="772"/>
      <c r="T79" s="772"/>
      <c r="U79" s="772"/>
      <c r="V79" s="773"/>
      <c r="W79" s="773"/>
      <c r="X79" s="773"/>
      <c r="Y79" s="773"/>
      <c r="Z79" s="777"/>
      <c r="AA79" s="772"/>
      <c r="AB79" s="772"/>
      <c r="AC79" s="772"/>
      <c r="AD79" s="772"/>
      <c r="AE79" s="778"/>
      <c r="AF79" s="772"/>
      <c r="AG79" s="772"/>
      <c r="AH79" s="772"/>
      <c r="AI79" s="772"/>
      <c r="AJ79" s="779"/>
      <c r="AK79" s="780"/>
      <c r="AL79" s="780"/>
      <c r="AM79" s="780"/>
      <c r="AN79" s="780"/>
      <c r="AO79" s="781"/>
      <c r="AP79" s="775"/>
      <c r="AQ79" s="775"/>
      <c r="AR79" s="774"/>
      <c r="AS79" s="774"/>
      <c r="AT79" s="759"/>
      <c r="AU79" s="752"/>
      <c r="AV79" s="752"/>
      <c r="AW79" s="752"/>
      <c r="AX79" s="752"/>
      <c r="AY79" s="747"/>
      <c r="AZ79" s="752"/>
      <c r="BA79" s="752"/>
      <c r="BB79" s="752"/>
      <c r="BC79" s="752"/>
      <c r="BD79" s="747"/>
      <c r="BE79" s="754"/>
      <c r="BF79" s="754"/>
      <c r="BG79" s="754"/>
      <c r="BH79" s="755" t="s">
        <v>133</v>
      </c>
      <c r="BI79" s="858" t="str">
        <f>BH79</f>
        <v>2445-2495</v>
      </c>
      <c r="BJ79" s="857" t="s">
        <v>134</v>
      </c>
      <c r="BK79" s="857" t="s">
        <v>135</v>
      </c>
      <c r="BL79" s="857"/>
      <c r="BM79" s="857" t="s">
        <v>136</v>
      </c>
      <c r="BN79" s="858" t="str">
        <f>BM79</f>
        <v>2530-2580</v>
      </c>
      <c r="BO79" s="751"/>
      <c r="BP79" s="751" t="s">
        <v>137</v>
      </c>
      <c r="BQ79" s="751" t="s">
        <v>138</v>
      </c>
      <c r="BR79" s="751" t="s">
        <v>139</v>
      </c>
      <c r="BS79" s="858" t="str">
        <f>BR79</f>
        <v>2655-2710</v>
      </c>
      <c r="BT79" s="751" t="s">
        <v>139</v>
      </c>
      <c r="BU79" s="751" t="s">
        <v>140</v>
      </c>
      <c r="BV79" s="751" t="s">
        <v>141</v>
      </c>
      <c r="BW79" s="751" t="s">
        <v>142</v>
      </c>
      <c r="BX79" s="858" t="str">
        <f>BW79</f>
        <v>2960-3010</v>
      </c>
      <c r="BY79" s="751" t="s">
        <v>143</v>
      </c>
      <c r="BZ79" s="751" t="s">
        <v>144</v>
      </c>
      <c r="CA79" s="751" t="s">
        <v>145</v>
      </c>
      <c r="CB79" s="751" t="s">
        <v>146</v>
      </c>
      <c r="CC79" s="999" t="str">
        <f>CB79</f>
        <v>3335-3385</v>
      </c>
      <c r="CD79" s="751" t="s">
        <v>147</v>
      </c>
      <c r="CE79" s="751" t="s">
        <v>1178</v>
      </c>
      <c r="CF79" s="751" t="s">
        <v>1230</v>
      </c>
      <c r="CG79" s="751" t="s">
        <v>1281</v>
      </c>
      <c r="CH79" s="999" t="str">
        <f>CG79</f>
        <v>3710-3765</v>
      </c>
      <c r="CI79" s="1000" t="e" cm="1">
        <f t="array" aca="1" ref="CI79" ca="1">_xll.FDS("CW-US","FE_ESTIMATE(SALES,MEAN,QTR_ROLL,+1,NOW,,,'')")</f>
        <v>#NAME?</v>
      </c>
      <c r="CJ79" s="1000" t="e" cm="1">
        <f t="array" aca="1" ref="CJ79" ca="1">_xll.FDS("CW-US","FE_ESTIMATE(SALES,MEAN,QTR_ROLL,+2,NOW,,,'')")</f>
        <v>#NAME?</v>
      </c>
      <c r="CK79" s="1000" t="e" cm="1">
        <f t="array" aca="1" ref="CK79" ca="1">_xll.FDS("CW-US","FE_ESTIMATE(SALES,MEAN,QTR_ROLL,+3,NOW,,,'')")</f>
        <v>#NAME?</v>
      </c>
      <c r="CL79" s="1000" t="e" cm="1">
        <f t="array" aca="1" ref="CL79" ca="1">_xll.FDS("CW-US","FE_ESTIMATE(SALES,MEAN,QTR_ROLL,+4,NOW,,,'')")</f>
        <v>#NAME?</v>
      </c>
      <c r="CM79" s="749"/>
      <c r="CN79" s="750"/>
      <c r="CO79" s="750"/>
      <c r="CP79" s="750"/>
      <c r="CQ79" s="750"/>
      <c r="CR79" s="749"/>
    </row>
    <row r="80" spans="1:97" ht="15" customHeight="1" thickBot="1">
      <c r="A80" s="751" t="s">
        <v>273</v>
      </c>
      <c r="Q80" s="772"/>
      <c r="R80" s="772"/>
      <c r="S80" s="772"/>
      <c r="T80" s="772"/>
      <c r="U80" s="772"/>
      <c r="V80" s="773"/>
      <c r="W80" s="773"/>
      <c r="X80" s="773"/>
      <c r="Y80" s="773"/>
      <c r="Z80" s="777"/>
      <c r="AA80" s="772"/>
      <c r="AB80" s="772"/>
      <c r="AC80" s="772"/>
      <c r="AD80" s="772"/>
      <c r="AE80" s="778"/>
      <c r="AF80" s="772"/>
      <c r="AG80" s="772"/>
      <c r="AH80" s="772"/>
      <c r="AI80" s="772"/>
      <c r="AJ80" s="779"/>
      <c r="AK80" s="780"/>
      <c r="AL80" s="780"/>
      <c r="AM80" s="780"/>
      <c r="AN80" s="780"/>
      <c r="AO80" s="781"/>
      <c r="AP80" s="775"/>
      <c r="AQ80" s="775"/>
      <c r="AR80" s="774"/>
      <c r="AS80" s="774"/>
      <c r="AT80" s="782"/>
      <c r="AU80" s="775"/>
      <c r="AV80" s="775"/>
      <c r="AW80" s="774"/>
      <c r="AX80" s="774"/>
      <c r="AY80" s="782"/>
      <c r="AZ80" s="774"/>
      <c r="BA80" s="774"/>
      <c r="BB80" s="774"/>
      <c r="BC80" s="776"/>
      <c r="BD80" s="782"/>
      <c r="BE80" s="783"/>
      <c r="BF80" s="783"/>
      <c r="BG80" s="783"/>
      <c r="BH80" s="751" t="s">
        <v>133</v>
      </c>
      <c r="BI80" s="817"/>
      <c r="BJ80" s="751" t="s">
        <v>134</v>
      </c>
      <c r="BK80" s="751" t="s">
        <v>135</v>
      </c>
      <c r="BL80" s="751"/>
      <c r="BM80" s="751" t="s">
        <v>136</v>
      </c>
      <c r="BN80" s="817"/>
      <c r="BO80" s="751"/>
      <c r="BP80" s="751"/>
      <c r="BQ80" s="751"/>
      <c r="BR80" s="751"/>
      <c r="BS80" s="817"/>
      <c r="BT80" s="859">
        <v>585</v>
      </c>
      <c r="BU80" s="859">
        <v>652</v>
      </c>
      <c r="BV80" s="859">
        <v>683</v>
      </c>
      <c r="BW80" s="859">
        <v>737</v>
      </c>
      <c r="BX80" s="817"/>
      <c r="BY80" s="859">
        <v>664</v>
      </c>
      <c r="BZ80" s="859">
        <v>736</v>
      </c>
      <c r="CA80" s="859">
        <v>757</v>
      </c>
      <c r="CB80" s="996">
        <v>785.3</v>
      </c>
      <c r="CC80" s="817"/>
      <c r="CD80" s="996">
        <v>767.2</v>
      </c>
      <c r="CE80" s="859">
        <v>852</v>
      </c>
      <c r="CF80" s="996">
        <v>870.30510000000004</v>
      </c>
      <c r="CG80" s="996">
        <v>890.3</v>
      </c>
      <c r="CH80" s="817"/>
      <c r="CI80" s="1027"/>
      <c r="CJ80" s="1027"/>
      <c r="CK80" s="1027"/>
      <c r="CL80" s="1027"/>
      <c r="CM80" s="856" t="e" cm="1">
        <f t="array" aca="1" ref="CM80" ca="1">_xll.FDS("CW-US","FE_ESTIMATE(SALES,MEAN,ANN_ROLL,+1,NOW,,,'')")</f>
        <v>#NAME?</v>
      </c>
      <c r="CN80" s="908"/>
      <c r="CO80" s="908"/>
      <c r="CP80" s="908"/>
      <c r="CQ80" s="908"/>
      <c r="CR80" s="856" t="e" cm="1">
        <f t="array" aca="1" ref="CR80" ca="1">_xll.FDS("CW-US","FE_ESTIMATE(SALES,MEAN,ANN_ROLL,+2,NOW,,,'')")</f>
        <v>#NAME?</v>
      </c>
    </row>
    <row r="81" spans="1:96" ht="15" customHeight="1" thickBot="1">
      <c r="A81" s="751"/>
      <c r="Q81" s="772"/>
      <c r="R81" s="772"/>
      <c r="S81" s="772"/>
      <c r="T81" s="772"/>
      <c r="U81" s="772"/>
      <c r="V81" s="773"/>
      <c r="W81" s="773"/>
      <c r="X81" s="773"/>
      <c r="Y81" s="773"/>
      <c r="Z81" s="777"/>
      <c r="AA81" s="772"/>
      <c r="AB81" s="772"/>
      <c r="AC81" s="772"/>
      <c r="AD81" s="772"/>
      <c r="AE81" s="778"/>
      <c r="AF81" s="772"/>
      <c r="AG81" s="772"/>
      <c r="AH81" s="772"/>
      <c r="AI81" s="772"/>
      <c r="AJ81" s="800"/>
      <c r="AK81" s="780"/>
      <c r="AL81" s="780"/>
      <c r="AM81" s="780"/>
      <c r="AN81" s="780"/>
      <c r="AO81" s="801"/>
      <c r="AP81" s="775"/>
      <c r="AQ81" s="775"/>
      <c r="AR81" s="774"/>
      <c r="AS81" s="774"/>
      <c r="AT81" s="802"/>
      <c r="AU81" s="775"/>
      <c r="AV81" s="775"/>
      <c r="AW81" s="774"/>
      <c r="AX81" s="774"/>
      <c r="AY81" s="774"/>
      <c r="AZ81" s="774"/>
      <c r="BA81" s="774"/>
      <c r="BB81" s="774"/>
      <c r="BC81" s="776"/>
      <c r="BD81" s="803"/>
      <c r="BE81" s="783"/>
      <c r="BF81" s="783"/>
      <c r="BG81" s="783"/>
      <c r="BH81" s="776"/>
      <c r="BI81" s="803"/>
      <c r="BJ81" s="771"/>
      <c r="BK81" s="776"/>
      <c r="BL81" s="776"/>
      <c r="BM81" s="806"/>
      <c r="BN81" s="803"/>
      <c r="BO81" s="776"/>
      <c r="BP81" s="776"/>
      <c r="BQ81" s="776"/>
      <c r="BR81" s="776"/>
      <c r="BS81" s="803"/>
      <c r="BT81" s="771"/>
      <c r="BU81" s="776"/>
      <c r="BV81" s="776"/>
      <c r="BW81" s="806"/>
      <c r="BX81" s="803"/>
      <c r="BY81" s="776"/>
      <c r="BZ81" s="776"/>
      <c r="CA81" s="776"/>
      <c r="CB81" s="776"/>
      <c r="CC81" s="803"/>
      <c r="CD81" s="771"/>
      <c r="CE81" s="1000"/>
      <c r="CF81" s="1000"/>
      <c r="CG81" s="806"/>
      <c r="CH81" s="1027"/>
      <c r="CM81" s="1027" t="e">
        <f ca="1">CM80/CH77-1</f>
        <v>#NAME?</v>
      </c>
      <c r="CR81" s="1027" t="e">
        <f ca="1">CR80/CM80-1</f>
        <v>#NAME?</v>
      </c>
    </row>
    <row r="82" spans="1:96" ht="15" customHeight="1" thickBot="1">
      <c r="A82" s="751"/>
      <c r="Q82" s="772"/>
      <c r="R82" s="772"/>
      <c r="S82" s="772"/>
      <c r="T82" s="772"/>
      <c r="U82" s="772"/>
      <c r="V82" s="773"/>
      <c r="W82" s="773"/>
      <c r="X82" s="773"/>
      <c r="Y82" s="773"/>
      <c r="Z82" s="777"/>
      <c r="AA82" s="772"/>
      <c r="AB82" s="772"/>
      <c r="AC82" s="772"/>
      <c r="AD82" s="772"/>
      <c r="AE82" s="778"/>
      <c r="AF82" s="772"/>
      <c r="AG82" s="772"/>
      <c r="AH82" s="772"/>
      <c r="AI82" s="772"/>
      <c r="AJ82" s="800"/>
      <c r="AK82" s="780"/>
      <c r="AL82" s="780"/>
      <c r="AM82" s="780"/>
      <c r="AN82" s="780"/>
      <c r="AO82" s="801"/>
      <c r="AP82" s="775"/>
      <c r="AQ82" s="775"/>
      <c r="AR82" s="774"/>
      <c r="AS82" s="774"/>
      <c r="AT82" s="802"/>
      <c r="AU82" s="775"/>
      <c r="AV82" s="775"/>
      <c r="AW82" s="774"/>
      <c r="AX82" s="774"/>
      <c r="AY82" s="774"/>
      <c r="AZ82" s="774"/>
      <c r="BA82" s="774"/>
      <c r="BB82" s="774"/>
      <c r="BC82" s="776"/>
      <c r="BD82" s="803"/>
      <c r="BE82" s="783"/>
      <c r="BF82" s="783"/>
      <c r="BG82" s="783"/>
      <c r="BH82" s="776"/>
      <c r="BI82" s="803"/>
      <c r="BJ82" s="771"/>
      <c r="BK82" s="776"/>
      <c r="BL82" s="776"/>
      <c r="BM82" s="776"/>
      <c r="BN82" s="803"/>
      <c r="BO82" s="776"/>
      <c r="BP82" s="776"/>
      <c r="BQ82" s="776"/>
      <c r="BR82" s="776"/>
      <c r="BS82" s="803"/>
      <c r="BT82" s="771"/>
      <c r="BU82" s="776"/>
      <c r="BV82" s="751"/>
      <c r="BW82" s="776"/>
      <c r="BX82" s="860"/>
      <c r="BY82" s="1028"/>
      <c r="BZ82" s="1028"/>
      <c r="CA82" s="776"/>
      <c r="CB82" s="1028"/>
      <c r="CC82" s="860"/>
      <c r="CD82" s="1001"/>
      <c r="CE82" s="1028"/>
      <c r="CF82" s="1030"/>
      <c r="CG82" s="1028"/>
      <c r="CH82" s="803"/>
    </row>
    <row r="83" spans="1:96" ht="15" customHeight="1" thickBot="1">
      <c r="A83" s="751"/>
      <c r="Q83" s="772"/>
      <c r="R83" s="772"/>
      <c r="S83" s="772"/>
      <c r="T83" s="772"/>
      <c r="U83" s="772"/>
      <c r="V83" s="773"/>
      <c r="W83" s="773"/>
      <c r="X83" s="773"/>
      <c r="Y83" s="773"/>
      <c r="Z83" s="777"/>
      <c r="AA83" s="772"/>
      <c r="AB83" s="772"/>
      <c r="AC83" s="772"/>
      <c r="AD83" s="772"/>
      <c r="AE83" s="778"/>
      <c r="AF83" s="772"/>
      <c r="AG83" s="772"/>
      <c r="AH83" s="772"/>
      <c r="AI83" s="772"/>
      <c r="AJ83" s="800"/>
      <c r="AK83" s="780"/>
      <c r="AL83" s="780"/>
      <c r="AM83" s="780"/>
      <c r="AN83" s="780"/>
      <c r="AO83" s="801"/>
      <c r="AP83" s="775"/>
      <c r="AQ83" s="775"/>
      <c r="AR83" s="774"/>
      <c r="AS83" s="774"/>
      <c r="AT83" s="802"/>
      <c r="AU83" s="775"/>
      <c r="AV83" s="775"/>
      <c r="AW83" s="774"/>
      <c r="AX83" s="774"/>
      <c r="AY83" s="774"/>
      <c r="AZ83" s="774"/>
      <c r="BA83" s="774"/>
      <c r="BB83" s="774"/>
      <c r="BC83" s="776"/>
      <c r="BD83" s="803"/>
      <c r="BE83" s="783"/>
      <c r="BF83" s="783"/>
      <c r="BG83" s="783"/>
      <c r="BH83" s="776"/>
      <c r="BI83" s="803"/>
      <c r="BJ83" s="771"/>
      <c r="BK83" s="776"/>
      <c r="BL83" s="776"/>
      <c r="BM83" s="776"/>
      <c r="BN83" s="803"/>
      <c r="BO83" s="776"/>
      <c r="BP83" s="776"/>
      <c r="BQ83" s="776"/>
      <c r="BR83" s="776"/>
      <c r="BS83" s="803">
        <f>0.11*BS77</f>
        <v>281.27285999999998</v>
      </c>
      <c r="BT83" s="771"/>
      <c r="BU83" s="776"/>
      <c r="BV83" s="776"/>
      <c r="BW83" s="776"/>
      <c r="BX83" s="803"/>
      <c r="BY83" s="776"/>
      <c r="BZ83" s="937"/>
      <c r="CA83" s="776"/>
      <c r="CB83" s="776"/>
      <c r="CC83" s="803"/>
      <c r="CD83" s="771"/>
      <c r="CE83" s="776"/>
      <c r="CF83" s="776"/>
      <c r="CG83" s="806"/>
      <c r="CH83" s="803"/>
    </row>
    <row r="84" spans="1:96" ht="13.5" thickBot="1">
      <c r="A84" s="784" t="s">
        <v>148</v>
      </c>
      <c r="B84" s="785"/>
      <c r="C84" s="785"/>
      <c r="D84" s="785"/>
      <c r="E84" s="785"/>
      <c r="F84" s="785"/>
      <c r="G84" s="785"/>
      <c r="H84" s="785"/>
      <c r="I84" s="785"/>
      <c r="J84" s="785"/>
      <c r="K84" s="785"/>
      <c r="L84" s="785"/>
      <c r="M84" s="785"/>
      <c r="N84" s="785"/>
      <c r="O84" s="785"/>
      <c r="P84" s="785"/>
      <c r="Q84" s="785"/>
      <c r="R84" s="785"/>
      <c r="S84" s="785"/>
      <c r="T84" s="785"/>
      <c r="U84" s="785"/>
      <c r="V84" s="786"/>
      <c r="W84" s="786"/>
      <c r="X84" s="786"/>
      <c r="Y84" s="786"/>
      <c r="Z84" s="787"/>
      <c r="AA84" s="786"/>
      <c r="AB84" s="786"/>
      <c r="AC84" s="786"/>
      <c r="AD84" s="786"/>
      <c r="AE84" s="788"/>
      <c r="AF84" s="786"/>
      <c r="AG84" s="786"/>
      <c r="AH84" s="786"/>
      <c r="AI84" s="786"/>
      <c r="AJ84" s="789"/>
      <c r="AK84" s="786"/>
      <c r="AL84" s="786"/>
      <c r="AM84" s="786"/>
      <c r="AN84" s="786"/>
      <c r="AO84" s="790"/>
      <c r="AP84" s="791"/>
      <c r="AQ84" s="791"/>
      <c r="AR84" s="792"/>
      <c r="AS84" s="792"/>
      <c r="AT84" s="793"/>
      <c r="AU84" s="792"/>
      <c r="AV84" s="792"/>
      <c r="AW84" s="792"/>
      <c r="AX84" s="792"/>
      <c r="AY84" s="793"/>
      <c r="AZ84" s="792"/>
      <c r="BA84" s="792"/>
      <c r="BB84" s="792"/>
      <c r="BC84" s="792"/>
      <c r="BD84" s="793"/>
      <c r="BE84" s="792"/>
      <c r="BF84" s="792"/>
      <c r="BG84" s="792"/>
      <c r="BH84" s="792"/>
      <c r="BI84" s="790"/>
      <c r="BJ84" s="794"/>
      <c r="BK84" s="792"/>
      <c r="BL84" s="792"/>
      <c r="BM84" s="792"/>
      <c r="BN84" s="793"/>
      <c r="BO84" s="792"/>
      <c r="BP84" s="792"/>
      <c r="BQ84" s="792"/>
      <c r="BR84" s="792"/>
      <c r="BS84" s="790"/>
      <c r="BT84" s="794"/>
      <c r="BU84" s="792"/>
      <c r="BV84" s="792"/>
      <c r="BW84" s="792"/>
      <c r="BX84" s="793"/>
      <c r="BY84" s="793"/>
      <c r="BZ84" s="793"/>
      <c r="CA84" s="793"/>
      <c r="CB84" s="793"/>
      <c r="CC84" s="790"/>
      <c r="CD84" s="793"/>
      <c r="CE84" s="793"/>
      <c r="CF84" s="793"/>
      <c r="CG84" s="793"/>
      <c r="CH84" s="790"/>
      <c r="CI84" s="790"/>
      <c r="CJ84" s="790"/>
      <c r="CK84" s="790"/>
      <c r="CL84" s="790"/>
      <c r="CM84" s="790"/>
      <c r="CN84" s="790"/>
      <c r="CO84" s="790"/>
      <c r="CP84" s="790"/>
      <c r="CQ84" s="790"/>
      <c r="CR84" s="790"/>
    </row>
    <row r="85" spans="1:96">
      <c r="V85" s="795"/>
      <c r="W85" s="795"/>
      <c r="X85" s="795"/>
      <c r="Y85" s="795"/>
      <c r="Z85" s="796"/>
      <c r="AA85" s="795"/>
      <c r="AB85" s="795"/>
      <c r="AC85" s="795"/>
      <c r="AD85" s="795"/>
      <c r="AE85" s="796"/>
      <c r="AF85" s="795"/>
      <c r="AG85" s="795"/>
      <c r="AH85" s="795"/>
      <c r="AI85" s="795"/>
      <c r="AJ85" s="797"/>
      <c r="AK85" s="795"/>
      <c r="AO85" s="795"/>
      <c r="AT85" s="798"/>
      <c r="BJ85" s="767"/>
    </row>
    <row r="86" spans="1:96">
      <c r="V86" s="795"/>
      <c r="W86" s="795"/>
      <c r="X86" s="795"/>
      <c r="Y86" s="795"/>
      <c r="Z86" s="796"/>
      <c r="AA86" s="795"/>
      <c r="AB86" s="795"/>
      <c r="AC86" s="795"/>
      <c r="AD86" s="795"/>
      <c r="AE86" s="796"/>
      <c r="AF86" s="795"/>
      <c r="AG86" s="795"/>
      <c r="AH86" s="795"/>
      <c r="AI86" s="795"/>
      <c r="AJ86" s="795"/>
      <c r="AK86" s="795"/>
      <c r="AO86" s="795"/>
      <c r="AT86" s="799"/>
      <c r="BJ86" s="767"/>
    </row>
    <row r="87" spans="1:96">
      <c r="V87" s="795"/>
      <c r="W87" s="795"/>
      <c r="X87" s="795"/>
      <c r="Y87" s="795"/>
      <c r="Z87" s="796"/>
      <c r="AA87" s="795"/>
      <c r="AB87" s="795"/>
      <c r="AC87" s="795"/>
      <c r="AD87" s="795"/>
      <c r="AE87" s="796"/>
      <c r="AF87" s="795"/>
      <c r="AG87" s="795"/>
      <c r="AH87" s="795"/>
      <c r="AI87" s="795"/>
      <c r="AJ87" s="795"/>
      <c r="AK87" s="795"/>
      <c r="AO87" s="795"/>
      <c r="AT87" s="799"/>
      <c r="BJ87" s="767"/>
    </row>
    <row r="88" spans="1:96">
      <c r="BJ88" s="767"/>
    </row>
  </sheetData>
  <phoneticPr fontId="12" type="noConversion"/>
  <pageMargins left="0.25" right="0" top="0" bottom="0" header="0" footer="0"/>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A329"/>
  <sheetViews>
    <sheetView showGridLines="0" tabSelected="1" topLeftCell="AF90" zoomScale="110" zoomScaleNormal="110" zoomScaleSheetLayoutView="115" workbookViewId="0">
      <selection activeCell="BL104" sqref="BL102:BT104"/>
    </sheetView>
  </sheetViews>
  <sheetFormatPr defaultColWidth="9.33203125" defaultRowHeight="12" outlineLevelRow="2" outlineLevelCol="3"/>
  <cols>
    <col min="1" max="1" width="4.5" style="3" customWidth="1"/>
    <col min="2" max="2" width="45.5" style="1" customWidth="1"/>
    <col min="3" max="6" width="9.6640625" style="2" hidden="1" customWidth="1" outlineLevel="1"/>
    <col min="7" max="7" width="9.6640625" style="2" hidden="1" customWidth="1" collapsed="1"/>
    <col min="8" max="11" width="9.6640625" style="2" hidden="1" customWidth="1" outlineLevel="2"/>
    <col min="12" max="12" width="9.6640625" style="1" hidden="1" customWidth="1" collapsed="1"/>
    <col min="13" max="13" width="8.6640625" style="2" hidden="1" customWidth="1" outlineLevel="3"/>
    <col min="14" max="14" width="10.33203125" style="2" hidden="1" customWidth="1" outlineLevel="3"/>
    <col min="15" max="16" width="8.6640625" style="2" hidden="1" customWidth="1" outlineLevel="3"/>
    <col min="17" max="17" width="9.33203125" style="1" hidden="1" customWidth="1" collapsed="1"/>
    <col min="18" max="20" width="9.33203125" style="2" hidden="1" customWidth="1" outlineLevel="2"/>
    <col min="21" max="21" width="10.33203125" style="2" hidden="1" customWidth="1" outlineLevel="2"/>
    <col min="22" max="22" width="9.33203125" style="1" hidden="1" customWidth="1" collapsed="1"/>
    <col min="23" max="26" width="9.33203125" style="2" hidden="1" customWidth="1" outlineLevel="2"/>
    <col min="27" max="27" width="9.33203125" style="1" hidden="1" customWidth="1" collapsed="1"/>
    <col min="28" max="31" width="9.33203125" style="2" hidden="1" customWidth="1" outlineLevel="2"/>
    <col min="32" max="32" width="9.33203125" style="1" customWidth="1" collapsed="1"/>
    <col min="33" max="35" width="9.33203125" style="2" hidden="1" customWidth="1" outlineLevel="2"/>
    <col min="36" max="36" width="11.6640625" style="2" hidden="1" customWidth="1" outlineLevel="2"/>
    <col min="37" max="37" width="11.1640625" style="1" customWidth="1" collapsed="1"/>
    <col min="38" max="40" width="9.33203125" style="2" hidden="1" customWidth="1" outlineLevel="2"/>
    <col min="41" max="41" width="11.6640625" style="2" hidden="1" customWidth="1" outlineLevel="2"/>
    <col min="42" max="42" width="11.33203125" style="1" customWidth="1" collapsed="1"/>
    <col min="43" max="43" width="11.1640625" style="2" hidden="1" customWidth="1" outlineLevel="2"/>
    <col min="44" max="44" width="11.6640625" style="2" hidden="1" customWidth="1" outlineLevel="2"/>
    <col min="45" max="45" width="9.33203125" style="2" hidden="1" customWidth="1" outlineLevel="2"/>
    <col min="46" max="46" width="12" style="2" hidden="1" customWidth="1" outlineLevel="2"/>
    <col min="47" max="47" width="11.6640625" style="1" customWidth="1" collapsed="1"/>
    <col min="48" max="48" width="9.33203125" style="2" hidden="1" customWidth="1" outlineLevel="2"/>
    <col min="49" max="50" width="10.6640625" style="2" hidden="1" customWidth="1" outlineLevel="2"/>
    <col min="51" max="51" width="11.5" style="2" hidden="1" customWidth="1" outlineLevel="2"/>
    <col min="52" max="52" width="11.6640625" style="1" customWidth="1" collapsed="1"/>
    <col min="53" max="53" width="12" style="2" hidden="1" customWidth="1" outlineLevel="2"/>
    <col min="54" max="54" width="12.5" style="2" hidden="1" customWidth="1" outlineLevel="2"/>
    <col min="55" max="55" width="11" style="2" hidden="1" customWidth="1" outlineLevel="2"/>
    <col min="56" max="56" width="12.5" style="2" hidden="1" customWidth="1" outlineLevel="2"/>
    <col min="57" max="57" width="12.5" style="1" bestFit="1" customWidth="1" collapsed="1"/>
    <col min="58" max="60" width="12.1640625" style="2" customWidth="1" outlineLevel="2"/>
    <col min="61" max="61" width="12.5" style="2" customWidth="1" outlineLevel="2"/>
    <col min="62" max="62" width="12.5" style="1" bestFit="1" customWidth="1"/>
    <col min="63" max="64" width="12.5" style="3" customWidth="1" outlineLevel="1"/>
    <col min="65" max="65" width="12.1640625" style="3" customWidth="1" outlineLevel="1"/>
    <col min="66" max="66" width="11.83203125" style="3" customWidth="1" outlineLevel="1"/>
    <col min="67" max="67" width="11.83203125" style="3" bestFit="1" customWidth="1"/>
    <col min="68" max="71" width="9.33203125" style="3" customWidth="1" outlineLevel="1"/>
    <col min="72" max="72" width="9.33203125" style="3"/>
    <col min="73" max="76" width="9.33203125" style="3" customWidth="1" outlineLevel="1"/>
    <col min="77" max="16384" width="9.33203125" style="3"/>
  </cols>
  <sheetData>
    <row r="1" spans="1:77" ht="12.75">
      <c r="A1" s="233"/>
      <c r="B1" s="234"/>
      <c r="C1" s="67"/>
      <c r="D1" s="67"/>
      <c r="E1" s="67"/>
      <c r="F1" s="67"/>
      <c r="G1" s="67"/>
      <c r="H1" s="67"/>
      <c r="I1" s="67"/>
      <c r="J1" s="67"/>
      <c r="K1" s="67"/>
      <c r="M1" s="67"/>
      <c r="N1" s="67"/>
      <c r="O1" s="67"/>
      <c r="P1" s="67"/>
      <c r="R1" s="67"/>
      <c r="S1" s="67"/>
      <c r="T1" s="67"/>
      <c r="U1" s="67"/>
      <c r="W1" s="67"/>
      <c r="X1" s="67"/>
      <c r="Y1" s="67"/>
      <c r="Z1" s="67"/>
      <c r="AB1" s="67"/>
      <c r="AC1" s="67"/>
      <c r="AD1" s="67"/>
      <c r="AE1" s="67"/>
      <c r="AG1" s="67"/>
      <c r="AH1" s="67"/>
      <c r="AI1" s="67"/>
      <c r="AJ1" s="67"/>
      <c r="AL1" s="67"/>
      <c r="AM1" s="67"/>
      <c r="AN1" s="67"/>
      <c r="AO1" s="67"/>
      <c r="AP1" s="202"/>
      <c r="AQ1" s="203"/>
      <c r="AR1" s="203"/>
      <c r="AS1" s="213"/>
      <c r="AT1" s="203"/>
      <c r="AV1" s="203"/>
      <c r="AW1" s="203"/>
      <c r="AX1" s="203"/>
      <c r="AY1" s="203"/>
      <c r="BA1" s="203"/>
      <c r="BB1" s="203"/>
      <c r="BC1" s="203"/>
      <c r="BD1" s="203"/>
      <c r="BF1" s="203"/>
      <c r="BG1" s="203"/>
      <c r="BH1" s="203"/>
      <c r="BI1" s="203"/>
    </row>
    <row r="2" spans="1:77">
      <c r="B2" s="1071" t="s">
        <v>149</v>
      </c>
      <c r="C2" s="1071"/>
      <c r="D2" s="1071"/>
      <c r="E2" s="1071"/>
      <c r="F2" s="1071"/>
      <c r="G2" s="1071"/>
      <c r="H2" s="1071"/>
      <c r="I2" s="1071"/>
      <c r="J2" s="1071"/>
      <c r="K2" s="1071"/>
      <c r="L2" s="1071"/>
      <c r="M2" s="1071"/>
      <c r="N2" s="1071"/>
      <c r="O2" s="1071"/>
      <c r="P2" s="1071"/>
      <c r="Q2" s="1071"/>
      <c r="R2" s="1071"/>
      <c r="S2" s="1071"/>
      <c r="T2" s="1071"/>
      <c r="U2" s="1071"/>
      <c r="V2" s="1071"/>
      <c r="W2" s="1071"/>
      <c r="X2" s="1071"/>
      <c r="Y2" s="1071"/>
      <c r="Z2" s="1071"/>
      <c r="AA2" s="1071"/>
      <c r="AB2" s="1071"/>
      <c r="AC2" s="1071"/>
      <c r="AD2" s="1071"/>
      <c r="AE2" s="1071"/>
      <c r="AF2" s="1071"/>
      <c r="AG2" s="1071"/>
      <c r="AH2" s="1071"/>
      <c r="AI2" s="1071"/>
      <c r="AJ2" s="1071"/>
      <c r="AK2" s="1071"/>
      <c r="AL2" s="1071"/>
      <c r="AM2" s="1071"/>
      <c r="AN2" s="1071"/>
      <c r="AO2" s="1071"/>
      <c r="AP2" s="1071"/>
      <c r="AQ2" s="1071"/>
      <c r="AR2" s="1071"/>
      <c r="AS2" s="1071"/>
      <c r="AT2" s="1071"/>
      <c r="AU2" s="1071"/>
      <c r="AV2" s="1071"/>
      <c r="AW2" s="1071"/>
      <c r="AX2" s="1071"/>
      <c r="AY2" s="1071"/>
      <c r="AZ2" s="1071"/>
      <c r="BA2" s="1071"/>
      <c r="BB2" s="1071"/>
      <c r="BC2" s="1071"/>
      <c r="BD2" s="1071"/>
      <c r="BE2" s="1071"/>
      <c r="BF2" s="1071"/>
      <c r="BG2" s="1071"/>
      <c r="BH2" s="1071"/>
      <c r="BI2" s="1071"/>
      <c r="BJ2" s="1071"/>
      <c r="BK2" s="1071"/>
      <c r="BL2" s="1071"/>
      <c r="BM2" s="1071"/>
      <c r="BN2" s="1071"/>
      <c r="BO2" s="1071"/>
      <c r="BP2" s="1071"/>
      <c r="BQ2" s="1071"/>
      <c r="BR2" s="1071"/>
      <c r="BS2" s="1071"/>
      <c r="BT2" s="1071"/>
      <c r="BU2" s="1071"/>
      <c r="BV2" s="1071"/>
      <c r="BW2" s="1071"/>
      <c r="BX2" s="1071"/>
      <c r="BY2" s="1071"/>
    </row>
    <row r="3" spans="1:77" ht="12.75" customHeight="1">
      <c r="B3" s="1071" t="s">
        <v>150</v>
      </c>
      <c r="C3" s="1071"/>
      <c r="D3" s="1071"/>
      <c r="E3" s="1071"/>
      <c r="F3" s="1071"/>
      <c r="G3" s="1071"/>
      <c r="H3" s="1071"/>
      <c r="I3" s="1071"/>
      <c r="J3" s="1071"/>
      <c r="K3" s="1071"/>
      <c r="L3" s="1071"/>
      <c r="M3" s="1071"/>
      <c r="N3" s="1071"/>
      <c r="O3" s="1071"/>
      <c r="P3" s="1071"/>
      <c r="Q3" s="1071"/>
      <c r="R3" s="1071"/>
      <c r="S3" s="1071"/>
      <c r="T3" s="1071"/>
      <c r="U3" s="1071"/>
      <c r="V3" s="1071"/>
      <c r="W3" s="1071"/>
      <c r="X3" s="1071"/>
      <c r="Y3" s="1071"/>
      <c r="Z3" s="1071"/>
      <c r="AA3" s="1071"/>
      <c r="AB3" s="1071"/>
      <c r="AC3" s="1071"/>
      <c r="AD3" s="1071"/>
      <c r="AE3" s="1071"/>
      <c r="AF3" s="1071"/>
      <c r="AG3" s="1071"/>
      <c r="AH3" s="1071"/>
      <c r="AI3" s="1071"/>
      <c r="AJ3" s="1071"/>
      <c r="AK3" s="1071"/>
      <c r="AL3" s="1071"/>
      <c r="AM3" s="1071"/>
      <c r="AN3" s="1071"/>
      <c r="AO3" s="1071"/>
      <c r="AP3" s="1071"/>
      <c r="AQ3" s="1071"/>
      <c r="AR3" s="1071"/>
      <c r="AS3" s="1071"/>
      <c r="AT3" s="1071"/>
      <c r="AU3" s="1071"/>
      <c r="AV3" s="1071"/>
      <c r="AW3" s="1071"/>
      <c r="AX3" s="1071"/>
      <c r="AY3" s="1071"/>
      <c r="AZ3" s="1071"/>
      <c r="BA3" s="1071"/>
      <c r="BB3" s="1071"/>
      <c r="BC3" s="1071"/>
      <c r="BD3" s="1071"/>
      <c r="BE3" s="1071"/>
      <c r="BF3" s="1071"/>
      <c r="BG3" s="1071"/>
      <c r="BH3" s="1071"/>
      <c r="BI3" s="1071"/>
      <c r="BJ3" s="1071"/>
      <c r="BK3" s="1071"/>
      <c r="BL3" s="1071"/>
      <c r="BM3" s="1071"/>
      <c r="BN3" s="1071"/>
      <c r="BO3" s="1071"/>
      <c r="BP3" s="1071"/>
      <c r="BQ3" s="1071"/>
      <c r="BR3" s="1071"/>
      <c r="BS3" s="1071"/>
      <c r="BT3" s="1071"/>
      <c r="BU3" s="1071"/>
      <c r="BV3" s="1071"/>
      <c r="BW3" s="1071"/>
      <c r="BX3" s="1071"/>
      <c r="BY3" s="1071"/>
    </row>
    <row r="4" spans="1:77" ht="13.5" customHeight="1">
      <c r="B4" s="1070" t="s">
        <v>151</v>
      </c>
      <c r="C4" s="1070"/>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
      <c r="BV4" s="1"/>
      <c r="BW4" s="1"/>
      <c r="BX4" s="1"/>
      <c r="BY4" s="1"/>
    </row>
    <row r="5" spans="1:77" s="4" customFormat="1" ht="12.75">
      <c r="B5" s="110" t="s">
        <v>152</v>
      </c>
      <c r="C5" s="107" t="s">
        <v>31</v>
      </c>
      <c r="D5" s="107" t="s">
        <v>32</v>
      </c>
      <c r="E5" s="107" t="s">
        <v>33</v>
      </c>
      <c r="F5" s="107" t="s">
        <v>34</v>
      </c>
      <c r="G5" s="72" t="s">
        <v>153</v>
      </c>
      <c r="H5" s="107" t="s">
        <v>35</v>
      </c>
      <c r="I5" s="107" t="s">
        <v>36</v>
      </c>
      <c r="J5" s="107" t="s">
        <v>37</v>
      </c>
      <c r="K5" s="107" t="s">
        <v>38</v>
      </c>
      <c r="L5" s="72" t="s">
        <v>154</v>
      </c>
      <c r="M5" s="107" t="s">
        <v>40</v>
      </c>
      <c r="N5" s="107" t="s">
        <v>41</v>
      </c>
      <c r="O5" s="107" t="s">
        <v>42</v>
      </c>
      <c r="P5" s="107" t="s">
        <v>43</v>
      </c>
      <c r="Q5" s="72" t="s">
        <v>155</v>
      </c>
      <c r="R5" s="107" t="s">
        <v>156</v>
      </c>
      <c r="S5" s="107" t="s">
        <v>157</v>
      </c>
      <c r="T5" s="107" t="s">
        <v>158</v>
      </c>
      <c r="U5" s="107" t="s">
        <v>159</v>
      </c>
      <c r="V5" s="72" t="s">
        <v>160</v>
      </c>
      <c r="W5" s="107" t="s">
        <v>161</v>
      </c>
      <c r="X5" s="107" t="s">
        <v>162</v>
      </c>
      <c r="Y5" s="107" t="s">
        <v>163</v>
      </c>
      <c r="Z5" s="107" t="s">
        <v>164</v>
      </c>
      <c r="AA5" s="72" t="s">
        <v>165</v>
      </c>
      <c r="AB5" s="107" t="s">
        <v>54</v>
      </c>
      <c r="AC5" s="107" t="s">
        <v>55</v>
      </c>
      <c r="AD5" s="107" t="s">
        <v>56</v>
      </c>
      <c r="AE5" s="107" t="s">
        <v>57</v>
      </c>
      <c r="AF5" s="72" t="s">
        <v>166</v>
      </c>
      <c r="AG5" s="107" t="s">
        <v>167</v>
      </c>
      <c r="AH5" s="107" t="s">
        <v>168</v>
      </c>
      <c r="AI5" s="107" t="s">
        <v>169</v>
      </c>
      <c r="AJ5" s="107" t="s">
        <v>170</v>
      </c>
      <c r="AK5" s="72" t="s">
        <v>171</v>
      </c>
      <c r="AL5" s="107" t="s">
        <v>62</v>
      </c>
      <c r="AM5" s="107" t="s">
        <v>63</v>
      </c>
      <c r="AN5" s="107" t="s">
        <v>64</v>
      </c>
      <c r="AO5" s="107" t="s">
        <v>65</v>
      </c>
      <c r="AP5" s="72" t="s">
        <v>172</v>
      </c>
      <c r="AQ5" s="107" t="s">
        <v>66</v>
      </c>
      <c r="AR5" s="107" t="s">
        <v>67</v>
      </c>
      <c r="AS5" s="107" t="s">
        <v>68</v>
      </c>
      <c r="AT5" s="107" t="s">
        <v>69</v>
      </c>
      <c r="AU5" s="72" t="s">
        <v>173</v>
      </c>
      <c r="AV5" s="107" t="s">
        <v>70</v>
      </c>
      <c r="AW5" s="107" t="s">
        <v>71</v>
      </c>
      <c r="AX5" s="107" t="s">
        <v>72</v>
      </c>
      <c r="AY5" s="107" t="s">
        <v>73</v>
      </c>
      <c r="AZ5" s="72" t="s">
        <v>174</v>
      </c>
      <c r="BA5" s="107" t="s">
        <v>74</v>
      </c>
      <c r="BB5" s="107" t="s">
        <v>75</v>
      </c>
      <c r="BC5" s="107" t="s">
        <v>76</v>
      </c>
      <c r="BD5" s="107" t="s">
        <v>77</v>
      </c>
      <c r="BE5" s="72" t="s">
        <v>175</v>
      </c>
      <c r="BF5" s="107" t="str">
        <f>CW_Drivers!BY3</f>
        <v>1Q24</v>
      </c>
      <c r="BG5" s="107" t="str">
        <f>CW_Drivers!BZ3</f>
        <v>2Q24</v>
      </c>
      <c r="BH5" s="107" t="str">
        <f>CW_Drivers!CA3</f>
        <v>3Q24</v>
      </c>
      <c r="BI5" s="107" t="str">
        <f>CW_Drivers!CB3</f>
        <v>4Q24</v>
      </c>
      <c r="BJ5" s="72" t="s">
        <v>176</v>
      </c>
      <c r="BK5" s="107" t="str">
        <f>CW_Drivers!CD3</f>
        <v>1Q25</v>
      </c>
      <c r="BL5" s="107" t="str">
        <f>CW_Drivers!CE3</f>
        <v>2Q25</v>
      </c>
      <c r="BM5" s="107" t="str">
        <f>CW_Drivers!CF3</f>
        <v>3Q25</v>
      </c>
      <c r="BN5" s="107" t="str">
        <f>CW_Drivers!CG3</f>
        <v>4Q25</v>
      </c>
      <c r="BO5" s="72" t="s">
        <v>1280</v>
      </c>
      <c r="BP5" s="107" t="str">
        <f>CW_Drivers!CI3</f>
        <v>1Q26E</v>
      </c>
      <c r="BQ5" s="107" t="str">
        <f>CW_Drivers!CJ3</f>
        <v>2Q26E</v>
      </c>
      <c r="BR5" s="107" t="str">
        <f>CW_Drivers!CK3</f>
        <v>3Q26E</v>
      </c>
      <c r="BS5" s="107" t="str">
        <f>CW_Drivers!CL3</f>
        <v>4Q26E</v>
      </c>
      <c r="BT5" s="72" t="s">
        <v>178</v>
      </c>
      <c r="BU5" s="107" t="str">
        <f>CW_Drivers!CN3</f>
        <v>1Q27E</v>
      </c>
      <c r="BV5" s="107" t="str">
        <f>CW_Drivers!CO3</f>
        <v>2Q27E</v>
      </c>
      <c r="BW5" s="107" t="str">
        <f>CW_Drivers!CP3</f>
        <v>3Q27E</v>
      </c>
      <c r="BX5" s="107" t="str">
        <f>CW_Drivers!CQ3</f>
        <v>4Q27E</v>
      </c>
      <c r="BY5" s="72" t="s">
        <v>179</v>
      </c>
    </row>
    <row r="6" spans="1:77" s="219" customFormat="1" ht="11.25" hidden="1">
      <c r="B6" s="219" t="s">
        <v>180</v>
      </c>
      <c r="C6" s="220"/>
      <c r="D6" s="220"/>
      <c r="E6" s="220"/>
      <c r="F6" s="220"/>
      <c r="G6" s="220"/>
      <c r="H6" s="221">
        <v>41729</v>
      </c>
      <c r="I6" s="221">
        <v>41820</v>
      </c>
      <c r="J6" s="221">
        <v>41912</v>
      </c>
      <c r="K6" s="221">
        <v>42004</v>
      </c>
      <c r="L6" s="220" t="s">
        <v>181</v>
      </c>
      <c r="M6" s="221">
        <f>DATE(YEAR(H6)+1,MONTH(H6),DAY(H6))</f>
        <v>42094</v>
      </c>
      <c r="N6" s="221">
        <f t="shared" ref="N6:P6" si="0">DATE(YEAR(I6)+1,MONTH(I6),DAY(I6))</f>
        <v>42185</v>
      </c>
      <c r="O6" s="221">
        <f t="shared" si="0"/>
        <v>42277</v>
      </c>
      <c r="P6" s="221">
        <f t="shared" si="0"/>
        <v>42369</v>
      </c>
      <c r="Q6" s="220" t="str">
        <f>CONCATENATE( "FY ", MID(L6,4,4)+1, IF(RIGHT(P5,1)="E", "E", "") )</f>
        <v>FY 2015</v>
      </c>
      <c r="R6" s="221">
        <f>DATE(YEAR(M6)+1,MONTH(M6),DAY(M6))</f>
        <v>42460</v>
      </c>
      <c r="S6" s="221">
        <f t="shared" ref="S6" si="1">DATE(YEAR(N6)+1,MONTH(N6),DAY(N6))</f>
        <v>42551</v>
      </c>
      <c r="T6" s="221">
        <f t="shared" ref="T6" si="2">DATE(YEAR(O6)+1,MONTH(O6),DAY(O6))</f>
        <v>42643</v>
      </c>
      <c r="U6" s="221">
        <f t="shared" ref="U6" si="3">DATE(YEAR(P6)+1,MONTH(P6),DAY(P6))</f>
        <v>42735</v>
      </c>
      <c r="V6" s="220" t="str">
        <f>CONCATENATE( "FY ", MID(Q6,4,4)+1, IF(RIGHT(U5,1)="E", "E", "") )</f>
        <v>FY 2016</v>
      </c>
      <c r="W6" s="221">
        <f>DATE(YEAR(R6)+1,MONTH(R6),DAY(R6))</f>
        <v>42825</v>
      </c>
      <c r="X6" s="221">
        <f t="shared" ref="X6" si="4">DATE(YEAR(S6)+1,MONTH(S6),DAY(S6))</f>
        <v>42916</v>
      </c>
      <c r="Y6" s="221">
        <f t="shared" ref="Y6" si="5">DATE(YEAR(T6)+1,MONTH(T6),DAY(T6))</f>
        <v>43008</v>
      </c>
      <c r="Z6" s="221">
        <f t="shared" ref="Z6" si="6">DATE(YEAR(U6)+1,MONTH(U6),DAY(U6))</f>
        <v>43100</v>
      </c>
      <c r="AA6" s="220" t="str">
        <f>CONCATENATE( "FY ", MID(V6,4,4)+1, IF(RIGHT(Z5,1)="E", "E", "") )</f>
        <v>FY 2017</v>
      </c>
      <c r="AB6" s="221">
        <f>DATE(YEAR(W6)+1,MONTH(W6),DAY(W6))</f>
        <v>43190</v>
      </c>
      <c r="AC6" s="221">
        <f t="shared" ref="AC6" si="7">DATE(YEAR(X6)+1,MONTH(X6),DAY(X6))</f>
        <v>43281</v>
      </c>
      <c r="AD6" s="221">
        <f t="shared" ref="AD6" si="8">DATE(YEAR(Y6)+1,MONTH(Y6),DAY(Y6))</f>
        <v>43373</v>
      </c>
      <c r="AE6" s="221">
        <f t="shared" ref="AE6" si="9">DATE(YEAR(Z6)+1,MONTH(Z6),DAY(Z6))</f>
        <v>43465</v>
      </c>
      <c r="AF6" s="220" t="str">
        <f>CONCATENATE( "FY ", MID(AA6,4,4)+1, IF(RIGHT(AE5,1)="E", "E", "") )</f>
        <v>FY 2018</v>
      </c>
      <c r="AG6" s="221">
        <f>DATE(YEAR(AB6)+1,MONTH(AB6),DAY(AB6))</f>
        <v>43555</v>
      </c>
      <c r="AH6" s="221">
        <f t="shared" ref="AH6" si="10">DATE(YEAR(AC6)+1,MONTH(AC6),DAY(AC6))</f>
        <v>43646</v>
      </c>
      <c r="AI6" s="221">
        <f t="shared" ref="AI6" si="11">DATE(YEAR(AD6)+1,MONTH(AD6),DAY(AD6))</f>
        <v>43738</v>
      </c>
      <c r="AJ6" s="221">
        <f t="shared" ref="AJ6" si="12">DATE(YEAR(AE6)+1,MONTH(AE6),DAY(AE6))</f>
        <v>43830</v>
      </c>
      <c r="AK6" s="220" t="str">
        <f>CONCATENATE( "FY ", MID(AF6,4,4)+1, IF(RIGHT(AJ5,1)="E", "E", "") )</f>
        <v>FY 2019</v>
      </c>
      <c r="AL6" s="221">
        <f>DATE(YEAR(AG6)+1,MONTH(AG6),DAY(AG6))</f>
        <v>43921</v>
      </c>
      <c r="AM6" s="221">
        <f t="shared" ref="AM6" si="13">DATE(YEAR(AH6)+1,MONTH(AH6),DAY(AH6))</f>
        <v>44012</v>
      </c>
      <c r="AN6" s="221">
        <f t="shared" ref="AN6" si="14">DATE(YEAR(AI6)+1,MONTH(AI6),DAY(AI6))</f>
        <v>44104</v>
      </c>
      <c r="AO6" s="221">
        <f t="shared" ref="AO6" si="15">DATE(YEAR(AJ6)+1,MONTH(AJ6),DAY(AJ6))</f>
        <v>44196</v>
      </c>
      <c r="AP6" s="220" t="str">
        <f>CONCATENATE( "FY ", MID(AK6,4,4)+1, IF(RIGHT(AO5,1)="E", "E", "") )</f>
        <v>FY 2020</v>
      </c>
      <c r="AQ6" s="221">
        <f>DATE(YEAR(AL6)+1,MONTH(AL6),DAY(AL6))</f>
        <v>44286</v>
      </c>
      <c r="AR6" s="221">
        <f t="shared" ref="AR6" si="16">DATE(YEAR(AM6)+1,MONTH(AM6),DAY(AM6))</f>
        <v>44377</v>
      </c>
      <c r="AS6" s="221">
        <f t="shared" ref="AS6" si="17">DATE(YEAR(AN6)+1,MONTH(AN6),DAY(AN6))</f>
        <v>44469</v>
      </c>
      <c r="AT6" s="221">
        <f t="shared" ref="AT6" si="18">DATE(YEAR(AO6)+1,MONTH(AO6),DAY(AO6))</f>
        <v>44561</v>
      </c>
      <c r="AU6" s="220" t="str">
        <f>CONCATENATE( "FY ", MID(AP6,4,4)+1, IF(RIGHT(AT5,1)="E", "E", "") )</f>
        <v>FY 2021</v>
      </c>
      <c r="AV6" s="221">
        <f>DATE(YEAR(AQ6)+1,MONTH(AQ6),DAY(AQ6))</f>
        <v>44651</v>
      </c>
      <c r="AW6" s="221">
        <f t="shared" ref="AW6" si="19">DATE(YEAR(AR6)+1,MONTH(AR6),DAY(AR6))</f>
        <v>44742</v>
      </c>
      <c r="AX6" s="221">
        <f t="shared" ref="AX6" si="20">DATE(YEAR(AS6)+1,MONTH(AS6),DAY(AS6))</f>
        <v>44834</v>
      </c>
      <c r="AY6" s="221">
        <f t="shared" ref="AY6" si="21">DATE(YEAR(AT6)+1,MONTH(AT6),DAY(AT6))</f>
        <v>44926</v>
      </c>
      <c r="AZ6" s="220" t="str">
        <f>CONCATENATE( "FY ", MID(AU6,4,4)+1, IF(RIGHT(AY5,1)="E", "E", "") )</f>
        <v>FY 2022</v>
      </c>
      <c r="BA6" s="221">
        <f>DATE(YEAR(AV6)+1,MONTH(AV6),DAY(AV6))</f>
        <v>45016</v>
      </c>
      <c r="BB6" s="221">
        <f t="shared" ref="BB6" si="22">DATE(YEAR(AW6)+1,MONTH(AW6),DAY(AW6))</f>
        <v>45107</v>
      </c>
      <c r="BC6" s="221">
        <f t="shared" ref="BC6" si="23">DATE(YEAR(AX6)+1,MONTH(AX6),DAY(AX6))</f>
        <v>45199</v>
      </c>
      <c r="BD6" s="221">
        <f t="shared" ref="BD6" si="24">DATE(YEAR(AY6)+1,MONTH(AY6),DAY(AY6))</f>
        <v>45291</v>
      </c>
      <c r="BE6" s="220" t="str">
        <f>CONCATENATE( "FY ", MID(AZ6,4,4)+1, IF(RIGHT(BD5,1)="E", "E", "") )</f>
        <v>FY 2023</v>
      </c>
      <c r="BF6" s="221">
        <f t="shared" ref="BF6" si="25">DATE(YEAR(BA6)+1,MONTH(BA6),DAY(BA6))</f>
        <v>45382</v>
      </c>
      <c r="BG6" s="221">
        <f t="shared" ref="BG6" si="26">DATE(YEAR(BB6)+1,MONTH(BB6),DAY(BB6))</f>
        <v>45473</v>
      </c>
      <c r="BH6" s="221">
        <f t="shared" ref="BH6" si="27">DATE(YEAR(BC6)+1,MONTH(BC6),DAY(BC6))</f>
        <v>45565</v>
      </c>
      <c r="BI6" s="221">
        <f t="shared" ref="BI6" si="28">DATE(YEAR(BD6)+1,MONTH(BD6),DAY(BD6))</f>
        <v>45657</v>
      </c>
      <c r="BJ6" s="220" t="str">
        <f>CONCATENATE( "FY ", MID(BE6,4,4)+1, IF(RIGHT(BI5,1)="E", "E", "") )</f>
        <v>FY 2024</v>
      </c>
      <c r="BK6" s="221">
        <f>DATE(YEAR(BF6)+1,MONTH(BF6),DAY(BF6))</f>
        <v>45747</v>
      </c>
      <c r="BL6" s="221">
        <f>DATE(YEAR(BG6)+1,MONTH(BG6),DAY(BG6))</f>
        <v>45838</v>
      </c>
      <c r="BM6" s="221">
        <f>DATE(YEAR(BH6)+1,MONTH(BH6),DAY(BH6))</f>
        <v>45930</v>
      </c>
      <c r="BN6" s="221">
        <f>DATE(YEAR(BI6)+1,MONTH(BI6),DAY(BI6))</f>
        <v>46022</v>
      </c>
      <c r="BO6" s="220" t="str">
        <f>CONCATENATE( "FY ", MID(BJ6,4,4)+1, IF(RIGHT(BN5,1)="E", "E", "") )</f>
        <v>FY 2025</v>
      </c>
      <c r="BP6" s="221">
        <f>DATE(YEAR(BK6)+1,MONTH(BK6),DAY(BK6))</f>
        <v>46112</v>
      </c>
      <c r="BQ6" s="221">
        <f>DATE(YEAR(BL6)+1,MONTH(BL6),DAY(BL6))</f>
        <v>46203</v>
      </c>
      <c r="BR6" s="221">
        <f>DATE(YEAR(BM6)+1,MONTH(BM6),DAY(BM6))</f>
        <v>46295</v>
      </c>
      <c r="BS6" s="221">
        <f>DATE(YEAR(BN6)+1,MONTH(BN6),DAY(BN6))</f>
        <v>46387</v>
      </c>
      <c r="BT6" s="220" t="str">
        <f>CONCATENATE( "FY ", MID(BO6,4,4)+1, IF(RIGHT(BS5,1)="E", "E", "") )</f>
        <v>FY 2026E</v>
      </c>
      <c r="BU6" s="221">
        <f>DATE(YEAR(BP6)+1,MONTH(BP6),DAY(BP6))</f>
        <v>46477</v>
      </c>
      <c r="BV6" s="221">
        <f>DATE(YEAR(BQ6)+1,MONTH(BQ6),DAY(BQ6))</f>
        <v>46568</v>
      </c>
      <c r="BW6" s="221">
        <f>DATE(YEAR(BR6)+1,MONTH(BR6),DAY(BR6))</f>
        <v>46660</v>
      </c>
      <c r="BX6" s="221">
        <f>DATE(YEAR(BS6)+1,MONTH(BS6),DAY(BS6))</f>
        <v>46752</v>
      </c>
      <c r="BY6" s="220" t="str">
        <f>CONCATENATE( "FY ", MID(BT6,4,4)+1, IF(RIGHT(BX5,1)="E", "E", "") )</f>
        <v>FY 2027E</v>
      </c>
    </row>
    <row r="7" spans="1:77" s="4" customFormat="1" ht="4.5" hidden="1" customHeight="1">
      <c r="B7" s="109"/>
      <c r="C7" s="108"/>
      <c r="D7" s="108"/>
      <c r="E7" s="108"/>
      <c r="F7" s="108"/>
      <c r="G7" s="108"/>
      <c r="H7" s="108"/>
      <c r="I7" s="108"/>
      <c r="J7" s="108"/>
      <c r="K7" s="108"/>
      <c r="L7" s="108"/>
      <c r="M7" s="31"/>
      <c r="N7" s="31"/>
      <c r="O7" s="31"/>
      <c r="P7" s="31"/>
      <c r="Q7" s="108"/>
      <c r="R7" s="31"/>
      <c r="S7" s="31"/>
      <c r="T7" s="31"/>
      <c r="U7" s="31"/>
      <c r="V7" s="108"/>
      <c r="W7" s="31"/>
      <c r="X7" s="31"/>
      <c r="Y7" s="31"/>
      <c r="Z7" s="31"/>
      <c r="AA7" s="108"/>
      <c r="AB7" s="31"/>
      <c r="AC7" s="31"/>
      <c r="AD7" s="31"/>
      <c r="AE7" s="31"/>
      <c r="AF7" s="108"/>
      <c r="AG7" s="31"/>
      <c r="AH7" s="31"/>
      <c r="AI7" s="31"/>
      <c r="AJ7" s="31"/>
      <c r="AK7" s="108"/>
      <c r="AL7" s="31"/>
      <c r="AM7" s="31"/>
      <c r="AN7" s="31"/>
      <c r="AO7" s="31"/>
      <c r="AP7" s="108"/>
      <c r="AQ7" s="31"/>
      <c r="AR7" s="31"/>
      <c r="AS7" s="31"/>
      <c r="AT7" s="31"/>
      <c r="AU7" s="108"/>
      <c r="AV7" s="31"/>
      <c r="AW7" s="31"/>
      <c r="AX7" s="31"/>
      <c r="AY7" s="31"/>
      <c r="AZ7" s="108"/>
      <c r="BA7" s="31"/>
      <c r="BB7" s="31"/>
      <c r="BC7" s="31"/>
      <c r="BD7" s="31"/>
      <c r="BE7" s="108"/>
      <c r="BF7" s="31"/>
      <c r="BG7" s="31"/>
      <c r="BH7" s="31"/>
      <c r="BI7" s="31"/>
      <c r="BJ7" s="108"/>
      <c r="BK7" s="909"/>
      <c r="BL7" s="909"/>
      <c r="BM7" s="909"/>
      <c r="BN7" s="909"/>
      <c r="BO7" s="910"/>
      <c r="BP7" s="909"/>
      <c r="BQ7" s="909"/>
      <c r="BR7" s="909"/>
      <c r="BS7" s="909"/>
      <c r="BT7" s="910"/>
      <c r="BU7" s="909"/>
      <c r="BV7" s="909"/>
      <c r="BW7" s="909"/>
      <c r="BX7" s="909"/>
      <c r="BY7" s="910"/>
    </row>
    <row r="8" spans="1:77" s="4" customFormat="1" outlineLevel="1">
      <c r="B8" s="49" t="s">
        <v>182</v>
      </c>
      <c r="C8" s="62">
        <v>249.2</v>
      </c>
      <c r="D8" s="62">
        <v>272.8</v>
      </c>
      <c r="E8" s="62">
        <v>272.7</v>
      </c>
      <c r="F8" s="62">
        <v>281.39999999999998</v>
      </c>
      <c r="G8" s="235">
        <f>SUM(C8:F8)</f>
        <v>1076.0999999999999</v>
      </c>
      <c r="H8" s="62">
        <v>300.95299999999997</v>
      </c>
      <c r="I8" s="62">
        <v>313.798</v>
      </c>
      <c r="J8" s="62">
        <v>312.80799999999999</v>
      </c>
      <c r="K8" s="62">
        <v>300.53800000000001</v>
      </c>
      <c r="L8" s="235"/>
      <c r="M8" s="45"/>
      <c r="N8" s="45"/>
      <c r="O8" s="45"/>
      <c r="P8" s="45"/>
      <c r="Q8" s="235"/>
      <c r="R8" s="45"/>
      <c r="S8" s="45"/>
      <c r="T8" s="45"/>
      <c r="U8" s="45"/>
      <c r="V8" s="235"/>
      <c r="W8" s="186"/>
      <c r="X8" s="186"/>
      <c r="Y8" s="186"/>
      <c r="Z8" s="186"/>
      <c r="AA8" s="235"/>
      <c r="AB8" s="108"/>
      <c r="AC8" s="108"/>
      <c r="AD8" s="108"/>
      <c r="AE8" s="108"/>
      <c r="AF8" s="235"/>
      <c r="AG8" s="108">
        <v>215.219405068149</v>
      </c>
      <c r="AH8" s="108">
        <v>230.30367737316502</v>
      </c>
      <c r="AI8" s="108">
        <v>218.06607425999999</v>
      </c>
      <c r="AJ8" s="108">
        <v>228.88749839000002</v>
      </c>
      <c r="AK8" s="235">
        <f>SUM(AG8:AJ8)</f>
        <v>892.47665509131411</v>
      </c>
      <c r="AL8" s="108">
        <v>208.03325706000004</v>
      </c>
      <c r="AM8" s="108">
        <v>165.70080887999995</v>
      </c>
      <c r="AN8" s="108">
        <v>172.24312363999996</v>
      </c>
      <c r="AO8" s="108">
        <v>192.21351774999999</v>
      </c>
      <c r="AP8" s="235">
        <f>SUM(AL8:AO8)</f>
        <v>738.1907073299999</v>
      </c>
      <c r="AQ8" s="108">
        <v>177.7</v>
      </c>
      <c r="AR8" s="108">
        <v>193.9</v>
      </c>
      <c r="AS8" s="108">
        <v>195.9</v>
      </c>
      <c r="AT8" s="108">
        <v>207.57599999999999</v>
      </c>
      <c r="AU8" s="235">
        <f>SUM(AQ8:AT8)</f>
        <v>775.07600000000002</v>
      </c>
      <c r="AV8" s="108">
        <v>191.11199999999999</v>
      </c>
      <c r="AW8" s="108">
        <v>208.572</v>
      </c>
      <c r="AX8" s="108">
        <v>213.09299999999999</v>
      </c>
      <c r="AY8" s="108">
        <v>223.25800000000001</v>
      </c>
      <c r="AZ8" s="235">
        <f>SUM(AV8:AY8)</f>
        <v>836.03499999999997</v>
      </c>
      <c r="BA8" s="108">
        <v>202.447</v>
      </c>
      <c r="BB8" s="108">
        <v>226.26</v>
      </c>
      <c r="BC8" s="108">
        <v>220.297</v>
      </c>
      <c r="BD8" s="108">
        <v>238.22399999999999</v>
      </c>
      <c r="BE8" s="235">
        <f>SUM(BA8:BD8)</f>
        <v>887.22800000000007</v>
      </c>
      <c r="BF8" s="108">
        <v>219.32499999999999</v>
      </c>
      <c r="BG8" s="108">
        <v>233.232</v>
      </c>
      <c r="BH8" s="910">
        <v>228.65899999999999</v>
      </c>
      <c r="BI8" s="910">
        <v>250.917</v>
      </c>
      <c r="BJ8" s="235">
        <f>SUM(BF8:BI8)</f>
        <v>932.13300000000004</v>
      </c>
      <c r="BK8" s="910">
        <v>227.24600000000001</v>
      </c>
      <c r="BL8" s="910">
        <v>239.13800000000001</v>
      </c>
      <c r="BM8" s="910">
        <v>247.98500000000001</v>
      </c>
      <c r="BN8" s="910">
        <v>262.39100000000002</v>
      </c>
      <c r="BO8" s="235">
        <f>SUM(BK8:BN8)</f>
        <v>976.76</v>
      </c>
      <c r="BP8" s="911"/>
      <c r="BQ8" s="911"/>
      <c r="BR8" s="911"/>
      <c r="BS8" s="911"/>
      <c r="BT8" s="261"/>
      <c r="BU8" s="911"/>
      <c r="BV8" s="911"/>
      <c r="BW8" s="911"/>
      <c r="BX8" s="911"/>
      <c r="BY8" s="261"/>
    </row>
    <row r="9" spans="1:77" outlineLevel="1">
      <c r="B9" s="50" t="s">
        <v>183</v>
      </c>
      <c r="C9" s="42"/>
      <c r="D9" s="42"/>
      <c r="E9" s="42"/>
      <c r="F9" s="42"/>
      <c r="G9" s="236"/>
      <c r="H9" s="42">
        <f t="shared" ref="H9:K9" si="29">H8/C8-1</f>
        <v>0.20767656500802567</v>
      </c>
      <c r="I9" s="42">
        <f t="shared" si="29"/>
        <v>0.15028592375366556</v>
      </c>
      <c r="J9" s="42">
        <f t="shared" si="29"/>
        <v>0.14707737440410718</v>
      </c>
      <c r="K9" s="42">
        <f t="shared" si="29"/>
        <v>6.8009950248756335E-2</v>
      </c>
      <c r="L9" s="236"/>
      <c r="M9" s="42"/>
      <c r="N9" s="42"/>
      <c r="O9" s="42"/>
      <c r="P9" s="42"/>
      <c r="Q9" s="236"/>
      <c r="R9" s="42"/>
      <c r="S9" s="42"/>
      <c r="T9" s="42"/>
      <c r="U9" s="42"/>
      <c r="V9" s="236"/>
      <c r="W9" s="42"/>
      <c r="X9" s="42"/>
      <c r="Y9" s="42"/>
      <c r="Z9" s="42"/>
      <c r="AA9" s="236"/>
      <c r="AB9" s="10"/>
      <c r="AC9" s="10"/>
      <c r="AD9" s="10"/>
      <c r="AE9" s="10"/>
      <c r="AF9" s="236"/>
      <c r="AG9" s="10"/>
      <c r="AH9" s="10"/>
      <c r="AI9" s="10"/>
      <c r="AJ9" s="10"/>
      <c r="AK9" s="236"/>
      <c r="AL9" s="10">
        <f t="shared" ref="AL9:BC41" si="30">AL8/AG8-1</f>
        <v>-3.3389870239040387E-2</v>
      </c>
      <c r="AM9" s="10">
        <f t="shared" si="30"/>
        <v>-0.28051166716060694</v>
      </c>
      <c r="AN9" s="10">
        <f t="shared" si="30"/>
        <v>-0.21013333126438261</v>
      </c>
      <c r="AO9" s="10">
        <f t="shared" si="30"/>
        <v>-0.16022710238857807</v>
      </c>
      <c r="AP9" s="236">
        <f>AP8/AK8-1</f>
        <v>-0.17287393107837468</v>
      </c>
      <c r="AQ9" s="10">
        <f t="shared" si="30"/>
        <v>-0.14580965317123051</v>
      </c>
      <c r="AR9" s="10">
        <f t="shared" si="30"/>
        <v>0.17018137274406331</v>
      </c>
      <c r="AS9" s="10">
        <f t="shared" si="30"/>
        <v>0.13734583918394638</v>
      </c>
      <c r="AT9" s="10">
        <f t="shared" si="30"/>
        <v>7.9924047121290531E-2</v>
      </c>
      <c r="AU9" s="236">
        <f>AU8/AP8-1</f>
        <v>4.9967159304148412E-2</v>
      </c>
      <c r="AV9" s="10">
        <f t="shared" si="30"/>
        <v>7.5475520540236429E-2</v>
      </c>
      <c r="AW9" s="10">
        <f t="shared" si="30"/>
        <v>7.5667870036101093E-2</v>
      </c>
      <c r="AX9" s="10">
        <f t="shared" si="30"/>
        <v>8.7764165390505244E-2</v>
      </c>
      <c r="AY9" s="10">
        <f t="shared" si="30"/>
        <v>7.5548232936370363E-2</v>
      </c>
      <c r="AZ9" s="236">
        <f>AZ8/AU8-1</f>
        <v>7.8649061511387286E-2</v>
      </c>
      <c r="BA9" s="10">
        <f t="shared" si="30"/>
        <v>5.9310770647578392E-2</v>
      </c>
      <c r="BB9" s="10">
        <f t="shared" si="30"/>
        <v>8.4805247108912019E-2</v>
      </c>
      <c r="BC9" s="10">
        <f t="shared" si="30"/>
        <v>3.3806835513132905E-2</v>
      </c>
      <c r="BD9" s="928">
        <f>BD8/AY8-1</f>
        <v>6.7034551953345289E-2</v>
      </c>
      <c r="BE9" s="236">
        <f>BE8/AZ8-1</f>
        <v>6.1233082347031065E-2</v>
      </c>
      <c r="BF9" s="10">
        <f t="shared" ref="BF9:BH41" si="31">BF8/BA8-1</f>
        <v>8.3369968436183273E-2</v>
      </c>
      <c r="BG9" s="10">
        <f t="shared" si="31"/>
        <v>3.0814107663749812E-2</v>
      </c>
      <c r="BH9" s="10">
        <f t="shared" si="31"/>
        <v>3.7957847814541257E-2</v>
      </c>
      <c r="BI9" s="928">
        <f>BI8/BD8-1</f>
        <v>5.3281785210558263E-2</v>
      </c>
      <c r="BJ9" s="236">
        <f>BJ8/BE8-1</f>
        <v>5.0612694820271642E-2</v>
      </c>
      <c r="BK9" s="10">
        <f t="shared" ref="BK9:BM41" si="32">BK8/BF8-1</f>
        <v>3.6115353926821081E-2</v>
      </c>
      <c r="BL9" s="10">
        <f t="shared" si="32"/>
        <v>2.53224257391782E-2</v>
      </c>
      <c r="BM9" s="10">
        <f t="shared" si="32"/>
        <v>8.4518868708426176E-2</v>
      </c>
      <c r="BN9" s="928">
        <f>BN8/BI8-1</f>
        <v>4.572826871037039E-2</v>
      </c>
      <c r="BO9" s="236">
        <f>BO8/BJ8-1</f>
        <v>4.7876215089477592E-2</v>
      </c>
      <c r="BP9" s="912"/>
      <c r="BQ9" s="912"/>
      <c r="BR9" s="912"/>
      <c r="BS9" s="912"/>
      <c r="BT9" s="262"/>
      <c r="BU9" s="912"/>
      <c r="BV9" s="912"/>
      <c r="BW9" s="912"/>
      <c r="BX9" s="912"/>
      <c r="BY9" s="262"/>
    </row>
    <row r="10" spans="1:77" outlineLevel="1">
      <c r="B10" s="260" t="s">
        <v>184</v>
      </c>
      <c r="C10" s="42"/>
      <c r="D10" s="42"/>
      <c r="E10" s="42"/>
      <c r="F10" s="42"/>
      <c r="G10" s="236"/>
      <c r="H10" s="42"/>
      <c r="I10" s="42"/>
      <c r="J10" s="42"/>
      <c r="K10" s="42"/>
      <c r="L10" s="236"/>
      <c r="M10" s="42"/>
      <c r="N10" s="42"/>
      <c r="O10" s="42"/>
      <c r="P10" s="42"/>
      <c r="Q10" s="236"/>
      <c r="R10" s="42"/>
      <c r="S10" s="42"/>
      <c r="T10" s="42"/>
      <c r="U10" s="42"/>
      <c r="V10" s="236"/>
      <c r="W10" s="42"/>
      <c r="X10" s="42"/>
      <c r="Y10" s="42"/>
      <c r="Z10" s="42"/>
      <c r="AA10" s="236"/>
      <c r="AB10" s="10"/>
      <c r="AC10" s="10"/>
      <c r="AD10" s="10"/>
      <c r="AE10" s="10"/>
      <c r="AF10" s="236"/>
      <c r="AG10" s="10"/>
      <c r="AH10" s="10"/>
      <c r="AI10" s="10"/>
      <c r="AJ10" s="10"/>
      <c r="AK10" s="236"/>
      <c r="AL10" s="10"/>
      <c r="AM10" s="10"/>
      <c r="AN10" s="10"/>
      <c r="AO10" s="10"/>
      <c r="AP10" s="236"/>
      <c r="AQ10" s="10"/>
      <c r="AR10" s="10"/>
      <c r="AS10" s="10"/>
      <c r="AT10" s="10"/>
      <c r="AU10" s="236"/>
      <c r="AV10" s="395" t="s">
        <v>185</v>
      </c>
      <c r="AW10" s="395" t="s">
        <v>186</v>
      </c>
      <c r="AX10" s="10"/>
      <c r="AY10" s="395" t="s">
        <v>187</v>
      </c>
      <c r="AZ10" s="396" t="str">
        <f>AY10</f>
        <v>845-860</v>
      </c>
      <c r="BA10" s="395" t="s">
        <v>187</v>
      </c>
      <c r="BB10" s="395" t="s">
        <v>188</v>
      </c>
      <c r="BC10" s="395" t="s">
        <v>189</v>
      </c>
      <c r="BD10" s="395" t="s">
        <v>190</v>
      </c>
      <c r="BE10" s="396" t="str">
        <f>BD10</f>
        <v>915-930</v>
      </c>
      <c r="BF10" s="395" t="s">
        <v>190</v>
      </c>
      <c r="BG10" s="395" t="s">
        <v>191</v>
      </c>
      <c r="BH10" s="395" t="s">
        <v>191</v>
      </c>
      <c r="BI10" s="395" t="s">
        <v>192</v>
      </c>
      <c r="BJ10" s="396" t="str">
        <f>BI10</f>
        <v>960-975</v>
      </c>
      <c r="BK10" s="395" t="s">
        <v>192</v>
      </c>
      <c r="BL10" s="395" t="s">
        <v>1183</v>
      </c>
      <c r="BM10" s="395" t="s">
        <v>1237</v>
      </c>
      <c r="BN10" s="395" t="s">
        <v>212</v>
      </c>
      <c r="BO10" s="396" t="str">
        <f>BN10</f>
        <v>1030-1045</v>
      </c>
      <c r="BP10" s="912"/>
      <c r="BQ10" s="912"/>
      <c r="BR10" s="912"/>
      <c r="BS10" s="912"/>
      <c r="BT10" s="262"/>
      <c r="BU10" s="912"/>
      <c r="BV10" s="912"/>
      <c r="BW10" s="912"/>
      <c r="BX10" s="912"/>
      <c r="BY10" s="262"/>
    </row>
    <row r="11" spans="1:77" outlineLevel="1">
      <c r="C11" s="42"/>
      <c r="D11" s="42"/>
      <c r="E11" s="42"/>
      <c r="F11" s="42"/>
      <c r="G11" s="236"/>
      <c r="H11" s="42"/>
      <c r="I11" s="42"/>
      <c r="J11" s="42"/>
      <c r="K11" s="42"/>
      <c r="L11" s="236"/>
      <c r="M11" s="42"/>
      <c r="N11" s="42"/>
      <c r="O11" s="42"/>
      <c r="P11" s="42"/>
      <c r="Q11" s="236"/>
      <c r="R11" s="42"/>
      <c r="S11" s="42"/>
      <c r="T11" s="42"/>
      <c r="U11" s="42"/>
      <c r="V11" s="236"/>
      <c r="W11" s="42"/>
      <c r="X11" s="42"/>
      <c r="Y11" s="42"/>
      <c r="Z11" s="42"/>
      <c r="AA11" s="236"/>
      <c r="AB11" s="10"/>
      <c r="AC11" s="10"/>
      <c r="AD11" s="10"/>
      <c r="AE11" s="10"/>
      <c r="AF11" s="236"/>
      <c r="AG11" s="10"/>
      <c r="AH11" s="10"/>
      <c r="AI11" s="10"/>
      <c r="AJ11" s="10"/>
      <c r="AK11" s="236"/>
      <c r="AL11" s="10"/>
      <c r="AM11" s="10"/>
      <c r="AN11" s="10"/>
      <c r="AO11" s="10"/>
      <c r="AP11" s="236"/>
      <c r="AQ11" s="10"/>
      <c r="AR11" s="10"/>
      <c r="AS11" s="10"/>
      <c r="AT11" s="10"/>
      <c r="AU11" s="236"/>
      <c r="AV11" s="395"/>
      <c r="AW11" s="395"/>
      <c r="AX11" s="10"/>
      <c r="AY11" s="395"/>
      <c r="AZ11" s="396"/>
      <c r="BA11" s="395"/>
      <c r="BB11" s="395"/>
      <c r="BC11" s="395"/>
      <c r="BD11" s="395"/>
      <c r="BE11" s="396"/>
      <c r="BF11" s="395"/>
      <c r="BG11" s="395"/>
      <c r="BH11" s="395"/>
      <c r="BI11" s="395"/>
      <c r="BJ11" s="396"/>
      <c r="BK11" s="395"/>
      <c r="BL11" s="395"/>
      <c r="BM11" s="395"/>
      <c r="BN11" s="395"/>
      <c r="BO11" s="396"/>
      <c r="BP11" s="912"/>
      <c r="BQ11" s="912"/>
      <c r="BR11" s="912"/>
      <c r="BS11" s="912"/>
      <c r="BT11" s="536" cm="1">
        <f t="array" ref="BT11">_xll.FDS("CW-US","FE_ESTIMATE(PRODLINE_SALES_1,MEAN,ANN_ROLL,+1,NOW,,,'')")</f>
        <v>1027.8357000000001</v>
      </c>
      <c r="BU11" s="912"/>
      <c r="BV11" s="912"/>
      <c r="BW11" s="912"/>
      <c r="BX11" s="912"/>
      <c r="BY11" s="536" cm="1">
        <f t="array" ref="BY11">_xll.FDS("CW-US","FE_ESTIMATE(PRODLINE_SALES_1,MEAN,ANN_ROLL,+2,NOW,,,'')")</f>
        <v>1072.335</v>
      </c>
    </row>
    <row r="12" spans="1:77" hidden="1" outlineLevel="2">
      <c r="B12" s="204" t="s">
        <v>193</v>
      </c>
      <c r="C12" s="205"/>
      <c r="D12" s="205"/>
      <c r="E12" s="205"/>
      <c r="F12" s="205"/>
      <c r="G12" s="237"/>
      <c r="H12" s="206"/>
      <c r="I12" s="206"/>
      <c r="J12" s="206"/>
      <c r="K12" s="206"/>
      <c r="L12" s="237"/>
      <c r="M12" s="206"/>
      <c r="N12" s="206"/>
      <c r="O12" s="206"/>
      <c r="P12" s="206"/>
      <c r="Q12" s="237"/>
      <c r="R12" s="206"/>
      <c r="S12" s="206"/>
      <c r="T12" s="206"/>
      <c r="U12" s="206"/>
      <c r="V12" s="237"/>
      <c r="W12" s="206"/>
      <c r="X12" s="206"/>
      <c r="Y12" s="206"/>
      <c r="Z12" s="206"/>
      <c r="AA12" s="237"/>
      <c r="AB12" s="191"/>
      <c r="AC12" s="191"/>
      <c r="AD12" s="191"/>
      <c r="AE12" s="191"/>
      <c r="AF12" s="237"/>
      <c r="AG12" s="191"/>
      <c r="AH12" s="191"/>
      <c r="AI12" s="191"/>
      <c r="AJ12" s="191"/>
      <c r="AK12" s="237"/>
      <c r="AL12" s="191"/>
      <c r="AM12" s="191"/>
      <c r="AN12" s="191"/>
      <c r="AO12" s="207"/>
      <c r="AP12" s="237"/>
      <c r="AQ12" s="191">
        <v>-0.22</v>
      </c>
      <c r="AR12" s="191">
        <v>0.1</v>
      </c>
      <c r="AS12" s="191">
        <v>0.03</v>
      </c>
      <c r="AT12" s="191">
        <f>+AT9</f>
        <v>7.9924047121290531E-2</v>
      </c>
      <c r="AU12" s="237">
        <f>((AQ12*AL$8)+(AR12*AM$8)+(AS12*AN$8)+(AT12*AO$8))/AP$8</f>
        <v>-1.1741491216205885E-2</v>
      </c>
      <c r="AV12" s="191">
        <v>7.0000000000000007E-2</v>
      </c>
      <c r="AW12" s="191">
        <v>7.0000000000000007E-2</v>
      </c>
      <c r="AX12" s="191">
        <v>0.12</v>
      </c>
      <c r="AY12" s="191">
        <v>0.11</v>
      </c>
      <c r="AZ12" s="237">
        <f>((AV12*AQ$8)+(AW12*AR$8)+(AX12*AS$8)+(AY12*AT$8))/AU$8</f>
        <v>9.3350019869019293E-2</v>
      </c>
      <c r="BA12" s="191">
        <v>0.08</v>
      </c>
      <c r="BB12" s="191">
        <v>0.09</v>
      </c>
      <c r="BC12" s="191">
        <v>0.02</v>
      </c>
      <c r="BD12" s="191">
        <v>0.06</v>
      </c>
      <c r="BE12" s="237">
        <f>((BA12*AV$8)+(BB12*AW$8)+(BC12*AX$8)+(BD12*AY$8))/AZ$8</f>
        <v>6.186078334041039E-2</v>
      </c>
      <c r="BF12" s="191">
        <v>0.08</v>
      </c>
      <c r="BG12" s="191">
        <v>0.03</v>
      </c>
      <c r="BH12" s="191">
        <v>0.03</v>
      </c>
      <c r="BI12" s="191">
        <v>0.05</v>
      </c>
      <c r="BJ12" s="237">
        <f>((BF12*BA$8)+(BG12*BB$8)+(BH12*BC$8)+(BI12*BD$8))/BE$8</f>
        <v>4.677903537760305E-2</v>
      </c>
      <c r="BK12" s="191">
        <v>0.04</v>
      </c>
      <c r="BL12" s="191">
        <v>0.02</v>
      </c>
      <c r="BM12" s="929">
        <v>0.08</v>
      </c>
      <c r="BN12" s="929">
        <v>0.04</v>
      </c>
      <c r="BO12" s="237">
        <f>((BK12*BF$8)+(BL12*BG$8)+(BM12*BH$8)+(BN12*BI$8))/BJ$8</f>
        <v>4.4808026322423936E-2</v>
      </c>
      <c r="BP12" s="913"/>
      <c r="BQ12" s="913"/>
      <c r="BR12" s="913"/>
      <c r="BS12" s="913"/>
      <c r="BT12" s="1054">
        <f>BT11/BO8-1</f>
        <v>5.2290941479995245E-2</v>
      </c>
      <c r="BU12" s="913"/>
      <c r="BV12" s="913"/>
      <c r="BW12" s="913"/>
      <c r="BX12" s="913"/>
      <c r="BY12" s="1054">
        <f>BY11/BT11-1</f>
        <v>4.3294176296853726E-2</v>
      </c>
    </row>
    <row r="13" spans="1:77" hidden="1" outlineLevel="2">
      <c r="B13" s="204" t="s">
        <v>194</v>
      </c>
      <c r="C13" s="205"/>
      <c r="D13" s="205"/>
      <c r="E13" s="205"/>
      <c r="F13" s="205"/>
      <c r="G13" s="237"/>
      <c r="H13" s="206"/>
      <c r="I13" s="206"/>
      <c r="J13" s="206"/>
      <c r="K13" s="206"/>
      <c r="L13" s="237"/>
      <c r="M13" s="206"/>
      <c r="N13" s="206"/>
      <c r="O13" s="206"/>
      <c r="P13" s="206"/>
      <c r="Q13" s="237"/>
      <c r="R13" s="206"/>
      <c r="S13" s="206"/>
      <c r="T13" s="206"/>
      <c r="U13" s="206"/>
      <c r="V13" s="237"/>
      <c r="W13" s="206"/>
      <c r="X13" s="206"/>
      <c r="Y13" s="206"/>
      <c r="Z13" s="206"/>
      <c r="AA13" s="237"/>
      <c r="AB13" s="191"/>
      <c r="AC13" s="191"/>
      <c r="AD13" s="191"/>
      <c r="AE13" s="191"/>
      <c r="AF13" s="237"/>
      <c r="AG13" s="191"/>
      <c r="AH13" s="191"/>
      <c r="AI13" s="191"/>
      <c r="AJ13" s="191"/>
      <c r="AK13" s="237"/>
      <c r="AL13" s="191"/>
      <c r="AM13" s="191"/>
      <c r="AN13" s="191"/>
      <c r="AO13" s="207"/>
      <c r="AP13" s="237"/>
      <c r="AQ13" s="191">
        <v>0</v>
      </c>
      <c r="AR13" s="191">
        <v>0</v>
      </c>
      <c r="AS13" s="191">
        <v>0</v>
      </c>
      <c r="AT13" s="191">
        <v>0</v>
      </c>
      <c r="AU13" s="237">
        <f>((AQ13*AL$8)+(AR13*AM$8)+(AS13*AN$8)+(AT13*AO$8))/AP$8</f>
        <v>0</v>
      </c>
      <c r="AV13" s="191">
        <v>0</v>
      </c>
      <c r="AW13" s="191">
        <v>0</v>
      </c>
      <c r="AX13" s="191">
        <v>0</v>
      </c>
      <c r="AY13" s="191">
        <v>0.01</v>
      </c>
      <c r="AZ13" s="237">
        <f>((AV13*AQ$8)+(AW13*AR$8)+(AX13*AS$8)+(AY13*AT$8))/AU$8</f>
        <v>2.6781373697547075E-3</v>
      </c>
      <c r="BA13" s="191">
        <v>0</v>
      </c>
      <c r="BB13" s="191">
        <v>0</v>
      </c>
      <c r="BC13" s="191">
        <v>0</v>
      </c>
      <c r="BD13" s="191">
        <v>0</v>
      </c>
      <c r="BE13" s="237">
        <f>((BA13*AV$8)+(BB13*AW$8)+(BC13*AX$8)+(BD13*AY$8))/AZ$8</f>
        <v>0</v>
      </c>
      <c r="BF13" s="191">
        <v>0</v>
      </c>
      <c r="BG13" s="191">
        <v>0</v>
      </c>
      <c r="BH13" s="191">
        <v>0</v>
      </c>
      <c r="BI13" s="191">
        <v>0</v>
      </c>
      <c r="BJ13" s="237">
        <f>((BF13*BA$8)+(BG13*BB$8)+(BH13*BC$8)+(BI13*BD$8))/BE$8</f>
        <v>0</v>
      </c>
      <c r="BK13" s="191">
        <v>0</v>
      </c>
      <c r="BL13" s="191">
        <v>0</v>
      </c>
      <c r="BM13" s="929">
        <v>0</v>
      </c>
      <c r="BN13" s="929">
        <v>0</v>
      </c>
      <c r="BO13" s="237">
        <f>((BK13*BF$8)+(BL13*BG$8)+(BM13*BH$8)+(BN13*BI$8))/BJ$8</f>
        <v>0</v>
      </c>
      <c r="BP13" s="913"/>
      <c r="BQ13" s="913"/>
      <c r="BR13" s="913"/>
      <c r="BS13" s="913"/>
      <c r="BT13" s="1050"/>
      <c r="BU13" s="913"/>
      <c r="BV13" s="913"/>
      <c r="BW13" s="913"/>
      <c r="BX13" s="913"/>
      <c r="BY13" s="263"/>
    </row>
    <row r="14" spans="1:77" hidden="1" outlineLevel="2">
      <c r="B14" s="204" t="s">
        <v>195</v>
      </c>
      <c r="C14" s="205"/>
      <c r="D14" s="205"/>
      <c r="E14" s="205"/>
      <c r="F14" s="205"/>
      <c r="G14" s="237"/>
      <c r="H14" s="206"/>
      <c r="I14" s="206"/>
      <c r="J14" s="206"/>
      <c r="K14" s="206"/>
      <c r="L14" s="237"/>
      <c r="M14" s="206"/>
      <c r="N14" s="206"/>
      <c r="O14" s="206"/>
      <c r="P14" s="206"/>
      <c r="Q14" s="237"/>
      <c r="R14" s="206"/>
      <c r="S14" s="206"/>
      <c r="T14" s="206"/>
      <c r="U14" s="206"/>
      <c r="V14" s="237"/>
      <c r="W14" s="206"/>
      <c r="X14" s="206"/>
      <c r="Y14" s="206"/>
      <c r="Z14" s="206"/>
      <c r="AA14" s="237"/>
      <c r="AB14" s="191"/>
      <c r="AC14" s="191"/>
      <c r="AD14" s="191"/>
      <c r="AE14" s="191"/>
      <c r="AF14" s="237"/>
      <c r="AG14" s="191"/>
      <c r="AH14" s="191"/>
      <c r="AI14" s="191"/>
      <c r="AJ14" s="191"/>
      <c r="AK14" s="237"/>
      <c r="AL14" s="191"/>
      <c r="AM14" s="191"/>
      <c r="AN14" s="191"/>
      <c r="AO14" s="207"/>
      <c r="AP14" s="237"/>
      <c r="AQ14" s="191">
        <v>0.02</v>
      </c>
      <c r="AR14" s="191">
        <v>0.03</v>
      </c>
      <c r="AS14" s="191">
        <v>0.01</v>
      </c>
      <c r="AT14" s="191">
        <v>0</v>
      </c>
      <c r="AU14" s="237">
        <f>((AQ14*AL$8)+(AR14*AM$8)+(AS14*AN$8)+(AT14*AO$8))/AP$8</f>
        <v>1.4703680954287314E-2</v>
      </c>
      <c r="AV14" s="191">
        <v>0.01</v>
      </c>
      <c r="AW14" s="191">
        <v>-0.03</v>
      </c>
      <c r="AX14" s="191">
        <v>0.03</v>
      </c>
      <c r="AY14" s="191">
        <v>0.04</v>
      </c>
      <c r="AZ14" s="237">
        <f>((AV14*AQ$8)+(AW14*AR$8)+(AX14*AS$8)+(AY14*AT$8))/AU$8</f>
        <v>1.3082639637919377E-2</v>
      </c>
      <c r="BA14" s="191">
        <v>0.02</v>
      </c>
      <c r="BB14" s="191">
        <v>0.01</v>
      </c>
      <c r="BC14" s="191">
        <v>-0.01</v>
      </c>
      <c r="BD14" s="191">
        <v>-0.01</v>
      </c>
      <c r="BE14" s="237">
        <f>((BA14*AV$8)+(BB14*AW$8)+(BC14*AX$8)+(BD14*AY$8))/AZ$8</f>
        <v>1.8473508884197436E-3</v>
      </c>
      <c r="BF14" s="191">
        <v>0</v>
      </c>
      <c r="BG14" s="191">
        <v>0</v>
      </c>
      <c r="BH14" s="191">
        <v>-0.01</v>
      </c>
      <c r="BI14" s="191">
        <v>0</v>
      </c>
      <c r="BJ14" s="237">
        <f>((BF14*BA$8)+(BG14*BB$8)+(BH14*BC$8)+(BI14*BD$8))/BE$8</f>
        <v>-2.4829806994368978E-3</v>
      </c>
      <c r="BK14" s="191">
        <v>0</v>
      </c>
      <c r="BL14" s="191">
        <v>0.01</v>
      </c>
      <c r="BM14" s="929">
        <v>0</v>
      </c>
      <c r="BN14" s="929">
        <v>-0.01</v>
      </c>
      <c r="BO14" s="237">
        <f>((BK14*BF$8)+(BL14*BG$8)+(BM14*BH$8)+(BN14*BI$8))/BJ$8</f>
        <v>-1.8972614423049065E-4</v>
      </c>
      <c r="BP14" s="913"/>
      <c r="BQ14" s="913"/>
      <c r="BR14" s="913"/>
      <c r="BS14" s="913"/>
      <c r="BT14" s="1050"/>
      <c r="BU14" s="913"/>
      <c r="BV14" s="913"/>
      <c r="BW14" s="913"/>
      <c r="BX14" s="913"/>
      <c r="BY14" s="263"/>
    </row>
    <row r="15" spans="1:77" ht="6" hidden="1" customHeight="1" outlineLevel="2">
      <c r="B15" s="204"/>
      <c r="C15" s="205"/>
      <c r="D15" s="205"/>
      <c r="E15" s="205"/>
      <c r="F15" s="205"/>
      <c r="G15" s="237"/>
      <c r="H15" s="206"/>
      <c r="I15" s="206"/>
      <c r="J15" s="206"/>
      <c r="K15" s="206"/>
      <c r="L15" s="237"/>
      <c r="M15" s="206"/>
      <c r="N15" s="206"/>
      <c r="O15" s="206"/>
      <c r="P15" s="206"/>
      <c r="Q15" s="237"/>
      <c r="R15" s="206"/>
      <c r="S15" s="206"/>
      <c r="T15" s="206"/>
      <c r="U15" s="206"/>
      <c r="V15" s="237"/>
      <c r="W15" s="206"/>
      <c r="X15" s="206"/>
      <c r="Y15" s="206"/>
      <c r="Z15" s="206"/>
      <c r="AA15" s="237"/>
      <c r="AB15" s="191"/>
      <c r="AC15" s="191"/>
      <c r="AD15" s="191"/>
      <c r="AE15" s="191"/>
      <c r="AF15" s="237"/>
      <c r="AG15" s="191"/>
      <c r="AH15" s="191"/>
      <c r="AI15" s="191"/>
      <c r="AJ15" s="191"/>
      <c r="AK15" s="237"/>
      <c r="AL15" s="191"/>
      <c r="AM15" s="191"/>
      <c r="AN15" s="191"/>
      <c r="AO15" s="207"/>
      <c r="AP15" s="237"/>
      <c r="AQ15" s="191"/>
      <c r="AR15" s="191"/>
      <c r="AS15" s="191"/>
      <c r="AT15" s="191"/>
      <c r="AU15" s="237"/>
      <c r="AV15" s="191"/>
      <c r="AW15" s="207"/>
      <c r="AX15" s="207"/>
      <c r="AY15" s="207"/>
      <c r="AZ15" s="237"/>
      <c r="BA15" s="191"/>
      <c r="BB15" s="207"/>
      <c r="BC15" s="207"/>
      <c r="BD15" s="207"/>
      <c r="BE15" s="237"/>
      <c r="BF15" s="191"/>
      <c r="BG15" s="207"/>
      <c r="BH15" s="207"/>
      <c r="BI15" s="207"/>
      <c r="BJ15" s="237"/>
      <c r="BK15" s="191"/>
      <c r="BL15" s="207"/>
      <c r="BM15" s="207"/>
      <c r="BN15" s="207"/>
      <c r="BO15" s="237"/>
      <c r="BP15" s="914"/>
      <c r="BQ15" s="914"/>
      <c r="BR15" s="914"/>
      <c r="BS15" s="914"/>
      <c r="BT15" s="1050"/>
      <c r="BU15" s="914"/>
      <c r="BV15" s="914"/>
      <c r="BW15" s="914"/>
      <c r="BX15" s="914"/>
      <c r="BY15" s="237"/>
    </row>
    <row r="16" spans="1:77" hidden="1" outlineLevel="2">
      <c r="B16" s="222" t="s">
        <v>120</v>
      </c>
      <c r="C16" s="205"/>
      <c r="D16" s="205"/>
      <c r="E16" s="205"/>
      <c r="F16" s="205"/>
      <c r="G16" s="237"/>
      <c r="H16" s="206"/>
      <c r="I16" s="206"/>
      <c r="J16" s="206"/>
      <c r="K16" s="206"/>
      <c r="L16" s="237"/>
      <c r="M16" s="206"/>
      <c r="N16" s="206"/>
      <c r="O16" s="206"/>
      <c r="P16" s="206"/>
      <c r="Q16" s="237"/>
      <c r="R16" s="206"/>
      <c r="S16" s="206"/>
      <c r="T16" s="206"/>
      <c r="U16" s="206"/>
      <c r="V16" s="237"/>
      <c r="W16" s="206"/>
      <c r="X16" s="206"/>
      <c r="Y16" s="206"/>
      <c r="Z16" s="206"/>
      <c r="AA16" s="237"/>
      <c r="AB16" s="191"/>
      <c r="AC16" s="191"/>
      <c r="AD16" s="191"/>
      <c r="AE16" s="191"/>
      <c r="AF16" s="237"/>
      <c r="AG16" s="191"/>
      <c r="AH16" s="191"/>
      <c r="AI16" s="191"/>
      <c r="AJ16" s="191"/>
      <c r="AK16" s="237"/>
      <c r="AL16" s="191"/>
      <c r="AM16" s="191"/>
      <c r="AN16" s="191"/>
      <c r="AO16" s="207"/>
      <c r="AP16" s="238">
        <f>+(AP$8-AP$20)*(28/(28+21))</f>
        <v>234.57411847428565</v>
      </c>
      <c r="AQ16" s="191"/>
      <c r="AR16" s="191"/>
      <c r="AS16" s="191"/>
      <c r="AT16" s="191"/>
      <c r="AU16" s="238">
        <f>+(AU$8-AU$20)*(26/(26+21))</f>
        <v>217.95468085106384</v>
      </c>
      <c r="AV16" s="191"/>
      <c r="AW16" s="207"/>
      <c r="AX16" s="207"/>
      <c r="AY16" s="207"/>
      <c r="AZ16" s="238">
        <f>+AZ8-AZ18-AZ20</f>
        <v>233.07395744680849</v>
      </c>
      <c r="BA16" s="191"/>
      <c r="BB16" s="207"/>
      <c r="BC16" s="207"/>
      <c r="BD16" s="914"/>
      <c r="BE16" s="238">
        <f>+BE8-BE18-BE20</f>
        <v>252.50148936170217</v>
      </c>
      <c r="BF16" s="191"/>
      <c r="BG16" s="207"/>
      <c r="BH16" s="207"/>
      <c r="BI16" s="914"/>
      <c r="BJ16" s="238">
        <f>+BJ8-BJ18-BJ20</f>
        <v>288.56238297872346</v>
      </c>
      <c r="BK16" s="191"/>
      <c r="BL16" s="207"/>
      <c r="BM16" s="207"/>
      <c r="BN16" s="914"/>
      <c r="BO16" s="238">
        <f>+BO8-BO18-BO20</f>
        <v>312.34297872340426</v>
      </c>
      <c r="BP16" s="914"/>
      <c r="BQ16" s="914"/>
      <c r="BR16" s="914"/>
      <c r="BS16" s="915"/>
      <c r="BT16" s="1051"/>
      <c r="BU16" s="914"/>
      <c r="BV16" s="914"/>
      <c r="BW16" s="914"/>
      <c r="BX16" s="915"/>
      <c r="BY16" s="274"/>
    </row>
    <row r="17" spans="2:77" hidden="1" outlineLevel="2">
      <c r="B17" s="223" t="s">
        <v>196</v>
      </c>
      <c r="C17" s="205"/>
      <c r="D17" s="205"/>
      <c r="E17" s="205"/>
      <c r="F17" s="205"/>
      <c r="G17" s="237"/>
      <c r="H17" s="206"/>
      <c r="I17" s="206"/>
      <c r="J17" s="206"/>
      <c r="K17" s="206"/>
      <c r="L17" s="237"/>
      <c r="M17" s="206"/>
      <c r="N17" s="206"/>
      <c r="O17" s="206"/>
      <c r="P17" s="206"/>
      <c r="Q17" s="237"/>
      <c r="R17" s="206"/>
      <c r="S17" s="206"/>
      <c r="T17" s="206"/>
      <c r="U17" s="206"/>
      <c r="V17" s="237"/>
      <c r="W17" s="206"/>
      <c r="X17" s="206"/>
      <c r="Y17" s="206"/>
      <c r="Z17" s="206"/>
      <c r="AA17" s="237"/>
      <c r="AB17" s="191"/>
      <c r="AC17" s="191"/>
      <c r="AD17" s="191"/>
      <c r="AE17" s="191"/>
      <c r="AF17" s="237"/>
      <c r="AG17" s="191"/>
      <c r="AH17" s="191"/>
      <c r="AI17" s="191"/>
      <c r="AJ17" s="191"/>
      <c r="AK17" s="237"/>
      <c r="AL17" s="191"/>
      <c r="AM17" s="191"/>
      <c r="AN17" s="191"/>
      <c r="AO17" s="207"/>
      <c r="AP17" s="237"/>
      <c r="AQ17" s="191"/>
      <c r="AR17" s="191"/>
      <c r="AS17" s="191"/>
      <c r="AT17" s="191"/>
      <c r="AU17" s="237">
        <f>+AU16/AP16-1</f>
        <v>-7.0849408840658823E-2</v>
      </c>
      <c r="AV17" s="191"/>
      <c r="AW17" s="207"/>
      <c r="AX17" s="207"/>
      <c r="AY17" s="207"/>
      <c r="AZ17" s="237">
        <f>+AZ16/AU16-1</f>
        <v>6.9368900620566221E-2</v>
      </c>
      <c r="BA17" s="191"/>
      <c r="BB17" s="207"/>
      <c r="BC17" s="207"/>
      <c r="BD17" s="207"/>
      <c r="BE17" s="237">
        <f>+BE16/AZ16-1</f>
        <v>8.3353507735103305E-2</v>
      </c>
      <c r="BF17" s="191"/>
      <c r="BG17" s="207"/>
      <c r="BH17" s="207"/>
      <c r="BI17" s="207"/>
      <c r="BJ17" s="237">
        <f>+BJ16/BE16-1</f>
        <v>0.1428145778790435</v>
      </c>
      <c r="BK17" s="191"/>
      <c r="BL17" s="207"/>
      <c r="BM17" s="207"/>
      <c r="BN17" s="207"/>
      <c r="BO17" s="237">
        <f>+BO16/BJ16-1</f>
        <v>8.2410588307465504E-2</v>
      </c>
      <c r="BP17" s="914"/>
      <c r="BQ17" s="914"/>
      <c r="BR17" s="914"/>
      <c r="BS17" s="914"/>
      <c r="BT17" s="1050"/>
      <c r="BU17" s="914"/>
      <c r="BV17" s="914"/>
      <c r="BW17" s="914"/>
      <c r="BX17" s="914"/>
      <c r="BY17" s="263"/>
    </row>
    <row r="18" spans="2:77" hidden="1" outlineLevel="2">
      <c r="B18" s="222" t="s">
        <v>97</v>
      </c>
      <c r="C18" s="205"/>
      <c r="D18" s="205"/>
      <c r="E18" s="205"/>
      <c r="F18" s="205"/>
      <c r="G18" s="237"/>
      <c r="H18" s="206"/>
      <c r="I18" s="206"/>
      <c r="J18" s="206"/>
      <c r="K18" s="206"/>
      <c r="L18" s="237"/>
      <c r="M18" s="206"/>
      <c r="N18" s="206"/>
      <c r="O18" s="206"/>
      <c r="P18" s="206"/>
      <c r="Q18" s="237"/>
      <c r="R18" s="206"/>
      <c r="S18" s="206"/>
      <c r="T18" s="206"/>
      <c r="U18" s="206"/>
      <c r="V18" s="237"/>
      <c r="W18" s="206"/>
      <c r="X18" s="206"/>
      <c r="Y18" s="206"/>
      <c r="Z18" s="206"/>
      <c r="AA18" s="237"/>
      <c r="AB18" s="191"/>
      <c r="AC18" s="191"/>
      <c r="AD18" s="191"/>
      <c r="AE18" s="191"/>
      <c r="AF18" s="237"/>
      <c r="AG18" s="191"/>
      <c r="AH18" s="191"/>
      <c r="AI18" s="191"/>
      <c r="AJ18" s="191"/>
      <c r="AK18" s="237"/>
      <c r="AL18" s="191"/>
      <c r="AM18" s="191"/>
      <c r="AN18" s="191"/>
      <c r="AO18" s="207"/>
      <c r="AP18" s="238">
        <f>+(AP$8-AP$20)*(21/(28+21))</f>
        <v>175.93058885571423</v>
      </c>
      <c r="AQ18" s="191"/>
      <c r="AR18" s="191"/>
      <c r="AS18" s="191"/>
      <c r="AT18" s="191"/>
      <c r="AU18" s="238">
        <f>+(AU$8-AU$20)*(21/(26+21))</f>
        <v>176.04031914893616</v>
      </c>
      <c r="AV18" s="191"/>
      <c r="AW18" s="207"/>
      <c r="AX18" s="207"/>
      <c r="AY18" s="207"/>
      <c r="AZ18" s="238">
        <f>+(AZ$8-AZ$20)*(21/(26+21))</f>
        <v>188.25204255319147</v>
      </c>
      <c r="BA18" s="191"/>
      <c r="BB18" s="207"/>
      <c r="BC18" s="207"/>
      <c r="BD18" s="207"/>
      <c r="BE18" s="238">
        <f>+(BE$8-BE$20)*(21/(26+21))</f>
        <v>203.94351063829788</v>
      </c>
      <c r="BF18" s="191"/>
      <c r="BG18" s="207"/>
      <c r="BH18" s="207"/>
      <c r="BI18" s="207"/>
      <c r="BJ18" s="238">
        <f>+(BJ$8-BJ$20)*(21/(26+21))</f>
        <v>233.0696170212766</v>
      </c>
      <c r="BK18" s="191"/>
      <c r="BL18" s="207"/>
      <c r="BM18" s="207"/>
      <c r="BN18" s="207"/>
      <c r="BO18" s="238">
        <f>+(BO$8-BO$20)*(21/(26+21))</f>
        <v>252.27702127659575</v>
      </c>
      <c r="BP18" s="914"/>
      <c r="BQ18" s="914"/>
      <c r="BR18" s="914"/>
      <c r="BS18" s="914"/>
      <c r="BT18" s="1051"/>
      <c r="BU18" s="914"/>
      <c r="BV18" s="914"/>
      <c r="BW18" s="914"/>
      <c r="BX18" s="914"/>
      <c r="BY18" s="274"/>
    </row>
    <row r="19" spans="2:77" hidden="1" outlineLevel="2">
      <c r="B19" s="223" t="s">
        <v>196</v>
      </c>
      <c r="C19" s="205"/>
      <c r="D19" s="205"/>
      <c r="E19" s="205"/>
      <c r="F19" s="205"/>
      <c r="G19" s="237"/>
      <c r="H19" s="206"/>
      <c r="I19" s="206"/>
      <c r="J19" s="206"/>
      <c r="K19" s="206"/>
      <c r="L19" s="237"/>
      <c r="M19" s="206"/>
      <c r="N19" s="206"/>
      <c r="O19" s="206"/>
      <c r="P19" s="206"/>
      <c r="Q19" s="237"/>
      <c r="R19" s="206"/>
      <c r="S19" s="206"/>
      <c r="T19" s="206"/>
      <c r="U19" s="206"/>
      <c r="V19" s="237"/>
      <c r="W19" s="206"/>
      <c r="X19" s="206"/>
      <c r="Y19" s="206"/>
      <c r="Z19" s="206"/>
      <c r="AA19" s="237"/>
      <c r="AB19" s="191"/>
      <c r="AC19" s="191"/>
      <c r="AD19" s="191"/>
      <c r="AE19" s="191"/>
      <c r="AF19" s="237"/>
      <c r="AG19" s="191"/>
      <c r="AH19" s="191"/>
      <c r="AI19" s="191"/>
      <c r="AJ19" s="191"/>
      <c r="AK19" s="237"/>
      <c r="AL19" s="191"/>
      <c r="AM19" s="191"/>
      <c r="AN19" s="191"/>
      <c r="AO19" s="207"/>
      <c r="AP19" s="237"/>
      <c r="AQ19" s="191"/>
      <c r="AR19" s="191"/>
      <c r="AS19" s="191"/>
      <c r="AT19" s="191"/>
      <c r="AU19" s="237">
        <f>+AU18/AP18-1</f>
        <v>6.2371355621348989E-4</v>
      </c>
      <c r="AV19" s="191"/>
      <c r="AW19" s="207"/>
      <c r="AX19" s="207"/>
      <c r="AY19" s="207"/>
      <c r="AZ19" s="237">
        <f>+AZ18/AU18-1</f>
        <v>6.9368900620566221E-2</v>
      </c>
      <c r="BA19" s="191"/>
      <c r="BB19" s="207"/>
      <c r="BC19" s="207"/>
      <c r="BD19" s="207"/>
      <c r="BE19" s="237">
        <f>+BE18/AZ18-1</f>
        <v>8.3353507735103083E-2</v>
      </c>
      <c r="BF19" s="191"/>
      <c r="BG19" s="207"/>
      <c r="BH19" s="207"/>
      <c r="BI19" s="207"/>
      <c r="BJ19" s="237">
        <f>+BJ18/BE18-1</f>
        <v>0.1428145778790435</v>
      </c>
      <c r="BK19" s="191"/>
      <c r="BL19" s="207"/>
      <c r="BM19" s="207"/>
      <c r="BN19" s="207"/>
      <c r="BO19" s="237">
        <f>+BO18/BJ18-1</f>
        <v>8.2410588307465726E-2</v>
      </c>
      <c r="BP19" s="914"/>
      <c r="BQ19" s="914"/>
      <c r="BR19" s="914"/>
      <c r="BS19" s="914"/>
      <c r="BT19" s="1050"/>
      <c r="BU19" s="914"/>
      <c r="BV19" s="914"/>
      <c r="BW19" s="914"/>
      <c r="BX19" s="914"/>
      <c r="BY19" s="275"/>
    </row>
    <row r="20" spans="2:77" hidden="1" outlineLevel="2">
      <c r="B20" s="222" t="s">
        <v>127</v>
      </c>
      <c r="C20" s="205"/>
      <c r="D20" s="205"/>
      <c r="E20" s="205"/>
      <c r="F20" s="205"/>
      <c r="G20" s="237"/>
      <c r="H20" s="206"/>
      <c r="I20" s="206"/>
      <c r="J20" s="206"/>
      <c r="K20" s="206"/>
      <c r="L20" s="237"/>
      <c r="M20" s="206"/>
      <c r="N20" s="206"/>
      <c r="O20" s="206"/>
      <c r="P20" s="206"/>
      <c r="Q20" s="237"/>
      <c r="R20" s="206"/>
      <c r="S20" s="206"/>
      <c r="T20" s="206"/>
      <c r="U20" s="206"/>
      <c r="V20" s="237"/>
      <c r="W20" s="206"/>
      <c r="X20" s="206"/>
      <c r="Y20" s="206"/>
      <c r="Z20" s="206"/>
      <c r="AA20" s="237"/>
      <c r="AB20" s="191"/>
      <c r="AC20" s="191"/>
      <c r="AD20" s="191"/>
      <c r="AE20" s="191"/>
      <c r="AF20" s="237"/>
      <c r="AG20" s="191"/>
      <c r="AH20" s="191"/>
      <c r="AI20" s="191"/>
      <c r="AJ20" s="191"/>
      <c r="AK20" s="237"/>
      <c r="AL20" s="191"/>
      <c r="AM20" s="191"/>
      <c r="AN20" s="191"/>
      <c r="AO20" s="207"/>
      <c r="AP20" s="238">
        <v>327.68599999999998</v>
      </c>
      <c r="AQ20" s="191"/>
      <c r="AR20" s="191"/>
      <c r="AS20" s="191"/>
      <c r="AT20" s="191"/>
      <c r="AU20" s="238">
        <v>381.08100000000002</v>
      </c>
      <c r="AV20" s="191"/>
      <c r="AW20" s="207"/>
      <c r="AX20" s="207"/>
      <c r="AY20" s="207"/>
      <c r="AZ20" s="238">
        <v>414.709</v>
      </c>
      <c r="BA20" s="191"/>
      <c r="BB20" s="207"/>
      <c r="BC20" s="207"/>
      <c r="BD20" s="207"/>
      <c r="BE20" s="238">
        <v>430.78300000000002</v>
      </c>
      <c r="BF20" s="191"/>
      <c r="BG20" s="207"/>
      <c r="BH20" s="207"/>
      <c r="BI20" s="207"/>
      <c r="BJ20" s="238">
        <v>410.50099999999998</v>
      </c>
      <c r="BK20" s="191"/>
      <c r="BL20" s="207"/>
      <c r="BM20" s="207"/>
      <c r="BN20" s="207"/>
      <c r="BO20" s="238">
        <v>412.14</v>
      </c>
      <c r="BP20" s="126"/>
      <c r="BQ20" s="914"/>
      <c r="BR20" s="914"/>
      <c r="BS20" s="914"/>
      <c r="BT20" s="1051"/>
      <c r="BU20" s="126"/>
      <c r="BV20" s="914"/>
      <c r="BW20" s="914"/>
      <c r="BX20" s="914"/>
      <c r="BY20" s="274"/>
    </row>
    <row r="21" spans="2:77" hidden="1" outlineLevel="2">
      <c r="B21" s="223" t="s">
        <v>196</v>
      </c>
      <c r="C21" s="205"/>
      <c r="D21" s="205"/>
      <c r="E21" s="205"/>
      <c r="F21" s="205"/>
      <c r="G21" s="237"/>
      <c r="H21" s="206"/>
      <c r="I21" s="206"/>
      <c r="J21" s="206"/>
      <c r="K21" s="206"/>
      <c r="L21" s="237"/>
      <c r="M21" s="206"/>
      <c r="N21" s="206"/>
      <c r="O21" s="206"/>
      <c r="P21" s="206"/>
      <c r="Q21" s="237"/>
      <c r="R21" s="206"/>
      <c r="S21" s="206"/>
      <c r="T21" s="206"/>
      <c r="U21" s="206"/>
      <c r="V21" s="237"/>
      <c r="W21" s="206"/>
      <c r="X21" s="206"/>
      <c r="Y21" s="206"/>
      <c r="Z21" s="206"/>
      <c r="AA21" s="237"/>
      <c r="AB21" s="191"/>
      <c r="AC21" s="191"/>
      <c r="AD21" s="191"/>
      <c r="AE21" s="191"/>
      <c r="AF21" s="237"/>
      <c r="AG21" s="191"/>
      <c r="AH21" s="191"/>
      <c r="AI21" s="191"/>
      <c r="AJ21" s="191"/>
      <c r="AK21" s="237"/>
      <c r="AL21" s="191"/>
      <c r="AM21" s="191"/>
      <c r="AN21" s="191"/>
      <c r="AO21" s="207"/>
      <c r="AP21" s="237"/>
      <c r="AQ21" s="191"/>
      <c r="AR21" s="191"/>
      <c r="AS21" s="191"/>
      <c r="AT21" s="191"/>
      <c r="AU21" s="237">
        <f>+AU20/AP20-1</f>
        <v>0.16294562477493701</v>
      </c>
      <c r="AV21" s="191"/>
      <c r="AW21" s="191" t="s">
        <v>197</v>
      </c>
      <c r="AX21" s="207"/>
      <c r="AY21" s="207"/>
      <c r="AZ21" s="237">
        <f>+AZ20/AU20-1</f>
        <v>8.824370671851911E-2</v>
      </c>
      <c r="BA21" s="191"/>
      <c r="BB21" s="191"/>
      <c r="BC21" s="207"/>
      <c r="BD21" s="207"/>
      <c r="BE21" s="237">
        <f>+BE20/AZ20-1</f>
        <v>3.8759708614956478E-2</v>
      </c>
      <c r="BF21" s="191"/>
      <c r="BG21" s="191"/>
      <c r="BH21" s="207"/>
      <c r="BI21" s="207"/>
      <c r="BJ21" s="237">
        <f>+BJ20/BE20-1</f>
        <v>-4.7081709352504664E-2</v>
      </c>
      <c r="BK21" s="191"/>
      <c r="BL21" s="191"/>
      <c r="BM21" s="207"/>
      <c r="BN21" s="207"/>
      <c r="BO21" s="237">
        <f>+BO20/BJ20-1</f>
        <v>3.9926821128328793E-3</v>
      </c>
      <c r="BP21" s="914"/>
      <c r="BQ21" s="914"/>
      <c r="BR21" s="914"/>
      <c r="BS21" s="914"/>
      <c r="BT21" s="1050"/>
      <c r="BU21" s="914"/>
      <c r="BV21" s="914"/>
      <c r="BW21" s="914"/>
      <c r="BX21" s="914"/>
      <c r="BY21" s="275"/>
    </row>
    <row r="22" spans="2:77" ht="5.0999999999999996" hidden="1" customHeight="1" outlineLevel="2">
      <c r="B22" s="204"/>
      <c r="C22" s="205"/>
      <c r="D22" s="205"/>
      <c r="E22" s="205"/>
      <c r="F22" s="205"/>
      <c r="G22" s="237"/>
      <c r="H22" s="206"/>
      <c r="I22" s="206"/>
      <c r="J22" s="206"/>
      <c r="K22" s="206"/>
      <c r="L22" s="237"/>
      <c r="M22" s="206"/>
      <c r="N22" s="206"/>
      <c r="O22" s="206"/>
      <c r="P22" s="206"/>
      <c r="Q22" s="237"/>
      <c r="R22" s="206"/>
      <c r="S22" s="206"/>
      <c r="T22" s="206"/>
      <c r="U22" s="206"/>
      <c r="V22" s="237"/>
      <c r="W22" s="206"/>
      <c r="X22" s="206"/>
      <c r="Y22" s="206"/>
      <c r="Z22" s="206"/>
      <c r="AA22" s="237"/>
      <c r="AB22" s="191"/>
      <c r="AC22" s="191"/>
      <c r="AD22" s="191"/>
      <c r="AE22" s="191"/>
      <c r="AF22" s="237"/>
      <c r="AG22" s="191"/>
      <c r="AH22" s="191"/>
      <c r="AI22" s="191"/>
      <c r="AJ22" s="191"/>
      <c r="AK22" s="237"/>
      <c r="AL22" s="191"/>
      <c r="AM22" s="191"/>
      <c r="AN22" s="191"/>
      <c r="AO22" s="207"/>
      <c r="AP22" s="237"/>
      <c r="AQ22" s="191"/>
      <c r="AR22" s="191"/>
      <c r="AS22" s="191"/>
      <c r="AT22" s="191"/>
      <c r="AU22" s="237"/>
      <c r="AV22" s="191"/>
      <c r="AW22" s="207"/>
      <c r="AX22" s="207"/>
      <c r="AY22" s="207"/>
      <c r="AZ22" s="237"/>
      <c r="BA22" s="191"/>
      <c r="BB22" s="207"/>
      <c r="BC22" s="207"/>
      <c r="BD22" s="207"/>
      <c r="BE22" s="237"/>
      <c r="BF22" s="191"/>
      <c r="BG22" s="207"/>
      <c r="BH22" s="207"/>
      <c r="BI22" s="207"/>
      <c r="BJ22" s="237"/>
      <c r="BK22" s="191"/>
      <c r="BL22" s="207"/>
      <c r="BM22" s="207"/>
      <c r="BN22" s="207"/>
      <c r="BO22" s="237"/>
      <c r="BP22" s="914"/>
      <c r="BQ22" s="914"/>
      <c r="BR22" s="914"/>
      <c r="BS22" s="914"/>
      <c r="BT22" s="1050"/>
      <c r="BU22" s="914"/>
      <c r="BV22" s="914"/>
      <c r="BW22" s="914"/>
      <c r="BX22" s="914"/>
      <c r="BY22" s="237"/>
    </row>
    <row r="23" spans="2:77" s="4" customFormat="1" outlineLevel="1" collapsed="1">
      <c r="B23" s="49" t="s">
        <v>198</v>
      </c>
      <c r="C23" s="62">
        <v>108.1</v>
      </c>
      <c r="D23" s="62">
        <v>113.4</v>
      </c>
      <c r="E23" s="62">
        <v>105.8</v>
      </c>
      <c r="F23" s="62">
        <v>153</v>
      </c>
      <c r="G23" s="235">
        <f>SUM(C23:F23)</f>
        <v>480.3</v>
      </c>
      <c r="H23" s="62">
        <v>112.371</v>
      </c>
      <c r="I23" s="62">
        <v>118.50700000000001</v>
      </c>
      <c r="J23" s="62">
        <v>127.06100000000001</v>
      </c>
      <c r="K23" s="62">
        <v>131.91800000000001</v>
      </c>
      <c r="L23" s="235"/>
      <c r="M23" s="45"/>
      <c r="N23" s="45"/>
      <c r="O23" s="45"/>
      <c r="P23" s="45"/>
      <c r="Q23" s="235"/>
      <c r="R23" s="45"/>
      <c r="S23" s="45"/>
      <c r="T23" s="45"/>
      <c r="U23" s="45"/>
      <c r="V23" s="235"/>
      <c r="W23" s="186"/>
      <c r="X23" s="186"/>
      <c r="Y23" s="186"/>
      <c r="Z23" s="186"/>
      <c r="AA23" s="235"/>
      <c r="AB23" s="108"/>
      <c r="AC23" s="108"/>
      <c r="AD23" s="108"/>
      <c r="AE23" s="108"/>
      <c r="AF23" s="235"/>
      <c r="AG23" s="108">
        <v>110.3010246195</v>
      </c>
      <c r="AH23" s="108">
        <v>133.70864586270002</v>
      </c>
      <c r="AI23" s="108">
        <v>134.96496300000001</v>
      </c>
      <c r="AJ23" s="108">
        <v>146.46782099999999</v>
      </c>
      <c r="AK23" s="235">
        <f>SUM(AG23:AJ23)</f>
        <v>525.44245448219999</v>
      </c>
      <c r="AL23" s="108">
        <v>139.58099999999999</v>
      </c>
      <c r="AM23" s="108">
        <v>139.81200000000001</v>
      </c>
      <c r="AN23" s="108">
        <v>149.07300000000001</v>
      </c>
      <c r="AO23" s="108">
        <v>182.173</v>
      </c>
      <c r="AP23" s="235">
        <f>SUM(AL23:AO23)</f>
        <v>610.63900000000001</v>
      </c>
      <c r="AQ23" s="108">
        <v>182.3</v>
      </c>
      <c r="AR23" s="108">
        <v>163.4</v>
      </c>
      <c r="AS23" s="108">
        <v>182.6</v>
      </c>
      <c r="AT23" s="108">
        <v>199.619</v>
      </c>
      <c r="AU23" s="235">
        <f>SUM(AQ23:AT23)</f>
        <v>727.9190000000001</v>
      </c>
      <c r="AV23" s="108">
        <v>143.06899999999999</v>
      </c>
      <c r="AW23" s="108">
        <v>149.54900000000001</v>
      </c>
      <c r="AX23" s="108">
        <v>161.18799999999999</v>
      </c>
      <c r="AY23" s="108">
        <v>236.45599999999999</v>
      </c>
      <c r="AZ23" s="235">
        <f>SUM(AV23:AY23)</f>
        <v>690.26199999999994</v>
      </c>
      <c r="BA23" s="108">
        <v>162.154</v>
      </c>
      <c r="BB23" s="108">
        <v>197.72200000000001</v>
      </c>
      <c r="BC23" s="108">
        <v>216.285</v>
      </c>
      <c r="BD23" s="108">
        <v>239.751</v>
      </c>
      <c r="BE23" s="235">
        <f>SUM(BA23:BD23)</f>
        <v>815.91199999999992</v>
      </c>
      <c r="BF23" s="108">
        <v>211.74100000000001</v>
      </c>
      <c r="BG23" s="108">
        <v>228.46100000000001</v>
      </c>
      <c r="BH23" s="910">
        <v>243.029</v>
      </c>
      <c r="BI23" s="910">
        <v>227.47499999999999</v>
      </c>
      <c r="BJ23" s="235">
        <f>SUM(BF23:BI23)</f>
        <v>910.70600000000002</v>
      </c>
      <c r="BK23" s="910">
        <v>245.16399999999999</v>
      </c>
      <c r="BL23" s="910">
        <v>253.011</v>
      </c>
      <c r="BM23" s="910">
        <v>253.15899999999999</v>
      </c>
      <c r="BN23" s="910">
        <v>267.27600000000001</v>
      </c>
      <c r="BO23" s="235">
        <f>SUM(BK23:BN23)</f>
        <v>1018.6099999999999</v>
      </c>
      <c r="BP23" s="911"/>
      <c r="BQ23" s="911"/>
      <c r="BR23" s="911"/>
      <c r="BS23" s="911"/>
      <c r="BT23" s="1052"/>
      <c r="BU23" s="911"/>
      <c r="BV23" s="911"/>
      <c r="BW23" s="911"/>
      <c r="BX23" s="911"/>
      <c r="BY23" s="261"/>
    </row>
    <row r="24" spans="2:77" outlineLevel="1">
      <c r="B24" s="50" t="s">
        <v>183</v>
      </c>
      <c r="C24" s="42"/>
      <c r="D24" s="42"/>
      <c r="E24" s="42"/>
      <c r="F24" s="42"/>
      <c r="G24" s="236"/>
      <c r="H24" s="42">
        <f>H23/C23-1</f>
        <v>3.950971322849206E-2</v>
      </c>
      <c r="I24" s="42">
        <f>I23/D23-1</f>
        <v>4.5035273368606799E-2</v>
      </c>
      <c r="J24" s="42">
        <f>J23/E23-1</f>
        <v>0.20095463137996239</v>
      </c>
      <c r="K24" s="42">
        <f>K23/F23-1</f>
        <v>-0.13779084967320254</v>
      </c>
      <c r="L24" s="236"/>
      <c r="M24" s="42"/>
      <c r="N24" s="42"/>
      <c r="O24" s="42"/>
      <c r="P24" s="42"/>
      <c r="Q24" s="236"/>
      <c r="R24" s="42"/>
      <c r="S24" s="42"/>
      <c r="T24" s="42"/>
      <c r="U24" s="42"/>
      <c r="V24" s="236"/>
      <c r="W24" s="42"/>
      <c r="X24" s="42"/>
      <c r="Y24" s="42"/>
      <c r="Z24" s="42"/>
      <c r="AA24" s="236"/>
      <c r="AB24" s="10"/>
      <c r="AC24" s="10"/>
      <c r="AD24" s="10"/>
      <c r="AE24" s="10"/>
      <c r="AF24" s="236"/>
      <c r="AG24" s="10"/>
      <c r="AH24" s="10"/>
      <c r="AI24" s="10"/>
      <c r="AJ24" s="10"/>
      <c r="AK24" s="236"/>
      <c r="AL24" s="10">
        <f t="shared" si="30"/>
        <v>0.26545515312759504</v>
      </c>
      <c r="AM24" s="10">
        <f t="shared" si="30"/>
        <v>4.5646667782181183E-2</v>
      </c>
      <c r="AN24" s="10">
        <f t="shared" si="30"/>
        <v>0.10453110708443636</v>
      </c>
      <c r="AO24" s="10">
        <f t="shared" si="30"/>
        <v>0.24377490397703139</v>
      </c>
      <c r="AP24" s="236">
        <f>AP23/AK23-1</f>
        <v>0.16214248542546383</v>
      </c>
      <c r="AQ24" s="10">
        <f t="shared" si="30"/>
        <v>0.30605168325201881</v>
      </c>
      <c r="AR24" s="10">
        <f t="shared" si="30"/>
        <v>0.16871227076359685</v>
      </c>
      <c r="AS24" s="10">
        <f t="shared" si="30"/>
        <v>0.2249032353276581</v>
      </c>
      <c r="AT24" s="10">
        <f t="shared" si="30"/>
        <v>9.5766112431589834E-2</v>
      </c>
      <c r="AU24" s="236">
        <f>AU23/AP23-1</f>
        <v>0.19206110320500347</v>
      </c>
      <c r="AV24" s="10">
        <f t="shared" si="30"/>
        <v>-0.21520021941854095</v>
      </c>
      <c r="AW24" s="10">
        <f t="shared" si="30"/>
        <v>-8.4767441860465143E-2</v>
      </c>
      <c r="AX24" s="10">
        <f t="shared" si="30"/>
        <v>-0.11726177437020813</v>
      </c>
      <c r="AY24" s="10">
        <f t="shared" si="30"/>
        <v>0.18453654211272474</v>
      </c>
      <c r="AZ24" s="236">
        <f>AZ23/AU23-1</f>
        <v>-5.1732404292236023E-2</v>
      </c>
      <c r="BA24" s="10">
        <f t="shared" si="30"/>
        <v>0.13339717199393308</v>
      </c>
      <c r="BB24" s="10">
        <f t="shared" si="30"/>
        <v>0.32212184635136309</v>
      </c>
      <c r="BC24" s="10">
        <f t="shared" si="30"/>
        <v>0.3418182494974813</v>
      </c>
      <c r="BD24" s="928">
        <f>BD23/AY23-1</f>
        <v>1.3934939269885316E-2</v>
      </c>
      <c r="BE24" s="236">
        <f>BE23/AZ23-1</f>
        <v>0.18203232975305017</v>
      </c>
      <c r="BF24" s="10">
        <f t="shared" si="31"/>
        <v>0.30580189202856545</v>
      </c>
      <c r="BG24" s="10">
        <f t="shared" si="31"/>
        <v>0.15546575494886761</v>
      </c>
      <c r="BH24" s="10">
        <f t="shared" si="31"/>
        <v>0.12365166331460808</v>
      </c>
      <c r="BI24" s="928">
        <f>BI23/BD23-1</f>
        <v>-5.1203123240361914E-2</v>
      </c>
      <c r="BJ24" s="236">
        <f>BJ23/BE23-1</f>
        <v>0.11618164704036715</v>
      </c>
      <c r="BK24" s="10">
        <f t="shared" si="32"/>
        <v>0.15784850359637459</v>
      </c>
      <c r="BL24" s="10">
        <f t="shared" si="32"/>
        <v>0.1074581657263165</v>
      </c>
      <c r="BM24" s="10">
        <f t="shared" si="32"/>
        <v>4.1682268371264319E-2</v>
      </c>
      <c r="BN24" s="928">
        <f>BN23/BI23-1</f>
        <v>0.1749686778766899</v>
      </c>
      <c r="BO24" s="236">
        <f>BO23/BJ23-1</f>
        <v>0.11848390150059385</v>
      </c>
      <c r="BP24" s="912"/>
      <c r="BQ24" s="912"/>
      <c r="BR24" s="912"/>
      <c r="BS24" s="912"/>
      <c r="BT24" s="1053"/>
      <c r="BU24" s="912"/>
      <c r="BV24" s="912"/>
      <c r="BW24" s="912"/>
      <c r="BX24" s="912"/>
      <c r="BY24" s="262"/>
    </row>
    <row r="25" spans="2:77" outlineLevel="1">
      <c r="B25" s="260" t="s">
        <v>184</v>
      </c>
      <c r="C25" s="42"/>
      <c r="D25" s="42"/>
      <c r="E25" s="42"/>
      <c r="F25" s="42"/>
      <c r="G25" s="236"/>
      <c r="H25" s="42"/>
      <c r="I25" s="42"/>
      <c r="J25" s="42"/>
      <c r="K25" s="42"/>
      <c r="L25" s="236"/>
      <c r="M25" s="42"/>
      <c r="N25" s="42"/>
      <c r="O25" s="42"/>
      <c r="P25" s="42"/>
      <c r="Q25" s="236"/>
      <c r="R25" s="42"/>
      <c r="S25" s="42"/>
      <c r="T25" s="42"/>
      <c r="U25" s="42"/>
      <c r="V25" s="236"/>
      <c r="W25" s="42"/>
      <c r="X25" s="42"/>
      <c r="Y25" s="42"/>
      <c r="Z25" s="42"/>
      <c r="AA25" s="236"/>
      <c r="AB25" s="10"/>
      <c r="AC25" s="10"/>
      <c r="AD25" s="10"/>
      <c r="AE25" s="10"/>
      <c r="AF25" s="236"/>
      <c r="AG25" s="10"/>
      <c r="AH25" s="10"/>
      <c r="AI25" s="10"/>
      <c r="AJ25" s="10"/>
      <c r="AK25" s="236"/>
      <c r="AL25" s="10"/>
      <c r="AM25" s="10"/>
      <c r="AN25" s="10"/>
      <c r="AO25" s="10"/>
      <c r="AP25" s="236"/>
      <c r="AQ25" s="10"/>
      <c r="AR25" s="10"/>
      <c r="AS25" s="10"/>
      <c r="AT25" s="10"/>
      <c r="AU25" s="236"/>
      <c r="AV25" s="395" t="s">
        <v>199</v>
      </c>
      <c r="AW25" s="395" t="s">
        <v>200</v>
      </c>
      <c r="AX25" s="395" t="s">
        <v>201</v>
      </c>
      <c r="AY25" s="395" t="s">
        <v>202</v>
      </c>
      <c r="AZ25" s="396" t="str">
        <f>AY25</f>
        <v>725-750</v>
      </c>
      <c r="BA25" s="395" t="s">
        <v>202</v>
      </c>
      <c r="BB25" s="395" t="s">
        <v>203</v>
      </c>
      <c r="BC25" s="395" t="s">
        <v>204</v>
      </c>
      <c r="BD25" s="395" t="s">
        <v>205</v>
      </c>
      <c r="BE25" s="396" t="str">
        <f>BD25</f>
        <v>857-872</v>
      </c>
      <c r="BF25" s="395" t="s">
        <v>206</v>
      </c>
      <c r="BG25" s="395" t="s">
        <v>206</v>
      </c>
      <c r="BH25" s="395" t="s">
        <v>207</v>
      </c>
      <c r="BI25" s="395" t="s">
        <v>208</v>
      </c>
      <c r="BJ25" s="396" t="str">
        <f>BI25</f>
        <v>975-990</v>
      </c>
      <c r="BK25" s="395" t="s">
        <v>209</v>
      </c>
      <c r="BL25" s="395" t="s">
        <v>209</v>
      </c>
      <c r="BM25" s="395" t="s">
        <v>1238</v>
      </c>
      <c r="BN25" s="395" t="s">
        <v>1284</v>
      </c>
      <c r="BO25" s="396" t="str">
        <f>BN25</f>
        <v>1055-1075</v>
      </c>
      <c r="BP25" s="912"/>
      <c r="BQ25" s="912"/>
      <c r="BR25" s="912"/>
      <c r="BS25" s="912"/>
      <c r="BT25" s="1053"/>
      <c r="BU25" s="912"/>
      <c r="BV25" s="912"/>
      <c r="BW25" s="912"/>
      <c r="BX25" s="912"/>
      <c r="BY25" s="262"/>
    </row>
    <row r="26" spans="2:77" outlineLevel="1">
      <c r="B26" s="260" t="s">
        <v>273</v>
      </c>
      <c r="C26" s="42"/>
      <c r="D26" s="42"/>
      <c r="E26" s="42"/>
      <c r="F26" s="42"/>
      <c r="G26" s="236"/>
      <c r="H26" s="42"/>
      <c r="I26" s="42"/>
      <c r="J26" s="42"/>
      <c r="K26" s="42"/>
      <c r="L26" s="236"/>
      <c r="M26" s="42"/>
      <c r="N26" s="42"/>
      <c r="O26" s="42"/>
      <c r="P26" s="42"/>
      <c r="Q26" s="236"/>
      <c r="R26" s="42"/>
      <c r="S26" s="42"/>
      <c r="T26" s="42"/>
      <c r="U26" s="42"/>
      <c r="V26" s="236"/>
      <c r="W26" s="42"/>
      <c r="X26" s="42"/>
      <c r="Y26" s="42"/>
      <c r="Z26" s="42"/>
      <c r="AA26" s="236"/>
      <c r="AB26" s="10"/>
      <c r="AC26" s="10"/>
      <c r="AD26" s="10"/>
      <c r="AE26" s="10"/>
      <c r="AF26" s="236"/>
      <c r="AG26" s="10"/>
      <c r="AH26" s="10"/>
      <c r="AI26" s="10"/>
      <c r="AJ26" s="10"/>
      <c r="AK26" s="236"/>
      <c r="AL26" s="10"/>
      <c r="AM26" s="10"/>
      <c r="AN26" s="10"/>
      <c r="AO26" s="10"/>
      <c r="AP26" s="236"/>
      <c r="AQ26" s="10"/>
      <c r="AR26" s="10"/>
      <c r="AS26" s="10"/>
      <c r="AT26" s="10"/>
      <c r="AU26" s="236"/>
      <c r="AV26" s="395"/>
      <c r="AW26" s="395"/>
      <c r="AX26" s="395"/>
      <c r="AY26" s="395"/>
      <c r="AZ26" s="396"/>
      <c r="BA26" s="395"/>
      <c r="BB26" s="395"/>
      <c r="BC26" s="395"/>
      <c r="BD26" s="395"/>
      <c r="BE26" s="396"/>
      <c r="BF26" s="395"/>
      <c r="BG26" s="395"/>
      <c r="BH26" s="395"/>
      <c r="BI26" s="395"/>
      <c r="BJ26" s="396"/>
      <c r="BK26" s="395"/>
      <c r="BL26" s="395"/>
      <c r="BM26" s="395"/>
      <c r="BN26" s="395"/>
      <c r="BO26" s="396"/>
      <c r="BP26" s="912"/>
      <c r="BQ26" s="912"/>
      <c r="BR26" s="912"/>
      <c r="BS26" s="912"/>
      <c r="BT26" s="536" cm="1">
        <f t="array" ref="BT26">_xll.FDS("CW-US","FE_ESTIMATE(PRODLINE_SALES_2,MEAN,ANN_ROLL,+1,NOW,,,'')")</f>
        <v>1082.9347</v>
      </c>
      <c r="BU26" s="912"/>
      <c r="BV26" s="912"/>
      <c r="BW26" s="912"/>
      <c r="BX26" s="912"/>
      <c r="BY26" s="536" cm="1">
        <f t="array" ref="BY26">_xll.FDS("CW-US","FE_ESTIMATE(PRODLINE_SALES_2,MEAN,ANN_ROLL,+2,NOW,,,'')")</f>
        <v>1167.366</v>
      </c>
    </row>
    <row r="27" spans="2:77" hidden="1" outlineLevel="2">
      <c r="B27" s="204" t="s">
        <v>193</v>
      </c>
      <c r="C27" s="205"/>
      <c r="D27" s="205"/>
      <c r="E27" s="205"/>
      <c r="F27" s="205"/>
      <c r="G27" s="237"/>
      <c r="H27" s="206"/>
      <c r="I27" s="206"/>
      <c r="J27" s="206"/>
      <c r="K27" s="206"/>
      <c r="L27" s="237"/>
      <c r="M27" s="206"/>
      <c r="N27" s="206"/>
      <c r="O27" s="206"/>
      <c r="P27" s="206"/>
      <c r="Q27" s="237"/>
      <c r="R27" s="206"/>
      <c r="S27" s="206"/>
      <c r="T27" s="206"/>
      <c r="U27" s="206"/>
      <c r="V27" s="237"/>
      <c r="W27" s="206"/>
      <c r="X27" s="206"/>
      <c r="Y27" s="206"/>
      <c r="Z27" s="206"/>
      <c r="AA27" s="237"/>
      <c r="AB27" s="191"/>
      <c r="AC27" s="191"/>
      <c r="AD27" s="191"/>
      <c r="AE27" s="191"/>
      <c r="AF27" s="237"/>
      <c r="AG27" s="191"/>
      <c r="AH27" s="191"/>
      <c r="AI27" s="191"/>
      <c r="AJ27" s="191"/>
      <c r="AK27" s="237"/>
      <c r="AL27" s="191"/>
      <c r="AM27" s="191"/>
      <c r="AN27" s="191"/>
      <c r="AO27" s="207"/>
      <c r="AP27" s="237"/>
      <c r="AQ27" s="191">
        <v>0.04</v>
      </c>
      <c r="AR27" s="191">
        <v>-0.06</v>
      </c>
      <c r="AS27" s="191">
        <v>-0.03</v>
      </c>
      <c r="AT27" s="191">
        <v>0.04</v>
      </c>
      <c r="AU27" s="237">
        <f>((AQ27*AL$23)+(AR27*AM$23)+(AS27*AN$23)+(AT27*AO$23))/AP$23</f>
        <v>1.5148066206054429E-5</v>
      </c>
      <c r="AV27" s="191">
        <v>-0.21</v>
      </c>
      <c r="AW27" s="191">
        <v>-7.0000000000000007E-2</v>
      </c>
      <c r="AX27" s="191">
        <v>-0.1</v>
      </c>
      <c r="AY27" s="191">
        <v>0.185</v>
      </c>
      <c r="AZ27" s="237">
        <f>((AV27*AQ$23)+(AW27*AR$23)+(AX27*AS$23)+(AY27*AT$23))/AU$23</f>
        <v>-4.2657885011931275E-2</v>
      </c>
      <c r="BA27" s="191">
        <v>0.14000000000000001</v>
      </c>
      <c r="BB27" s="191">
        <v>0.32</v>
      </c>
      <c r="BC27" s="191">
        <v>0.33</v>
      </c>
      <c r="BD27" s="191">
        <v>0.01</v>
      </c>
      <c r="BE27" s="237">
        <f>((BA27*AV$23)+(BB27*AW$23)+(BC27*AX$23)+(BD27*AY$23))/AZ$23</f>
        <v>0.17883345744079787</v>
      </c>
      <c r="BF27" s="191">
        <v>0.31</v>
      </c>
      <c r="BG27" s="191">
        <v>0.16</v>
      </c>
      <c r="BH27" s="191">
        <v>0.12</v>
      </c>
      <c r="BI27" s="191">
        <v>-0.05</v>
      </c>
      <c r="BJ27" s="237">
        <f>((BF27*BA$23)+(BG27*BB$23)+(BH27*BC$23)+(BI27*BD$23))/BE$23</f>
        <v>0.11750030640559278</v>
      </c>
      <c r="BK27" s="191">
        <v>0.16</v>
      </c>
      <c r="BL27" s="191">
        <v>0.1</v>
      </c>
      <c r="BM27" s="929">
        <v>0.04</v>
      </c>
      <c r="BN27" s="929">
        <v>0.17</v>
      </c>
      <c r="BO27" s="237">
        <f>((BK27*BF$23)+(BL27*BG$23)+(BM27*BH$23)+(BN27*BI$23))/BJ$23</f>
        <v>0.11542316620292388</v>
      </c>
      <c r="BP27" s="913"/>
      <c r="BQ27" s="913"/>
      <c r="BR27" s="913"/>
      <c r="BS27" s="913"/>
      <c r="BT27" s="1054">
        <f>BT26/BO23-1</f>
        <v>6.3149488027802736E-2</v>
      </c>
      <c r="BU27" s="913"/>
      <c r="BV27" s="913"/>
      <c r="BW27" s="913"/>
      <c r="BX27" s="913"/>
      <c r="BY27" s="1054">
        <f>BY26/BT26-1</f>
        <v>7.7965273437077931E-2</v>
      </c>
    </row>
    <row r="28" spans="2:77" hidden="1" outlineLevel="2">
      <c r="B28" s="204" t="s">
        <v>194</v>
      </c>
      <c r="C28" s="205"/>
      <c r="D28" s="205"/>
      <c r="E28" s="205"/>
      <c r="F28" s="205"/>
      <c r="G28" s="237"/>
      <c r="H28" s="206"/>
      <c r="I28" s="206"/>
      <c r="J28" s="206"/>
      <c r="K28" s="206"/>
      <c r="L28" s="237"/>
      <c r="M28" s="206"/>
      <c r="N28" s="206"/>
      <c r="O28" s="206"/>
      <c r="P28" s="206"/>
      <c r="Q28" s="237"/>
      <c r="R28" s="206"/>
      <c r="S28" s="206"/>
      <c r="T28" s="206"/>
      <c r="U28" s="206"/>
      <c r="V28" s="237"/>
      <c r="W28" s="206"/>
      <c r="X28" s="206"/>
      <c r="Y28" s="206"/>
      <c r="Z28" s="206"/>
      <c r="AA28" s="237"/>
      <c r="AB28" s="191"/>
      <c r="AC28" s="191"/>
      <c r="AD28" s="191"/>
      <c r="AE28" s="191"/>
      <c r="AF28" s="237"/>
      <c r="AG28" s="191"/>
      <c r="AH28" s="191"/>
      <c r="AI28" s="191"/>
      <c r="AJ28" s="191"/>
      <c r="AK28" s="237"/>
      <c r="AL28" s="191"/>
      <c r="AM28" s="191"/>
      <c r="AN28" s="191"/>
      <c r="AO28" s="207"/>
      <c r="AP28" s="237"/>
      <c r="AQ28" s="191">
        <v>0.25</v>
      </c>
      <c r="AR28" s="191">
        <v>0.22</v>
      </c>
      <c r="AS28" s="191">
        <v>0.25</v>
      </c>
      <c r="AT28" s="191">
        <v>0.06</v>
      </c>
      <c r="AU28" s="237">
        <f>((AQ28*AL$23)+(AR28*AM$23)+(AS28*AN$23)+(AT28*AO$23))/AP$23</f>
        <v>0.18644816331744291</v>
      </c>
      <c r="AV28" s="191">
        <v>0</v>
      </c>
      <c r="AW28" s="191">
        <v>0</v>
      </c>
      <c r="AX28" s="191">
        <v>0</v>
      </c>
      <c r="AY28" s="191">
        <v>0</v>
      </c>
      <c r="AZ28" s="237">
        <f>((AV28*AQ$23)+(AW28*AR$23)+(AX28*AS$23)+(AY28*AT$23))/AU$23</f>
        <v>0</v>
      </c>
      <c r="BA28" s="191">
        <v>0</v>
      </c>
      <c r="BB28" s="191">
        <v>0</v>
      </c>
      <c r="BC28" s="191">
        <v>0</v>
      </c>
      <c r="BD28" s="191">
        <v>0</v>
      </c>
      <c r="BE28" s="237">
        <f>((BA28*AV$23)+(BB28*AW$23)+(BC28*AX$23)+(BD28*AY$23))/AZ$23</f>
        <v>0</v>
      </c>
      <c r="BF28" s="191">
        <v>0</v>
      </c>
      <c r="BG28" s="191">
        <v>0</v>
      </c>
      <c r="BH28" s="191">
        <v>0</v>
      </c>
      <c r="BI28" s="191">
        <v>0</v>
      </c>
      <c r="BJ28" s="237">
        <f>((BF28*BA$23)+(BG28*BB$23)+(BH28*BC$23)+(BI28*BD$23))/BE$23</f>
        <v>0</v>
      </c>
      <c r="BK28" s="191">
        <v>0</v>
      </c>
      <c r="BL28" s="191">
        <v>0</v>
      </c>
      <c r="BM28" s="929">
        <v>0</v>
      </c>
      <c r="BN28" s="929">
        <v>0</v>
      </c>
      <c r="BO28" s="237">
        <f>((BK28*BF$23)+(BL28*BG$23)+(BM28*BH$23)+(BN28*BI$23))/BJ$23</f>
        <v>0</v>
      </c>
      <c r="BP28" s="913"/>
      <c r="BQ28" s="913"/>
      <c r="BR28" s="913"/>
      <c r="BS28" s="913"/>
      <c r="BT28" s="1050"/>
      <c r="BU28" s="913"/>
      <c r="BV28" s="913"/>
      <c r="BW28" s="913"/>
      <c r="BX28" s="913"/>
      <c r="BY28" s="263"/>
    </row>
    <row r="29" spans="2:77" hidden="1" outlineLevel="2">
      <c r="B29" s="204" t="s">
        <v>195</v>
      </c>
      <c r="C29" s="205"/>
      <c r="D29" s="205"/>
      <c r="E29" s="205"/>
      <c r="F29" s="205"/>
      <c r="G29" s="237"/>
      <c r="H29" s="206"/>
      <c r="I29" s="206"/>
      <c r="J29" s="206"/>
      <c r="K29" s="206"/>
      <c r="L29" s="237"/>
      <c r="M29" s="206"/>
      <c r="N29" s="206"/>
      <c r="O29" s="206"/>
      <c r="P29" s="206"/>
      <c r="Q29" s="237"/>
      <c r="R29" s="206"/>
      <c r="S29" s="206"/>
      <c r="T29" s="206"/>
      <c r="U29" s="206"/>
      <c r="V29" s="237"/>
      <c r="W29" s="206"/>
      <c r="X29" s="206"/>
      <c r="Y29" s="206"/>
      <c r="Z29" s="206"/>
      <c r="AA29" s="237"/>
      <c r="AB29" s="191"/>
      <c r="AC29" s="191"/>
      <c r="AD29" s="191"/>
      <c r="AE29" s="191"/>
      <c r="AF29" s="237"/>
      <c r="AG29" s="191"/>
      <c r="AH29" s="191"/>
      <c r="AI29" s="191"/>
      <c r="AJ29" s="191"/>
      <c r="AK29" s="237"/>
      <c r="AL29" s="191"/>
      <c r="AM29" s="191"/>
      <c r="AN29" s="191"/>
      <c r="AO29" s="207"/>
      <c r="AP29" s="237"/>
      <c r="AQ29" s="191">
        <v>0.01</v>
      </c>
      <c r="AR29" s="191">
        <v>0</v>
      </c>
      <c r="AS29" s="191">
        <v>0</v>
      </c>
      <c r="AT29" s="191">
        <v>0</v>
      </c>
      <c r="AU29" s="237">
        <f>((AQ29*AL$23)+(AR29*AM$23)+(AS29*AN$23)+(AT29*AO$23))/AP$23</f>
        <v>2.2858186260622071E-3</v>
      </c>
      <c r="AV29" s="191">
        <v>0</v>
      </c>
      <c r="AW29" s="191">
        <v>0.01</v>
      </c>
      <c r="AX29" s="191">
        <v>-0.01</v>
      </c>
      <c r="AY29" s="191">
        <v>0</v>
      </c>
      <c r="AZ29" s="237">
        <f>((AV29*AQ$23)+(AW29*AR$23)+(AX29*AS$23)+(AY29*AT$23))/AU$23</f>
        <v>-2.6376561128367294E-4</v>
      </c>
      <c r="BA29" s="191">
        <v>0.01</v>
      </c>
      <c r="BB29" s="191">
        <v>0</v>
      </c>
      <c r="BC29" s="191">
        <v>-0.01</v>
      </c>
      <c r="BD29" s="191">
        <v>0</v>
      </c>
      <c r="BE29" s="237">
        <f>((BA29*AV$23)+(BB29*AW$23)+(BC29*AX$23)+(BD29*AY$23))/AZ$23</f>
        <v>-2.6249453106211843E-4</v>
      </c>
      <c r="BF29" s="191">
        <v>-0.01</v>
      </c>
      <c r="BG29" s="191">
        <v>0</v>
      </c>
      <c r="BH29" s="191">
        <v>0</v>
      </c>
      <c r="BI29" s="191">
        <v>0</v>
      </c>
      <c r="BJ29" s="237">
        <f>((BF29*BA$23)+(BG29*BB$23)+(BH29*BC$23)+(BI29*BD$23))/BE$23</f>
        <v>-1.9873956995362248E-3</v>
      </c>
      <c r="BK29" s="191">
        <v>0</v>
      </c>
      <c r="BL29" s="191">
        <v>0.01</v>
      </c>
      <c r="BM29" s="929">
        <v>0</v>
      </c>
      <c r="BN29" s="929">
        <v>0</v>
      </c>
      <c r="BO29" s="237">
        <f>((BK29*BF$23)+(BL29*BG$23)+(BM29*BH$23)+(BN29*BI$23))/BJ$23</f>
        <v>2.5086141960193524E-3</v>
      </c>
      <c r="BP29" s="913"/>
      <c r="BQ29" s="913"/>
      <c r="BR29" s="913"/>
      <c r="BS29" s="913"/>
      <c r="BT29" s="1050"/>
      <c r="BU29" s="913"/>
      <c r="BV29" s="913"/>
      <c r="BW29" s="913"/>
      <c r="BX29" s="913"/>
      <c r="BY29" s="263"/>
    </row>
    <row r="30" spans="2:77" ht="6" hidden="1" customHeight="1" outlineLevel="2">
      <c r="B30" s="204"/>
      <c r="C30" s="205"/>
      <c r="D30" s="205"/>
      <c r="E30" s="205"/>
      <c r="F30" s="205"/>
      <c r="G30" s="237"/>
      <c r="H30" s="206"/>
      <c r="I30" s="206"/>
      <c r="J30" s="206"/>
      <c r="K30" s="206"/>
      <c r="L30" s="237"/>
      <c r="M30" s="206"/>
      <c r="N30" s="206"/>
      <c r="O30" s="206"/>
      <c r="P30" s="206"/>
      <c r="Q30" s="237"/>
      <c r="R30" s="206"/>
      <c r="S30" s="206"/>
      <c r="T30" s="206"/>
      <c r="U30" s="206"/>
      <c r="V30" s="237"/>
      <c r="W30" s="206"/>
      <c r="X30" s="206"/>
      <c r="Y30" s="206"/>
      <c r="Z30" s="206"/>
      <c r="AA30" s="237"/>
      <c r="AB30" s="191"/>
      <c r="AC30" s="191"/>
      <c r="AD30" s="191"/>
      <c r="AE30" s="191"/>
      <c r="AF30" s="237"/>
      <c r="AG30" s="191"/>
      <c r="AH30" s="191"/>
      <c r="AI30" s="191"/>
      <c r="AJ30" s="191"/>
      <c r="AK30" s="237"/>
      <c r="AL30" s="191"/>
      <c r="AM30" s="191"/>
      <c r="AN30" s="191"/>
      <c r="AO30" s="207"/>
      <c r="AP30" s="237"/>
      <c r="AQ30" s="191"/>
      <c r="AR30" s="191"/>
      <c r="AS30" s="191"/>
      <c r="AT30" s="191"/>
      <c r="AU30" s="237"/>
      <c r="AV30" s="191"/>
      <c r="AW30" s="207"/>
      <c r="AX30" s="207"/>
      <c r="AY30" s="207"/>
      <c r="AZ30" s="237"/>
      <c r="BA30" s="191"/>
      <c r="BB30" s="207"/>
      <c r="BC30" s="207"/>
      <c r="BD30" s="207"/>
      <c r="BE30" s="237"/>
      <c r="BF30" s="191"/>
      <c r="BG30" s="207"/>
      <c r="BH30" s="207"/>
      <c r="BI30" s="207"/>
      <c r="BJ30" s="237"/>
      <c r="BK30" s="191"/>
      <c r="BL30" s="207"/>
      <c r="BM30" s="207"/>
      <c r="BN30" s="207"/>
      <c r="BO30" s="237"/>
      <c r="BP30" s="914"/>
      <c r="BQ30" s="914"/>
      <c r="BR30" s="914"/>
      <c r="BS30" s="914"/>
      <c r="BT30" s="1050"/>
      <c r="BU30" s="914"/>
      <c r="BV30" s="914"/>
      <c r="BW30" s="914"/>
      <c r="BX30" s="914"/>
      <c r="BY30" s="263"/>
    </row>
    <row r="31" spans="2:77" hidden="1" outlineLevel="2">
      <c r="B31" s="222" t="s">
        <v>120</v>
      </c>
      <c r="C31" s="205"/>
      <c r="D31" s="205"/>
      <c r="E31" s="205"/>
      <c r="F31" s="205"/>
      <c r="G31" s="237"/>
      <c r="H31" s="206"/>
      <c r="I31" s="206"/>
      <c r="J31" s="206"/>
      <c r="K31" s="206"/>
      <c r="L31" s="237"/>
      <c r="M31" s="206"/>
      <c r="N31" s="206"/>
      <c r="O31" s="206"/>
      <c r="P31" s="206"/>
      <c r="Q31" s="237"/>
      <c r="R31" s="206"/>
      <c r="S31" s="206"/>
      <c r="T31" s="206"/>
      <c r="U31" s="206"/>
      <c r="V31" s="237"/>
      <c r="W31" s="206"/>
      <c r="X31" s="206"/>
      <c r="Y31" s="206"/>
      <c r="Z31" s="206"/>
      <c r="AA31" s="237"/>
      <c r="AB31" s="191"/>
      <c r="AC31" s="191"/>
      <c r="AD31" s="191"/>
      <c r="AE31" s="191"/>
      <c r="AF31" s="237"/>
      <c r="AG31" s="191"/>
      <c r="AH31" s="191"/>
      <c r="AI31" s="191"/>
      <c r="AJ31" s="191"/>
      <c r="AK31" s="237"/>
      <c r="AL31" s="191"/>
      <c r="AM31" s="191"/>
      <c r="AN31" s="191"/>
      <c r="AO31" s="207"/>
      <c r="AP31" s="238">
        <f>+(AP$23-AP$35-AP$37)*(7/(7+45))</f>
        <v>38.65341819230769</v>
      </c>
      <c r="AQ31" s="191"/>
      <c r="AR31" s="191"/>
      <c r="AS31" s="191"/>
      <c r="AT31" s="191"/>
      <c r="AU31" s="238">
        <f>+(AU$23-AU$35-AU$37)*(6/(6+45))</f>
        <v>37.061764705882375</v>
      </c>
      <c r="AV31" s="166"/>
      <c r="AW31" s="207"/>
      <c r="AX31" s="207"/>
      <c r="AY31" s="207"/>
      <c r="AZ31" s="238">
        <f>276.519-AZ16</f>
        <v>43.445042553191513</v>
      </c>
      <c r="BA31" s="166"/>
      <c r="BB31" s="207"/>
      <c r="BC31" s="207"/>
      <c r="BD31" s="207"/>
      <c r="BE31" s="238">
        <f>324.949-BE16</f>
        <v>72.447510638297842</v>
      </c>
      <c r="BF31" s="166"/>
      <c r="BG31" s="207"/>
      <c r="BH31" s="207"/>
      <c r="BI31" s="207"/>
      <c r="BJ31" s="238">
        <f>378.086-BJ16</f>
        <v>89.52361702127655</v>
      </c>
      <c r="BK31" s="166"/>
      <c r="BL31" s="207"/>
      <c r="BM31" s="207"/>
      <c r="BN31" s="207"/>
      <c r="BO31" s="238">
        <f>430.109-BO16</f>
        <v>117.76602127659572</v>
      </c>
      <c r="BP31" s="914"/>
      <c r="BQ31" s="914"/>
      <c r="BR31" s="914"/>
      <c r="BS31" s="914"/>
      <c r="BT31" s="1051"/>
      <c r="BU31" s="914"/>
      <c r="BV31" s="914"/>
      <c r="BW31" s="914"/>
      <c r="BX31" s="914"/>
      <c r="BY31" s="274"/>
    </row>
    <row r="32" spans="2:77" hidden="1" outlineLevel="2">
      <c r="B32" s="223" t="s">
        <v>196</v>
      </c>
      <c r="C32" s="205"/>
      <c r="D32" s="205"/>
      <c r="E32" s="205"/>
      <c r="F32" s="205"/>
      <c r="G32" s="237"/>
      <c r="H32" s="206"/>
      <c r="I32" s="206"/>
      <c r="J32" s="206"/>
      <c r="K32" s="206"/>
      <c r="L32" s="237"/>
      <c r="M32" s="206"/>
      <c r="N32" s="206"/>
      <c r="O32" s="206"/>
      <c r="P32" s="206"/>
      <c r="Q32" s="237"/>
      <c r="R32" s="206"/>
      <c r="S32" s="206"/>
      <c r="T32" s="206"/>
      <c r="U32" s="206"/>
      <c r="V32" s="237"/>
      <c r="W32" s="206"/>
      <c r="X32" s="206"/>
      <c r="Y32" s="206"/>
      <c r="Z32" s="206"/>
      <c r="AA32" s="237"/>
      <c r="AB32" s="191"/>
      <c r="AC32" s="191"/>
      <c r="AD32" s="191"/>
      <c r="AE32" s="191"/>
      <c r="AF32" s="237"/>
      <c r="AG32" s="191"/>
      <c r="AH32" s="191"/>
      <c r="AI32" s="191"/>
      <c r="AJ32" s="191"/>
      <c r="AK32" s="237"/>
      <c r="AL32" s="191"/>
      <c r="AM32" s="191"/>
      <c r="AN32" s="191"/>
      <c r="AO32" s="207"/>
      <c r="AP32" s="237"/>
      <c r="AQ32" s="191"/>
      <c r="AR32" s="191"/>
      <c r="AS32" s="191"/>
      <c r="AT32" s="191"/>
      <c r="AU32" s="237">
        <f>+AU31/AP31-1</f>
        <v>-4.1177561024656417E-2</v>
      </c>
      <c r="AV32" s="224"/>
      <c r="AW32" s="207"/>
      <c r="AX32" s="207"/>
      <c r="AY32" s="231"/>
      <c r="AZ32" s="237">
        <f>+AZ31/AU31-1</f>
        <v>0.17223351068050996</v>
      </c>
      <c r="BA32" s="224"/>
      <c r="BB32" s="207"/>
      <c r="BC32" s="207"/>
      <c r="BD32" s="930"/>
      <c r="BE32" s="237">
        <f>+BE31/AZ31-1</f>
        <v>0.66756680119710876</v>
      </c>
      <c r="BF32" s="224"/>
      <c r="BG32" s="207"/>
      <c r="BH32" s="207"/>
      <c r="BI32" s="930"/>
      <c r="BJ32" s="237">
        <f>+BJ31/BE31-1</f>
        <v>0.2357031488387924</v>
      </c>
      <c r="BK32" s="224"/>
      <c r="BL32" s="207"/>
      <c r="BM32" s="207"/>
      <c r="BN32" s="930"/>
      <c r="BO32" s="237">
        <f>+BO31/BJ31-1</f>
        <v>0.31547434291676324</v>
      </c>
      <c r="BP32" s="914"/>
      <c r="BQ32" s="914"/>
      <c r="BR32" s="914"/>
      <c r="BS32" s="914"/>
      <c r="BT32" s="1050"/>
      <c r="BU32" s="914"/>
      <c r="BV32" s="914"/>
      <c r="BW32" s="914"/>
      <c r="BX32" s="914"/>
      <c r="BY32" s="263"/>
    </row>
    <row r="33" spans="2:77" hidden="1" outlineLevel="2">
      <c r="B33" s="222" t="s">
        <v>97</v>
      </c>
      <c r="C33" s="205"/>
      <c r="D33" s="205"/>
      <c r="E33" s="205"/>
      <c r="F33" s="205"/>
      <c r="G33" s="237"/>
      <c r="H33" s="206"/>
      <c r="I33" s="206"/>
      <c r="J33" s="206"/>
      <c r="K33" s="206"/>
      <c r="L33" s="237"/>
      <c r="M33" s="206"/>
      <c r="N33" s="206"/>
      <c r="O33" s="206"/>
      <c r="P33" s="206"/>
      <c r="Q33" s="237"/>
      <c r="R33" s="206"/>
      <c r="S33" s="206"/>
      <c r="T33" s="206"/>
      <c r="U33" s="206"/>
      <c r="V33" s="237"/>
      <c r="W33" s="206"/>
      <c r="X33" s="206"/>
      <c r="Y33" s="206"/>
      <c r="Z33" s="206"/>
      <c r="AA33" s="237"/>
      <c r="AB33" s="191"/>
      <c r="AC33" s="191"/>
      <c r="AD33" s="191"/>
      <c r="AE33" s="191"/>
      <c r="AF33" s="237"/>
      <c r="AG33" s="191"/>
      <c r="AH33" s="191"/>
      <c r="AI33" s="191"/>
      <c r="AJ33" s="191"/>
      <c r="AK33" s="237"/>
      <c r="AL33" s="191"/>
      <c r="AM33" s="191"/>
      <c r="AN33" s="191"/>
      <c r="AO33" s="207"/>
      <c r="AP33" s="238">
        <f>+(AP$23-AP$35-AP$37)*(45/(7+45))</f>
        <v>248.48625980769231</v>
      </c>
      <c r="AQ33" s="191"/>
      <c r="AR33" s="191"/>
      <c r="AS33" s="191"/>
      <c r="AT33" s="191"/>
      <c r="AU33" s="238">
        <f>+(AU$23-AU$35-AU$37)*(45/(6+45))</f>
        <v>277.96323529411779</v>
      </c>
      <c r="AV33" s="191"/>
      <c r="AW33" s="207"/>
      <c r="AX33" s="207"/>
      <c r="AY33" s="207"/>
      <c r="AZ33" s="238">
        <f>479.743-AZ18</f>
        <v>291.49095744680852</v>
      </c>
      <c r="BA33" s="191"/>
      <c r="BB33" s="207"/>
      <c r="BC33" s="207"/>
      <c r="BD33" s="207"/>
      <c r="BE33" s="238">
        <f>551.622-BE18</f>
        <v>347.67848936170208</v>
      </c>
      <c r="BF33" s="191"/>
      <c r="BG33" s="207"/>
      <c r="BH33" s="207"/>
      <c r="BI33" s="207"/>
      <c r="BJ33" s="238">
        <f>616.59-BJ18</f>
        <v>383.52038297872343</v>
      </c>
      <c r="BK33" s="191"/>
      <c r="BL33" s="207"/>
      <c r="BM33" s="207"/>
      <c r="BN33" s="207"/>
      <c r="BO33" s="238">
        <f>672.526-BO18</f>
        <v>420.24897872340421</v>
      </c>
      <c r="BP33" s="914"/>
      <c r="BQ33" s="914"/>
      <c r="BR33" s="914"/>
      <c r="BS33" s="914"/>
      <c r="BT33" s="1051"/>
      <c r="BU33" s="914"/>
      <c r="BV33" s="914"/>
      <c r="BW33" s="914"/>
      <c r="BX33" s="914"/>
      <c r="BY33" s="274"/>
    </row>
    <row r="34" spans="2:77" hidden="1" outlineLevel="2">
      <c r="B34" s="223" t="s">
        <v>196</v>
      </c>
      <c r="C34" s="205"/>
      <c r="D34" s="205"/>
      <c r="E34" s="205"/>
      <c r="F34" s="205"/>
      <c r="G34" s="237"/>
      <c r="H34" s="206"/>
      <c r="I34" s="206"/>
      <c r="J34" s="206"/>
      <c r="K34" s="206"/>
      <c r="L34" s="237"/>
      <c r="M34" s="206"/>
      <c r="N34" s="206"/>
      <c r="O34" s="206"/>
      <c r="P34" s="206"/>
      <c r="Q34" s="237"/>
      <c r="R34" s="206"/>
      <c r="S34" s="206"/>
      <c r="T34" s="206"/>
      <c r="U34" s="206"/>
      <c r="V34" s="237"/>
      <c r="W34" s="206"/>
      <c r="X34" s="206"/>
      <c r="Y34" s="206"/>
      <c r="Z34" s="206"/>
      <c r="AA34" s="237"/>
      <c r="AB34" s="191"/>
      <c r="AC34" s="191"/>
      <c r="AD34" s="191"/>
      <c r="AE34" s="191"/>
      <c r="AF34" s="237"/>
      <c r="AG34" s="191"/>
      <c r="AH34" s="191"/>
      <c r="AI34" s="191"/>
      <c r="AJ34" s="191"/>
      <c r="AK34" s="237"/>
      <c r="AL34" s="191"/>
      <c r="AM34" s="191"/>
      <c r="AN34" s="191"/>
      <c r="AO34" s="207"/>
      <c r="AP34" s="237"/>
      <c r="AQ34" s="191"/>
      <c r="AR34" s="191"/>
      <c r="AS34" s="191"/>
      <c r="AT34" s="191"/>
      <c r="AU34" s="237">
        <f>+AU33/AP33-1</f>
        <v>0.11862617880456727</v>
      </c>
      <c r="AV34" s="191"/>
      <c r="AW34" s="207"/>
      <c r="AX34" s="207"/>
      <c r="AY34" s="207"/>
      <c r="AZ34" s="237">
        <f>+AZ33/AU33-1</f>
        <v>4.8667307165196849E-2</v>
      </c>
      <c r="BA34" s="191"/>
      <c r="BB34" s="207"/>
      <c r="BC34" s="207"/>
      <c r="BD34" s="207"/>
      <c r="BE34" s="237">
        <f>+BE33/AZ33-1</f>
        <v>0.1927590907349046</v>
      </c>
      <c r="BF34" s="191"/>
      <c r="BG34" s="207"/>
      <c r="BH34" s="207"/>
      <c r="BI34" s="207"/>
      <c r="BJ34" s="237">
        <f>+BJ33/BE33-1</f>
        <v>0.10308918933357925</v>
      </c>
      <c r="BK34" s="191"/>
      <c r="BL34" s="207"/>
      <c r="BM34" s="207"/>
      <c r="BN34" s="207"/>
      <c r="BO34" s="237">
        <f>+BO33/BJ33-1</f>
        <v>9.576699798695798E-2</v>
      </c>
      <c r="BP34" s="914"/>
      <c r="BQ34" s="914"/>
      <c r="BR34" s="914"/>
      <c r="BS34" s="914"/>
      <c r="BT34" s="1050"/>
      <c r="BU34" s="914"/>
      <c r="BV34" s="914"/>
      <c r="BW34" s="914"/>
      <c r="BX34" s="914"/>
      <c r="BY34" s="275"/>
    </row>
    <row r="35" spans="2:77" hidden="1" outlineLevel="2">
      <c r="B35" s="222" t="s">
        <v>109</v>
      </c>
      <c r="C35" s="205"/>
      <c r="D35" s="205"/>
      <c r="E35" s="205"/>
      <c r="F35" s="205"/>
      <c r="G35" s="237"/>
      <c r="H35" s="206"/>
      <c r="I35" s="206"/>
      <c r="J35" s="206"/>
      <c r="K35" s="206"/>
      <c r="L35" s="237"/>
      <c r="M35" s="206"/>
      <c r="N35" s="206"/>
      <c r="O35" s="206"/>
      <c r="P35" s="206"/>
      <c r="Q35" s="237"/>
      <c r="R35" s="206"/>
      <c r="S35" s="206"/>
      <c r="T35" s="206"/>
      <c r="U35" s="206"/>
      <c r="V35" s="237"/>
      <c r="W35" s="206"/>
      <c r="X35" s="206"/>
      <c r="Y35" s="206"/>
      <c r="Z35" s="206"/>
      <c r="AA35" s="237"/>
      <c r="AB35" s="191"/>
      <c r="AC35" s="191"/>
      <c r="AD35" s="191"/>
      <c r="AE35" s="191"/>
      <c r="AF35" s="237"/>
      <c r="AG35" s="191"/>
      <c r="AH35" s="191"/>
      <c r="AI35" s="191"/>
      <c r="AJ35" s="191"/>
      <c r="AK35" s="237"/>
      <c r="AL35" s="191"/>
      <c r="AM35" s="191"/>
      <c r="AN35" s="191"/>
      <c r="AO35" s="207"/>
      <c r="AP35" s="238">
        <v>107.44799999999999</v>
      </c>
      <c r="AQ35" s="191"/>
      <c r="AR35" s="191"/>
      <c r="AS35" s="191"/>
      <c r="AT35" s="191"/>
      <c r="AU35" s="238">
        <v>223.89</v>
      </c>
      <c r="AV35" s="191"/>
      <c r="AW35" s="207"/>
      <c r="AX35" s="207"/>
      <c r="AY35" s="207"/>
      <c r="AZ35" s="238">
        <v>219.739</v>
      </c>
      <c r="BA35" s="191"/>
      <c r="BB35" s="207"/>
      <c r="BC35" s="207"/>
      <c r="BD35" s="207"/>
      <c r="BE35" s="238">
        <v>308.00799999999998</v>
      </c>
      <c r="BF35" s="191"/>
      <c r="BG35" s="207"/>
      <c r="BH35" s="207"/>
      <c r="BI35" s="207"/>
      <c r="BJ35" s="238">
        <v>353.32600000000002</v>
      </c>
      <c r="BK35" s="191"/>
      <c r="BL35" s="207"/>
      <c r="BM35" s="207"/>
      <c r="BN35" s="207"/>
      <c r="BO35" s="238">
        <v>406.803</v>
      </c>
      <c r="BP35" s="914"/>
      <c r="BQ35" s="914"/>
      <c r="BR35" s="914"/>
      <c r="BS35" s="914"/>
      <c r="BT35" s="1051"/>
      <c r="BU35" s="914"/>
      <c r="BV35" s="914"/>
      <c r="BW35" s="914"/>
      <c r="BX35" s="914"/>
      <c r="BY35" s="274"/>
    </row>
    <row r="36" spans="2:77" hidden="1" outlineLevel="2">
      <c r="B36" s="223" t="s">
        <v>196</v>
      </c>
      <c r="C36" s="205"/>
      <c r="D36" s="205"/>
      <c r="E36" s="205"/>
      <c r="F36" s="205"/>
      <c r="G36" s="237"/>
      <c r="H36" s="206"/>
      <c r="I36" s="206"/>
      <c r="J36" s="206"/>
      <c r="K36" s="206"/>
      <c r="L36" s="237"/>
      <c r="M36" s="206"/>
      <c r="N36" s="206"/>
      <c r="O36" s="206"/>
      <c r="P36" s="206"/>
      <c r="Q36" s="237"/>
      <c r="R36" s="206"/>
      <c r="S36" s="206"/>
      <c r="T36" s="206"/>
      <c r="U36" s="206"/>
      <c r="V36" s="237"/>
      <c r="W36" s="206"/>
      <c r="X36" s="206"/>
      <c r="Y36" s="206"/>
      <c r="Z36" s="206"/>
      <c r="AA36" s="237"/>
      <c r="AB36" s="191"/>
      <c r="AC36" s="191"/>
      <c r="AD36" s="191"/>
      <c r="AE36" s="191"/>
      <c r="AF36" s="237"/>
      <c r="AG36" s="191"/>
      <c r="AH36" s="191"/>
      <c r="AI36" s="191"/>
      <c r="AJ36" s="191"/>
      <c r="AK36" s="237"/>
      <c r="AL36" s="191"/>
      <c r="AM36" s="191"/>
      <c r="AN36" s="191"/>
      <c r="AO36" s="207"/>
      <c r="AP36" s="237"/>
      <c r="AQ36" s="191"/>
      <c r="AR36" s="191"/>
      <c r="AS36" s="191"/>
      <c r="AT36" s="191"/>
      <c r="AU36" s="237">
        <f>+AU35/AP35-1</f>
        <v>1.0837056064328792</v>
      </c>
      <c r="AV36" s="191"/>
      <c r="AW36" s="207"/>
      <c r="AX36" s="207"/>
      <c r="AY36" s="207"/>
      <c r="AZ36" s="237">
        <f>+AZ35/AU35-1</f>
        <v>-1.8540354638438394E-2</v>
      </c>
      <c r="BA36" s="191"/>
      <c r="BB36" s="207"/>
      <c r="BC36" s="207"/>
      <c r="BD36" s="207"/>
      <c r="BE36" s="237">
        <f>+BE35/AZ35-1</f>
        <v>0.40169928870159577</v>
      </c>
      <c r="BF36" s="191"/>
      <c r="BG36" s="207"/>
      <c r="BH36" s="207"/>
      <c r="BI36" s="207"/>
      <c r="BJ36" s="237">
        <f>+BJ35/BE35-1</f>
        <v>0.14713254201189585</v>
      </c>
      <c r="BK36" s="191"/>
      <c r="BL36" s="207"/>
      <c r="BM36" s="207"/>
      <c r="BN36" s="207"/>
      <c r="BO36" s="237">
        <f>+BO35/BJ35-1</f>
        <v>0.15135314129161159</v>
      </c>
      <c r="BP36" s="914"/>
      <c r="BQ36" s="914"/>
      <c r="BR36" s="914"/>
      <c r="BS36" s="914"/>
      <c r="BT36" s="1050"/>
      <c r="BU36" s="914"/>
      <c r="BV36" s="914"/>
      <c r="BW36" s="914"/>
      <c r="BX36" s="914"/>
      <c r="BY36" s="275"/>
    </row>
    <row r="37" spans="2:77" hidden="1" outlineLevel="2">
      <c r="B37" s="222" t="s">
        <v>117</v>
      </c>
      <c r="C37" s="205"/>
      <c r="D37" s="205"/>
      <c r="E37" s="205"/>
      <c r="F37" s="205"/>
      <c r="G37" s="237"/>
      <c r="H37" s="206"/>
      <c r="I37" s="206"/>
      <c r="J37" s="206"/>
      <c r="K37" s="206"/>
      <c r="L37" s="237"/>
      <c r="M37" s="206"/>
      <c r="N37" s="206"/>
      <c r="O37" s="206"/>
      <c r="P37" s="206"/>
      <c r="Q37" s="237"/>
      <c r="R37" s="206"/>
      <c r="S37" s="206"/>
      <c r="T37" s="206"/>
      <c r="U37" s="206"/>
      <c r="V37" s="237"/>
      <c r="W37" s="206"/>
      <c r="X37" s="206"/>
      <c r="Y37" s="206"/>
      <c r="Z37" s="206"/>
      <c r="AA37" s="237"/>
      <c r="AB37" s="191"/>
      <c r="AC37" s="191"/>
      <c r="AD37" s="191"/>
      <c r="AE37" s="191"/>
      <c r="AF37" s="237"/>
      <c r="AG37" s="191"/>
      <c r="AH37" s="191"/>
      <c r="AI37" s="191"/>
      <c r="AJ37" s="191"/>
      <c r="AK37" s="237"/>
      <c r="AL37" s="191"/>
      <c r="AM37" s="191"/>
      <c r="AN37" s="191"/>
      <c r="AO37" s="207"/>
      <c r="AP37" s="238">
        <f>692.152-AP48</f>
        <v>216.05132200000003</v>
      </c>
      <c r="AQ37" s="191"/>
      <c r="AR37" s="191"/>
      <c r="AS37" s="191"/>
      <c r="AT37" s="191"/>
      <c r="AU37" s="238">
        <f>710.688-AU48</f>
        <v>189.00399999999991</v>
      </c>
      <c r="AV37" s="191"/>
      <c r="AW37" s="207"/>
      <c r="AX37" s="207"/>
      <c r="AY37" s="207"/>
      <c r="AZ37" s="238">
        <f>694.015-AZ48</f>
        <v>135.58699999999988</v>
      </c>
      <c r="BA37" s="191"/>
      <c r="BB37" s="207"/>
      <c r="BC37" s="207"/>
      <c r="BD37" s="207"/>
      <c r="BE37" s="238">
        <f>720.013-BE48</f>
        <v>87.778000000000134</v>
      </c>
      <c r="BF37" s="191"/>
      <c r="BG37" s="207"/>
      <c r="BH37" s="207"/>
      <c r="BI37" s="207"/>
      <c r="BJ37" s="238">
        <f>821.898-BJ48</f>
        <v>84.335999999999899</v>
      </c>
      <c r="BK37" s="191"/>
      <c r="BL37" s="207"/>
      <c r="BM37" s="207"/>
      <c r="BN37" s="207"/>
      <c r="BO37" s="238">
        <f>941.654-BO48</f>
        <v>73.791999999999803</v>
      </c>
      <c r="BP37" s="126"/>
      <c r="BQ37" s="914"/>
      <c r="BR37" s="914"/>
      <c r="BS37" s="914"/>
      <c r="BT37" s="1051"/>
      <c r="BU37" s="126"/>
      <c r="BV37" s="914"/>
      <c r="BW37" s="914"/>
      <c r="BX37" s="914"/>
      <c r="BY37" s="274"/>
    </row>
    <row r="38" spans="2:77" hidden="1" outlineLevel="2">
      <c r="B38" s="223" t="s">
        <v>196</v>
      </c>
      <c r="C38" s="205"/>
      <c r="D38" s="205"/>
      <c r="E38" s="205"/>
      <c r="F38" s="205"/>
      <c r="G38" s="237"/>
      <c r="H38" s="206"/>
      <c r="I38" s="206"/>
      <c r="J38" s="206"/>
      <c r="K38" s="206"/>
      <c r="L38" s="237"/>
      <c r="M38" s="206"/>
      <c r="N38" s="206"/>
      <c r="O38" s="206"/>
      <c r="P38" s="206"/>
      <c r="Q38" s="237"/>
      <c r="R38" s="206"/>
      <c r="S38" s="206"/>
      <c r="T38" s="206"/>
      <c r="U38" s="206"/>
      <c r="V38" s="237"/>
      <c r="W38" s="206"/>
      <c r="X38" s="206"/>
      <c r="Y38" s="206"/>
      <c r="Z38" s="206"/>
      <c r="AA38" s="237"/>
      <c r="AB38" s="191"/>
      <c r="AC38" s="191"/>
      <c r="AD38" s="191"/>
      <c r="AE38" s="191"/>
      <c r="AF38" s="237"/>
      <c r="AG38" s="191"/>
      <c r="AH38" s="191"/>
      <c r="AI38" s="191"/>
      <c r="AJ38" s="191"/>
      <c r="AK38" s="237"/>
      <c r="AL38" s="191"/>
      <c r="AM38" s="191"/>
      <c r="AN38" s="191"/>
      <c r="AO38" s="207"/>
      <c r="AP38" s="237"/>
      <c r="AQ38" s="191"/>
      <c r="AR38" s="191"/>
      <c r="AS38" s="191"/>
      <c r="AT38" s="191"/>
      <c r="AU38" s="237">
        <f>+AU37/AP37-1</f>
        <v>-0.12518933811476574</v>
      </c>
      <c r="AV38" s="191"/>
      <c r="AW38" s="207"/>
      <c r="AX38" s="207"/>
      <c r="AY38" s="207"/>
      <c r="AZ38" s="237">
        <f>+AZ37/AU37-1</f>
        <v>-0.28262364817675845</v>
      </c>
      <c r="BA38" s="191"/>
      <c r="BB38" s="207"/>
      <c r="BC38" s="207"/>
      <c r="BD38" s="207"/>
      <c r="BE38" s="237">
        <f>+BE37/AZ37-1</f>
        <v>-0.35260755087139461</v>
      </c>
      <c r="BF38" s="191"/>
      <c r="BG38" s="207"/>
      <c r="BH38" s="207"/>
      <c r="BI38" s="207"/>
      <c r="BJ38" s="237">
        <f>+BJ37/BE37-1</f>
        <v>-3.9212558955549537E-2</v>
      </c>
      <c r="BK38" s="191"/>
      <c r="BL38" s="207"/>
      <c r="BM38" s="1031"/>
      <c r="BN38" s="207"/>
      <c r="BO38" s="237">
        <f>+BO37/BJ37-1</f>
        <v>-0.12502371466515028</v>
      </c>
      <c r="BP38" s="914"/>
      <c r="BQ38" s="914"/>
      <c r="BR38" s="914"/>
      <c r="BS38" s="914"/>
      <c r="BT38" s="1050"/>
      <c r="BU38" s="914"/>
      <c r="BV38" s="914"/>
      <c r="BW38" s="914"/>
      <c r="BX38" s="914"/>
      <c r="BY38" s="275"/>
    </row>
    <row r="39" spans="2:77" ht="6" hidden="1" customHeight="1" outlineLevel="2">
      <c r="B39" s="204"/>
      <c r="C39" s="205"/>
      <c r="D39" s="205"/>
      <c r="E39" s="205"/>
      <c r="F39" s="205"/>
      <c r="G39" s="237"/>
      <c r="H39" s="206"/>
      <c r="I39" s="206"/>
      <c r="J39" s="206"/>
      <c r="K39" s="206"/>
      <c r="L39" s="237"/>
      <c r="M39" s="206"/>
      <c r="N39" s="206"/>
      <c r="O39" s="206"/>
      <c r="P39" s="206"/>
      <c r="Q39" s="237"/>
      <c r="R39" s="206"/>
      <c r="S39" s="206"/>
      <c r="T39" s="206"/>
      <c r="U39" s="206"/>
      <c r="V39" s="237"/>
      <c r="W39" s="206"/>
      <c r="X39" s="206"/>
      <c r="Y39" s="206"/>
      <c r="Z39" s="206"/>
      <c r="AA39" s="237"/>
      <c r="AB39" s="191"/>
      <c r="AC39" s="191"/>
      <c r="AD39" s="191"/>
      <c r="AE39" s="191"/>
      <c r="AF39" s="237"/>
      <c r="AG39" s="191"/>
      <c r="AH39" s="191"/>
      <c r="AI39" s="191"/>
      <c r="AJ39" s="191"/>
      <c r="AK39" s="237"/>
      <c r="AL39" s="191"/>
      <c r="AM39" s="191"/>
      <c r="AN39" s="191"/>
      <c r="AO39" s="207"/>
      <c r="AP39" s="237"/>
      <c r="AQ39" s="191"/>
      <c r="AR39" s="191"/>
      <c r="AS39" s="191"/>
      <c r="AT39" s="191"/>
      <c r="AU39" s="237"/>
      <c r="AV39" s="191"/>
      <c r="AW39" s="207"/>
      <c r="AX39" s="207"/>
      <c r="AY39" s="207"/>
      <c r="AZ39" s="237"/>
      <c r="BA39" s="191"/>
      <c r="BB39" s="207"/>
      <c r="BC39" s="207"/>
      <c r="BD39" s="207"/>
      <c r="BE39" s="237"/>
      <c r="BF39" s="191"/>
      <c r="BG39" s="207"/>
      <c r="BH39" s="207"/>
      <c r="BI39" s="207"/>
      <c r="BJ39" s="237"/>
      <c r="BK39" s="191"/>
      <c r="BL39" s="207"/>
      <c r="BM39" s="207"/>
      <c r="BN39" s="207"/>
      <c r="BO39" s="237"/>
      <c r="BP39" s="914"/>
      <c r="BQ39" s="914"/>
      <c r="BR39" s="914"/>
      <c r="BS39" s="914"/>
      <c r="BT39" s="1050"/>
      <c r="BU39" s="914"/>
      <c r="BV39" s="914"/>
      <c r="BW39" s="914"/>
      <c r="BX39" s="914"/>
      <c r="BY39" s="237"/>
    </row>
    <row r="40" spans="2:77" s="4" customFormat="1" outlineLevel="1" collapsed="1">
      <c r="B40" s="49" t="s">
        <v>210</v>
      </c>
      <c r="C40" s="62">
        <v>137.1</v>
      </c>
      <c r="D40" s="62">
        <v>137.9</v>
      </c>
      <c r="E40" s="62">
        <v>132.9</v>
      </c>
      <c r="F40" s="62">
        <v>153.80000000000001</v>
      </c>
      <c r="G40" s="235">
        <f>SUM(C40:F40)</f>
        <v>561.70000000000005</v>
      </c>
      <c r="H40" s="62">
        <v>129.63499999999999</v>
      </c>
      <c r="I40" s="62">
        <v>136.893</v>
      </c>
      <c r="J40" s="62">
        <v>118.514</v>
      </c>
      <c r="K40" s="62">
        <v>140.13</v>
      </c>
      <c r="L40" s="235"/>
      <c r="M40" s="45"/>
      <c r="N40" s="45"/>
      <c r="O40" s="45"/>
      <c r="P40" s="45"/>
      <c r="Q40" s="235"/>
      <c r="R40" s="45"/>
      <c r="S40" s="45"/>
      <c r="T40" s="45"/>
      <c r="U40" s="45"/>
      <c r="V40" s="235"/>
      <c r="W40" s="186"/>
      <c r="X40" s="186"/>
      <c r="Y40" s="186"/>
      <c r="Z40" s="186"/>
      <c r="AA40" s="235"/>
      <c r="AB40" s="108"/>
      <c r="AC40" s="108"/>
      <c r="AD40" s="108"/>
      <c r="AE40" s="108"/>
      <c r="AF40" s="235"/>
      <c r="AG40" s="108">
        <v>229.40576743679398</v>
      </c>
      <c r="AH40" s="108">
        <v>247.970980505412</v>
      </c>
      <c r="AI40" s="108">
        <v>233.41160600000001</v>
      </c>
      <c r="AJ40" s="108">
        <v>250.099774</v>
      </c>
      <c r="AK40" s="235">
        <f>SUM(AG40:AJ40)</f>
        <v>960.88812794220598</v>
      </c>
      <c r="AL40" s="108">
        <v>228.04815400000001</v>
      </c>
      <c r="AM40" s="108">
        <v>227.18944300000004</v>
      </c>
      <c r="AN40" s="108">
        <v>228.62576999999999</v>
      </c>
      <c r="AO40" s="108">
        <v>267.07931099999996</v>
      </c>
      <c r="AP40" s="235">
        <f>SUM(AL40:AO40)</f>
        <v>950.942678</v>
      </c>
      <c r="AQ40" s="108">
        <v>229.9</v>
      </c>
      <c r="AR40" s="108">
        <v>252</v>
      </c>
      <c r="AS40" s="108">
        <v>235.3</v>
      </c>
      <c r="AT40" s="108">
        <v>248.10400000000001</v>
      </c>
      <c r="AU40" s="235">
        <f>SUM(AQ40:AT40)</f>
        <v>965.30400000000009</v>
      </c>
      <c r="AV40" s="108">
        <v>225.28</v>
      </c>
      <c r="AW40" s="108">
        <v>251.23599999999999</v>
      </c>
      <c r="AX40" s="108">
        <v>256.26100000000002</v>
      </c>
      <c r="AY40" s="108">
        <v>297.95100000000002</v>
      </c>
      <c r="AZ40" s="235">
        <f>SUM(AV40:AY40)</f>
        <v>1030.7280000000001</v>
      </c>
      <c r="BA40" s="108">
        <v>266.25900000000001</v>
      </c>
      <c r="BB40" s="108">
        <v>280.41399999999999</v>
      </c>
      <c r="BC40" s="108">
        <v>287.74400000000003</v>
      </c>
      <c r="BD40" s="108">
        <v>307.81599999999997</v>
      </c>
      <c r="BE40" s="235">
        <f>SUM(BA40:BD40)</f>
        <v>1142.2329999999999</v>
      </c>
      <c r="BF40" s="108">
        <v>282.101</v>
      </c>
      <c r="BG40" s="108">
        <v>323.09800000000001</v>
      </c>
      <c r="BH40" s="910">
        <v>327.23</v>
      </c>
      <c r="BI40" s="910">
        <v>345.92099999999999</v>
      </c>
      <c r="BJ40" s="235">
        <f>SUM(BF40:BI40)</f>
        <v>1278.3500000000001</v>
      </c>
      <c r="BK40" s="910">
        <v>333.23500000000001</v>
      </c>
      <c r="BL40" s="910">
        <v>384.42700000000002</v>
      </c>
      <c r="BM40" s="910">
        <v>368.02600000000001</v>
      </c>
      <c r="BN40" s="910">
        <v>417.31400000000002</v>
      </c>
      <c r="BO40" s="235">
        <f>SUM(BK40:BN40)</f>
        <v>1503.0020000000002</v>
      </c>
      <c r="BP40" s="911"/>
      <c r="BQ40" s="911"/>
      <c r="BR40" s="911"/>
      <c r="BS40" s="911"/>
      <c r="BT40" s="1052"/>
      <c r="BU40" s="911"/>
      <c r="BV40" s="911"/>
      <c r="BW40" s="911"/>
      <c r="BX40" s="911"/>
      <c r="BY40" s="261"/>
    </row>
    <row r="41" spans="2:77" outlineLevel="1">
      <c r="B41" s="50" t="s">
        <v>183</v>
      </c>
      <c r="C41" s="42"/>
      <c r="D41" s="42"/>
      <c r="E41" s="42"/>
      <c r="F41" s="42"/>
      <c r="G41" s="236"/>
      <c r="H41" s="42">
        <f>H40/C40-1</f>
        <v>-5.4449307075127629E-2</v>
      </c>
      <c r="I41" s="42">
        <f>I40/D40-1</f>
        <v>-7.3023930384337188E-3</v>
      </c>
      <c r="J41" s="42">
        <f>J40/E40-1</f>
        <v>-0.10824680210684734</v>
      </c>
      <c r="K41" s="42">
        <f>K40/F40-1</f>
        <v>-8.8881664499349866E-2</v>
      </c>
      <c r="L41" s="236"/>
      <c r="M41" s="42"/>
      <c r="N41" s="42"/>
      <c r="O41" s="42"/>
      <c r="P41" s="42"/>
      <c r="Q41" s="236"/>
      <c r="R41" s="42"/>
      <c r="S41" s="42"/>
      <c r="T41" s="42"/>
      <c r="U41" s="42"/>
      <c r="V41" s="236"/>
      <c r="W41" s="42"/>
      <c r="X41" s="42"/>
      <c r="Y41" s="42"/>
      <c r="Z41" s="42"/>
      <c r="AA41" s="236"/>
      <c r="AB41" s="10"/>
      <c r="AC41" s="10"/>
      <c r="AD41" s="10"/>
      <c r="AE41" s="10"/>
      <c r="AF41" s="236"/>
      <c r="AG41" s="10"/>
      <c r="AH41" s="10"/>
      <c r="AI41" s="10"/>
      <c r="AJ41" s="10"/>
      <c r="AK41" s="236"/>
      <c r="AL41" s="10">
        <f t="shared" si="30"/>
        <v>-5.9179568672702576E-3</v>
      </c>
      <c r="AM41" s="10">
        <f t="shared" si="30"/>
        <v>-8.3806328720623879E-2</v>
      </c>
      <c r="AN41" s="10">
        <f t="shared" si="30"/>
        <v>-2.0503847610731096E-2</v>
      </c>
      <c r="AO41" s="10">
        <f t="shared" si="30"/>
        <v>6.7891052952330888E-2</v>
      </c>
      <c r="AP41" s="236">
        <f>AP40/AK40-1</f>
        <v>-1.0350268312196431E-2</v>
      </c>
      <c r="AQ41" s="10">
        <f t="shared" si="30"/>
        <v>8.1204165327293243E-3</v>
      </c>
      <c r="AR41" s="10">
        <f t="shared" si="30"/>
        <v>0.10920646959814917</v>
      </c>
      <c r="AS41" s="10">
        <f t="shared" si="30"/>
        <v>2.919281584048905E-2</v>
      </c>
      <c r="AT41" s="10">
        <f t="shared" si="30"/>
        <v>-7.1047476230758799E-2</v>
      </c>
      <c r="AU41" s="236">
        <f>AU40/AP40-1</f>
        <v>1.5102195255559003E-2</v>
      </c>
      <c r="AV41" s="10">
        <f t="shared" si="30"/>
        <v>-2.0095693779904278E-2</v>
      </c>
      <c r="AW41" s="10">
        <f t="shared" si="30"/>
        <v>-3.0317460317460521E-3</v>
      </c>
      <c r="AX41" s="10">
        <f t="shared" si="30"/>
        <v>8.9082022949426243E-2</v>
      </c>
      <c r="AY41" s="10">
        <f t="shared" si="30"/>
        <v>0.20091171444233069</v>
      </c>
      <c r="AZ41" s="236">
        <f>AZ40/AU40-1</f>
        <v>6.7775540140722512E-2</v>
      </c>
      <c r="BA41" s="10">
        <f t="shared" si="30"/>
        <v>0.18190252130681817</v>
      </c>
      <c r="BB41" s="10">
        <f t="shared" si="30"/>
        <v>0.1161378146443981</v>
      </c>
      <c r="BC41" s="10">
        <f t="shared" si="30"/>
        <v>0.12285521402008115</v>
      </c>
      <c r="BD41" s="928">
        <f>BD40/AY40-1</f>
        <v>3.3109471020402514E-2</v>
      </c>
      <c r="BE41" s="236">
        <f>BE40/AZ40-1</f>
        <v>0.10818081977010419</v>
      </c>
      <c r="BF41" s="10">
        <f t="shared" si="31"/>
        <v>5.9498458268077314E-2</v>
      </c>
      <c r="BG41" s="10">
        <f t="shared" si="31"/>
        <v>0.1522177922642951</v>
      </c>
      <c r="BH41" s="10">
        <f t="shared" si="31"/>
        <v>0.13722614546263334</v>
      </c>
      <c r="BI41" s="928">
        <f>BI40/BD40-1</f>
        <v>0.12379148582269939</v>
      </c>
      <c r="BJ41" s="236">
        <f>BJ40/BE40-1</f>
        <v>0.11916745532654027</v>
      </c>
      <c r="BK41" s="10">
        <f t="shared" si="32"/>
        <v>0.1812613212998182</v>
      </c>
      <c r="BL41" s="10">
        <f t="shared" si="32"/>
        <v>0.18981547394289033</v>
      </c>
      <c r="BM41" s="10">
        <f t="shared" si="32"/>
        <v>0.1246707208996729</v>
      </c>
      <c r="BN41" s="928">
        <f>BN40/BI40-1</f>
        <v>0.20638527293804088</v>
      </c>
      <c r="BO41" s="236">
        <f>BO40/BJ40-1</f>
        <v>0.17573590957093121</v>
      </c>
      <c r="BP41" s="912"/>
      <c r="BQ41" s="912"/>
      <c r="BR41" s="912"/>
      <c r="BS41" s="912"/>
      <c r="BT41" s="1053"/>
      <c r="BU41" s="912"/>
      <c r="BV41" s="912"/>
      <c r="BW41" s="912"/>
      <c r="BX41" s="912"/>
      <c r="BY41" s="262"/>
    </row>
    <row r="42" spans="2:77" ht="13.35" customHeight="1" outlineLevel="1">
      <c r="B42" s="260" t="s">
        <v>184</v>
      </c>
      <c r="C42" s="42"/>
      <c r="D42" s="42"/>
      <c r="E42" s="42"/>
      <c r="F42" s="42"/>
      <c r="G42" s="236"/>
      <c r="H42" s="42"/>
      <c r="I42" s="42"/>
      <c r="J42" s="42"/>
      <c r="K42" s="42"/>
      <c r="L42" s="236"/>
      <c r="M42" s="42"/>
      <c r="N42" s="42"/>
      <c r="O42" s="42"/>
      <c r="P42" s="42"/>
      <c r="Q42" s="236"/>
      <c r="R42" s="42"/>
      <c r="S42" s="42"/>
      <c r="T42" s="42"/>
      <c r="U42" s="42"/>
      <c r="V42" s="236"/>
      <c r="W42" s="42"/>
      <c r="X42" s="42"/>
      <c r="Y42" s="42"/>
      <c r="Z42" s="42"/>
      <c r="AA42" s="236"/>
      <c r="AB42" s="10"/>
      <c r="AC42" s="10"/>
      <c r="AD42" s="10"/>
      <c r="AE42" s="10"/>
      <c r="AF42" s="236"/>
      <c r="AG42" s="10"/>
      <c r="AH42" s="10"/>
      <c r="AI42" s="10"/>
      <c r="AJ42" s="10"/>
      <c r="AK42" s="236"/>
      <c r="AL42" s="10"/>
      <c r="AM42" s="10"/>
      <c r="AN42" s="10"/>
      <c r="AO42" s="10"/>
      <c r="AP42" s="236"/>
      <c r="AQ42" s="10"/>
      <c r="AR42" s="10"/>
      <c r="AS42" s="10"/>
      <c r="AT42" s="10"/>
      <c r="AU42" s="236"/>
      <c r="AV42" s="395" t="s">
        <v>211</v>
      </c>
      <c r="AW42" s="395" t="s">
        <v>212</v>
      </c>
      <c r="AX42" s="10"/>
      <c r="AY42" s="395" t="s">
        <v>213</v>
      </c>
      <c r="AZ42" s="396" t="str">
        <f>AY42</f>
        <v>1085-1100</v>
      </c>
      <c r="BA42" s="395" t="s">
        <v>213</v>
      </c>
      <c r="BB42" s="395" t="s">
        <v>214</v>
      </c>
      <c r="BC42" s="395" t="s">
        <v>215</v>
      </c>
      <c r="BD42" s="395" t="s">
        <v>216</v>
      </c>
      <c r="BE42" s="396" t="str">
        <f>BD42</f>
        <v>1188-1208</v>
      </c>
      <c r="BF42" s="395" t="s">
        <v>216</v>
      </c>
      <c r="BG42" s="395" t="s">
        <v>217</v>
      </c>
      <c r="BH42" s="395" t="s">
        <v>218</v>
      </c>
      <c r="BI42" s="395" t="s">
        <v>219</v>
      </c>
      <c r="BJ42" s="396" t="str">
        <f>BI42</f>
        <v>1400-1420</v>
      </c>
      <c r="BK42" s="395" t="s">
        <v>220</v>
      </c>
      <c r="BL42" s="395" t="s">
        <v>1184</v>
      </c>
      <c r="BM42" s="395" t="s">
        <v>1239</v>
      </c>
      <c r="BN42" s="395" t="s">
        <v>1285</v>
      </c>
      <c r="BO42" s="396" t="str">
        <f>BN42</f>
        <v>1625-1645</v>
      </c>
      <c r="BP42" s="912"/>
      <c r="BQ42" s="912"/>
      <c r="BR42" s="912"/>
      <c r="BS42" s="912"/>
      <c r="BT42" s="1053"/>
      <c r="BU42" s="912"/>
      <c r="BV42" s="912"/>
      <c r="BW42" s="912"/>
      <c r="BX42" s="912"/>
      <c r="BY42" s="262"/>
    </row>
    <row r="43" spans="2:77" ht="13.35" customHeight="1" outlineLevel="1">
      <c r="B43" s="260" t="s">
        <v>273</v>
      </c>
      <c r="C43" s="42"/>
      <c r="D43" s="42"/>
      <c r="E43" s="42"/>
      <c r="F43" s="42"/>
      <c r="G43" s="236"/>
      <c r="H43" s="42"/>
      <c r="I43" s="42"/>
      <c r="J43" s="42"/>
      <c r="K43" s="42"/>
      <c r="L43" s="236"/>
      <c r="M43" s="42"/>
      <c r="N43" s="42"/>
      <c r="O43" s="42"/>
      <c r="P43" s="42"/>
      <c r="Q43" s="236"/>
      <c r="R43" s="42"/>
      <c r="S43" s="42"/>
      <c r="T43" s="42"/>
      <c r="U43" s="42"/>
      <c r="V43" s="236"/>
      <c r="W43" s="42"/>
      <c r="X43" s="42"/>
      <c r="Y43" s="42"/>
      <c r="Z43" s="42"/>
      <c r="AA43" s="236"/>
      <c r="AB43" s="10"/>
      <c r="AC43" s="10"/>
      <c r="AD43" s="10"/>
      <c r="AE43" s="10"/>
      <c r="AF43" s="236"/>
      <c r="AG43" s="10"/>
      <c r="AH43" s="10"/>
      <c r="AI43" s="10"/>
      <c r="AJ43" s="10"/>
      <c r="AK43" s="236"/>
      <c r="AL43" s="10"/>
      <c r="AM43" s="10"/>
      <c r="AN43" s="10"/>
      <c r="AO43" s="10"/>
      <c r="AP43" s="236"/>
      <c r="AQ43" s="10"/>
      <c r="AR43" s="10"/>
      <c r="AS43" s="10"/>
      <c r="AT43" s="10"/>
      <c r="AU43" s="236"/>
      <c r="AV43" s="395"/>
      <c r="AW43" s="395"/>
      <c r="AX43" s="10"/>
      <c r="AY43" s="395"/>
      <c r="AZ43" s="396"/>
      <c r="BA43" s="395"/>
      <c r="BB43" s="395"/>
      <c r="BC43" s="395"/>
      <c r="BD43" s="395"/>
      <c r="BE43" s="396"/>
      <c r="BF43" s="395"/>
      <c r="BG43" s="395"/>
      <c r="BH43" s="395"/>
      <c r="BI43" s="395"/>
      <c r="BJ43" s="396"/>
      <c r="BK43" s="395"/>
      <c r="BL43" s="395"/>
      <c r="BM43" s="395"/>
      <c r="BN43" s="395"/>
      <c r="BO43" s="396"/>
      <c r="BP43" s="912"/>
      <c r="BQ43" s="912"/>
      <c r="BR43" s="912"/>
      <c r="BS43" s="912"/>
      <c r="BT43" s="536" cm="1">
        <f t="array" ref="BT43">_xll.FDS("CW-US","FE_ESTIMATE(PRODLINE_SALES_3,MEAN,ANN_ROLL,+1,NOW,,,'')")</f>
        <v>1592.35</v>
      </c>
      <c r="BU43" s="912"/>
      <c r="BV43" s="912"/>
      <c r="BW43" s="912"/>
      <c r="BX43" s="912"/>
      <c r="BY43" s="536" cm="1">
        <f t="array" ref="BY43">_xll.FDS("CW-US","FE_ESTIMATE(PRODLINE_SALES_3,MEAN,ANN_ROLL,+2,NOW,,,'')")</f>
        <v>1752.518</v>
      </c>
    </row>
    <row r="44" spans="2:77" hidden="1" outlineLevel="2">
      <c r="B44" s="204" t="s">
        <v>193</v>
      </c>
      <c r="C44" s="205"/>
      <c r="D44" s="205"/>
      <c r="E44" s="205"/>
      <c r="F44" s="205"/>
      <c r="G44" s="237"/>
      <c r="H44" s="206"/>
      <c r="I44" s="206"/>
      <c r="J44" s="206"/>
      <c r="K44" s="206"/>
      <c r="L44" s="237"/>
      <c r="M44" s="206"/>
      <c r="N44" s="206"/>
      <c r="O44" s="206"/>
      <c r="P44" s="206"/>
      <c r="Q44" s="237"/>
      <c r="R44" s="206"/>
      <c r="S44" s="206"/>
      <c r="T44" s="206"/>
      <c r="U44" s="206"/>
      <c r="V44" s="237"/>
      <c r="W44" s="206"/>
      <c r="X44" s="206"/>
      <c r="Y44" s="206"/>
      <c r="Z44" s="206"/>
      <c r="AA44" s="237"/>
      <c r="AB44" s="191"/>
      <c r="AC44" s="191"/>
      <c r="AD44" s="191"/>
      <c r="AE44" s="191"/>
      <c r="AF44" s="237"/>
      <c r="AG44" s="191"/>
      <c r="AH44" s="191"/>
      <c r="AI44" s="191"/>
      <c r="AJ44" s="191"/>
      <c r="AK44" s="237"/>
      <c r="AL44" s="191"/>
      <c r="AM44" s="191"/>
      <c r="AN44" s="191"/>
      <c r="AO44" s="207"/>
      <c r="AP44" s="237"/>
      <c r="AQ44" s="191">
        <v>-0.01</v>
      </c>
      <c r="AR44" s="191">
        <v>0.1</v>
      </c>
      <c r="AS44" s="191">
        <v>0.03</v>
      </c>
      <c r="AT44" s="191">
        <f>+AT41</f>
        <v>-7.1047476230758799E-2</v>
      </c>
      <c r="AU44" s="237">
        <f>((AQ44*AL$40)+(AR44*AM$40)+(AS44*AN$40)+(AT44*AO$40))/AP$40</f>
        <v>8.7512371171546786E-3</v>
      </c>
      <c r="AV44" s="191">
        <v>-0.04</v>
      </c>
      <c r="AW44" s="191">
        <v>-0.03</v>
      </c>
      <c r="AX44" s="191">
        <v>0</v>
      </c>
      <c r="AY44" s="191">
        <v>0.12</v>
      </c>
      <c r="AZ44" s="239">
        <f>((AV44*AQ$40)+(AW44*AR$40)+(AX44*AS$40)+(AY44*AT$40))/AU$40</f>
        <v>1.3484332396840788E-2</v>
      </c>
      <c r="BA44" s="191">
        <v>0.11</v>
      </c>
      <c r="BB44" s="191">
        <v>0.03</v>
      </c>
      <c r="BC44" s="191">
        <v>0.12</v>
      </c>
      <c r="BD44" s="929">
        <v>0.03</v>
      </c>
      <c r="BE44" s="239">
        <f>((BA44*AV$40)+(BB44*AW$40)+(BC44*AX$40)+(BD44*AY$40))/AZ$40</f>
        <v>6.9861039963986626E-2</v>
      </c>
      <c r="BF44" s="191">
        <v>0.06</v>
      </c>
      <c r="BG44" s="191">
        <v>0.14000000000000001</v>
      </c>
      <c r="BH44" s="191">
        <v>0.13</v>
      </c>
      <c r="BI44" s="191">
        <v>0.12</v>
      </c>
      <c r="BJ44" s="239">
        <f>((BF44*BA$40)+(BG44*BB$40)+(BH44*BC$40)+(BI44*BD$40))/BE$40</f>
        <v>0.11344282646360246</v>
      </c>
      <c r="BK44" s="191">
        <v>0.18</v>
      </c>
      <c r="BL44" s="191">
        <v>0.12</v>
      </c>
      <c r="BM44" s="929">
        <v>0.08</v>
      </c>
      <c r="BN44" s="929">
        <v>0.13</v>
      </c>
      <c r="BO44" s="239">
        <f>((BK44*BF$40)+(BL44*BG$40)+(BM44*BH$40)+(BN44*BI$40))/BJ$40</f>
        <v>0.12570741189814993</v>
      </c>
      <c r="BP44" s="913"/>
      <c r="BQ44" s="913"/>
      <c r="BR44" s="913"/>
      <c r="BS44" s="913"/>
      <c r="BT44" s="1054">
        <f>BT43/BO40-1</f>
        <v>5.9446361348820309E-2</v>
      </c>
      <c r="BU44" s="913"/>
      <c r="BV44" s="913"/>
      <c r="BW44" s="913"/>
      <c r="BX44" s="913"/>
      <c r="BY44" s="1054">
        <f>BY43/BT43-1</f>
        <v>0.10058592646089126</v>
      </c>
    </row>
    <row r="45" spans="2:77" hidden="1" outlineLevel="2">
      <c r="B45" s="204" t="s">
        <v>194</v>
      </c>
      <c r="C45" s="205"/>
      <c r="D45" s="205"/>
      <c r="E45" s="205"/>
      <c r="F45" s="205"/>
      <c r="G45" s="237"/>
      <c r="H45" s="206"/>
      <c r="I45" s="206"/>
      <c r="J45" s="206"/>
      <c r="K45" s="206"/>
      <c r="L45" s="237"/>
      <c r="M45" s="206"/>
      <c r="N45" s="206"/>
      <c r="O45" s="206"/>
      <c r="P45" s="206"/>
      <c r="Q45" s="237"/>
      <c r="R45" s="206"/>
      <c r="S45" s="206"/>
      <c r="T45" s="206"/>
      <c r="U45" s="206"/>
      <c r="V45" s="237"/>
      <c r="W45" s="206"/>
      <c r="X45" s="206"/>
      <c r="Y45" s="206"/>
      <c r="Z45" s="206"/>
      <c r="AA45" s="237"/>
      <c r="AB45" s="191"/>
      <c r="AC45" s="191"/>
      <c r="AD45" s="191"/>
      <c r="AE45" s="191"/>
      <c r="AF45" s="237"/>
      <c r="AG45" s="191"/>
      <c r="AH45" s="191"/>
      <c r="AI45" s="191"/>
      <c r="AJ45" s="191"/>
      <c r="AK45" s="237"/>
      <c r="AL45" s="191"/>
      <c r="AM45" s="191"/>
      <c r="AN45" s="191"/>
      <c r="AO45" s="207"/>
      <c r="AP45" s="237"/>
      <c r="AQ45" s="191">
        <v>0.01</v>
      </c>
      <c r="AR45" s="191">
        <v>0</v>
      </c>
      <c r="AS45" s="191">
        <v>0</v>
      </c>
      <c r="AT45" s="191">
        <v>0</v>
      </c>
      <c r="AU45" s="237">
        <f t="shared" ref="AU45:AU46" si="33">((AQ45*AL$40)+(AR45*AM$40)+(AS45*AN$40)+(AT45*AO$40))/AP$40</f>
        <v>2.3981272402204671E-3</v>
      </c>
      <c r="AV45" s="191">
        <v>0</v>
      </c>
      <c r="AW45" s="191">
        <v>0</v>
      </c>
      <c r="AX45" s="191">
        <v>-0.06</v>
      </c>
      <c r="AY45" s="191">
        <v>0.09</v>
      </c>
      <c r="AZ45" s="237">
        <f t="shared" ref="AZ45:AZ46" si="34">((AV45*AQ$40)+(AW45*AR$40)+(AX45*AS$40)+(AY45*AT$40))/AU$40</f>
        <v>8.5065015787772567E-3</v>
      </c>
      <c r="BA45" s="191">
        <v>-7.0000000000000007E-2</v>
      </c>
      <c r="BB45" s="191">
        <v>-0.09</v>
      </c>
      <c r="BC45" s="191">
        <v>0</v>
      </c>
      <c r="BD45" s="929">
        <v>0</v>
      </c>
      <c r="BE45" s="237">
        <f>((BA45*AV$40)+(BB45*AW$40)+(BC45*AX$40)+(BD45*AY$40))/AZ$40</f>
        <v>-3.7236632748892044E-2</v>
      </c>
      <c r="BF45" s="191">
        <v>0</v>
      </c>
      <c r="BG45" s="191">
        <v>-0.01</v>
      </c>
      <c r="BH45" s="191">
        <v>-0.01</v>
      </c>
      <c r="BI45" s="191">
        <v>0</v>
      </c>
      <c r="BJ45" s="237">
        <f>((BF45*BA$40)+(BG45*BB$40)+(BH45*BC$40)+(BI45*BD$40))/BE$40</f>
        <v>-4.9740989798053468E-3</v>
      </c>
      <c r="BK45" s="191">
        <v>-7.0000000000000007E-2</v>
      </c>
      <c r="BL45" s="191">
        <v>0</v>
      </c>
      <c r="BM45" s="929">
        <v>-0.04</v>
      </c>
      <c r="BN45" s="929">
        <v>-0.08</v>
      </c>
      <c r="BO45" s="237">
        <f>((BK45*BF$40)+(BL45*BG$40)+(BM45*BH$40)+(BN45*BI$40))/BJ$40</f>
        <v>-4.7334415457425588E-2</v>
      </c>
      <c r="BP45" s="913"/>
      <c r="BQ45" s="913"/>
      <c r="BR45" s="913"/>
      <c r="BS45" s="913"/>
      <c r="BT45" s="263"/>
      <c r="BU45" s="913"/>
      <c r="BV45" s="913"/>
      <c r="BW45" s="913"/>
      <c r="BX45" s="913"/>
      <c r="BY45" s="263"/>
    </row>
    <row r="46" spans="2:77" hidden="1" outlineLevel="2">
      <c r="B46" s="204" t="s">
        <v>195</v>
      </c>
      <c r="C46" s="205"/>
      <c r="D46" s="205"/>
      <c r="E46" s="205"/>
      <c r="F46" s="205"/>
      <c r="G46" s="237"/>
      <c r="H46" s="206"/>
      <c r="I46" s="206"/>
      <c r="J46" s="206"/>
      <c r="K46" s="206"/>
      <c r="L46" s="237"/>
      <c r="M46" s="206"/>
      <c r="N46" s="206"/>
      <c r="O46" s="206"/>
      <c r="P46" s="206"/>
      <c r="Q46" s="237"/>
      <c r="R46" s="206"/>
      <c r="S46" s="206"/>
      <c r="T46" s="206"/>
      <c r="U46" s="206"/>
      <c r="V46" s="237"/>
      <c r="W46" s="206"/>
      <c r="X46" s="206"/>
      <c r="Y46" s="206"/>
      <c r="Z46" s="206"/>
      <c r="AA46" s="237"/>
      <c r="AB46" s="191"/>
      <c r="AC46" s="191"/>
      <c r="AD46" s="191"/>
      <c r="AE46" s="191"/>
      <c r="AF46" s="237"/>
      <c r="AG46" s="191"/>
      <c r="AH46" s="191"/>
      <c r="AI46" s="191"/>
      <c r="AJ46" s="191"/>
      <c r="AK46" s="237"/>
      <c r="AL46" s="191"/>
      <c r="AM46" s="191"/>
      <c r="AN46" s="191"/>
      <c r="AO46" s="207"/>
      <c r="AP46" s="237"/>
      <c r="AQ46" s="191">
        <v>0</v>
      </c>
      <c r="AR46" s="191">
        <v>0.01</v>
      </c>
      <c r="AS46" s="191">
        <v>0.01</v>
      </c>
      <c r="AT46" s="191">
        <v>0</v>
      </c>
      <c r="AU46" s="237">
        <f t="shared" si="33"/>
        <v>4.7932985188829649E-3</v>
      </c>
      <c r="AV46" s="191">
        <v>0</v>
      </c>
      <c r="AW46" s="191">
        <v>0</v>
      </c>
      <c r="AX46" s="191">
        <v>0</v>
      </c>
      <c r="AY46" s="191">
        <v>-0.01</v>
      </c>
      <c r="AZ46" s="237">
        <f t="shared" si="34"/>
        <v>-2.5702162220398962E-3</v>
      </c>
      <c r="BA46" s="191">
        <v>0</v>
      </c>
      <c r="BB46" s="191">
        <v>0</v>
      </c>
      <c r="BC46" s="191">
        <v>0</v>
      </c>
      <c r="BD46" s="929">
        <v>0</v>
      </c>
      <c r="BE46" s="237">
        <f>((BA46*AV$40)+(BB46*AW$40)+(BC46*AX$40)+(BD46*AY$40))/AZ$40</f>
        <v>0</v>
      </c>
      <c r="BF46" s="191">
        <v>0</v>
      </c>
      <c r="BG46" s="191">
        <v>0</v>
      </c>
      <c r="BH46" s="191">
        <v>0</v>
      </c>
      <c r="BI46" s="191">
        <v>0</v>
      </c>
      <c r="BJ46" s="237">
        <f>((BF46*BA$40)+(BG46*BB$40)+(BH46*BC$40)+(BI46*BD$40))/BE$40</f>
        <v>0</v>
      </c>
      <c r="BK46" s="191">
        <v>0.01</v>
      </c>
      <c r="BL46" s="191">
        <v>7.0000000000000007E-2</v>
      </c>
      <c r="BM46" s="929">
        <v>0</v>
      </c>
      <c r="BN46" s="929">
        <v>0</v>
      </c>
      <c r="BO46" s="237">
        <f>((BK46*BF$40)+(BL46*BG$40)+(BM46*BH$40)+(BN46*BI$40))/BJ$40</f>
        <v>1.9898986975397975E-2</v>
      </c>
      <c r="BP46" s="913"/>
      <c r="BQ46" s="913"/>
      <c r="BR46" s="913"/>
      <c r="BS46" s="913"/>
      <c r="BT46" s="263"/>
      <c r="BU46" s="913"/>
      <c r="BV46" s="913"/>
      <c r="BW46" s="913"/>
      <c r="BX46" s="913"/>
      <c r="BY46" s="263"/>
    </row>
    <row r="47" spans="2:77" ht="6" hidden="1" customHeight="1" outlineLevel="2">
      <c r="B47" s="204"/>
      <c r="C47" s="205"/>
      <c r="D47" s="205"/>
      <c r="E47" s="205"/>
      <c r="F47" s="205"/>
      <c r="G47" s="237"/>
      <c r="H47" s="206"/>
      <c r="I47" s="206"/>
      <c r="J47" s="206"/>
      <c r="K47" s="206"/>
      <c r="L47" s="237"/>
      <c r="M47" s="206"/>
      <c r="N47" s="206"/>
      <c r="O47" s="206"/>
      <c r="P47" s="206"/>
      <c r="Q47" s="237"/>
      <c r="R47" s="206"/>
      <c r="S47" s="206"/>
      <c r="T47" s="206"/>
      <c r="U47" s="206"/>
      <c r="V47" s="237"/>
      <c r="W47" s="206"/>
      <c r="X47" s="206"/>
      <c r="Y47" s="206"/>
      <c r="Z47" s="206"/>
      <c r="AA47" s="237"/>
      <c r="AB47" s="191"/>
      <c r="AC47" s="191"/>
      <c r="AD47" s="191"/>
      <c r="AE47" s="191"/>
      <c r="AF47" s="237"/>
      <c r="AG47" s="191"/>
      <c r="AH47" s="191"/>
      <c r="AI47" s="191"/>
      <c r="AJ47" s="191"/>
      <c r="AK47" s="237"/>
      <c r="AL47" s="191"/>
      <c r="AM47" s="191"/>
      <c r="AN47" s="191"/>
      <c r="AO47" s="207"/>
      <c r="AP47" s="237"/>
      <c r="AQ47" s="191"/>
      <c r="AR47" s="191"/>
      <c r="AS47" s="191"/>
      <c r="AT47" s="191"/>
      <c r="AU47" s="237"/>
      <c r="AV47" s="191"/>
      <c r="AW47" s="207"/>
      <c r="AX47" s="207"/>
      <c r="AY47" s="207"/>
      <c r="AZ47" s="237"/>
      <c r="BA47" s="191"/>
      <c r="BB47" s="207"/>
      <c r="BC47" s="207"/>
      <c r="BD47" s="207"/>
      <c r="BE47" s="237"/>
      <c r="BF47" s="191"/>
      <c r="BG47" s="207"/>
      <c r="BH47" s="207"/>
      <c r="BI47" s="207"/>
      <c r="BJ47" s="237"/>
      <c r="BK47" s="191"/>
      <c r="BL47" s="207"/>
      <c r="BM47" s="207"/>
      <c r="BN47" s="207"/>
      <c r="BO47" s="237"/>
      <c r="BP47" s="914"/>
      <c r="BQ47" s="914"/>
      <c r="BR47" s="914"/>
      <c r="BS47" s="914"/>
      <c r="BT47" s="263"/>
      <c r="BU47" s="914"/>
      <c r="BV47" s="914"/>
      <c r="BW47" s="914"/>
      <c r="BX47" s="914"/>
      <c r="BY47" s="263"/>
    </row>
    <row r="48" spans="2:77" hidden="1" outlineLevel="2">
      <c r="B48" s="222" t="s">
        <v>117</v>
      </c>
      <c r="C48" s="205"/>
      <c r="D48" s="205"/>
      <c r="E48" s="205"/>
      <c r="F48" s="205"/>
      <c r="G48" s="237"/>
      <c r="H48" s="206"/>
      <c r="I48" s="206"/>
      <c r="J48" s="206"/>
      <c r="K48" s="206"/>
      <c r="L48" s="237"/>
      <c r="M48" s="206"/>
      <c r="N48" s="206"/>
      <c r="O48" s="206"/>
      <c r="P48" s="206"/>
      <c r="Q48" s="237"/>
      <c r="R48" s="206"/>
      <c r="S48" s="206"/>
      <c r="T48" s="206"/>
      <c r="U48" s="206"/>
      <c r="V48" s="237"/>
      <c r="W48" s="206"/>
      <c r="X48" s="206"/>
      <c r="Y48" s="206"/>
      <c r="Z48" s="206"/>
      <c r="AA48" s="237"/>
      <c r="AB48" s="191"/>
      <c r="AC48" s="191"/>
      <c r="AD48" s="191"/>
      <c r="AE48" s="191"/>
      <c r="AF48" s="238"/>
      <c r="AG48" s="191"/>
      <c r="AH48" s="191"/>
      <c r="AI48" s="191"/>
      <c r="AJ48" s="191"/>
      <c r="AK48" s="238"/>
      <c r="AL48" s="191"/>
      <c r="AM48" s="191"/>
      <c r="AN48" s="191"/>
      <c r="AO48" s="207"/>
      <c r="AP48" s="238">
        <f>+AP40-AP50</f>
        <v>476.10067800000002</v>
      </c>
      <c r="AQ48" s="191"/>
      <c r="AR48" s="191"/>
      <c r="AS48" s="191"/>
      <c r="AT48" s="191"/>
      <c r="AU48" s="238">
        <f>+AU40-AU50</f>
        <v>521.68400000000008</v>
      </c>
      <c r="AV48" s="191"/>
      <c r="AW48" s="207"/>
      <c r="AX48" s="207"/>
      <c r="AY48" s="207"/>
      <c r="AZ48" s="238">
        <f>+AZ40-AZ50</f>
        <v>558.42800000000011</v>
      </c>
      <c r="BA48" s="191"/>
      <c r="BB48" s="207"/>
      <c r="BC48" s="207"/>
      <c r="BD48" s="914"/>
      <c r="BE48" s="238">
        <f>+BE40-BE50</f>
        <v>632.2349999999999</v>
      </c>
      <c r="BF48" s="191"/>
      <c r="BG48" s="207"/>
      <c r="BH48" s="207"/>
      <c r="BI48" s="914"/>
      <c r="BJ48" s="238">
        <f>+BJ40-BJ50</f>
        <v>737.56200000000013</v>
      </c>
      <c r="BK48" s="191"/>
      <c r="BL48" s="207"/>
      <c r="BM48" s="207"/>
      <c r="BN48" s="914"/>
      <c r="BO48" s="238">
        <f>+BO40-BO50</f>
        <v>867.86200000000019</v>
      </c>
      <c r="BP48" s="916"/>
      <c r="BQ48" s="914"/>
      <c r="BR48" s="914"/>
      <c r="BS48" s="915"/>
      <c r="BT48" s="274"/>
      <c r="BU48" s="916"/>
      <c r="BV48" s="914"/>
      <c r="BW48" s="914"/>
      <c r="BX48" s="915"/>
      <c r="BY48" s="274"/>
    </row>
    <row r="49" spans="2:77" hidden="1" outlineLevel="2">
      <c r="B49" s="223" t="s">
        <v>196</v>
      </c>
      <c r="C49" s="205"/>
      <c r="D49" s="205"/>
      <c r="E49" s="205"/>
      <c r="F49" s="205"/>
      <c r="G49" s="237"/>
      <c r="H49" s="206"/>
      <c r="I49" s="206"/>
      <c r="J49" s="206"/>
      <c r="K49" s="206"/>
      <c r="L49" s="237"/>
      <c r="M49" s="206"/>
      <c r="N49" s="206"/>
      <c r="O49" s="206"/>
      <c r="P49" s="206"/>
      <c r="Q49" s="237"/>
      <c r="R49" s="206"/>
      <c r="S49" s="206"/>
      <c r="T49" s="206"/>
      <c r="U49" s="206"/>
      <c r="V49" s="237"/>
      <c r="W49" s="206"/>
      <c r="X49" s="206"/>
      <c r="Y49" s="206"/>
      <c r="Z49" s="206"/>
      <c r="AA49" s="237"/>
      <c r="AB49" s="191"/>
      <c r="AC49" s="191"/>
      <c r="AD49" s="191"/>
      <c r="AE49" s="191"/>
      <c r="AF49" s="237"/>
      <c r="AG49" s="191"/>
      <c r="AH49" s="191"/>
      <c r="AI49" s="191"/>
      <c r="AJ49" s="191"/>
      <c r="AK49" s="237"/>
      <c r="AL49" s="191"/>
      <c r="AM49" s="191"/>
      <c r="AN49" s="191"/>
      <c r="AO49" s="207"/>
      <c r="AP49" s="237"/>
      <c r="AQ49" s="191"/>
      <c r="AR49" s="191"/>
      <c r="AS49" s="191"/>
      <c r="AT49" s="191"/>
      <c r="AU49" s="237">
        <f>+AU48/AP48-1</f>
        <v>9.5743031056973349E-2</v>
      </c>
      <c r="AV49" s="191"/>
      <c r="AW49" s="207"/>
      <c r="AX49" s="207"/>
      <c r="AY49" s="207"/>
      <c r="AZ49" s="237">
        <f>+AZ48/AU48-1</f>
        <v>7.0433442467087382E-2</v>
      </c>
      <c r="BA49" s="191"/>
      <c r="BB49" s="207"/>
      <c r="BC49" s="207"/>
      <c r="BD49" s="207"/>
      <c r="BE49" s="237">
        <f>+BE48/AZ48-1</f>
        <v>0.13216923220182331</v>
      </c>
      <c r="BF49" s="191"/>
      <c r="BG49" s="207"/>
      <c r="BH49" s="207"/>
      <c r="BI49" s="207"/>
      <c r="BJ49" s="237">
        <f>+BJ48/BE48-1</f>
        <v>0.16659469975562913</v>
      </c>
      <c r="BK49" s="191"/>
      <c r="BL49" s="207"/>
      <c r="BM49" s="207"/>
      <c r="BN49" s="207"/>
      <c r="BO49" s="237">
        <f>+BO48/BJ48-1</f>
        <v>0.17666311442292315</v>
      </c>
      <c r="BP49" s="915"/>
      <c r="BQ49" s="914"/>
      <c r="BR49" s="914"/>
      <c r="BS49" s="914"/>
      <c r="BT49" s="263"/>
      <c r="BU49" s="915"/>
      <c r="BV49" s="914"/>
      <c r="BW49" s="914"/>
      <c r="BX49" s="914"/>
      <c r="BY49" s="263"/>
    </row>
    <row r="50" spans="2:77" hidden="1" outlineLevel="2">
      <c r="B50" s="222" t="s">
        <v>221</v>
      </c>
      <c r="C50" s="205"/>
      <c r="D50" s="205"/>
      <c r="E50" s="205"/>
      <c r="F50" s="205"/>
      <c r="G50" s="237"/>
      <c r="H50" s="206"/>
      <c r="I50" s="206"/>
      <c r="J50" s="206"/>
      <c r="K50" s="206"/>
      <c r="L50" s="237"/>
      <c r="M50" s="206"/>
      <c r="N50" s="206"/>
      <c r="O50" s="206"/>
      <c r="P50" s="206"/>
      <c r="Q50" s="237"/>
      <c r="R50" s="206"/>
      <c r="S50" s="206"/>
      <c r="T50" s="206"/>
      <c r="U50" s="206"/>
      <c r="V50" s="237"/>
      <c r="W50" s="206"/>
      <c r="X50" s="206"/>
      <c r="Y50" s="206"/>
      <c r="Z50" s="206"/>
      <c r="AA50" s="237"/>
      <c r="AB50" s="191"/>
      <c r="AC50" s="191"/>
      <c r="AD50" s="191"/>
      <c r="AE50" s="191"/>
      <c r="AF50" s="238"/>
      <c r="AG50" s="191"/>
      <c r="AH50" s="191"/>
      <c r="AI50" s="191"/>
      <c r="AJ50" s="191"/>
      <c r="AK50" s="238"/>
      <c r="AL50" s="191"/>
      <c r="AM50" s="191"/>
      <c r="AN50" s="191"/>
      <c r="AO50" s="207"/>
      <c r="AP50" s="238">
        <v>474.84199999999998</v>
      </c>
      <c r="AQ50" s="191"/>
      <c r="AR50" s="191"/>
      <c r="AS50" s="191"/>
      <c r="AT50" s="191"/>
      <c r="AU50" s="238">
        <v>443.62</v>
      </c>
      <c r="AV50" s="191"/>
      <c r="AW50" s="207"/>
      <c r="AX50" s="207"/>
      <c r="AY50" s="207"/>
      <c r="AZ50" s="238">
        <v>472.3</v>
      </c>
      <c r="BA50" s="191"/>
      <c r="BB50" s="207"/>
      <c r="BC50" s="207"/>
      <c r="BD50" s="914"/>
      <c r="BE50" s="238">
        <v>509.99799999999999</v>
      </c>
      <c r="BF50" s="191"/>
      <c r="BG50" s="207"/>
      <c r="BH50" s="207"/>
      <c r="BI50" s="914"/>
      <c r="BJ50" s="238">
        <v>540.78800000000001</v>
      </c>
      <c r="BK50" s="191"/>
      <c r="BL50" s="207"/>
      <c r="BM50" s="207"/>
      <c r="BN50" s="914"/>
      <c r="BO50" s="238">
        <v>635.14</v>
      </c>
      <c r="BP50" s="914"/>
      <c r="BQ50" s="914"/>
      <c r="BR50" s="914"/>
      <c r="BS50" s="915"/>
      <c r="BT50" s="274"/>
      <c r="BU50" s="914"/>
      <c r="BV50" s="914"/>
      <c r="BW50" s="914"/>
      <c r="BX50" s="915"/>
      <c r="BY50" s="274"/>
    </row>
    <row r="51" spans="2:77" hidden="1" outlineLevel="2">
      <c r="B51" s="223" t="s">
        <v>196</v>
      </c>
      <c r="C51" s="205"/>
      <c r="D51" s="205"/>
      <c r="E51" s="205"/>
      <c r="F51" s="205"/>
      <c r="G51" s="237"/>
      <c r="H51" s="206"/>
      <c r="I51" s="206"/>
      <c r="J51" s="206"/>
      <c r="K51" s="206"/>
      <c r="L51" s="237"/>
      <c r="M51" s="206"/>
      <c r="N51" s="206"/>
      <c r="O51" s="206"/>
      <c r="P51" s="206"/>
      <c r="Q51" s="237"/>
      <c r="R51" s="206"/>
      <c r="S51" s="206"/>
      <c r="T51" s="206"/>
      <c r="U51" s="206"/>
      <c r="V51" s="237"/>
      <c r="W51" s="206"/>
      <c r="X51" s="206"/>
      <c r="Y51" s="206"/>
      <c r="Z51" s="206"/>
      <c r="AA51" s="237"/>
      <c r="AB51" s="191"/>
      <c r="AC51" s="191"/>
      <c r="AD51" s="191"/>
      <c r="AE51" s="191"/>
      <c r="AF51" s="237"/>
      <c r="AG51" s="191"/>
      <c r="AH51" s="191"/>
      <c r="AI51" s="191"/>
      <c r="AJ51" s="191"/>
      <c r="AK51" s="237"/>
      <c r="AL51" s="191"/>
      <c r="AM51" s="191"/>
      <c r="AN51" s="191"/>
      <c r="AO51" s="207"/>
      <c r="AP51" s="237"/>
      <c r="AQ51" s="191"/>
      <c r="AR51" s="191"/>
      <c r="AS51" s="191"/>
      <c r="AT51" s="191"/>
      <c r="AU51" s="237">
        <f>+AU50/AP50-1</f>
        <v>-6.5752397639635918E-2</v>
      </c>
      <c r="AV51" s="191"/>
      <c r="AW51" s="207"/>
      <c r="AX51" s="207"/>
      <c r="AY51" s="207"/>
      <c r="AZ51" s="237">
        <f>+AZ50/AU50-1</f>
        <v>6.4649925612010328E-2</v>
      </c>
      <c r="BA51" s="191"/>
      <c r="BB51" s="207"/>
      <c r="BC51" s="207"/>
      <c r="BD51" s="207"/>
      <c r="BE51" s="237">
        <f>+BE50/AZ50-1</f>
        <v>7.9817912343849162E-2</v>
      </c>
      <c r="BF51" s="191"/>
      <c r="BG51" s="207"/>
      <c r="BH51" s="207"/>
      <c r="BI51" s="207"/>
      <c r="BJ51" s="237">
        <f>+BJ50/BE50-1</f>
        <v>6.0372785775630433E-2</v>
      </c>
      <c r="BK51" s="191"/>
      <c r="BL51" s="207"/>
      <c r="BM51" s="207"/>
      <c r="BN51" s="207"/>
      <c r="BO51" s="237">
        <f>+BO50/BJ50-1</f>
        <v>0.17447132702648727</v>
      </c>
      <c r="BP51" s="914"/>
      <c r="BQ51" s="914"/>
      <c r="BR51" s="914"/>
      <c r="BS51" s="914"/>
      <c r="BT51" s="263"/>
      <c r="BU51" s="914"/>
      <c r="BV51" s="914"/>
      <c r="BW51" s="914"/>
      <c r="BX51" s="914"/>
      <c r="BY51" s="263"/>
    </row>
    <row r="52" spans="2:77" ht="5.0999999999999996" hidden="1" customHeight="1" outlineLevel="2">
      <c r="B52" s="226"/>
      <c r="C52" s="205"/>
      <c r="D52" s="205"/>
      <c r="E52" s="205"/>
      <c r="F52" s="205"/>
      <c r="G52" s="237"/>
      <c r="H52" s="206"/>
      <c r="I52" s="206"/>
      <c r="J52" s="206"/>
      <c r="K52" s="206"/>
      <c r="L52" s="237"/>
      <c r="M52" s="206"/>
      <c r="N52" s="206"/>
      <c r="O52" s="206"/>
      <c r="P52" s="206"/>
      <c r="Q52" s="237"/>
      <c r="R52" s="206"/>
      <c r="S52" s="206"/>
      <c r="T52" s="206"/>
      <c r="U52" s="206"/>
      <c r="V52" s="237"/>
      <c r="W52" s="206"/>
      <c r="X52" s="206"/>
      <c r="Y52" s="206"/>
      <c r="Z52" s="206"/>
      <c r="AA52" s="237"/>
      <c r="AB52" s="191"/>
      <c r="AC52" s="191"/>
      <c r="AD52" s="191"/>
      <c r="AE52" s="191"/>
      <c r="AF52" s="237"/>
      <c r="AG52" s="191"/>
      <c r="AH52" s="191"/>
      <c r="AI52" s="191"/>
      <c r="AJ52" s="191"/>
      <c r="AK52" s="237"/>
      <c r="AL52" s="191"/>
      <c r="AM52" s="191"/>
      <c r="AN52" s="191"/>
      <c r="AO52" s="207"/>
      <c r="AP52" s="237"/>
      <c r="AQ52" s="191"/>
      <c r="AR52" s="191"/>
      <c r="AS52" s="191"/>
      <c r="AT52" s="191"/>
      <c r="AU52" s="237"/>
      <c r="AV52" s="191"/>
      <c r="AW52" s="207"/>
      <c r="AX52" s="207"/>
      <c r="AY52" s="207"/>
      <c r="AZ52" s="237"/>
      <c r="BA52" s="191"/>
      <c r="BB52" s="207"/>
      <c r="BC52" s="207"/>
      <c r="BD52" s="207"/>
      <c r="BE52" s="237"/>
      <c r="BF52" s="191"/>
      <c r="BG52" s="207"/>
      <c r="BH52" s="207"/>
      <c r="BI52" s="207"/>
      <c r="BJ52" s="237"/>
      <c r="BK52" s="191"/>
      <c r="BL52" s="207"/>
      <c r="BM52" s="207"/>
      <c r="BN52" s="207"/>
      <c r="BO52" s="237"/>
      <c r="BP52" s="914"/>
      <c r="BQ52" s="914"/>
      <c r="BR52" s="914"/>
      <c r="BS52" s="914"/>
      <c r="BT52" s="263"/>
      <c r="BU52" s="914"/>
      <c r="BV52" s="914"/>
      <c r="BW52" s="914"/>
      <c r="BX52" s="914"/>
      <c r="BY52" s="263"/>
    </row>
    <row r="53" spans="2:77" hidden="1" outlineLevel="2">
      <c r="B53" s="225" t="s">
        <v>222</v>
      </c>
      <c r="C53" s="205"/>
      <c r="D53" s="205"/>
      <c r="E53" s="205"/>
      <c r="F53" s="205"/>
      <c r="G53" s="237"/>
      <c r="H53" s="206"/>
      <c r="I53" s="206"/>
      <c r="J53" s="206"/>
      <c r="K53" s="206"/>
      <c r="L53" s="237"/>
      <c r="M53" s="206"/>
      <c r="N53" s="206"/>
      <c r="O53" s="206"/>
      <c r="P53" s="206"/>
      <c r="Q53" s="237"/>
      <c r="R53" s="206"/>
      <c r="S53" s="206"/>
      <c r="T53" s="206"/>
      <c r="U53" s="206"/>
      <c r="V53" s="237"/>
      <c r="W53" s="206"/>
      <c r="X53" s="206"/>
      <c r="Y53" s="206"/>
      <c r="Z53" s="206"/>
      <c r="AA53" s="237"/>
      <c r="AB53" s="191"/>
      <c r="AC53" s="191"/>
      <c r="AD53" s="191"/>
      <c r="AE53" s="191"/>
      <c r="AF53" s="238"/>
      <c r="AG53" s="191"/>
      <c r="AH53" s="191"/>
      <c r="AI53" s="191"/>
      <c r="AJ53" s="191"/>
      <c r="AK53" s="238"/>
      <c r="AL53" s="191"/>
      <c r="AM53" s="191"/>
      <c r="AN53" s="191"/>
      <c r="AO53" s="207"/>
      <c r="AP53" s="238"/>
      <c r="AQ53" s="191"/>
      <c r="AR53" s="191"/>
      <c r="AS53" s="191"/>
      <c r="AT53" s="191"/>
      <c r="AU53" s="238">
        <f>0.4*AU50</f>
        <v>177.44800000000001</v>
      </c>
      <c r="AV53" s="191"/>
      <c r="AW53" s="207"/>
      <c r="AX53" s="207"/>
      <c r="AY53" s="207"/>
      <c r="AZ53" s="238">
        <f>+AZ50-AZ55</f>
        <v>188.92000000000002</v>
      </c>
      <c r="BA53" s="191"/>
      <c r="BB53" s="207"/>
      <c r="BC53" s="207"/>
      <c r="BD53" s="207"/>
      <c r="BE53" s="238">
        <f>+BE50-BE55</f>
        <v>203.99920000000003</v>
      </c>
      <c r="BF53" s="191"/>
      <c r="BG53" s="207"/>
      <c r="BH53" s="207"/>
      <c r="BI53" s="207"/>
      <c r="BJ53" s="238">
        <f>+BJ50-BJ55</f>
        <v>216.3152</v>
      </c>
      <c r="BK53" s="191"/>
      <c r="BL53" s="207"/>
      <c r="BM53" s="207"/>
      <c r="BN53" s="207"/>
      <c r="BO53" s="238">
        <f>+BO50-BO55</f>
        <v>222.29899999999998</v>
      </c>
      <c r="BP53" s="914"/>
      <c r="BQ53" s="914"/>
      <c r="BR53" s="914"/>
      <c r="BS53" s="914"/>
      <c r="BT53" s="274"/>
      <c r="BU53" s="914"/>
      <c r="BV53" s="914"/>
      <c r="BW53" s="914"/>
      <c r="BX53" s="914"/>
      <c r="BY53" s="274"/>
    </row>
    <row r="54" spans="2:77" hidden="1" outlineLevel="2">
      <c r="B54" s="226" t="s">
        <v>196</v>
      </c>
      <c r="C54" s="205"/>
      <c r="D54" s="205"/>
      <c r="E54" s="205"/>
      <c r="F54" s="205"/>
      <c r="G54" s="237"/>
      <c r="H54" s="206"/>
      <c r="I54" s="206"/>
      <c r="J54" s="206"/>
      <c r="K54" s="206"/>
      <c r="L54" s="237"/>
      <c r="M54" s="206"/>
      <c r="N54" s="206"/>
      <c r="O54" s="206"/>
      <c r="P54" s="206"/>
      <c r="Q54" s="237"/>
      <c r="R54" s="206"/>
      <c r="S54" s="206"/>
      <c r="T54" s="206"/>
      <c r="U54" s="206"/>
      <c r="V54" s="237"/>
      <c r="W54" s="206"/>
      <c r="X54" s="206"/>
      <c r="Y54" s="206"/>
      <c r="Z54" s="206"/>
      <c r="AA54" s="237"/>
      <c r="AB54" s="191"/>
      <c r="AC54" s="191"/>
      <c r="AD54" s="191"/>
      <c r="AE54" s="191"/>
      <c r="AF54" s="237"/>
      <c r="AG54" s="191"/>
      <c r="AH54" s="191"/>
      <c r="AI54" s="191"/>
      <c r="AJ54" s="191"/>
      <c r="AK54" s="237"/>
      <c r="AL54" s="191"/>
      <c r="AM54" s="191"/>
      <c r="AN54" s="191"/>
      <c r="AO54" s="207"/>
      <c r="AP54" s="237"/>
      <c r="AQ54" s="191"/>
      <c r="AR54" s="191"/>
      <c r="AS54" s="191"/>
      <c r="AT54" s="191"/>
      <c r="AU54" s="237"/>
      <c r="AV54" s="191"/>
      <c r="AW54" s="207"/>
      <c r="AX54" s="207"/>
      <c r="AY54" s="207"/>
      <c r="AZ54" s="237">
        <f>+AZ53/AU53-1</f>
        <v>6.4649925612010328E-2</v>
      </c>
      <c r="BA54" s="191"/>
      <c r="BB54" s="207"/>
      <c r="BC54" s="207"/>
      <c r="BD54" s="207"/>
      <c r="BE54" s="237">
        <f>+BE53/AZ53-1</f>
        <v>7.9817912343849384E-2</v>
      </c>
      <c r="BF54" s="191"/>
      <c r="BG54" s="207"/>
      <c r="BH54" s="207"/>
      <c r="BI54" s="207"/>
      <c r="BJ54" s="237">
        <f>+BJ53/BE53-1</f>
        <v>6.0372785775630433E-2</v>
      </c>
      <c r="BK54" s="191"/>
      <c r="BL54" s="207"/>
      <c r="BM54" s="207"/>
      <c r="BN54" s="207"/>
      <c r="BO54" s="237">
        <f>+BO53/BJ53-1</f>
        <v>2.7662411148176247E-2</v>
      </c>
      <c r="BP54" s="914"/>
      <c r="BQ54" s="914"/>
      <c r="BR54" s="914"/>
      <c r="BS54" s="914"/>
      <c r="BT54" s="275"/>
      <c r="BU54" s="914"/>
      <c r="BV54" s="914"/>
      <c r="BW54" s="914"/>
      <c r="BX54" s="914"/>
      <c r="BY54" s="275"/>
    </row>
    <row r="55" spans="2:77" hidden="1" outlineLevel="2">
      <c r="B55" s="225" t="s">
        <v>223</v>
      </c>
      <c r="C55" s="205"/>
      <c r="D55" s="205"/>
      <c r="E55" s="205"/>
      <c r="F55" s="205"/>
      <c r="G55" s="237"/>
      <c r="H55" s="206"/>
      <c r="I55" s="206"/>
      <c r="J55" s="206"/>
      <c r="K55" s="206"/>
      <c r="L55" s="237"/>
      <c r="M55" s="206"/>
      <c r="N55" s="206"/>
      <c r="O55" s="206"/>
      <c r="P55" s="206"/>
      <c r="Q55" s="237"/>
      <c r="R55" s="206"/>
      <c r="S55" s="206"/>
      <c r="T55" s="206"/>
      <c r="U55" s="206"/>
      <c r="V55" s="237"/>
      <c r="W55" s="206"/>
      <c r="X55" s="206"/>
      <c r="Y55" s="206"/>
      <c r="Z55" s="206"/>
      <c r="AA55" s="237"/>
      <c r="AB55" s="191"/>
      <c r="AC55" s="191"/>
      <c r="AD55" s="191"/>
      <c r="AE55" s="191"/>
      <c r="AF55" s="238"/>
      <c r="AG55" s="191"/>
      <c r="AH55" s="191"/>
      <c r="AI55" s="191"/>
      <c r="AJ55" s="191"/>
      <c r="AK55" s="238"/>
      <c r="AL55" s="191"/>
      <c r="AM55" s="191"/>
      <c r="AN55" s="191"/>
      <c r="AO55" s="207"/>
      <c r="AP55" s="238"/>
      <c r="AQ55" s="191"/>
      <c r="AR55" s="191"/>
      <c r="AS55" s="191"/>
      <c r="AT55" s="191"/>
      <c r="AU55" s="238">
        <f>0.6*CW_Drivers!BN57</f>
        <v>266.17139999999995</v>
      </c>
      <c r="AV55" s="191"/>
      <c r="AW55" s="207"/>
      <c r="AX55" s="207"/>
      <c r="AY55" s="207"/>
      <c r="AZ55" s="238">
        <f>0.6*CW_Drivers!BS57</f>
        <v>283.38</v>
      </c>
      <c r="BA55" s="191"/>
      <c r="BB55" s="207"/>
      <c r="BC55" s="207"/>
      <c r="BD55" s="207"/>
      <c r="BE55" s="238">
        <f>0.6*CW_Drivers!BX57</f>
        <v>305.99879999999996</v>
      </c>
      <c r="BF55" s="191"/>
      <c r="BG55" s="207"/>
      <c r="BH55" s="207"/>
      <c r="BI55" s="207"/>
      <c r="BJ55" s="238">
        <f>0.6*CW_Drivers!CC57</f>
        <v>324.47280000000001</v>
      </c>
      <c r="BK55" s="191"/>
      <c r="BL55" s="207"/>
      <c r="BM55" s="207"/>
      <c r="BN55" s="207"/>
      <c r="BO55" s="238">
        <f>0.65*CW_Drivers!CH57</f>
        <v>412.84100000000001</v>
      </c>
      <c r="BP55" s="914"/>
      <c r="BQ55" s="914"/>
      <c r="BR55" s="914"/>
      <c r="BS55" s="914"/>
      <c r="BT55" s="274"/>
      <c r="BU55" s="914"/>
      <c r="BV55" s="914"/>
      <c r="BW55" s="914"/>
      <c r="BX55" s="914"/>
      <c r="BY55" s="274"/>
    </row>
    <row r="56" spans="2:77" hidden="1" outlineLevel="2">
      <c r="B56" s="226" t="s">
        <v>196</v>
      </c>
      <c r="C56" s="205"/>
      <c r="D56" s="205"/>
      <c r="E56" s="205"/>
      <c r="F56" s="205"/>
      <c r="G56" s="237"/>
      <c r="H56" s="206"/>
      <c r="I56" s="206"/>
      <c r="J56" s="206"/>
      <c r="K56" s="206"/>
      <c r="L56" s="237"/>
      <c r="M56" s="206"/>
      <c r="N56" s="206"/>
      <c r="O56" s="206"/>
      <c r="P56" s="206"/>
      <c r="Q56" s="237"/>
      <c r="R56" s="206"/>
      <c r="S56" s="206"/>
      <c r="T56" s="206"/>
      <c r="U56" s="206"/>
      <c r="V56" s="237"/>
      <c r="W56" s="206"/>
      <c r="X56" s="206"/>
      <c r="Y56" s="206"/>
      <c r="Z56" s="206"/>
      <c r="AA56" s="237"/>
      <c r="AB56" s="191"/>
      <c r="AC56" s="191"/>
      <c r="AD56" s="191"/>
      <c r="AE56" s="191"/>
      <c r="AF56" s="237"/>
      <c r="AG56" s="191"/>
      <c r="AH56" s="191"/>
      <c r="AI56" s="191"/>
      <c r="AJ56" s="191"/>
      <c r="AK56" s="237"/>
      <c r="AL56" s="191"/>
      <c r="AM56" s="191"/>
      <c r="AN56" s="191"/>
      <c r="AO56" s="207"/>
      <c r="AP56" s="237"/>
      <c r="AQ56" s="191"/>
      <c r="AR56" s="191"/>
      <c r="AS56" s="191"/>
      <c r="AT56" s="191"/>
      <c r="AU56" s="237"/>
      <c r="AV56" s="191"/>
      <c r="AW56" s="207"/>
      <c r="AX56" s="207"/>
      <c r="AY56" s="207"/>
      <c r="AZ56" s="237">
        <f>+AZ55/AU55-1</f>
        <v>6.4652325531593835E-2</v>
      </c>
      <c r="BA56" s="191"/>
      <c r="BB56" s="207"/>
      <c r="BC56" s="207"/>
      <c r="BD56" s="207"/>
      <c r="BE56" s="237">
        <f>+BE55/AZ55-1</f>
        <v>7.9817912343849162E-2</v>
      </c>
      <c r="BF56" s="191"/>
      <c r="BG56" s="207"/>
      <c r="BH56" s="207"/>
      <c r="BI56" s="207"/>
      <c r="BJ56" s="237">
        <f>+BJ55/BE55-1</f>
        <v>6.0372785775630655E-2</v>
      </c>
      <c r="BK56" s="191"/>
      <c r="BL56" s="207"/>
      <c r="BM56" s="207"/>
      <c r="BN56" s="207"/>
      <c r="BO56" s="237">
        <f>+BO55/BJ55-1</f>
        <v>0.2723439376120278</v>
      </c>
      <c r="BP56" s="914"/>
      <c r="BQ56" s="914"/>
      <c r="BR56" s="914"/>
      <c r="BS56" s="914"/>
      <c r="BT56" s="263"/>
      <c r="BU56" s="914"/>
      <c r="BV56" s="914"/>
      <c r="BW56" s="914"/>
      <c r="BX56" s="914"/>
      <c r="BY56" s="263"/>
    </row>
    <row r="57" spans="2:77" ht="5.0999999999999996" hidden="1" customHeight="1" outlineLevel="2">
      <c r="B57" s="226"/>
      <c r="C57" s="205"/>
      <c r="D57" s="205"/>
      <c r="E57" s="205"/>
      <c r="F57" s="205"/>
      <c r="G57" s="237"/>
      <c r="H57" s="206"/>
      <c r="I57" s="206"/>
      <c r="J57" s="206"/>
      <c r="K57" s="206"/>
      <c r="L57" s="237"/>
      <c r="M57" s="206"/>
      <c r="N57" s="206"/>
      <c r="O57" s="206"/>
      <c r="P57" s="206"/>
      <c r="Q57" s="237"/>
      <c r="R57" s="206"/>
      <c r="S57" s="206"/>
      <c r="T57" s="206"/>
      <c r="U57" s="206"/>
      <c r="V57" s="237"/>
      <c r="W57" s="206"/>
      <c r="X57" s="206"/>
      <c r="Y57" s="206"/>
      <c r="Z57" s="206"/>
      <c r="AA57" s="237"/>
      <c r="AB57" s="191"/>
      <c r="AC57" s="191"/>
      <c r="AD57" s="191"/>
      <c r="AE57" s="191"/>
      <c r="AF57" s="237"/>
      <c r="AG57" s="191"/>
      <c r="AH57" s="191"/>
      <c r="AI57" s="191"/>
      <c r="AJ57" s="191"/>
      <c r="AK57" s="237"/>
      <c r="AL57" s="191"/>
      <c r="AM57" s="191"/>
      <c r="AN57" s="191"/>
      <c r="AO57" s="207"/>
      <c r="AP57" s="237"/>
      <c r="AQ57" s="191"/>
      <c r="AR57" s="191"/>
      <c r="AS57" s="191"/>
      <c r="AT57" s="191"/>
      <c r="AU57" s="237"/>
      <c r="AV57" s="191"/>
      <c r="AW57" s="207"/>
      <c r="AX57" s="207"/>
      <c r="AY57" s="207"/>
      <c r="AZ57" s="237"/>
      <c r="BA57" s="191"/>
      <c r="BB57" s="207"/>
      <c r="BC57" s="207"/>
      <c r="BD57" s="207"/>
      <c r="BE57" s="237"/>
      <c r="BF57" s="191"/>
      <c r="BG57" s="207"/>
      <c r="BH57" s="207"/>
      <c r="BI57" s="207"/>
      <c r="BJ57" s="237"/>
      <c r="BK57" s="191"/>
      <c r="BL57" s="207"/>
      <c r="BM57" s="207"/>
      <c r="BN57" s="207"/>
      <c r="BO57" s="237"/>
      <c r="BP57" s="914"/>
      <c r="BQ57" s="914"/>
      <c r="BR57" s="914"/>
      <c r="BS57" s="914"/>
      <c r="BT57" s="237"/>
      <c r="BU57" s="914"/>
      <c r="BV57" s="914"/>
      <c r="BW57" s="914"/>
      <c r="BX57" s="914"/>
      <c r="BY57" s="237"/>
    </row>
    <row r="58" spans="2:77" hidden="1" outlineLevel="2">
      <c r="B58" s="227" t="s">
        <v>224</v>
      </c>
      <c r="C58" s="205"/>
      <c r="D58" s="205"/>
      <c r="E58" s="205"/>
      <c r="F58" s="205"/>
      <c r="G58" s="237"/>
      <c r="H58" s="206"/>
      <c r="I58" s="206"/>
      <c r="J58" s="206"/>
      <c r="K58" s="206"/>
      <c r="L58" s="237"/>
      <c r="M58" s="206"/>
      <c r="N58" s="206"/>
      <c r="O58" s="206"/>
      <c r="P58" s="206"/>
      <c r="Q58" s="237"/>
      <c r="R58" s="206"/>
      <c r="S58" s="206"/>
      <c r="T58" s="206"/>
      <c r="U58" s="206"/>
      <c r="V58" s="237"/>
      <c r="W58" s="206"/>
      <c r="X58" s="206"/>
      <c r="Y58" s="206"/>
      <c r="Z58" s="206"/>
      <c r="AA58" s="237"/>
      <c r="AB58" s="191"/>
      <c r="AC58" s="191"/>
      <c r="AD58" s="191"/>
      <c r="AE58" s="191"/>
      <c r="AF58" s="238"/>
      <c r="AG58" s="191"/>
      <c r="AH58" s="191"/>
      <c r="AI58" s="191"/>
      <c r="AJ58" s="191"/>
      <c r="AK58" s="238"/>
      <c r="AL58" s="191"/>
      <c r="AM58" s="191"/>
      <c r="AN58" s="191"/>
      <c r="AO58" s="207"/>
      <c r="AP58" s="238"/>
      <c r="AQ58" s="191"/>
      <c r="AR58" s="191"/>
      <c r="AS58" s="191"/>
      <c r="AT58" s="191"/>
      <c r="AU58" s="238">
        <f>AU55*0.1</f>
        <v>26.617139999999996</v>
      </c>
      <c r="AV58" s="232"/>
      <c r="AW58" s="207"/>
      <c r="AX58" s="207"/>
      <c r="AY58" s="207"/>
      <c r="AZ58" s="238">
        <f>AZ55*0.1</f>
        <v>28.338000000000001</v>
      </c>
      <c r="BA58" s="232"/>
      <c r="BB58" s="207"/>
      <c r="BC58" s="207"/>
      <c r="BD58" s="207"/>
      <c r="BE58" s="238">
        <f>BE55*0.1</f>
        <v>30.599879999999999</v>
      </c>
      <c r="BF58" s="232"/>
      <c r="BG58" s="207"/>
      <c r="BH58" s="207"/>
      <c r="BI58" s="207"/>
      <c r="BJ58" s="238">
        <f>BJ55*0.1</f>
        <v>32.447279999999999</v>
      </c>
      <c r="BK58" s="232"/>
      <c r="BL58" s="207"/>
      <c r="BM58" s="207"/>
      <c r="BN58" s="207"/>
      <c r="BO58" s="238">
        <f>BO55*0.1</f>
        <v>41.284100000000002</v>
      </c>
      <c r="BP58" s="914"/>
      <c r="BQ58" s="914"/>
      <c r="BR58" s="914"/>
      <c r="BS58" s="914"/>
      <c r="BT58" s="274"/>
      <c r="BU58" s="914"/>
      <c r="BV58" s="914"/>
      <c r="BW58" s="914"/>
      <c r="BX58" s="914"/>
      <c r="BY58" s="274"/>
    </row>
    <row r="59" spans="2:77" hidden="1" outlineLevel="2">
      <c r="B59" s="228" t="s">
        <v>196</v>
      </c>
      <c r="C59" s="205"/>
      <c r="D59" s="205"/>
      <c r="E59" s="205"/>
      <c r="F59" s="205"/>
      <c r="G59" s="237"/>
      <c r="H59" s="206"/>
      <c r="I59" s="206"/>
      <c r="J59" s="206"/>
      <c r="K59" s="206"/>
      <c r="L59" s="237"/>
      <c r="M59" s="206"/>
      <c r="N59" s="206"/>
      <c r="O59" s="206"/>
      <c r="P59" s="206"/>
      <c r="Q59" s="237"/>
      <c r="R59" s="206"/>
      <c r="S59" s="206"/>
      <c r="T59" s="206"/>
      <c r="U59" s="206"/>
      <c r="V59" s="237"/>
      <c r="W59" s="206"/>
      <c r="X59" s="206"/>
      <c r="Y59" s="206"/>
      <c r="Z59" s="206"/>
      <c r="AA59" s="237"/>
      <c r="AB59" s="191"/>
      <c r="AC59" s="191"/>
      <c r="AD59" s="191"/>
      <c r="AE59" s="191"/>
      <c r="AF59" s="237"/>
      <c r="AG59" s="191"/>
      <c r="AH59" s="191"/>
      <c r="AI59" s="191"/>
      <c r="AJ59" s="191"/>
      <c r="AK59" s="237"/>
      <c r="AL59" s="191"/>
      <c r="AM59" s="191"/>
      <c r="AN59" s="191"/>
      <c r="AO59" s="207"/>
      <c r="AP59" s="237"/>
      <c r="AQ59" s="191"/>
      <c r="AR59" s="191"/>
      <c r="AS59" s="191"/>
      <c r="AT59" s="191"/>
      <c r="AU59" s="237"/>
      <c r="AV59" s="191"/>
      <c r="AW59" s="207"/>
      <c r="AX59" s="207"/>
      <c r="AY59" s="207"/>
      <c r="AZ59" s="237">
        <f>+AZ58/AU58-1</f>
        <v>6.4652325531593835E-2</v>
      </c>
      <c r="BA59" s="191"/>
      <c r="BB59" s="207"/>
      <c r="BC59" s="207"/>
      <c r="BD59" s="207"/>
      <c r="BE59" s="237">
        <f>+BE58/AZ58-1</f>
        <v>7.9817912343849162E-2</v>
      </c>
      <c r="BF59" s="191"/>
      <c r="BG59" s="207"/>
      <c r="BH59" s="207"/>
      <c r="BI59" s="207"/>
      <c r="BJ59" s="237">
        <f>+BJ58/BE58-1</f>
        <v>6.0372785775630433E-2</v>
      </c>
      <c r="BK59" s="191"/>
      <c r="BL59" s="207"/>
      <c r="BM59" s="207"/>
      <c r="BN59" s="207"/>
      <c r="BO59" s="237">
        <f>+BO58/BJ58-1</f>
        <v>0.27234393761202802</v>
      </c>
      <c r="BP59" s="914"/>
      <c r="BQ59" s="914"/>
      <c r="BR59" s="914"/>
      <c r="BS59" s="914"/>
      <c r="BT59" s="263"/>
      <c r="BU59" s="914"/>
      <c r="BV59" s="914"/>
      <c r="BW59" s="914"/>
      <c r="BX59" s="914"/>
      <c r="BY59" s="263"/>
    </row>
    <row r="60" spans="2:77" hidden="1" outlineLevel="2">
      <c r="B60" s="227" t="s">
        <v>225</v>
      </c>
      <c r="C60" s="205"/>
      <c r="D60" s="205"/>
      <c r="E60" s="205"/>
      <c r="F60" s="205"/>
      <c r="G60" s="237"/>
      <c r="H60" s="206"/>
      <c r="I60" s="206"/>
      <c r="J60" s="206"/>
      <c r="K60" s="206"/>
      <c r="L60" s="237"/>
      <c r="M60" s="206"/>
      <c r="N60" s="206"/>
      <c r="O60" s="206"/>
      <c r="P60" s="206"/>
      <c r="Q60" s="237"/>
      <c r="R60" s="206"/>
      <c r="S60" s="206"/>
      <c r="T60" s="206"/>
      <c r="U60" s="206"/>
      <c r="V60" s="237"/>
      <c r="W60" s="206"/>
      <c r="X60" s="206"/>
      <c r="Y60" s="206"/>
      <c r="Z60" s="206"/>
      <c r="AA60" s="237"/>
      <c r="AB60" s="191"/>
      <c r="AC60" s="191"/>
      <c r="AD60" s="191"/>
      <c r="AE60" s="191"/>
      <c r="AF60" s="238"/>
      <c r="AG60" s="191"/>
      <c r="AH60" s="191"/>
      <c r="AI60" s="191"/>
      <c r="AJ60" s="191"/>
      <c r="AK60" s="238"/>
      <c r="AL60" s="191"/>
      <c r="AM60" s="191"/>
      <c r="AN60" s="191"/>
      <c r="AO60" s="207"/>
      <c r="AP60" s="238"/>
      <c r="AQ60" s="191"/>
      <c r="AR60" s="191"/>
      <c r="AS60" s="191"/>
      <c r="AT60" s="191"/>
      <c r="AU60" s="238">
        <f>AU55*0.9</f>
        <v>239.55425999999997</v>
      </c>
      <c r="AV60" s="191"/>
      <c r="AW60" s="207"/>
      <c r="AX60" s="207"/>
      <c r="AY60" s="207"/>
      <c r="AZ60" s="238">
        <f>AZ55*0.9</f>
        <v>255.042</v>
      </c>
      <c r="BA60" s="191"/>
      <c r="BB60" s="207"/>
      <c r="BC60" s="207"/>
      <c r="BD60" s="207"/>
      <c r="BE60" s="238">
        <f>BE55*0.9</f>
        <v>275.39891999999998</v>
      </c>
      <c r="BF60" s="191"/>
      <c r="BG60" s="207"/>
      <c r="BH60" s="207"/>
      <c r="BI60" s="207"/>
      <c r="BJ60" s="238">
        <f>BJ55*0.9</f>
        <v>292.02552000000003</v>
      </c>
      <c r="BK60" s="191"/>
      <c r="BL60" s="207"/>
      <c r="BM60" s="207"/>
      <c r="BN60" s="207"/>
      <c r="BO60" s="238">
        <f>BO55*0.9</f>
        <v>371.55690000000004</v>
      </c>
      <c r="BP60" s="914"/>
      <c r="BQ60" s="914"/>
      <c r="BR60" s="914"/>
      <c r="BS60" s="914"/>
      <c r="BT60" s="274"/>
      <c r="BU60" s="914"/>
      <c r="BV60" s="914"/>
      <c r="BW60" s="914"/>
      <c r="BX60" s="914"/>
      <c r="BY60" s="274"/>
    </row>
    <row r="61" spans="2:77" hidden="1" outlineLevel="2">
      <c r="B61" s="228" t="s">
        <v>196</v>
      </c>
      <c r="C61" s="205"/>
      <c r="D61" s="205"/>
      <c r="E61" s="205"/>
      <c r="F61" s="205"/>
      <c r="G61" s="237"/>
      <c r="H61" s="206"/>
      <c r="I61" s="206"/>
      <c r="J61" s="206"/>
      <c r="K61" s="206"/>
      <c r="L61" s="237"/>
      <c r="M61" s="206"/>
      <c r="N61" s="206"/>
      <c r="O61" s="206"/>
      <c r="P61" s="206"/>
      <c r="Q61" s="237"/>
      <c r="R61" s="206"/>
      <c r="S61" s="206"/>
      <c r="T61" s="206"/>
      <c r="U61" s="206"/>
      <c r="V61" s="237"/>
      <c r="W61" s="206"/>
      <c r="X61" s="206"/>
      <c r="Y61" s="206"/>
      <c r="Z61" s="206"/>
      <c r="AA61" s="237"/>
      <c r="AB61" s="191"/>
      <c r="AC61" s="191"/>
      <c r="AD61" s="191"/>
      <c r="AE61" s="191"/>
      <c r="AF61" s="237"/>
      <c r="AG61" s="191"/>
      <c r="AH61" s="191"/>
      <c r="AI61" s="191"/>
      <c r="AJ61" s="191"/>
      <c r="AK61" s="237"/>
      <c r="AL61" s="191"/>
      <c r="AM61" s="191"/>
      <c r="AN61" s="191"/>
      <c r="AO61" s="207"/>
      <c r="AP61" s="237"/>
      <c r="AQ61" s="191"/>
      <c r="AR61" s="191"/>
      <c r="AS61" s="191"/>
      <c r="AT61" s="191"/>
      <c r="AU61" s="237"/>
      <c r="AV61" s="191"/>
      <c r="AW61" s="207"/>
      <c r="AX61" s="207"/>
      <c r="AY61" s="207"/>
      <c r="AZ61" s="237">
        <f>AZ60/AU60-1</f>
        <v>6.4652325531593613E-2</v>
      </c>
      <c r="BA61" s="191"/>
      <c r="BB61" s="207"/>
      <c r="BC61" s="207"/>
      <c r="BD61" s="207"/>
      <c r="BE61" s="237">
        <f>BE60/AZ60-1</f>
        <v>7.9817912343849162E-2</v>
      </c>
      <c r="BF61" s="191"/>
      <c r="BG61" s="207"/>
      <c r="BH61" s="207"/>
      <c r="BI61" s="207"/>
      <c r="BJ61" s="237">
        <f>BJ60/BE60-1</f>
        <v>6.0372785775630655E-2</v>
      </c>
      <c r="BK61" s="191"/>
      <c r="BL61" s="207"/>
      <c r="BM61" s="207"/>
      <c r="BN61" s="207"/>
      <c r="BO61" s="237">
        <f>BO60/BJ60-1</f>
        <v>0.2723439376120278</v>
      </c>
      <c r="BP61" s="914"/>
      <c r="BQ61" s="914"/>
      <c r="BR61" s="914"/>
      <c r="BS61" s="914"/>
      <c r="BT61" s="275"/>
      <c r="BU61" s="914"/>
      <c r="BV61" s="914"/>
      <c r="BW61" s="914"/>
      <c r="BX61" s="914"/>
      <c r="BY61" s="275"/>
    </row>
    <row r="62" spans="2:77" ht="6" hidden="1" customHeight="1" outlineLevel="2">
      <c r="B62" s="204"/>
      <c r="C62" s="205"/>
      <c r="D62" s="205"/>
      <c r="E62" s="205"/>
      <c r="F62" s="205"/>
      <c r="G62" s="237"/>
      <c r="H62" s="206"/>
      <c r="I62" s="206"/>
      <c r="J62" s="206"/>
      <c r="K62" s="206"/>
      <c r="L62" s="237"/>
      <c r="M62" s="206"/>
      <c r="N62" s="206"/>
      <c r="O62" s="206"/>
      <c r="P62" s="206"/>
      <c r="Q62" s="237"/>
      <c r="R62" s="206"/>
      <c r="S62" s="206"/>
      <c r="T62" s="206"/>
      <c r="U62" s="206"/>
      <c r="V62" s="237"/>
      <c r="W62" s="206"/>
      <c r="X62" s="206"/>
      <c r="Y62" s="206"/>
      <c r="Z62" s="206"/>
      <c r="AA62" s="237"/>
      <c r="AB62" s="191"/>
      <c r="AC62" s="191"/>
      <c r="AD62" s="191"/>
      <c r="AE62" s="191"/>
      <c r="AF62" s="237"/>
      <c r="AG62" s="191"/>
      <c r="AH62" s="191"/>
      <c r="AI62" s="191"/>
      <c r="AJ62" s="191"/>
      <c r="AK62" s="237"/>
      <c r="AL62" s="191"/>
      <c r="AM62" s="191"/>
      <c r="AN62" s="191"/>
      <c r="AO62" s="207"/>
      <c r="AP62" s="237"/>
      <c r="AQ62" s="191"/>
      <c r="AR62" s="191"/>
      <c r="AS62" s="191"/>
      <c r="AT62" s="191"/>
      <c r="AU62" s="237"/>
      <c r="AV62" s="191"/>
      <c r="AW62" s="207"/>
      <c r="AX62" s="207"/>
      <c r="AY62" s="207"/>
      <c r="AZ62" s="237"/>
      <c r="BA62" s="191"/>
      <c r="BB62" s="207"/>
      <c r="BC62" s="207"/>
      <c r="BD62" s="207"/>
      <c r="BE62" s="237"/>
      <c r="BF62" s="191"/>
      <c r="BG62" s="207"/>
      <c r="BH62" s="207"/>
      <c r="BI62" s="207"/>
      <c r="BJ62" s="237"/>
      <c r="BK62" s="191"/>
      <c r="BL62" s="207"/>
      <c r="BM62" s="207"/>
      <c r="BN62" s="207"/>
      <c r="BO62" s="237"/>
      <c r="BP62" s="914"/>
      <c r="BQ62" s="914"/>
      <c r="BR62" s="914"/>
      <c r="BS62" s="914"/>
      <c r="BT62" s="237"/>
      <c r="BU62" s="914"/>
      <c r="BV62" s="914"/>
      <c r="BW62" s="914"/>
      <c r="BX62" s="914"/>
      <c r="BY62" s="237"/>
    </row>
    <row r="63" spans="2:77" s="4" customFormat="1" outlineLevel="1" collapsed="1">
      <c r="B63" s="52" t="s">
        <v>132</v>
      </c>
      <c r="C63" s="66">
        <v>494.4</v>
      </c>
      <c r="D63" s="66">
        <v>524.1</v>
      </c>
      <c r="E63" s="66">
        <v>511.4</v>
      </c>
      <c r="F63" s="66">
        <v>588.20000000000005</v>
      </c>
      <c r="G63" s="240">
        <v>2118.1</v>
      </c>
      <c r="H63" s="66">
        <v>542.95899999999995</v>
      </c>
      <c r="I63" s="66">
        <v>569.19799999999998</v>
      </c>
      <c r="J63" s="66">
        <v>558.38300000000004</v>
      </c>
      <c r="K63" s="66">
        <v>572.58600000000001</v>
      </c>
      <c r="L63" s="240">
        <v>2243.1260000000002</v>
      </c>
      <c r="M63" s="130">
        <v>546.19900000000007</v>
      </c>
      <c r="N63" s="130">
        <v>545.19399999999996</v>
      </c>
      <c r="O63" s="130">
        <v>525.53500000000008</v>
      </c>
      <c r="P63" s="130">
        <v>588.755</v>
      </c>
      <c r="Q63" s="240">
        <v>2205.683</v>
      </c>
      <c r="R63" s="130">
        <v>503.50700000000001</v>
      </c>
      <c r="S63" s="130">
        <v>532.76599999999996</v>
      </c>
      <c r="T63" s="130">
        <v>507.09199999999998</v>
      </c>
      <c r="U63" s="130">
        <v>565.56600000000003</v>
      </c>
      <c r="V63" s="240">
        <v>2108.931</v>
      </c>
      <c r="W63" s="130">
        <v>523.59100000000001</v>
      </c>
      <c r="X63" s="130">
        <v>567.65300000000002</v>
      </c>
      <c r="Y63" s="130">
        <v>567.90100000000007</v>
      </c>
      <c r="Z63" s="130">
        <v>611.88099999999997</v>
      </c>
      <c r="AA63" s="240">
        <v>2271.0260000000003</v>
      </c>
      <c r="AB63" s="180">
        <v>547.52199999999993</v>
      </c>
      <c r="AC63" s="180">
        <v>620.298</v>
      </c>
      <c r="AD63" s="180">
        <v>595.39300000000003</v>
      </c>
      <c r="AE63" s="180">
        <v>648.62199999999996</v>
      </c>
      <c r="AF63" s="240">
        <v>2411.835</v>
      </c>
      <c r="AG63" s="180">
        <f t="shared" ref="AG63:AZ63" si="35">SUM(AG8,AG23,AG40, )</f>
        <v>554.92619712444298</v>
      </c>
      <c r="AH63" s="180">
        <f t="shared" si="35"/>
        <v>611.98330374127704</v>
      </c>
      <c r="AI63" s="180">
        <f t="shared" si="35"/>
        <v>586.44264326000007</v>
      </c>
      <c r="AJ63" s="180">
        <f t="shared" si="35"/>
        <v>625.45509339</v>
      </c>
      <c r="AK63" s="240">
        <f t="shared" si="35"/>
        <v>2378.8072375157199</v>
      </c>
      <c r="AL63" s="180">
        <f t="shared" si="35"/>
        <v>575.66241106000007</v>
      </c>
      <c r="AM63" s="180">
        <f t="shared" si="35"/>
        <v>532.70225187999995</v>
      </c>
      <c r="AN63" s="180">
        <f t="shared" si="35"/>
        <v>549.94189363999999</v>
      </c>
      <c r="AO63" s="180">
        <f t="shared" si="35"/>
        <v>641.4658287499999</v>
      </c>
      <c r="AP63" s="240">
        <f t="shared" si="35"/>
        <v>2299.7723853299999</v>
      </c>
      <c r="AQ63" s="180">
        <f t="shared" si="35"/>
        <v>589.9</v>
      </c>
      <c r="AR63" s="180">
        <f t="shared" si="35"/>
        <v>609.29999999999995</v>
      </c>
      <c r="AS63" s="180">
        <f t="shared" si="35"/>
        <v>613.79999999999995</v>
      </c>
      <c r="AT63" s="180">
        <f t="shared" si="35"/>
        <v>655.29899999999998</v>
      </c>
      <c r="AU63" s="240">
        <f t="shared" si="35"/>
        <v>2468.299</v>
      </c>
      <c r="AV63" s="180">
        <f t="shared" si="35"/>
        <v>559.46100000000001</v>
      </c>
      <c r="AW63" s="180">
        <f t="shared" si="35"/>
        <v>609.35699999999997</v>
      </c>
      <c r="AX63" s="180">
        <f t="shared" si="35"/>
        <v>630.54199999999992</v>
      </c>
      <c r="AY63" s="180">
        <f t="shared" si="35"/>
        <v>757.66499999999996</v>
      </c>
      <c r="AZ63" s="240">
        <f t="shared" si="35"/>
        <v>2557.0250000000001</v>
      </c>
      <c r="BA63" s="180">
        <f>SUM(BA8,BA23,BA40, )</f>
        <v>630.86</v>
      </c>
      <c r="BB63" s="180">
        <f t="shared" ref="BB63:BC63" si="36">SUM(BB8,BB23,BB40, )</f>
        <v>704.39599999999996</v>
      </c>
      <c r="BC63" s="180">
        <f t="shared" si="36"/>
        <v>724.32600000000002</v>
      </c>
      <c r="BD63" s="180">
        <f>SUM(BD8,BD23,BD40, )</f>
        <v>785.79099999999994</v>
      </c>
      <c r="BE63" s="240">
        <f>SUM(BE8,BE23,BE40, )</f>
        <v>2845.3729999999996</v>
      </c>
      <c r="BF63" s="180">
        <f>SUM(BF8,BF23,BF40, )</f>
        <v>713.16700000000003</v>
      </c>
      <c r="BG63" s="180">
        <f t="shared" ref="BG63:BH63" si="37">SUM(BG8,BG23,BG40, )</f>
        <v>784.79099999999994</v>
      </c>
      <c r="BH63" s="180">
        <f t="shared" si="37"/>
        <v>798.91800000000001</v>
      </c>
      <c r="BI63" s="180">
        <f>SUM(BI8,BI23,BI40, )</f>
        <v>824.31299999999999</v>
      </c>
      <c r="BJ63" s="240">
        <f>SUM(BJ8,BJ23,BJ40, )</f>
        <v>3121.1890000000003</v>
      </c>
      <c r="BK63" s="180">
        <f>SUM(BK8,BK23,BK40, )</f>
        <v>805.64499999999998</v>
      </c>
      <c r="BL63" s="180">
        <f t="shared" ref="BL63" si="38">SUM(BL8,BL23,BL40, )</f>
        <v>876.57600000000002</v>
      </c>
      <c r="BM63" s="180">
        <f>SUM(BM8,BM23,BM40, )</f>
        <v>869.17000000000007</v>
      </c>
      <c r="BN63" s="180">
        <f>SUM(BN8,BN23,BN40, )</f>
        <v>946.98099999999999</v>
      </c>
      <c r="BO63" s="240">
        <f>SUM(BO8,BO23,BO40, )</f>
        <v>3498.3720000000003</v>
      </c>
      <c r="BP63" s="264"/>
      <c r="BQ63" s="264"/>
      <c r="BR63" s="264"/>
      <c r="BS63" s="264"/>
      <c r="BT63" s="276"/>
      <c r="BU63" s="264"/>
      <c r="BV63" s="264"/>
      <c r="BW63" s="264"/>
      <c r="BX63" s="264"/>
      <c r="BY63" s="276"/>
    </row>
    <row r="64" spans="2:77" s="5" customFormat="1" outlineLevel="1">
      <c r="B64" s="53" t="s">
        <v>183</v>
      </c>
      <c r="C64" s="43"/>
      <c r="D64" s="43"/>
      <c r="E64" s="43"/>
      <c r="F64" s="43"/>
      <c r="G64" s="241"/>
      <c r="H64" s="43">
        <f t="shared" ref="H64:Q64" si="39">H63/C63-1</f>
        <v>9.8218042071197331E-2</v>
      </c>
      <c r="I64" s="43">
        <f t="shared" si="39"/>
        <v>8.604846403358124E-2</v>
      </c>
      <c r="J64" s="43">
        <f t="shared" si="39"/>
        <v>9.1871333594055749E-2</v>
      </c>
      <c r="K64" s="43">
        <f t="shared" si="39"/>
        <v>-2.6545392723563488E-2</v>
      </c>
      <c r="L64" s="241">
        <f t="shared" si="39"/>
        <v>5.9027430244086743E-2</v>
      </c>
      <c r="M64" s="43">
        <f>M63/H63-1</f>
        <v>5.9673013984482548E-3</v>
      </c>
      <c r="N64" s="43">
        <f t="shared" si="39"/>
        <v>-4.2171616906594878E-2</v>
      </c>
      <c r="O64" s="43">
        <f>O63/J63-1</f>
        <v>-5.8827005836495694E-2</v>
      </c>
      <c r="P64" s="43">
        <f t="shared" si="39"/>
        <v>2.8238552811280737E-2</v>
      </c>
      <c r="Q64" s="241">
        <f t="shared" si="39"/>
        <v>-1.669233025697181E-2</v>
      </c>
      <c r="R64" s="43">
        <f t="shared" ref="R64:AA64" si="40">R63/M63-1</f>
        <v>-7.816198857925416E-2</v>
      </c>
      <c r="S64" s="43">
        <f t="shared" si="40"/>
        <v>-2.2795555343602447E-2</v>
      </c>
      <c r="T64" s="43">
        <f t="shared" si="40"/>
        <v>-3.5093761595326844E-2</v>
      </c>
      <c r="U64" s="43">
        <f t="shared" si="40"/>
        <v>-3.9386502025460457E-2</v>
      </c>
      <c r="V64" s="241">
        <f t="shared" si="40"/>
        <v>-4.3864870881264451E-2</v>
      </c>
      <c r="W64" s="43">
        <f t="shared" si="40"/>
        <v>3.9888223996885852E-2</v>
      </c>
      <c r="X64" s="43">
        <f t="shared" si="40"/>
        <v>6.5482782309681964E-2</v>
      </c>
      <c r="Y64" s="43">
        <f>Y63/T63-1</f>
        <v>0.11991709591159028</v>
      </c>
      <c r="Z64" s="43">
        <f t="shared" si="40"/>
        <v>8.1891414971904108E-2</v>
      </c>
      <c r="AA64" s="241">
        <f t="shared" si="40"/>
        <v>7.6861215468879918E-2</v>
      </c>
      <c r="AB64" s="181">
        <f t="shared" ref="AB64:AP64" si="41">AB63/W63-1</f>
        <v>4.5705522058247627E-2</v>
      </c>
      <c r="AC64" s="181">
        <f>AC63/X63-1</f>
        <v>9.2741516384128975E-2</v>
      </c>
      <c r="AD64" s="181">
        <f t="shared" si="41"/>
        <v>4.8409846082327679E-2</v>
      </c>
      <c r="AE64" s="181">
        <f>AE63/Z63-1</f>
        <v>6.0045989334527539E-2</v>
      </c>
      <c r="AF64" s="241">
        <f>AF63/AA63-1</f>
        <v>6.2002372495955527E-2</v>
      </c>
      <c r="AG64" s="181">
        <f t="shared" si="41"/>
        <v>1.3523104321731427E-2</v>
      </c>
      <c r="AH64" s="181">
        <f t="shared" si="41"/>
        <v>-1.3404357677637146E-2</v>
      </c>
      <c r="AI64" s="181">
        <f t="shared" si="41"/>
        <v>-1.503268721667872E-2</v>
      </c>
      <c r="AJ64" s="181">
        <f t="shared" si="41"/>
        <v>-3.5717115068560679E-2</v>
      </c>
      <c r="AK64" s="241">
        <f t="shared" si="41"/>
        <v>-1.3694038972102196E-2</v>
      </c>
      <c r="AL64" s="181">
        <f t="shared" si="41"/>
        <v>3.7367516695030023E-2</v>
      </c>
      <c r="AM64" s="181">
        <f t="shared" si="41"/>
        <v>-0.12954773664020425</v>
      </c>
      <c r="AN64" s="181">
        <f t="shared" si="41"/>
        <v>-6.2240954063460641E-2</v>
      </c>
      <c r="AO64" s="181">
        <f t="shared" si="41"/>
        <v>2.5598537016016332E-2</v>
      </c>
      <c r="AP64" s="241">
        <f t="shared" si="41"/>
        <v>-3.3224571936421032E-2</v>
      </c>
      <c r="AQ64" s="181">
        <f t="shared" ref="AQ64" si="42">AQ63/AL63-1</f>
        <v>2.4732531891014764E-2</v>
      </c>
      <c r="AR64" s="181">
        <f t="shared" ref="AR64" si="43">AR63/AM63-1</f>
        <v>0.143790922320439</v>
      </c>
      <c r="AS64" s="181">
        <f t="shared" ref="AS64" si="44">AS63/AN63-1</f>
        <v>0.11611791554436923</v>
      </c>
      <c r="AT64" s="181">
        <f t="shared" ref="AT64:AU64" si="45">AT63/AO63-1</f>
        <v>2.1564938660810995E-2</v>
      </c>
      <c r="AU64" s="241">
        <f t="shared" si="45"/>
        <v>7.3279693131812929E-2</v>
      </c>
      <c r="AV64" s="181">
        <f t="shared" ref="AV64" si="46">AV63/AQ63-1</f>
        <v>-5.1600271232412176E-2</v>
      </c>
      <c r="AW64" s="181">
        <f t="shared" ref="AW64" si="47">AW63/AR63-1</f>
        <v>9.3549975381579387E-5</v>
      </c>
      <c r="AX64" s="181">
        <f t="shared" ref="AX64" si="48">AX63/AS63-1</f>
        <v>2.7275985663082425E-2</v>
      </c>
      <c r="AY64" s="181">
        <f t="shared" ref="AY64:BC64" si="49">AY63/AT63-1</f>
        <v>0.15621266017497359</v>
      </c>
      <c r="AZ64" s="241">
        <f t="shared" si="49"/>
        <v>3.5946212351096962E-2</v>
      </c>
      <c r="BA64" s="181">
        <f t="shared" si="49"/>
        <v>0.12762104954590225</v>
      </c>
      <c r="BB64" s="181">
        <f t="shared" si="49"/>
        <v>0.1559660428943952</v>
      </c>
      <c r="BC64" s="181">
        <f t="shared" si="49"/>
        <v>0.14873553228809522</v>
      </c>
      <c r="BD64" s="181">
        <f>BD63/AY63-1</f>
        <v>3.7121947034639335E-2</v>
      </c>
      <c r="BE64" s="241">
        <f>BE63/AZ63-1</f>
        <v>0.11276698507054084</v>
      </c>
      <c r="BF64" s="181">
        <f t="shared" ref="BF64:BH64" si="50">BF63/BA63-1</f>
        <v>0.13046793266334844</v>
      </c>
      <c r="BG64" s="181">
        <f t="shared" si="50"/>
        <v>0.11413324323249996</v>
      </c>
      <c r="BH64" s="181">
        <f t="shared" si="50"/>
        <v>0.10298125429709826</v>
      </c>
      <c r="BI64" s="181">
        <f>BI63/BD63-1</f>
        <v>4.9023213551695033E-2</v>
      </c>
      <c r="BJ64" s="241">
        <f>BJ63/BE63-1</f>
        <v>9.693491855022196E-2</v>
      </c>
      <c r="BK64" s="181">
        <f t="shared" ref="BK64:BM64" si="51">BK63/BF63-1</f>
        <v>0.129672292744897</v>
      </c>
      <c r="BL64" s="181">
        <f t="shared" si="51"/>
        <v>0.11695470513805595</v>
      </c>
      <c r="BM64" s="181">
        <f t="shared" si="51"/>
        <v>8.793393064119237E-2</v>
      </c>
      <c r="BN64" s="181">
        <f>BN63/BI63-1</f>
        <v>0.14881240499664572</v>
      </c>
      <c r="BO64" s="241">
        <f>BO63/BJ63-1</f>
        <v>0.12084593403347244</v>
      </c>
      <c r="BP64" s="265"/>
      <c r="BQ64" s="265"/>
      <c r="BR64" s="265"/>
      <c r="BS64" s="265"/>
      <c r="BT64" s="277"/>
      <c r="BU64" s="265"/>
      <c r="BV64" s="265"/>
      <c r="BW64" s="265"/>
      <c r="BX64" s="265"/>
      <c r="BY64" s="277"/>
    </row>
    <row r="65" spans="2:79" outlineLevel="2">
      <c r="B65" s="204" t="s">
        <v>193</v>
      </c>
      <c r="C65" s="205"/>
      <c r="D65" s="205"/>
      <c r="E65" s="205"/>
      <c r="F65" s="205"/>
      <c r="G65" s="237"/>
      <c r="H65" s="206"/>
      <c r="I65" s="206"/>
      <c r="J65" s="206"/>
      <c r="K65" s="206"/>
      <c r="L65" s="237"/>
      <c r="M65" s="206"/>
      <c r="N65" s="206"/>
      <c r="O65" s="206"/>
      <c r="P65" s="206"/>
      <c r="Q65" s="237" t="s">
        <v>226</v>
      </c>
      <c r="R65" s="206">
        <v>-0.02</v>
      </c>
      <c r="S65" s="206">
        <v>-0.02</v>
      </c>
      <c r="T65" s="206">
        <v>-0.03</v>
      </c>
      <c r="U65" s="206">
        <v>-0.03</v>
      </c>
      <c r="V65" s="237">
        <v>-0.04</v>
      </c>
      <c r="W65" s="206">
        <v>0.03</v>
      </c>
      <c r="X65" s="206">
        <v>0.05</v>
      </c>
      <c r="Y65" s="206">
        <v>0.08</v>
      </c>
      <c r="Z65" s="206">
        <v>0.03</v>
      </c>
      <c r="AA65" s="237">
        <v>0.05</v>
      </c>
      <c r="AB65" s="191">
        <v>0.03</v>
      </c>
      <c r="AC65" s="191">
        <v>0.04</v>
      </c>
      <c r="AD65" s="191">
        <v>0.02</v>
      </c>
      <c r="AE65" s="191">
        <v>0.03</v>
      </c>
      <c r="AF65" s="237">
        <v>0.03</v>
      </c>
      <c r="AG65" s="191">
        <v>0.02</v>
      </c>
      <c r="AH65" s="191">
        <v>0.03</v>
      </c>
      <c r="AI65" s="191">
        <v>0.03</v>
      </c>
      <c r="AJ65" s="191">
        <v>0.01</v>
      </c>
      <c r="AK65" s="237">
        <v>0.02</v>
      </c>
      <c r="AL65" s="191">
        <v>0.01</v>
      </c>
      <c r="AM65" s="191">
        <v>-0.17</v>
      </c>
      <c r="AN65" s="191">
        <v>-0.1</v>
      </c>
      <c r="AO65" s="191">
        <v>-0.05</v>
      </c>
      <c r="AP65" s="242">
        <f>((AL65*AG$63)+(AM65*AH$63)+(AN65*AI$63)+(AO65*AJ$63))/AK$63</f>
        <v>-7.9201423170811955E-2</v>
      </c>
      <c r="AQ65" s="191">
        <v>-0.08</v>
      </c>
      <c r="AR65" s="191">
        <f t="shared" ref="AR65:AT66" si="52">((AR12*AM$8)+(AR27*AM$23)+(AR44*AM$40))/AM$63</f>
        <v>5.8006710275669726E-2</v>
      </c>
      <c r="AS65" s="191">
        <f t="shared" si="52"/>
        <v>1.3735772627180275E-2</v>
      </c>
      <c r="AT65" s="191">
        <f t="shared" si="52"/>
        <v>5.7276492142374034E-3</v>
      </c>
      <c r="AU65" s="237">
        <f>((AQ65*AL$63)+(AR65*AM$63)+(AS65*AN$63)+(AT65*AO$63))/AP$63</f>
        <v>-1.7065687294252647E-3</v>
      </c>
      <c r="AV65" s="191">
        <f t="shared" ref="AV65:AY67" si="53">((AV12*AQ$8)+(AV27*AQ$23)+(AV44*AQ$40))/AQ$63</f>
        <v>-5.93998982878454E-2</v>
      </c>
      <c r="AW65" s="191">
        <f t="shared" si="53"/>
        <v>-8.9036599376333472E-3</v>
      </c>
      <c r="AX65" s="191">
        <f t="shared" si="53"/>
        <v>8.5500162919517723E-3</v>
      </c>
      <c r="AY65" s="191">
        <f t="shared" si="53"/>
        <v>0.1366328271521855</v>
      </c>
      <c r="AZ65" s="237">
        <f>((AV65*AQ$63)+(AW65*AR$63)+(AX65*AS$63)+(AY65*AT$63))/AU$63</f>
        <v>2.200639185123034E-2</v>
      </c>
      <c r="BA65" s="191">
        <f t="shared" ref="BA65:BD67" si="54">((BA12*AV$8)+(BA27*AV$23)+(BA44*AV$40))/AV$63</f>
        <v>0.10742378825333668</v>
      </c>
      <c r="BB65" s="191">
        <f t="shared" si="54"/>
        <v>0.12170901458422569</v>
      </c>
      <c r="BC65" s="191">
        <f t="shared" si="54"/>
        <v>0.13988793767901267</v>
      </c>
      <c r="BD65" s="929">
        <f t="shared" si="54"/>
        <v>3.2598272323520291E-2</v>
      </c>
      <c r="BE65" s="237">
        <f>((BA65*AV$63)+(BB65*AW$63)+(BC65*AX$63)+(BD65*AY$63))/AZ$63</f>
        <v>9.6662117108749418E-2</v>
      </c>
      <c r="BF65" s="191">
        <f t="shared" ref="BF65:BI67" si="55">((BF12*BA$8)+(BF27*BA$23)+(BF44*BA$40))/BA$63</f>
        <v>0.13067723425165645</v>
      </c>
      <c r="BG65" s="191">
        <f t="shared" si="55"/>
        <v>0.11028069438213735</v>
      </c>
      <c r="BH65" s="191">
        <f t="shared" si="55"/>
        <v>9.6599914955420627E-2</v>
      </c>
      <c r="BI65" s="929">
        <f t="shared" si="55"/>
        <v>4.6910145318538904E-2</v>
      </c>
      <c r="BJ65" s="237">
        <f>((BF65*BA$63)+(BG65*BB$63)+(BH65*BC$63)+(BI65*BD$63))/BE$63</f>
        <v>9.3819587098071172E-2</v>
      </c>
      <c r="BK65" s="191">
        <f t="shared" ref="BK65:BM67" si="56">((BK12*BF$8)+(BK27*BF$23)+(BK44*BF$40))/BF$63</f>
        <v>0.13100681887972945</v>
      </c>
      <c r="BL65" s="191">
        <f t="shared" si="56"/>
        <v>8.4458792213468303E-2</v>
      </c>
      <c r="BM65" s="191">
        <f t="shared" si="56"/>
        <v>6.7832092905654909E-2</v>
      </c>
      <c r="BN65" s="929">
        <f t="shared" ref="BN65:BN67" si="57">((BN12*BI$8)+(BN27*BI$23)+(BN44*BI$40))/BI$63</f>
        <v>0.11364270610799539</v>
      </c>
      <c r="BO65" s="237">
        <f>((BK65*BF$63)+(BL65*BG$63)+(BM65*BH$63)+(BN65*BI$63))/BJ$63</f>
        <v>9.8546316804269132E-2</v>
      </c>
      <c r="BP65" s="917"/>
      <c r="BQ65" s="917"/>
      <c r="BR65" s="917"/>
      <c r="BS65" s="917"/>
      <c r="BT65" s="263"/>
      <c r="BU65" s="917"/>
      <c r="BV65" s="917"/>
      <c r="BW65" s="917"/>
      <c r="BX65" s="917"/>
      <c r="BY65" s="263"/>
    </row>
    <row r="66" spans="2:79" outlineLevel="2">
      <c r="B66" s="204" t="s">
        <v>194</v>
      </c>
      <c r="C66" s="205"/>
      <c r="D66" s="205"/>
      <c r="E66" s="205"/>
      <c r="F66" s="205"/>
      <c r="G66" s="237"/>
      <c r="H66" s="206"/>
      <c r="I66" s="206"/>
      <c r="J66" s="206"/>
      <c r="K66" s="206"/>
      <c r="L66" s="237"/>
      <c r="M66" s="206"/>
      <c r="N66" s="206"/>
      <c r="O66" s="206"/>
      <c r="P66" s="206"/>
      <c r="Q66" s="237" t="s">
        <v>226</v>
      </c>
      <c r="R66" s="206" t="s">
        <v>226</v>
      </c>
      <c r="S66" s="206" t="s">
        <v>226</v>
      </c>
      <c r="T66" s="206" t="s">
        <v>226</v>
      </c>
      <c r="U66" s="206" t="s">
        <v>226</v>
      </c>
      <c r="V66" s="237" t="s">
        <v>226</v>
      </c>
      <c r="W66" s="206">
        <v>0.02</v>
      </c>
      <c r="X66" s="206">
        <v>0.03</v>
      </c>
      <c r="Y66" s="206">
        <v>0.04</v>
      </c>
      <c r="Z66" s="206">
        <v>0.04</v>
      </c>
      <c r="AA66" s="237">
        <v>0.03</v>
      </c>
      <c r="AB66" s="191" t="s">
        <v>226</v>
      </c>
      <c r="AC66" s="191">
        <v>0.04</v>
      </c>
      <c r="AD66" s="191">
        <v>0.03</v>
      </c>
      <c r="AE66" s="191">
        <v>0.04</v>
      </c>
      <c r="AF66" s="237">
        <v>0.03</v>
      </c>
      <c r="AG66" s="191">
        <v>0.05</v>
      </c>
      <c r="AH66" s="191">
        <v>0.01</v>
      </c>
      <c r="AI66" s="191">
        <v>0.01</v>
      </c>
      <c r="AJ66" s="191">
        <v>0.01</v>
      </c>
      <c r="AK66" s="237">
        <v>0.02</v>
      </c>
      <c r="AL66" s="191">
        <v>0.03</v>
      </c>
      <c r="AM66" s="191">
        <v>0.03</v>
      </c>
      <c r="AN66" s="191">
        <v>0.03</v>
      </c>
      <c r="AO66" s="191">
        <v>0.06</v>
      </c>
      <c r="AP66" s="237">
        <f>((AL66*AG$63)+(AM66*AH$63)+(AN66*AI$63)+(AO66*AJ$63))/AK$63</f>
        <v>3.7887840807687978E-2</v>
      </c>
      <c r="AQ66" s="191">
        <v>0.06</v>
      </c>
      <c r="AR66" s="191">
        <f t="shared" si="52"/>
        <v>5.7740773370954138E-2</v>
      </c>
      <c r="AS66" s="191">
        <f t="shared" si="52"/>
        <v>6.7767614053415512E-2</v>
      </c>
      <c r="AT66" s="191">
        <f t="shared" si="52"/>
        <v>1.7039691765498431E-2</v>
      </c>
      <c r="AU66" s="237">
        <f>((AQ66*AL$63)+(AR66*AM$63)+(AS66*AN$63)+(AT66*AO$63))/AP$63</f>
        <v>4.9351412073466591E-2</v>
      </c>
      <c r="AV66" s="191">
        <f t="shared" si="53"/>
        <v>0</v>
      </c>
      <c r="AW66" s="191">
        <f t="shared" si="53"/>
        <v>0</v>
      </c>
      <c r="AX66" s="191">
        <f t="shared" si="53"/>
        <v>-2.3000977517106551E-2</v>
      </c>
      <c r="AY66" s="191">
        <f t="shared" si="53"/>
        <v>3.7242724313633929E-2</v>
      </c>
      <c r="AZ66" s="237">
        <f>((AV66*AQ$63)+(AW66*AR$63)+(AX66*AS$63)+(AY66*AT$63))/AU$63</f>
        <v>4.1676960530308525E-3</v>
      </c>
      <c r="BA66" s="191">
        <f t="shared" si="54"/>
        <v>-2.8187130112733508E-2</v>
      </c>
      <c r="BB66" s="191">
        <f t="shared" si="54"/>
        <v>-3.7106720690826558E-2</v>
      </c>
      <c r="BC66" s="191">
        <f t="shared" si="54"/>
        <v>0</v>
      </c>
      <c r="BD66" s="929">
        <f t="shared" si="54"/>
        <v>0</v>
      </c>
      <c r="BE66" s="237">
        <f>((BA66*AV$63)+(BB66*AW$63)+(BC66*AX$63)+(BD66*AY$63))/AZ$63</f>
        <v>-1.5009958838885031E-2</v>
      </c>
      <c r="BF66" s="191">
        <f t="shared" si="55"/>
        <v>0</v>
      </c>
      <c r="BG66" s="191">
        <f t="shared" si="55"/>
        <v>-3.9809141448844112E-3</v>
      </c>
      <c r="BH66" s="191">
        <f t="shared" si="55"/>
        <v>-3.9725758843393725E-3</v>
      </c>
      <c r="BI66" s="929">
        <f t="shared" si="55"/>
        <v>0</v>
      </c>
      <c r="BJ66" s="237">
        <f>((BF66*BA$63)+(BG66*BB$63)+(BH66*BC$63)+(BI66*BD$63))/BE$63</f>
        <v>-1.9967786297262263E-3</v>
      </c>
      <c r="BK66" s="191">
        <f t="shared" si="56"/>
        <v>-2.7689264926728241E-2</v>
      </c>
      <c r="BL66" s="191">
        <f t="shared" si="56"/>
        <v>0</v>
      </c>
      <c r="BM66" s="191">
        <f t="shared" si="56"/>
        <v>-1.638365889866044E-2</v>
      </c>
      <c r="BN66" s="929">
        <f t="shared" si="57"/>
        <v>-3.3571810707825792E-2</v>
      </c>
      <c r="BO66" s="237">
        <f>((BK66*BF$63)+(BL66*BG$63)+(BM66*BH$63)+(BN66*BI$63))/BJ$63</f>
        <v>-1.9386826622803041E-2</v>
      </c>
      <c r="BP66" s="917"/>
      <c r="BQ66" s="917"/>
      <c r="BR66" s="917"/>
      <c r="BS66" s="917"/>
      <c r="BT66" s="263"/>
      <c r="BU66" s="917"/>
      <c r="BV66" s="917"/>
      <c r="BW66" s="917"/>
      <c r="BX66" s="917"/>
      <c r="BY66" s="263"/>
    </row>
    <row r="67" spans="2:79" outlineLevel="2">
      <c r="B67" s="208" t="s">
        <v>195</v>
      </c>
      <c r="C67" s="209"/>
      <c r="D67" s="209"/>
      <c r="E67" s="209"/>
      <c r="F67" s="209"/>
      <c r="G67" s="243"/>
      <c r="H67" s="210"/>
      <c r="I67" s="210"/>
      <c r="J67" s="210"/>
      <c r="K67" s="210"/>
      <c r="L67" s="243"/>
      <c r="M67" s="210"/>
      <c r="N67" s="210"/>
      <c r="O67" s="210"/>
      <c r="P67" s="210"/>
      <c r="Q67" s="243">
        <v>-0.02</v>
      </c>
      <c r="R67" s="210" t="s">
        <v>226</v>
      </c>
      <c r="S67" s="210" t="s">
        <v>226</v>
      </c>
      <c r="T67" s="210">
        <v>-0.01</v>
      </c>
      <c r="U67" s="210">
        <v>-0.01</v>
      </c>
      <c r="V67" s="243" t="s">
        <v>226</v>
      </c>
      <c r="W67" s="210">
        <v>-0.01</v>
      </c>
      <c r="X67" s="210">
        <v>-0.01</v>
      </c>
      <c r="Y67" s="210" t="s">
        <v>226</v>
      </c>
      <c r="Z67" s="210">
        <v>0.01</v>
      </c>
      <c r="AA67" s="243" t="s">
        <v>226</v>
      </c>
      <c r="AB67" s="211">
        <v>0.02</v>
      </c>
      <c r="AC67" s="211">
        <v>0.01</v>
      </c>
      <c r="AD67" s="211" t="s">
        <v>226</v>
      </c>
      <c r="AE67" s="211">
        <v>-0.01</v>
      </c>
      <c r="AF67" s="243" t="s">
        <v>226</v>
      </c>
      <c r="AG67" s="211">
        <v>-0.01</v>
      </c>
      <c r="AH67" s="211">
        <v>-0.01</v>
      </c>
      <c r="AI67" s="211">
        <v>-0.01</v>
      </c>
      <c r="AJ67" s="211">
        <v>-0.01</v>
      </c>
      <c r="AK67" s="243">
        <v>-0.01</v>
      </c>
      <c r="AL67" s="211">
        <v>0</v>
      </c>
      <c r="AM67" s="211">
        <v>0</v>
      </c>
      <c r="AN67" s="211">
        <v>0</v>
      </c>
      <c r="AO67" s="211">
        <v>0.01</v>
      </c>
      <c r="AP67" s="243">
        <f>((AL67*AG$63)+(AM67*AH$63)+(AN67*AI$63)+(AO67*AJ$63))/AK$63</f>
        <v>2.6292802692293254E-3</v>
      </c>
      <c r="AQ67" s="211">
        <v>0.01</v>
      </c>
      <c r="AR67" s="211">
        <v>0.01</v>
      </c>
      <c r="AS67" s="211">
        <f>((AS14*AN$8)+(AS29*AN$23)+(AS46*AN$40))/AN$63</f>
        <v>7.2892954378633787E-3</v>
      </c>
      <c r="AT67" s="215">
        <f>((AT14*AO$8)+(AT29*AO$23)+(AT46*AO$40))/AO$63</f>
        <v>0</v>
      </c>
      <c r="AU67" s="243">
        <f>((AQ67*AL$63)+(AR67*AM$63)+(AS67*AN$63)+(AT67*AO$63))/AP$63</f>
        <v>6.5625344760517953E-3</v>
      </c>
      <c r="AV67" s="211">
        <f t="shared" si="53"/>
        <v>3.0123749788099679E-3</v>
      </c>
      <c r="AW67" s="211">
        <f t="shared" si="53"/>
        <v>-6.8652552108977522E-3</v>
      </c>
      <c r="AX67" s="211">
        <f t="shared" si="53"/>
        <v>6.5998696643857942E-3</v>
      </c>
      <c r="AY67" s="211">
        <f t="shared" si="53"/>
        <v>8.8844939485639377E-3</v>
      </c>
      <c r="AZ67" s="243">
        <f>((AV67*AQ$63)+(AW67*AR$63)+(AX67*AS$63)+(AY67*AT$63))/AU$63</f>
        <v>3.0251602419317921E-3</v>
      </c>
      <c r="BA67" s="211">
        <f t="shared" si="54"/>
        <v>9.3892693145724189E-3</v>
      </c>
      <c r="BB67" s="211">
        <f t="shared" si="54"/>
        <v>3.4228211048695596E-3</v>
      </c>
      <c r="BC67" s="211">
        <f t="shared" si="54"/>
        <v>-5.9358615286531271E-3</v>
      </c>
      <c r="BD67" s="211">
        <f t="shared" si="54"/>
        <v>-2.9466584836306286E-3</v>
      </c>
      <c r="BE67" s="243">
        <f>((BA67*AV$63)+(BB67*AW$63)+(BC67*AX$63)+(BD67*AY$63))/AZ$63</f>
        <v>5.331430079877986E-4</v>
      </c>
      <c r="BF67" s="211">
        <f t="shared" si="55"/>
        <v>-2.5703642646545985E-3</v>
      </c>
      <c r="BG67" s="211">
        <f t="shared" si="55"/>
        <v>0</v>
      </c>
      <c r="BH67" s="211">
        <f t="shared" si="55"/>
        <v>-3.0414067698798608E-3</v>
      </c>
      <c r="BI67" s="211">
        <f t="shared" si="55"/>
        <v>0</v>
      </c>
      <c r="BJ67" s="243">
        <f>((BF67*BA$63)+(BG67*BB$63)+(BH67*BC$63)+(BI67*BD$63))/BE$63</f>
        <v>-1.3441155166651264E-3</v>
      </c>
      <c r="BK67" s="211">
        <f t="shared" si="56"/>
        <v>3.9556092752468918E-3</v>
      </c>
      <c r="BL67" s="211">
        <f t="shared" si="56"/>
        <v>3.4701965236604404E-2</v>
      </c>
      <c r="BM67" s="211">
        <f t="shared" si="56"/>
        <v>0</v>
      </c>
      <c r="BN67" s="211">
        <f t="shared" si="57"/>
        <v>-3.0439529644685939E-3</v>
      </c>
      <c r="BO67" s="243">
        <f>((BK67*BF$63)+(BL67*BG$63)+(BM67*BH$63)+(BN67*BI$63))/BJ$63</f>
        <v>8.8253643082812361E-3</v>
      </c>
      <c r="BP67" s="266"/>
      <c r="BQ67" s="266"/>
      <c r="BR67" s="266"/>
      <c r="BS67" s="266"/>
      <c r="BT67" s="278"/>
      <c r="BU67" s="266"/>
      <c r="BV67" s="266"/>
      <c r="BW67" s="266"/>
      <c r="BX67" s="266"/>
      <c r="BY67" s="278"/>
    </row>
    <row r="68" spans="2:79" s="6" customFormat="1" ht="12" customHeight="1" outlineLevel="1">
      <c r="B68" s="260" t="s">
        <v>184</v>
      </c>
      <c r="C68" s="44"/>
      <c r="D68" s="44"/>
      <c r="E68" s="44"/>
      <c r="F68" s="44"/>
      <c r="G68" s="244"/>
      <c r="H68" s="44"/>
      <c r="I68" s="44"/>
      <c r="J68" s="44"/>
      <c r="K68" s="44"/>
      <c r="L68" s="244"/>
      <c r="M68" s="44"/>
      <c r="N68" s="44"/>
      <c r="O68" s="44"/>
      <c r="P68" s="44"/>
      <c r="Q68" s="244"/>
      <c r="R68" s="44"/>
      <c r="S68" s="44"/>
      <c r="T68" s="44"/>
      <c r="U68" s="44"/>
      <c r="V68" s="244"/>
      <c r="W68" s="44"/>
      <c r="X68" s="44"/>
      <c r="Y68" s="44"/>
      <c r="Z68" s="44"/>
      <c r="AA68" s="244"/>
      <c r="AB68" s="182"/>
      <c r="AC68" s="182"/>
      <c r="AD68" s="182"/>
      <c r="AE68" s="182"/>
      <c r="AF68" s="244"/>
      <c r="AG68" s="182"/>
      <c r="AH68" s="182"/>
      <c r="AI68" s="182"/>
      <c r="AJ68" s="395" t="s">
        <v>227</v>
      </c>
      <c r="AK68" s="396" t="str">
        <f>AJ68</f>
        <v>2590-2630</v>
      </c>
      <c r="AL68" s="182"/>
      <c r="AM68" s="182"/>
      <c r="AN68" s="182"/>
      <c r="AO68" s="395" t="s">
        <v>133</v>
      </c>
      <c r="AP68" s="396" t="str">
        <f>AO68</f>
        <v>2445-2495</v>
      </c>
      <c r="AQ68" s="395" t="s">
        <v>134</v>
      </c>
      <c r="AR68" s="395" t="s">
        <v>135</v>
      </c>
      <c r="AS68" s="182"/>
      <c r="AT68" s="395" t="s">
        <v>136</v>
      </c>
      <c r="AU68" s="396" t="str">
        <f>AT68</f>
        <v>2530-2580</v>
      </c>
      <c r="AV68" s="182"/>
      <c r="AW68" s="395" t="s">
        <v>137</v>
      </c>
      <c r="AX68" s="395" t="s">
        <v>138</v>
      </c>
      <c r="AY68" s="395" t="s">
        <v>139</v>
      </c>
      <c r="AZ68" s="396" t="str">
        <f>AY68</f>
        <v>2655-2710</v>
      </c>
      <c r="BA68" s="395" t="s">
        <v>139</v>
      </c>
      <c r="BB68" s="395" t="s">
        <v>140</v>
      </c>
      <c r="BC68" s="395" t="s">
        <v>141</v>
      </c>
      <c r="BD68" s="395" t="s">
        <v>142</v>
      </c>
      <c r="BE68" s="396" t="str">
        <f>BD68</f>
        <v>2960-3010</v>
      </c>
      <c r="BF68" s="395" t="s">
        <v>143</v>
      </c>
      <c r="BG68" s="395" t="s">
        <v>144</v>
      </c>
      <c r="BH68" s="395" t="s">
        <v>228</v>
      </c>
      <c r="BI68" s="1029" t="s">
        <v>146</v>
      </c>
      <c r="BJ68" s="396" t="str">
        <f>BI68</f>
        <v>3335-3385</v>
      </c>
      <c r="BK68" s="395" t="s">
        <v>147</v>
      </c>
      <c r="BL68" s="395" t="s">
        <v>1178</v>
      </c>
      <c r="BM68" s="395" t="str">
        <f>CW_Drivers!CF79</f>
        <v>3420-3455</v>
      </c>
      <c r="BN68" s="395" t="str">
        <f>CW_Drivers!CG79</f>
        <v>3710-3765</v>
      </c>
      <c r="BO68" s="396" t="str">
        <f>BN68</f>
        <v>3710-3765</v>
      </c>
      <c r="BP68" s="182"/>
      <c r="BQ68" s="182"/>
      <c r="BR68" s="182"/>
      <c r="BS68" s="182"/>
      <c r="BT68" s="244"/>
      <c r="BU68" s="182"/>
      <c r="BV68" s="182"/>
      <c r="BW68" s="182"/>
      <c r="BX68" s="182"/>
      <c r="BY68" s="244"/>
    </row>
    <row r="69" spans="2:79" s="6" customFormat="1" outlineLevel="1">
      <c r="B69" s="51"/>
      <c r="C69" s="44"/>
      <c r="D69" s="44"/>
      <c r="E69" s="44"/>
      <c r="F69" s="44"/>
      <c r="G69" s="244"/>
      <c r="H69" s="44"/>
      <c r="I69" s="44"/>
      <c r="J69" s="44"/>
      <c r="K69" s="44"/>
      <c r="L69" s="244"/>
      <c r="M69" s="44"/>
      <c r="N69" s="44"/>
      <c r="O69" s="44"/>
      <c r="P69" s="44"/>
      <c r="Q69" s="244"/>
      <c r="R69" s="44"/>
      <c r="S69" s="44"/>
      <c r="T69" s="44"/>
      <c r="U69" s="44"/>
      <c r="V69" s="244"/>
      <c r="W69" s="44"/>
      <c r="X69" s="44"/>
      <c r="Y69" s="44"/>
      <c r="Z69" s="44"/>
      <c r="AA69" s="244"/>
      <c r="AB69" s="182"/>
      <c r="AC69" s="182"/>
      <c r="AD69" s="182"/>
      <c r="AE69" s="182"/>
      <c r="AF69" s="244"/>
      <c r="AG69" s="182"/>
      <c r="AH69" s="182"/>
      <c r="AI69" s="182"/>
      <c r="AJ69" s="182"/>
      <c r="AK69" s="244"/>
      <c r="AL69" s="182"/>
      <c r="AM69" s="182"/>
      <c r="AN69" s="182"/>
      <c r="AO69" s="182"/>
      <c r="AP69" s="244"/>
      <c r="AQ69" s="182"/>
      <c r="AR69" s="182"/>
      <c r="AS69" s="182"/>
      <c r="AT69" s="182"/>
      <c r="AU69" s="244"/>
      <c r="AV69" s="182"/>
      <c r="AW69" s="182"/>
      <c r="AX69" s="182"/>
      <c r="AY69" s="182"/>
      <c r="AZ69" s="244"/>
      <c r="BA69" s="182"/>
      <c r="BB69" s="182"/>
      <c r="BC69" s="182"/>
      <c r="BD69" s="182"/>
      <c r="BE69" s="244"/>
      <c r="BF69" s="182"/>
      <c r="BG69" s="182"/>
      <c r="BH69" s="182"/>
      <c r="BI69" s="182"/>
      <c r="BJ69" s="244"/>
      <c r="BK69" s="182"/>
      <c r="BL69" s="182"/>
      <c r="BM69" s="182"/>
      <c r="BN69" s="182"/>
      <c r="BO69" s="244"/>
      <c r="BP69" s="182"/>
      <c r="BQ69" s="182"/>
      <c r="BR69" s="182"/>
      <c r="BS69" s="182"/>
      <c r="BT69" s="244"/>
      <c r="BU69" s="182"/>
      <c r="BV69" s="182"/>
      <c r="BW69" s="182"/>
      <c r="BX69" s="182"/>
      <c r="BY69" s="244"/>
    </row>
    <row r="70" spans="2:79" s="4" customFormat="1" ht="12" customHeight="1" outlineLevel="1">
      <c r="B70" s="49" t="s">
        <v>229</v>
      </c>
      <c r="C70" s="46"/>
      <c r="D70" s="46"/>
      <c r="E70" s="46"/>
      <c r="F70" s="46"/>
      <c r="G70" s="246"/>
      <c r="H70" s="46"/>
      <c r="I70" s="46"/>
      <c r="J70" s="46"/>
      <c r="K70" s="46"/>
      <c r="L70" s="245"/>
      <c r="M70" s="46"/>
      <c r="N70" s="128"/>
      <c r="O70" s="46"/>
      <c r="P70" s="46"/>
      <c r="Q70" s="245"/>
      <c r="R70" s="46"/>
      <c r="S70" s="46"/>
      <c r="T70" s="46"/>
      <c r="U70" s="46"/>
      <c r="V70" s="245"/>
      <c r="W70" s="46"/>
      <c r="X70" s="46"/>
      <c r="Y70" s="46"/>
      <c r="Z70" s="46"/>
      <c r="AA70" s="245"/>
      <c r="AB70" s="143"/>
      <c r="AC70" s="143"/>
      <c r="AD70" s="143"/>
      <c r="AE70" s="143"/>
      <c r="AF70" s="245"/>
      <c r="AG70" s="143"/>
      <c r="AH70" s="143"/>
      <c r="AI70" s="143"/>
      <c r="AJ70" s="201"/>
      <c r="AK70" s="246"/>
      <c r="AL70" s="143"/>
      <c r="AM70" s="143"/>
      <c r="AN70" s="143"/>
      <c r="AO70" s="143"/>
      <c r="AP70" s="245"/>
      <c r="AQ70" s="143"/>
      <c r="AR70" s="143"/>
      <c r="AS70" s="143"/>
      <c r="AT70" s="143"/>
      <c r="AU70" s="245"/>
      <c r="AV70" s="143"/>
      <c r="AW70" s="143"/>
      <c r="AX70" s="143"/>
      <c r="AY70" s="143"/>
      <c r="AZ70" s="245"/>
      <c r="BA70" s="143"/>
      <c r="BB70" s="143"/>
      <c r="BC70" s="143"/>
      <c r="BD70" s="143"/>
      <c r="BE70" s="245"/>
      <c r="BF70" s="143"/>
      <c r="BG70" s="143"/>
      <c r="BH70" s="143"/>
      <c r="BI70" s="997"/>
      <c r="BJ70" s="245"/>
      <c r="BK70" s="1002"/>
      <c r="BL70" s="1025"/>
      <c r="BM70" s="1025"/>
      <c r="BN70" s="997"/>
      <c r="BO70" s="245"/>
      <c r="BP70" s="143"/>
      <c r="BQ70" s="143"/>
      <c r="BR70" s="143"/>
      <c r="BS70" s="143"/>
      <c r="BT70" s="245"/>
      <c r="BU70" s="143"/>
      <c r="BV70" s="143"/>
      <c r="BW70" s="143"/>
      <c r="BX70" s="143"/>
      <c r="BY70" s="245"/>
    </row>
    <row r="71" spans="2:79" s="7" customFormat="1" ht="12" customHeight="1" outlineLevel="1">
      <c r="B71" s="51" t="str">
        <f>B8</f>
        <v xml:space="preserve">Aerospace &amp; Industrial </v>
      </c>
      <c r="C71" s="42">
        <f t="shared" ref="C71:K71" si="58">C78/C8</f>
        <v>0.10152487961476726</v>
      </c>
      <c r="D71" s="42">
        <f t="shared" si="58"/>
        <v>0.12316715542521994</v>
      </c>
      <c r="E71" s="42">
        <f t="shared" si="58"/>
        <v>0.14301430143014301</v>
      </c>
      <c r="F71" s="42">
        <f t="shared" si="58"/>
        <v>0.11869225302061123</v>
      </c>
      <c r="G71" s="236">
        <f t="shared" si="58"/>
        <v>0.12201468265031133</v>
      </c>
      <c r="H71" s="42">
        <f t="shared" si="58"/>
        <v>0.12791366093708986</v>
      </c>
      <c r="I71" s="42">
        <f t="shared" si="58"/>
        <v>0.14579442826276776</v>
      </c>
      <c r="J71" s="42">
        <f t="shared" si="58"/>
        <v>0.16325989105137978</v>
      </c>
      <c r="K71" s="42">
        <f t="shared" si="58"/>
        <v>0.14430454717872615</v>
      </c>
      <c r="L71" s="236"/>
      <c r="M71" s="42"/>
      <c r="N71" s="42"/>
      <c r="O71" s="42"/>
      <c r="P71" s="42"/>
      <c r="Q71" s="236"/>
      <c r="R71" s="42"/>
      <c r="S71" s="42"/>
      <c r="T71" s="42"/>
      <c r="U71" s="42"/>
      <c r="V71" s="236"/>
      <c r="W71" s="10"/>
      <c r="X71" s="33"/>
      <c r="Y71" s="33"/>
      <c r="Z71" s="33"/>
      <c r="AA71" s="236"/>
      <c r="AB71" s="10"/>
      <c r="AC71" s="10"/>
      <c r="AD71" s="10"/>
      <c r="AE71" s="10"/>
      <c r="AF71" s="236"/>
      <c r="AG71" s="10">
        <f t="shared" ref="AG71:AZ71" si="59">AG78/AG8</f>
        <v>0.12372714811838496</v>
      </c>
      <c r="AH71" s="10">
        <f t="shared" si="59"/>
        <v>0.16819427589041386</v>
      </c>
      <c r="AI71" s="10">
        <f t="shared" si="59"/>
        <v>0.13807469581057255</v>
      </c>
      <c r="AJ71" s="10">
        <f t="shared" si="59"/>
        <v>0.14640331068809301</v>
      </c>
      <c r="AK71" s="236">
        <f t="shared" si="59"/>
        <v>0.1445231504187259</v>
      </c>
      <c r="AL71" s="10">
        <f t="shared" si="59"/>
        <v>0.1366141335011124</v>
      </c>
      <c r="AM71" s="10">
        <f t="shared" si="59"/>
        <v>7.7238157263422078E-2</v>
      </c>
      <c r="AN71" s="10">
        <f t="shared" si="59"/>
        <v>0.13293967626029579</v>
      </c>
      <c r="AO71" s="10">
        <f t="shared" si="59"/>
        <v>0.17542007105537052</v>
      </c>
      <c r="AP71" s="236">
        <f t="shared" si="59"/>
        <v>0.13253318058926911</v>
      </c>
      <c r="AQ71" s="10">
        <f t="shared" si="59"/>
        <v>0.10410804727068093</v>
      </c>
      <c r="AR71" s="10">
        <f t="shared" si="59"/>
        <v>0.15729757607013925</v>
      </c>
      <c r="AS71" s="10">
        <f t="shared" si="59"/>
        <v>0.15722307299642674</v>
      </c>
      <c r="AT71" s="10">
        <f t="shared" si="59"/>
        <v>0.19480094037846379</v>
      </c>
      <c r="AU71" s="236">
        <f t="shared" si="59"/>
        <v>0.15512801325289388</v>
      </c>
      <c r="AV71" s="10">
        <f t="shared" si="59"/>
        <v>0.13004416258529031</v>
      </c>
      <c r="AW71" s="10">
        <f t="shared" si="59"/>
        <v>0.15564888863318183</v>
      </c>
      <c r="AX71" s="10">
        <f t="shared" si="59"/>
        <v>0.18339410492132543</v>
      </c>
      <c r="AY71" s="10">
        <f t="shared" si="59"/>
        <v>0.18499673024034971</v>
      </c>
      <c r="AZ71" s="236">
        <f t="shared" si="59"/>
        <v>0.16470482695102476</v>
      </c>
      <c r="BA71" s="10">
        <f t="shared" ref="BA71:BC71" si="60">BA78/BA8</f>
        <v>0.13112073777334315</v>
      </c>
      <c r="BB71" s="10">
        <f t="shared" si="60"/>
        <v>0.15762839211526564</v>
      </c>
      <c r="BC71" s="10">
        <f t="shared" si="60"/>
        <v>0.17709728230525157</v>
      </c>
      <c r="BD71" s="928">
        <f>BD78/BD8</f>
        <v>0.18492679159110756</v>
      </c>
      <c r="BE71" s="236">
        <f>BE78/BE8</f>
        <v>0.16374370511300365</v>
      </c>
      <c r="BF71" s="10">
        <f t="shared" ref="BF71:BH71" si="61">BF78/BF8</f>
        <v>0.12522968197879861</v>
      </c>
      <c r="BG71" s="10">
        <f t="shared" si="61"/>
        <v>0.1623490773135762</v>
      </c>
      <c r="BH71" s="10">
        <f t="shared" si="61"/>
        <v>0.1721384244661264</v>
      </c>
      <c r="BI71" s="928">
        <f>BI78/BI8</f>
        <v>0.21349689339502703</v>
      </c>
      <c r="BJ71" s="236">
        <f>BJ78/BJ8</f>
        <v>0.16978478393104846</v>
      </c>
      <c r="BK71" s="10">
        <f t="shared" ref="BK71:BM71" si="62">BK78/BK8</f>
        <v>0.13943479753218979</v>
      </c>
      <c r="BL71" s="10">
        <f t="shared" si="62"/>
        <v>0.16554458095325711</v>
      </c>
      <c r="BM71" s="10">
        <f t="shared" si="62"/>
        <v>0.18553138294654917</v>
      </c>
      <c r="BN71" s="928">
        <f>BN78/BN8</f>
        <v>0.20098631431718314</v>
      </c>
      <c r="BO71" s="236">
        <f>BO78/BO8</f>
        <v>0.17406527703837177</v>
      </c>
      <c r="BP71" s="918"/>
      <c r="BQ71" s="918"/>
      <c r="BR71" s="918"/>
      <c r="BS71" s="918"/>
      <c r="BT71" s="262"/>
      <c r="BU71" s="918"/>
      <c r="BV71" s="918"/>
      <c r="BW71" s="918"/>
      <c r="BX71" s="918"/>
      <c r="BY71" s="262"/>
      <c r="CA71" s="989"/>
    </row>
    <row r="72" spans="2:79" s="7" customFormat="1" ht="12" customHeight="1" outlineLevel="1">
      <c r="B72" s="51" t="str">
        <f>B23</f>
        <v>Defense Electronics</v>
      </c>
      <c r="C72" s="42">
        <f t="shared" ref="C72:K72" si="63">C80/C23</f>
        <v>7.6780758556891773E-2</v>
      </c>
      <c r="D72" s="42">
        <f t="shared" si="63"/>
        <v>0.16843033509700175</v>
      </c>
      <c r="E72" s="42">
        <f t="shared" si="63"/>
        <v>0.17580340264650285</v>
      </c>
      <c r="F72" s="42">
        <f t="shared" si="63"/>
        <v>0.18562091503267972</v>
      </c>
      <c r="G72" s="236">
        <f t="shared" si="63"/>
        <v>0.15490318550905685</v>
      </c>
      <c r="H72" s="42">
        <f t="shared" si="63"/>
        <v>0.140463286791076</v>
      </c>
      <c r="I72" s="42">
        <f t="shared" si="63"/>
        <v>0.15190663842642205</v>
      </c>
      <c r="J72" s="42">
        <f t="shared" si="63"/>
        <v>0.17692289530225638</v>
      </c>
      <c r="K72" s="42">
        <f t="shared" si="63"/>
        <v>0.19926014645461573</v>
      </c>
      <c r="L72" s="236"/>
      <c r="M72" s="42"/>
      <c r="N72" s="42"/>
      <c r="O72" s="42"/>
      <c r="P72" s="42"/>
      <c r="Q72" s="236"/>
      <c r="R72" s="42"/>
      <c r="S72" s="42"/>
      <c r="T72" s="42"/>
      <c r="U72" s="42"/>
      <c r="V72" s="236"/>
      <c r="W72" s="10"/>
      <c r="X72" s="33"/>
      <c r="Y72" s="33"/>
      <c r="Z72" s="33"/>
      <c r="AA72" s="236"/>
      <c r="AB72" s="10"/>
      <c r="AC72" s="10"/>
      <c r="AD72" s="10"/>
      <c r="AE72" s="10"/>
      <c r="AF72" s="236"/>
      <c r="AG72" s="10">
        <f>AG80/AG23</f>
        <v>0.15289521991591384</v>
      </c>
      <c r="AH72" s="10">
        <f>AH80/AH23</f>
        <v>0.21323322221359553</v>
      </c>
      <c r="AI72" s="10">
        <f>(AI80/AI23)-0.001</f>
        <v>0.26875278560336885</v>
      </c>
      <c r="AJ72" s="10">
        <f t="shared" ref="AJ72:AZ72" si="64">AJ80/AJ23</f>
        <v>0.26867877882703178</v>
      </c>
      <c r="AK72" s="236">
        <f t="shared" si="64"/>
        <v>0.23054017388542528</v>
      </c>
      <c r="AL72" s="10">
        <f t="shared" si="64"/>
        <v>0.19229317586419989</v>
      </c>
      <c r="AM72" s="10">
        <f t="shared" si="64"/>
        <v>0.23993017956594884</v>
      </c>
      <c r="AN72" s="10">
        <f t="shared" si="64"/>
        <v>0.25926276251327451</v>
      </c>
      <c r="AO72" s="10">
        <f t="shared" si="64"/>
        <v>0.2488703488715189</v>
      </c>
      <c r="AP72" s="236">
        <f t="shared" si="64"/>
        <v>0.23642795155056898</v>
      </c>
      <c r="AQ72" s="10">
        <f t="shared" si="64"/>
        <v>0.2095447065277016</v>
      </c>
      <c r="AR72" s="10">
        <f t="shared" si="64"/>
        <v>0.18849449204406366</v>
      </c>
      <c r="AS72" s="10">
        <f t="shared" si="64"/>
        <v>0.23165388828039429</v>
      </c>
      <c r="AT72" s="10">
        <f t="shared" si="64"/>
        <v>0.26487959562967456</v>
      </c>
      <c r="AU72" s="236">
        <f t="shared" si="64"/>
        <v>0.22554020433592198</v>
      </c>
      <c r="AV72" s="10">
        <f t="shared" si="64"/>
        <v>0.1627885845291433</v>
      </c>
      <c r="AW72" s="10">
        <f t="shared" si="64"/>
        <v>0.16355843235327552</v>
      </c>
      <c r="AX72" s="10">
        <f t="shared" si="64"/>
        <v>0.22698960220363801</v>
      </c>
      <c r="AY72" s="10">
        <f t="shared" si="64"/>
        <v>0.29701086037148561</v>
      </c>
      <c r="AZ72" s="236">
        <f t="shared" si="64"/>
        <v>0.22392656701368466</v>
      </c>
      <c r="BA72" s="10">
        <f>BA80/BA23</f>
        <v>0.1441099201993167</v>
      </c>
      <c r="BB72" s="10">
        <f t="shared" ref="BB72:BC72" si="65">BB80/BB23</f>
        <v>0.21838743286027856</v>
      </c>
      <c r="BC72" s="10">
        <f t="shared" si="65"/>
        <v>0.25989782000601058</v>
      </c>
      <c r="BD72" s="928">
        <f>BD80/BD23</f>
        <v>0.2878611559492974</v>
      </c>
      <c r="BE72" s="236">
        <f>BE80/BE23</f>
        <v>0.23504373020619873</v>
      </c>
      <c r="BF72" s="10">
        <f>BF80/BF23</f>
        <v>0.22707458640508923</v>
      </c>
      <c r="BG72" s="10">
        <f t="shared" ref="BG72:BH72" si="66">BG80/BG23</f>
        <v>0.25722989919504863</v>
      </c>
      <c r="BH72" s="10">
        <f t="shared" si="66"/>
        <v>0.26522760658193056</v>
      </c>
      <c r="BI72" s="928">
        <f>BI80/BI23</f>
        <v>0.24337619518628423</v>
      </c>
      <c r="BJ72" s="236">
        <f>BJ80/BJ23</f>
        <v>0.24889261737596985</v>
      </c>
      <c r="BK72" s="10">
        <f>BK80/BK23</f>
        <v>0.2751178802760601</v>
      </c>
      <c r="BL72" s="10">
        <f t="shared" ref="BL72:BM72" si="67">BL80/BL23</f>
        <v>0.26817806340435796</v>
      </c>
      <c r="BM72" s="10">
        <f t="shared" si="67"/>
        <v>0.2921365623975446</v>
      </c>
      <c r="BN72" s="928">
        <f>BN80/BN23</f>
        <v>0.25853424924048546</v>
      </c>
      <c r="BO72" s="236">
        <f>BO80/BO23</f>
        <v>0.27327240062438024</v>
      </c>
      <c r="BP72" s="918"/>
      <c r="BQ72" s="918"/>
      <c r="BR72" s="918"/>
      <c r="BS72" s="918"/>
      <c r="BT72" s="262"/>
      <c r="BU72" s="918"/>
      <c r="BV72" s="918"/>
      <c r="BW72" s="918"/>
      <c r="BX72" s="918"/>
      <c r="BY72" s="262"/>
      <c r="CA72" s="989"/>
    </row>
    <row r="73" spans="2:79" s="7" customFormat="1" ht="12" customHeight="1" outlineLevel="1">
      <c r="B73" s="51" t="str">
        <f>B40</f>
        <v>Naval &amp; Power</v>
      </c>
      <c r="C73" s="42">
        <f t="shared" ref="C73:K73" si="68">C82/C40</f>
        <v>0.12326768781911013</v>
      </c>
      <c r="D73" s="42">
        <f t="shared" si="68"/>
        <v>0.13343002175489482</v>
      </c>
      <c r="E73" s="42">
        <f t="shared" si="68"/>
        <v>0.10759969902182091</v>
      </c>
      <c r="F73" s="42">
        <f t="shared" si="68"/>
        <v>0.15409622886866059</v>
      </c>
      <c r="G73" s="236">
        <f t="shared" si="68"/>
        <v>0.13049670642691827</v>
      </c>
      <c r="H73" s="42">
        <f t="shared" si="68"/>
        <v>0.1101168665869557</v>
      </c>
      <c r="I73" s="42">
        <f t="shared" si="68"/>
        <v>0.10858845959983345</v>
      </c>
      <c r="J73" s="42">
        <f t="shared" si="68"/>
        <v>9.3837015036198262E-2</v>
      </c>
      <c r="K73" s="42">
        <f t="shared" si="68"/>
        <v>7.984014843359738E-2</v>
      </c>
      <c r="L73" s="236"/>
      <c r="M73" s="42"/>
      <c r="N73" s="42"/>
      <c r="O73" s="42"/>
      <c r="P73" s="42"/>
      <c r="Q73" s="236"/>
      <c r="R73" s="42"/>
      <c r="S73" s="42"/>
      <c r="T73" s="42"/>
      <c r="U73" s="42"/>
      <c r="V73" s="236"/>
      <c r="W73" s="10"/>
      <c r="X73" s="33"/>
      <c r="Y73" s="33"/>
      <c r="Z73" s="33"/>
      <c r="AA73" s="236"/>
      <c r="AB73" s="10"/>
      <c r="AC73" s="10"/>
      <c r="AD73" s="10"/>
      <c r="AE73" s="10"/>
      <c r="AF73" s="236"/>
      <c r="AG73" s="10">
        <f t="shared" ref="AG73:AZ73" si="69">AG82/AG40</f>
        <v>0.15252154255628919</v>
      </c>
      <c r="AH73" s="10">
        <f t="shared" si="69"/>
        <v>0.18388320640929587</v>
      </c>
      <c r="AI73" s="10">
        <f t="shared" si="69"/>
        <v>0.17841038981505339</v>
      </c>
      <c r="AJ73" s="10">
        <f t="shared" si="69"/>
        <v>0.20722324038369569</v>
      </c>
      <c r="AK73" s="236">
        <f t="shared" si="69"/>
        <v>0.18114133857251466</v>
      </c>
      <c r="AL73" s="10">
        <f t="shared" si="69"/>
        <v>0.14689517856011772</v>
      </c>
      <c r="AM73" s="10">
        <f t="shared" si="69"/>
        <v>0.168688986318759</v>
      </c>
      <c r="AN73" s="10">
        <f t="shared" si="69"/>
        <v>0.18371499024932647</v>
      </c>
      <c r="AO73" s="10">
        <f t="shared" si="69"/>
        <v>0.21357193413098588</v>
      </c>
      <c r="AP73" s="236">
        <f t="shared" si="69"/>
        <v>0.17968081696199206</v>
      </c>
      <c r="AQ73" s="10">
        <f t="shared" si="69"/>
        <v>0.17659852109612875</v>
      </c>
      <c r="AR73" s="10">
        <f t="shared" si="69"/>
        <v>0.17261904761904762</v>
      </c>
      <c r="AS73" s="10">
        <f t="shared" si="69"/>
        <v>0.18657033574160645</v>
      </c>
      <c r="AT73" s="10">
        <f t="shared" si="69"/>
        <v>0.19276996743301195</v>
      </c>
      <c r="AU73" s="236">
        <f t="shared" si="69"/>
        <v>0.18214676412819172</v>
      </c>
      <c r="AV73" s="10">
        <f t="shared" si="69"/>
        <v>0.14521928267045456</v>
      </c>
      <c r="AW73" s="10">
        <f t="shared" si="69"/>
        <v>0.19902004489802416</v>
      </c>
      <c r="AX73" s="10">
        <f t="shared" si="69"/>
        <v>0.18918602518526034</v>
      </c>
      <c r="AY73" s="10">
        <f t="shared" si="69"/>
        <v>0.20285550308607792</v>
      </c>
      <c r="AZ73" s="236">
        <f t="shared" si="69"/>
        <v>0.18592489968255446</v>
      </c>
      <c r="BA73" s="10">
        <f t="shared" ref="BA73:BC73" si="70">BA82/BA40</f>
        <v>0.15253193319286859</v>
      </c>
      <c r="BB73" s="10">
        <f t="shared" si="70"/>
        <v>0.17631430670365961</v>
      </c>
      <c r="BC73" s="10">
        <f t="shared" si="70"/>
        <v>0.17027635676156583</v>
      </c>
      <c r="BD73" s="928">
        <f>BD82/BD40</f>
        <v>0.19288795904046577</v>
      </c>
      <c r="BE73" s="236">
        <f>BE82/BE40</f>
        <v>0.17371587057982041</v>
      </c>
      <c r="BF73" s="10">
        <f t="shared" ref="BF73:BH73" si="71">BF82/BF40</f>
        <v>0.12474610157354991</v>
      </c>
      <c r="BG73" s="10">
        <f t="shared" si="71"/>
        <v>0.14430606193786405</v>
      </c>
      <c r="BH73" s="10">
        <f t="shared" si="71"/>
        <v>0.16440424166488402</v>
      </c>
      <c r="BI73" s="928">
        <f>BI82/BI40</f>
        <v>0.19111878145588154</v>
      </c>
      <c r="BJ73" s="236">
        <f>BJ82/BJ40</f>
        <v>0.15780185395236046</v>
      </c>
      <c r="BK73" s="10">
        <f t="shared" ref="BK73:BM73" si="72">BK82/BK40</f>
        <v>0.13483577655408346</v>
      </c>
      <c r="BL73" s="10">
        <f t="shared" si="72"/>
        <v>0.16531096931276937</v>
      </c>
      <c r="BM73" s="10">
        <f t="shared" si="72"/>
        <v>0.16643661045686989</v>
      </c>
      <c r="BN73" s="928">
        <f>BN82/BN40</f>
        <v>0.17929664473274318</v>
      </c>
      <c r="BO73" s="236">
        <f>BO82/BO40</f>
        <v>0.16271302366863116</v>
      </c>
      <c r="BP73" s="918"/>
      <c r="BQ73" s="918"/>
      <c r="BR73" s="918"/>
      <c r="BS73" s="918"/>
      <c r="BT73" s="262"/>
      <c r="BU73" s="918"/>
      <c r="BV73" s="918"/>
      <c r="BW73" s="918"/>
      <c r="BX73" s="918"/>
      <c r="BY73" s="262"/>
      <c r="CA73" s="989"/>
    </row>
    <row r="74" spans="2:79" s="4" customFormat="1" ht="12" customHeight="1" outlineLevel="1">
      <c r="B74" s="49" t="s">
        <v>230</v>
      </c>
      <c r="C74" s="47">
        <f t="shared" ref="C74:AH74" si="73">+C85/C63</f>
        <v>8.2322006472491924E-2</v>
      </c>
      <c r="D74" s="47">
        <f t="shared" si="73"/>
        <v>0.11257393627170385</v>
      </c>
      <c r="E74" s="47">
        <f t="shared" si="73"/>
        <v>0.12866640594446621</v>
      </c>
      <c r="F74" s="47">
        <f t="shared" si="73"/>
        <v>0.12155729343760625</v>
      </c>
      <c r="G74" s="247">
        <f t="shared" si="73"/>
        <v>0.11193994617817855</v>
      </c>
      <c r="H74" s="47">
        <f t="shared" si="73"/>
        <v>0.11240996097311218</v>
      </c>
      <c r="I74" s="47">
        <f t="shared" si="73"/>
        <v>0.12677310883031914</v>
      </c>
      <c r="J74" s="47">
        <f t="shared" si="73"/>
        <v>0.13297145507653346</v>
      </c>
      <c r="K74" s="47">
        <f t="shared" si="73"/>
        <v>0.13086418459410462</v>
      </c>
      <c r="L74" s="247">
        <f t="shared" si="73"/>
        <v>0.12588369980108116</v>
      </c>
      <c r="M74" s="47">
        <f t="shared" si="73"/>
        <v>0.13334883439918419</v>
      </c>
      <c r="N74" s="47">
        <f t="shared" si="73"/>
        <v>0.12003433640135437</v>
      </c>
      <c r="O74" s="47">
        <f t="shared" si="73"/>
        <v>0.12142483374085454</v>
      </c>
      <c r="P74" s="47">
        <f t="shared" si="73"/>
        <v>0.18433304175760715</v>
      </c>
      <c r="Q74" s="247">
        <f t="shared" si="73"/>
        <v>0.14082576689397339</v>
      </c>
      <c r="R74" s="47">
        <f t="shared" si="73"/>
        <v>0.11372830963621161</v>
      </c>
      <c r="S74" s="47">
        <f t="shared" si="73"/>
        <v>0.12780282525536543</v>
      </c>
      <c r="T74" s="47">
        <f t="shared" si="73"/>
        <v>0.15100415703659295</v>
      </c>
      <c r="U74" s="47">
        <f t="shared" si="73"/>
        <v>0.18772875314286927</v>
      </c>
      <c r="V74" s="247">
        <f t="shared" si="73"/>
        <v>0.14609202482205441</v>
      </c>
      <c r="W74" s="142">
        <f t="shared" si="73"/>
        <v>9.9573426586782421E-2</v>
      </c>
      <c r="X74" s="47">
        <f t="shared" si="73"/>
        <v>0.14954514465703517</v>
      </c>
      <c r="Y74" s="47">
        <f t="shared" si="73"/>
        <v>0.16252788778325797</v>
      </c>
      <c r="Z74" s="47">
        <f t="shared" si="73"/>
        <v>0.17203631098203737</v>
      </c>
      <c r="AA74" s="247">
        <f t="shared" si="73"/>
        <v>0.14733032558852252</v>
      </c>
      <c r="AB74" s="142">
        <f t="shared" si="73"/>
        <v>0.11779983270078648</v>
      </c>
      <c r="AC74" s="142">
        <f t="shared" si="73"/>
        <v>0.17584290131517433</v>
      </c>
      <c r="AD74" s="142">
        <f t="shared" si="73"/>
        <v>0.1650959954181524</v>
      </c>
      <c r="AE74" s="142">
        <f t="shared" si="73"/>
        <v>0.17021470132064592</v>
      </c>
      <c r="AF74" s="247">
        <f t="shared" si="73"/>
        <v>0.15849964860780277</v>
      </c>
      <c r="AG74" s="142">
        <f t="shared" si="73"/>
        <v>0.12500242778968879</v>
      </c>
      <c r="AH74" s="142">
        <f t="shared" si="73"/>
        <v>0.16753791080138372</v>
      </c>
      <c r="AI74" s="142">
        <f t="shared" ref="AI74:AZ74" si="74">+AI85/AI63</f>
        <v>0.17263922089858885</v>
      </c>
      <c r="AJ74" s="142">
        <f t="shared" si="74"/>
        <v>0.18586177243159599</v>
      </c>
      <c r="AK74" s="247">
        <f t="shared" si="74"/>
        <v>0.16369074095864991</v>
      </c>
      <c r="AL74" s="142">
        <f t="shared" si="74"/>
        <v>0.13366073545330465</v>
      </c>
      <c r="AM74" s="142">
        <f t="shared" si="74"/>
        <v>0.14370904360230241</v>
      </c>
      <c r="AN74" s="142">
        <f t="shared" si="74"/>
        <v>0.17421588308978611</v>
      </c>
      <c r="AO74" s="142">
        <f t="shared" si="74"/>
        <v>0.19671817492276517</v>
      </c>
      <c r="AP74" s="247">
        <f t="shared" si="74"/>
        <v>0.16327450252398351</v>
      </c>
      <c r="AQ74" s="142">
        <f t="shared" si="74"/>
        <v>0.15046787591117142</v>
      </c>
      <c r="AR74" s="142">
        <f t="shared" si="74"/>
        <v>0.15598227474150664</v>
      </c>
      <c r="AS74" s="142">
        <f t="shared" si="74"/>
        <v>0.17513848159009451</v>
      </c>
      <c r="AT74" s="142">
        <f t="shared" si="74"/>
        <v>0.19697878373078551</v>
      </c>
      <c r="AU74" s="247">
        <f t="shared" si="74"/>
        <v>0.17031202459669592</v>
      </c>
      <c r="AV74" s="142">
        <f t="shared" si="74"/>
        <v>0.12657361281662172</v>
      </c>
      <c r="AW74" s="142">
        <f t="shared" si="74"/>
        <v>0.16099757613353091</v>
      </c>
      <c r="AX74" s="142">
        <f t="shared" si="74"/>
        <v>0.18157077561843624</v>
      </c>
      <c r="AY74" s="142">
        <f t="shared" si="74"/>
        <v>0.21074221456712403</v>
      </c>
      <c r="AZ74" s="247">
        <f t="shared" si="74"/>
        <v>0.17327871256636129</v>
      </c>
      <c r="BA74" s="142">
        <f t="shared" ref="BA74:BC74" si="75">+BA85/BA63</f>
        <v>0.12885743271090258</v>
      </c>
      <c r="BB74" s="142">
        <f t="shared" si="75"/>
        <v>0.16387656942969581</v>
      </c>
      <c r="BC74" s="142">
        <f t="shared" si="75"/>
        <v>0.18479524413040538</v>
      </c>
      <c r="BD74" s="920">
        <f>+BD85/BD63</f>
        <v>0.20771681019507734</v>
      </c>
      <c r="BE74" s="247">
        <f>+BE85/BE63</f>
        <v>0.17354455812998859</v>
      </c>
      <c r="BF74" s="142">
        <f t="shared" ref="BF74:BH74" si="76">+BF85/BF63</f>
        <v>0.14016492630758293</v>
      </c>
      <c r="BG74" s="142">
        <f t="shared" si="76"/>
        <v>0.16991147961686615</v>
      </c>
      <c r="BH74" s="142">
        <f t="shared" si="76"/>
        <v>0.18658610771067866</v>
      </c>
      <c r="BI74" s="920">
        <f>+BI85/BI63</f>
        <v>0.19833849520752433</v>
      </c>
      <c r="BJ74" s="247">
        <f>+BJ85/BJ63</f>
        <v>0.17489040234346589</v>
      </c>
      <c r="BK74" s="142">
        <f t="shared" ref="BK74:BM74" si="77">+BK85/BK63</f>
        <v>0.16633877203979422</v>
      </c>
      <c r="BL74" s="142">
        <f t="shared" si="77"/>
        <v>0.18257629686416238</v>
      </c>
      <c r="BM74" s="142">
        <f t="shared" si="77"/>
        <v>0.19601804019927055</v>
      </c>
      <c r="BN74" s="920">
        <f>+BN85/BN63</f>
        <v>0.19701556842217527</v>
      </c>
      <c r="BO74" s="247">
        <f>+BO85/BO63</f>
        <v>0.1860851275964934</v>
      </c>
      <c r="BP74" s="919"/>
      <c r="BQ74" s="919"/>
      <c r="BR74" s="919"/>
      <c r="BS74" s="919"/>
      <c r="BT74" s="279"/>
      <c r="BU74" s="919"/>
      <c r="BV74" s="919"/>
      <c r="BW74" s="919"/>
      <c r="BX74" s="919"/>
      <c r="BY74" s="279"/>
    </row>
    <row r="75" spans="2:79" s="4" customFormat="1" ht="12" customHeight="1" outlineLevel="1">
      <c r="B75" s="260" t="s">
        <v>184</v>
      </c>
      <c r="C75" s="47"/>
      <c r="D75" s="47"/>
      <c r="E75" s="47"/>
      <c r="F75" s="47"/>
      <c r="G75" s="247"/>
      <c r="H75" s="47"/>
      <c r="I75" s="47"/>
      <c r="J75" s="47"/>
      <c r="K75" s="47"/>
      <c r="L75" s="247"/>
      <c r="M75" s="47"/>
      <c r="N75" s="47"/>
      <c r="O75" s="47"/>
      <c r="P75" s="47"/>
      <c r="Q75" s="247"/>
      <c r="R75" s="47"/>
      <c r="S75" s="47"/>
      <c r="T75" s="47"/>
      <c r="U75" s="47"/>
      <c r="V75" s="247"/>
      <c r="W75" s="142"/>
      <c r="X75" s="47"/>
      <c r="Y75" s="47"/>
      <c r="Z75" s="47"/>
      <c r="AA75" s="247"/>
      <c r="AB75" s="142"/>
      <c r="AC75" s="142"/>
      <c r="AD75" s="142"/>
      <c r="AE75" s="142"/>
      <c r="AF75" s="247"/>
      <c r="AG75" s="142"/>
      <c r="AH75" s="142"/>
      <c r="AI75" s="142"/>
      <c r="AJ75" s="397" t="s">
        <v>231</v>
      </c>
      <c r="AK75" s="398" t="str">
        <f>AJ75</f>
        <v>16.5-16.6%</v>
      </c>
      <c r="AL75" s="142"/>
      <c r="AM75" s="142"/>
      <c r="AN75" s="142"/>
      <c r="AO75" s="397" t="s">
        <v>231</v>
      </c>
      <c r="AP75" s="398" t="str">
        <f>AO75</f>
        <v>16.5-16.6%</v>
      </c>
      <c r="AQ75" s="397" t="s">
        <v>232</v>
      </c>
      <c r="AR75" s="397" t="s">
        <v>233</v>
      </c>
      <c r="AS75" s="142"/>
      <c r="AT75" s="397" t="s">
        <v>234</v>
      </c>
      <c r="AU75" s="398" t="str">
        <f>AT75</f>
        <v>17.1-17.3%</v>
      </c>
      <c r="AV75" s="142"/>
      <c r="AW75" s="142"/>
      <c r="AX75" s="142"/>
      <c r="AY75" s="397" t="s">
        <v>235</v>
      </c>
      <c r="AZ75" s="398" t="str">
        <f>AY75</f>
        <v>17.4-17.6%</v>
      </c>
      <c r="BA75" s="397" t="s">
        <v>235</v>
      </c>
      <c r="BB75" s="397" t="s">
        <v>235</v>
      </c>
      <c r="BC75" s="397" t="s">
        <v>235</v>
      </c>
      <c r="BD75" s="397" t="s">
        <v>235</v>
      </c>
      <c r="BE75" s="398" t="str">
        <f>BD75</f>
        <v>17.4-17.6%</v>
      </c>
      <c r="BF75" s="397" t="s">
        <v>235</v>
      </c>
      <c r="BG75" s="397" t="s">
        <v>235</v>
      </c>
      <c r="BH75" s="993" t="s">
        <v>235</v>
      </c>
      <c r="BI75" s="993" t="s">
        <v>236</v>
      </c>
      <c r="BJ75" s="398" t="str">
        <f>BI75</f>
        <v>17.9-18.1%</v>
      </c>
      <c r="BK75" s="397" t="s">
        <v>237</v>
      </c>
      <c r="BL75" s="397" t="s">
        <v>1180</v>
      </c>
      <c r="BM75" s="993" t="s">
        <v>1180</v>
      </c>
      <c r="BN75" s="993" t="s">
        <v>1286</v>
      </c>
      <c r="BO75" s="398" t="str">
        <f>BN75</f>
        <v>18.9-19.2%</v>
      </c>
      <c r="BP75" s="920"/>
      <c r="BQ75" s="920"/>
      <c r="BR75" s="920"/>
      <c r="BS75" s="920"/>
      <c r="BT75" s="279"/>
      <c r="BU75" s="920"/>
      <c r="BV75" s="920"/>
      <c r="BW75" s="920"/>
      <c r="BX75" s="920"/>
      <c r="BY75" s="279"/>
    </row>
    <row r="76" spans="2:79" s="4" customFormat="1" ht="12" customHeight="1" outlineLevel="1">
      <c r="B76" s="49"/>
      <c r="C76" s="47"/>
      <c r="D76" s="47"/>
      <c r="E76" s="47"/>
      <c r="F76" s="47"/>
      <c r="G76" s="247"/>
      <c r="H76" s="47"/>
      <c r="I76" s="47"/>
      <c r="J76" s="47"/>
      <c r="K76" s="47"/>
      <c r="L76" s="247"/>
      <c r="M76" s="47"/>
      <c r="N76" s="47"/>
      <c r="O76" s="47"/>
      <c r="P76" s="47"/>
      <c r="Q76" s="247"/>
      <c r="R76" s="47"/>
      <c r="S76" s="47"/>
      <c r="T76" s="47"/>
      <c r="U76" s="47"/>
      <c r="V76" s="247"/>
      <c r="W76" s="142"/>
      <c r="X76" s="47"/>
      <c r="Y76" s="47"/>
      <c r="Z76" s="47"/>
      <c r="AA76" s="247"/>
      <c r="AB76" s="142"/>
      <c r="AC76" s="142"/>
      <c r="AD76" s="142"/>
      <c r="AE76" s="142"/>
      <c r="AF76" s="247"/>
      <c r="AG76" s="142"/>
      <c r="AH76" s="142"/>
      <c r="AI76" s="142"/>
      <c r="AJ76" s="142"/>
      <c r="AK76" s="247"/>
      <c r="AL76" s="142"/>
      <c r="AM76" s="142"/>
      <c r="AN76" s="142"/>
      <c r="AO76" s="142"/>
      <c r="AP76" s="247"/>
      <c r="AQ76" s="142"/>
      <c r="AR76" s="142"/>
      <c r="AS76" s="142"/>
      <c r="AT76" s="142"/>
      <c r="AU76" s="247"/>
      <c r="AV76" s="142"/>
      <c r="AW76" s="142"/>
      <c r="AX76" s="142"/>
      <c r="AY76" s="142"/>
      <c r="AZ76" s="247"/>
      <c r="BA76" s="142"/>
      <c r="BB76" s="142"/>
      <c r="BC76" s="142"/>
      <c r="BD76" s="142"/>
      <c r="BE76" s="247"/>
      <c r="BF76" s="142"/>
      <c r="BG76" s="142"/>
      <c r="BH76" s="142"/>
      <c r="BI76" s="142"/>
      <c r="BJ76" s="247"/>
      <c r="BK76" s="142"/>
      <c r="BL76" s="142"/>
      <c r="BM76" s="142"/>
      <c r="BN76" s="1056">
        <f>BN71-BI71</f>
        <v>-1.2510579077843892E-2</v>
      </c>
      <c r="BO76" s="247"/>
      <c r="BP76" s="920"/>
      <c r="BQ76" s="920"/>
      <c r="BR76" s="920"/>
      <c r="BS76" s="920"/>
      <c r="BT76" s="279"/>
      <c r="BU76" s="920"/>
      <c r="BV76" s="920"/>
      <c r="BW76" s="920"/>
      <c r="BX76" s="920"/>
      <c r="BY76" s="279"/>
    </row>
    <row r="77" spans="2:79" s="4" customFormat="1" ht="12" customHeight="1" outlineLevel="1">
      <c r="B77" s="49" t="s">
        <v>238</v>
      </c>
      <c r="C77" s="46"/>
      <c r="D77" s="46"/>
      <c r="E77" s="46"/>
      <c r="F77" s="46"/>
      <c r="G77" s="245"/>
      <c r="H77" s="46"/>
      <c r="I77" s="46"/>
      <c r="J77" s="46"/>
      <c r="K77" s="46"/>
      <c r="L77" s="245"/>
      <c r="M77" s="46"/>
      <c r="N77" s="46"/>
      <c r="O77" s="46"/>
      <c r="P77" s="46"/>
      <c r="Q77" s="245"/>
      <c r="R77" s="135"/>
      <c r="S77" s="46"/>
      <c r="T77" s="46"/>
      <c r="U77" s="46"/>
      <c r="V77" s="245"/>
      <c r="W77" s="143"/>
      <c r="X77" s="46"/>
      <c r="Y77" s="46"/>
      <c r="Z77" s="46"/>
      <c r="AA77" s="245"/>
      <c r="AB77" s="143"/>
      <c r="AC77" s="143"/>
      <c r="AD77" s="143"/>
      <c r="AE77" s="143"/>
      <c r="AF77" s="245"/>
      <c r="AG77" s="143"/>
      <c r="AH77" s="143"/>
      <c r="AI77" s="143"/>
      <c r="AJ77" s="143"/>
      <c r="AK77" s="245"/>
      <c r="AL77" s="173"/>
      <c r="AM77" s="173"/>
      <c r="AN77" s="173"/>
      <c r="AO77" s="173"/>
      <c r="AP77" s="245"/>
      <c r="AQ77" s="143"/>
      <c r="AR77" s="143"/>
      <c r="AS77" s="143"/>
      <c r="AT77" s="143"/>
      <c r="AU77" s="245"/>
      <c r="AV77" s="143"/>
      <c r="AW77" s="143"/>
      <c r="AX77" s="143"/>
      <c r="AY77" s="143"/>
      <c r="AZ77" s="245"/>
      <c r="BA77" s="143"/>
      <c r="BB77" s="143"/>
      <c r="BC77" s="143"/>
      <c r="BD77" s="143"/>
      <c r="BE77" s="245"/>
      <c r="BF77" s="143"/>
      <c r="BG77" s="143"/>
      <c r="BH77" s="143"/>
      <c r="BI77" s="143"/>
      <c r="BJ77" s="245"/>
      <c r="BK77" s="143"/>
      <c r="BL77" s="143"/>
      <c r="BM77" s="143"/>
      <c r="BN77" s="143"/>
      <c r="BO77" s="245"/>
      <c r="BP77" s="143"/>
      <c r="BQ77" s="143"/>
      <c r="BR77" s="143"/>
      <c r="BS77" s="143"/>
      <c r="BT77" s="280"/>
      <c r="BU77" s="143"/>
      <c r="BV77" s="143"/>
      <c r="BW77" s="143"/>
      <c r="BX77" s="143"/>
      <c r="BY77" s="280"/>
    </row>
    <row r="78" spans="2:79" s="7" customFormat="1" ht="12" customHeight="1" outlineLevel="1">
      <c r="B78" s="51" t="s">
        <v>239</v>
      </c>
      <c r="C78" s="59">
        <v>25.3</v>
      </c>
      <c r="D78" s="59">
        <v>33.6</v>
      </c>
      <c r="E78" s="59">
        <v>39</v>
      </c>
      <c r="F78" s="59">
        <v>33.4</v>
      </c>
      <c r="G78" s="248">
        <f>SUM(C78:F78)</f>
        <v>131.30000000000001</v>
      </c>
      <c r="H78" s="59">
        <v>38.496000000000002</v>
      </c>
      <c r="I78" s="59">
        <v>45.75</v>
      </c>
      <c r="J78" s="59">
        <v>51.069000000000003</v>
      </c>
      <c r="K78" s="59">
        <v>43.369</v>
      </c>
      <c r="L78" s="248"/>
      <c r="M78" s="59"/>
      <c r="N78" s="59"/>
      <c r="O78" s="59"/>
      <c r="P78" s="75"/>
      <c r="Q78" s="248"/>
      <c r="R78" s="59"/>
      <c r="S78" s="59"/>
      <c r="T78" s="59"/>
      <c r="U78" s="59"/>
      <c r="V78" s="248"/>
      <c r="W78" s="59"/>
      <c r="X78" s="59"/>
      <c r="Y78" s="59"/>
      <c r="Z78" s="59"/>
      <c r="AA78" s="248"/>
      <c r="AB78" s="144"/>
      <c r="AC78" s="144"/>
      <c r="AD78" s="144"/>
      <c r="AE78" s="144"/>
      <c r="AF78" s="248"/>
      <c r="AG78" s="144">
        <v>26.628483208817563</v>
      </c>
      <c r="AH78" s="144">
        <v>38.735760250678979</v>
      </c>
      <c r="AI78" s="144">
        <v>30.109406870055224</v>
      </c>
      <c r="AJ78" s="144">
        <v>33.509887539411558</v>
      </c>
      <c r="AK78" s="248">
        <f>SUM(AG78:AJ78)</f>
        <v>128.98353786896334</v>
      </c>
      <c r="AL78" s="144">
        <v>28.420283152666077</v>
      </c>
      <c r="AM78" s="144">
        <v>12.798425134949682</v>
      </c>
      <c r="AN78" s="144">
        <v>22.897945094763696</v>
      </c>
      <c r="AO78" s="144">
        <v>33.718108941507722</v>
      </c>
      <c r="AP78" s="248">
        <f>SUM(AL78:AO78)</f>
        <v>97.834762323887176</v>
      </c>
      <c r="AQ78" s="144">
        <v>18.5</v>
      </c>
      <c r="AR78" s="144">
        <v>30.5</v>
      </c>
      <c r="AS78" s="144">
        <v>30.8</v>
      </c>
      <c r="AT78" s="144">
        <v>40.436</v>
      </c>
      <c r="AU78" s="248">
        <f>SUM(AQ78:AT78)</f>
        <v>120.23599999999999</v>
      </c>
      <c r="AV78" s="144">
        <v>24.853000000000002</v>
      </c>
      <c r="AW78" s="144">
        <v>32.463999999999999</v>
      </c>
      <c r="AX78" s="144">
        <v>39.08</v>
      </c>
      <c r="AY78" s="144">
        <v>41.302</v>
      </c>
      <c r="AZ78" s="248">
        <f>SUM(AV78:AY78)</f>
        <v>137.69899999999998</v>
      </c>
      <c r="BA78" s="144">
        <v>26.545000000000002</v>
      </c>
      <c r="BB78" s="144">
        <v>35.664999999999999</v>
      </c>
      <c r="BC78" s="144">
        <v>39.014000000000003</v>
      </c>
      <c r="BD78" s="144">
        <v>44.054000000000002</v>
      </c>
      <c r="BE78" s="248">
        <f>SUM(BA78:BD78)</f>
        <v>145.27800000000002</v>
      </c>
      <c r="BF78" s="144">
        <v>27.466000000000001</v>
      </c>
      <c r="BG78" s="144">
        <v>37.865000000000002</v>
      </c>
      <c r="BH78" s="984">
        <v>39.360999999999997</v>
      </c>
      <c r="BI78" s="984">
        <v>53.57</v>
      </c>
      <c r="BJ78" s="248">
        <f>SUM(BF78:BI78)</f>
        <v>158.262</v>
      </c>
      <c r="BK78" s="984">
        <v>31.686</v>
      </c>
      <c r="BL78" s="984">
        <v>39.588000000000001</v>
      </c>
      <c r="BM78" s="984">
        <v>46.009</v>
      </c>
      <c r="BN78" s="984">
        <v>52.737000000000002</v>
      </c>
      <c r="BO78" s="248">
        <f>SUM(BK78:BN78)</f>
        <v>170.02</v>
      </c>
      <c r="BP78" s="921"/>
      <c r="BQ78" s="921"/>
      <c r="BR78" s="921"/>
      <c r="BS78" s="921"/>
      <c r="BT78" s="281"/>
      <c r="BU78" s="921"/>
      <c r="BV78" s="921"/>
      <c r="BW78" s="921"/>
      <c r="BX78" s="921"/>
      <c r="BY78" s="281"/>
    </row>
    <row r="79" spans="2:79" s="7" customFormat="1" ht="12" customHeight="1" outlineLevel="1">
      <c r="B79" s="260" t="s">
        <v>184</v>
      </c>
      <c r="C79" s="59"/>
      <c r="D79" s="59"/>
      <c r="E79" s="59"/>
      <c r="F79" s="59"/>
      <c r="G79" s="248"/>
      <c r="H79" s="59"/>
      <c r="I79" s="59"/>
      <c r="J79" s="59"/>
      <c r="K79" s="59"/>
      <c r="L79" s="248"/>
      <c r="M79" s="59"/>
      <c r="N79" s="59"/>
      <c r="O79" s="59"/>
      <c r="P79" s="75"/>
      <c r="Q79" s="248"/>
      <c r="R79" s="59"/>
      <c r="S79" s="59"/>
      <c r="T79" s="59"/>
      <c r="U79" s="59"/>
      <c r="V79" s="248"/>
      <c r="W79" s="59"/>
      <c r="X79" s="59"/>
      <c r="Y79" s="59"/>
      <c r="Z79" s="59"/>
      <c r="AA79" s="248"/>
      <c r="AB79" s="144"/>
      <c r="AC79" s="144"/>
      <c r="AD79" s="144"/>
      <c r="AE79" s="144"/>
      <c r="AF79" s="248"/>
      <c r="AG79" s="144"/>
      <c r="AH79" s="144"/>
      <c r="AI79" s="144"/>
      <c r="AJ79" s="144"/>
      <c r="AK79" s="248"/>
      <c r="AL79" s="144"/>
      <c r="AM79" s="144"/>
      <c r="AN79" s="144"/>
      <c r="AO79" s="144"/>
      <c r="AP79" s="248"/>
      <c r="AQ79" s="144"/>
      <c r="AR79" s="144"/>
      <c r="AS79" s="144"/>
      <c r="AT79" s="535" t="s">
        <v>240</v>
      </c>
      <c r="AU79" s="396" t="str">
        <f>AT79</f>
        <v>131-135</v>
      </c>
      <c r="AV79" s="535"/>
      <c r="AW79" s="535" t="s">
        <v>241</v>
      </c>
      <c r="AX79" s="535" t="s">
        <v>242</v>
      </c>
      <c r="AY79" s="535" t="s">
        <v>243</v>
      </c>
      <c r="AZ79" s="396" t="str">
        <f>AY79</f>
        <v>143-148</v>
      </c>
      <c r="BA79" s="535" t="s">
        <v>243</v>
      </c>
      <c r="BB79" s="535" t="s">
        <v>244</v>
      </c>
      <c r="BC79" s="535" t="s">
        <v>245</v>
      </c>
      <c r="BD79" s="535" t="s">
        <v>246</v>
      </c>
      <c r="BE79" s="396" t="str">
        <f>BD79</f>
        <v>152-156</v>
      </c>
      <c r="BF79" s="535" t="s">
        <v>246</v>
      </c>
      <c r="BG79" s="535" t="s">
        <v>247</v>
      </c>
      <c r="BH79" s="992" t="s">
        <v>247</v>
      </c>
      <c r="BI79" s="992" t="s">
        <v>248</v>
      </c>
      <c r="BJ79" s="396" t="str">
        <f>BI79</f>
        <v>167-172</v>
      </c>
      <c r="BK79" s="535" t="s">
        <v>249</v>
      </c>
      <c r="BL79" s="535" t="s">
        <v>1185</v>
      </c>
      <c r="BM79" s="992" t="s">
        <v>1234</v>
      </c>
      <c r="BN79" s="992" t="s">
        <v>1287</v>
      </c>
      <c r="BO79" s="396" t="str">
        <f>BN79</f>
        <v>189-193</v>
      </c>
      <c r="BP79" s="921"/>
      <c r="BQ79" s="921"/>
      <c r="BR79" s="921"/>
      <c r="BS79" s="921"/>
      <c r="BT79" s="281"/>
      <c r="BU79" s="921"/>
      <c r="BV79" s="921"/>
      <c r="BW79" s="921"/>
      <c r="BX79" s="921"/>
      <c r="BY79" s="281"/>
    </row>
    <row r="80" spans="2:79" s="7" customFormat="1" ht="12" customHeight="1" outlineLevel="1">
      <c r="B80" s="51" t="str">
        <f>B23</f>
        <v>Defense Electronics</v>
      </c>
      <c r="C80" s="59">
        <v>8.3000000000000007</v>
      </c>
      <c r="D80" s="59">
        <v>19.100000000000001</v>
      </c>
      <c r="E80" s="59">
        <v>18.600000000000001</v>
      </c>
      <c r="F80" s="59">
        <v>28.4</v>
      </c>
      <c r="G80" s="248">
        <f>SUM(C80:F80)</f>
        <v>74.400000000000006</v>
      </c>
      <c r="H80" s="59">
        <v>15.784000000000001</v>
      </c>
      <c r="I80" s="59">
        <v>18.001999999999999</v>
      </c>
      <c r="J80" s="59">
        <v>22.48</v>
      </c>
      <c r="K80" s="59">
        <v>26.286000000000001</v>
      </c>
      <c r="L80" s="248"/>
      <c r="M80" s="59"/>
      <c r="N80" s="75"/>
      <c r="O80" s="75"/>
      <c r="P80" s="75"/>
      <c r="Q80" s="248"/>
      <c r="R80" s="59"/>
      <c r="S80" s="75"/>
      <c r="T80" s="75"/>
      <c r="U80" s="75"/>
      <c r="V80" s="248"/>
      <c r="W80" s="59"/>
      <c r="X80" s="75"/>
      <c r="Y80" s="75"/>
      <c r="Z80" s="75"/>
      <c r="AA80" s="248"/>
      <c r="AB80" s="144"/>
      <c r="AC80" s="144"/>
      <c r="AD80" s="144"/>
      <c r="AE80" s="144"/>
      <c r="AF80" s="248"/>
      <c r="AG80" s="144">
        <v>16.86449941614908</v>
      </c>
      <c r="AH80" s="144">
        <v>28.511125395120064</v>
      </c>
      <c r="AI80" s="144">
        <v>36.407174728105609</v>
      </c>
      <c r="AJ80" s="144">
        <v>39.352795283736278</v>
      </c>
      <c r="AK80" s="248">
        <f>SUM(AG80:AJ80)</f>
        <v>121.13559482311103</v>
      </c>
      <c r="AL80" s="144">
        <v>26.840473780300883</v>
      </c>
      <c r="AM80" s="144">
        <v>33.545118265474443</v>
      </c>
      <c r="AN80" s="144">
        <v>38.64907779614137</v>
      </c>
      <c r="AO80" s="144">
        <v>45.337458064971216</v>
      </c>
      <c r="AP80" s="248">
        <f>SUM(AL80:AO80)</f>
        <v>144.3721279068879</v>
      </c>
      <c r="AQ80" s="144">
        <v>38.200000000000003</v>
      </c>
      <c r="AR80" s="144">
        <v>30.8</v>
      </c>
      <c r="AS80" s="144">
        <v>42.3</v>
      </c>
      <c r="AT80" s="144">
        <v>52.875</v>
      </c>
      <c r="AU80" s="248">
        <f>SUM(AQ80:AT80)</f>
        <v>164.17500000000001</v>
      </c>
      <c r="AV80" s="144">
        <v>23.29</v>
      </c>
      <c r="AW80" s="144">
        <v>24.46</v>
      </c>
      <c r="AX80" s="144">
        <v>36.588000000000001</v>
      </c>
      <c r="AY80" s="144">
        <v>70.23</v>
      </c>
      <c r="AZ80" s="248">
        <f>SUM(AV80:AY80)</f>
        <v>154.56799999999998</v>
      </c>
      <c r="BA80" s="144">
        <v>23.367999999999999</v>
      </c>
      <c r="BB80" s="144">
        <v>43.18</v>
      </c>
      <c r="BC80" s="144">
        <v>56.212000000000003</v>
      </c>
      <c r="BD80" s="144">
        <v>69.015000000000001</v>
      </c>
      <c r="BE80" s="248">
        <f>SUM(BA80:BD80)</f>
        <v>191.77500000000001</v>
      </c>
      <c r="BF80" s="144">
        <v>48.081000000000003</v>
      </c>
      <c r="BG80" s="144">
        <v>58.767000000000003</v>
      </c>
      <c r="BH80" s="984">
        <v>64.457999999999998</v>
      </c>
      <c r="BI80" s="984">
        <v>55.362000000000002</v>
      </c>
      <c r="BJ80" s="248">
        <f>SUM(BF80:BI80)</f>
        <v>226.66800000000001</v>
      </c>
      <c r="BK80" s="984">
        <v>67.448999999999998</v>
      </c>
      <c r="BL80" s="984">
        <v>67.852000000000004</v>
      </c>
      <c r="BM80" s="984">
        <v>73.956999999999994</v>
      </c>
      <c r="BN80" s="984">
        <v>69.099999999999994</v>
      </c>
      <c r="BO80" s="248">
        <f>SUM(BK80:BN80)</f>
        <v>278.35799999999995</v>
      </c>
      <c r="BP80" s="921"/>
      <c r="BQ80" s="921"/>
      <c r="BR80" s="921"/>
      <c r="BS80" s="921"/>
      <c r="BT80" s="281"/>
      <c r="BU80" s="921"/>
      <c r="BV80" s="921"/>
      <c r="BW80" s="921"/>
      <c r="BX80" s="921"/>
      <c r="BY80" s="281"/>
    </row>
    <row r="81" spans="2:77" s="7" customFormat="1" ht="12" customHeight="1" outlineLevel="1">
      <c r="B81" s="260" t="s">
        <v>184</v>
      </c>
      <c r="C81" s="59"/>
      <c r="D81" s="59"/>
      <c r="E81" s="59"/>
      <c r="F81" s="59"/>
      <c r="G81" s="248"/>
      <c r="H81" s="59"/>
      <c r="I81" s="59"/>
      <c r="J81" s="59"/>
      <c r="K81" s="59"/>
      <c r="L81" s="248"/>
      <c r="M81" s="59"/>
      <c r="N81" s="75"/>
      <c r="O81" s="75"/>
      <c r="P81" s="75"/>
      <c r="Q81" s="248"/>
      <c r="R81" s="59"/>
      <c r="S81" s="75"/>
      <c r="T81" s="75"/>
      <c r="U81" s="75"/>
      <c r="V81" s="248"/>
      <c r="W81" s="59"/>
      <c r="X81" s="75"/>
      <c r="Y81" s="75"/>
      <c r="Z81" s="75"/>
      <c r="AA81" s="248"/>
      <c r="AB81" s="144"/>
      <c r="AC81" s="144"/>
      <c r="AD81" s="144"/>
      <c r="AE81" s="144"/>
      <c r="AF81" s="248"/>
      <c r="AG81" s="144"/>
      <c r="AH81" s="144"/>
      <c r="AI81" s="144"/>
      <c r="AJ81" s="144"/>
      <c r="AK81" s="248"/>
      <c r="AL81" s="144"/>
      <c r="AM81" s="144"/>
      <c r="AN81" s="144"/>
      <c r="AO81" s="144"/>
      <c r="AP81" s="248"/>
      <c r="AQ81" s="144"/>
      <c r="AR81" s="144"/>
      <c r="AS81" s="144"/>
      <c r="AT81" s="535" t="s">
        <v>250</v>
      </c>
      <c r="AU81" s="396" t="str">
        <f>AT81</f>
        <v>164-169</v>
      </c>
      <c r="AV81" s="535"/>
      <c r="AW81" s="535" t="s">
        <v>251</v>
      </c>
      <c r="AX81" s="535" t="s">
        <v>252</v>
      </c>
      <c r="AY81" s="535" t="s">
        <v>253</v>
      </c>
      <c r="AZ81" s="396" t="str">
        <f>AY81</f>
        <v>165-172</v>
      </c>
      <c r="BA81" s="535" t="s">
        <v>253</v>
      </c>
      <c r="BB81" s="535" t="s">
        <v>254</v>
      </c>
      <c r="BC81" s="535" t="s">
        <v>255</v>
      </c>
      <c r="BD81" s="535" t="s">
        <v>256</v>
      </c>
      <c r="BE81" s="396" t="str">
        <f>BD81</f>
        <v>198-203</v>
      </c>
      <c r="BF81" s="535" t="s">
        <v>257</v>
      </c>
      <c r="BG81" s="535" t="s">
        <v>257</v>
      </c>
      <c r="BH81" s="992" t="s">
        <v>258</v>
      </c>
      <c r="BI81" s="992" t="s">
        <v>259</v>
      </c>
      <c r="BJ81" s="396" t="str">
        <f>BI81</f>
        <v>244-250</v>
      </c>
      <c r="BK81" s="535" t="s">
        <v>260</v>
      </c>
      <c r="BL81" s="535" t="s">
        <v>1186</v>
      </c>
      <c r="BM81" s="992" t="s">
        <v>1235</v>
      </c>
      <c r="BN81" s="992" t="s">
        <v>1288</v>
      </c>
      <c r="BO81" s="396" t="str">
        <f>BN81</f>
        <v>288-296</v>
      </c>
      <c r="BP81" s="921"/>
      <c r="BQ81" s="921"/>
      <c r="BR81" s="921"/>
      <c r="BS81" s="921"/>
      <c r="BT81" s="281"/>
      <c r="BU81" s="921"/>
      <c r="BV81" s="921"/>
      <c r="BW81" s="921"/>
      <c r="BX81" s="921"/>
      <c r="BY81" s="281"/>
    </row>
    <row r="82" spans="2:77" s="7" customFormat="1" ht="12" customHeight="1" outlineLevel="1">
      <c r="B82" s="51" t="str">
        <f>B40</f>
        <v>Naval &amp; Power</v>
      </c>
      <c r="C82" s="59">
        <v>16.899999999999999</v>
      </c>
      <c r="D82" s="59">
        <v>18.399999999999999</v>
      </c>
      <c r="E82" s="59">
        <v>14.3</v>
      </c>
      <c r="F82" s="59">
        <v>23.7</v>
      </c>
      <c r="G82" s="248">
        <f>SUM(C82:F82)</f>
        <v>73.3</v>
      </c>
      <c r="H82" s="59">
        <v>14.275</v>
      </c>
      <c r="I82" s="59">
        <v>14.865</v>
      </c>
      <c r="J82" s="59">
        <v>11.121</v>
      </c>
      <c r="K82" s="59">
        <v>11.188000000000001</v>
      </c>
      <c r="L82" s="248"/>
      <c r="M82" s="59"/>
      <c r="N82" s="75"/>
      <c r="O82" s="75"/>
      <c r="P82" s="75"/>
      <c r="Q82" s="248"/>
      <c r="R82" s="59"/>
      <c r="S82" s="75"/>
      <c r="T82" s="75"/>
      <c r="U82" s="75"/>
      <c r="V82" s="248"/>
      <c r="W82" s="59"/>
      <c r="X82" s="75"/>
      <c r="Y82" s="75"/>
      <c r="Z82" s="75"/>
      <c r="AA82" s="248"/>
      <c r="AB82" s="144"/>
      <c r="AC82" s="144"/>
      <c r="AD82" s="144"/>
      <c r="AE82" s="144"/>
      <c r="AF82" s="248"/>
      <c r="AG82" s="144">
        <v>34.989321520769153</v>
      </c>
      <c r="AH82" s="144">
        <v>45.597698991792157</v>
      </c>
      <c r="AI82" s="144">
        <v>41.643055613817658</v>
      </c>
      <c r="AJ82" s="144">
        <v>51.826485587509964</v>
      </c>
      <c r="AK82" s="248">
        <f>SUM(AG82:AJ82)</f>
        <v>174.05656171388893</v>
      </c>
      <c r="AL82" s="144">
        <v>33.499174302135224</v>
      </c>
      <c r="AM82" s="144">
        <v>38.324356841993485</v>
      </c>
      <c r="AN82" s="144">
        <v>42.001981106294757</v>
      </c>
      <c r="AO82" s="144">
        <v>57.040645016641086</v>
      </c>
      <c r="AP82" s="248">
        <f>SUM(AL82:AO82)</f>
        <v>170.86615726706455</v>
      </c>
      <c r="AQ82" s="144">
        <v>40.6</v>
      </c>
      <c r="AR82" s="144">
        <v>43.5</v>
      </c>
      <c r="AS82" s="144">
        <v>43.9</v>
      </c>
      <c r="AT82" s="144">
        <v>47.826999999999998</v>
      </c>
      <c r="AU82" s="248">
        <f>SUM(AQ82:AT82)</f>
        <v>175.827</v>
      </c>
      <c r="AV82" s="144">
        <v>32.715000000000003</v>
      </c>
      <c r="AW82" s="144">
        <v>50.000999999999998</v>
      </c>
      <c r="AX82" s="144">
        <v>48.481000000000002</v>
      </c>
      <c r="AY82" s="144">
        <v>60.441000000000003</v>
      </c>
      <c r="AZ82" s="248">
        <f>SUM(AV82:AY82)</f>
        <v>191.63800000000001</v>
      </c>
      <c r="BA82" s="144">
        <v>40.613</v>
      </c>
      <c r="BB82" s="144">
        <v>49.441000000000003</v>
      </c>
      <c r="BC82" s="144">
        <v>48.996000000000002</v>
      </c>
      <c r="BD82" s="144">
        <v>59.374000000000002</v>
      </c>
      <c r="BE82" s="248">
        <f>SUM(BA82:BD82)</f>
        <v>198.42400000000001</v>
      </c>
      <c r="BF82" s="144">
        <v>35.191000000000003</v>
      </c>
      <c r="BG82" s="144">
        <v>46.625</v>
      </c>
      <c r="BH82" s="984">
        <v>53.798000000000002</v>
      </c>
      <c r="BI82" s="984">
        <v>66.111999999999995</v>
      </c>
      <c r="BJ82" s="248">
        <f>SUM(BF82:BI82)</f>
        <v>201.726</v>
      </c>
      <c r="BK82" s="984">
        <v>44.932000000000002</v>
      </c>
      <c r="BL82" s="984">
        <v>63.55</v>
      </c>
      <c r="BM82" s="984">
        <v>61.253</v>
      </c>
      <c r="BN82" s="984">
        <v>74.822999999999993</v>
      </c>
      <c r="BO82" s="248">
        <f>SUM(BK82:BN82)</f>
        <v>244.55799999999999</v>
      </c>
      <c r="BP82" s="921"/>
      <c r="BQ82" s="921"/>
      <c r="BR82" s="921"/>
      <c r="BS82" s="921"/>
      <c r="BT82" s="281"/>
      <c r="BU82" s="921"/>
      <c r="BV82" s="921"/>
      <c r="BW82" s="921"/>
      <c r="BX82" s="921"/>
      <c r="BY82" s="281"/>
    </row>
    <row r="83" spans="2:77" s="7" customFormat="1" ht="12" customHeight="1" outlineLevel="1">
      <c r="B83" s="260" t="s">
        <v>184</v>
      </c>
      <c r="C83" s="59"/>
      <c r="D83" s="59"/>
      <c r="E83" s="59"/>
      <c r="F83" s="59"/>
      <c r="G83" s="248"/>
      <c r="H83" s="59"/>
      <c r="I83" s="59"/>
      <c r="J83" s="59"/>
      <c r="K83" s="59"/>
      <c r="L83" s="248"/>
      <c r="M83" s="59"/>
      <c r="N83" s="75"/>
      <c r="O83" s="75"/>
      <c r="P83" s="75"/>
      <c r="Q83" s="248"/>
      <c r="R83" s="59"/>
      <c r="S83" s="75"/>
      <c r="T83" s="75"/>
      <c r="U83" s="75"/>
      <c r="V83" s="248"/>
      <c r="W83" s="59"/>
      <c r="X83" s="75"/>
      <c r="Y83" s="75"/>
      <c r="Z83" s="75"/>
      <c r="AA83" s="248"/>
      <c r="AB83" s="144"/>
      <c r="AC83" s="144"/>
      <c r="AD83" s="144"/>
      <c r="AE83" s="144"/>
      <c r="AF83" s="248"/>
      <c r="AG83" s="144"/>
      <c r="AH83" s="144"/>
      <c r="AI83" s="144"/>
      <c r="AJ83" s="144"/>
      <c r="AK83" s="248"/>
      <c r="AL83" s="144"/>
      <c r="AM83" s="144"/>
      <c r="AN83" s="144"/>
      <c r="AO83" s="144"/>
      <c r="AP83" s="248"/>
      <c r="AQ83" s="144"/>
      <c r="AR83" s="144"/>
      <c r="AS83" s="144"/>
      <c r="AT83" s="535" t="s">
        <v>261</v>
      </c>
      <c r="AU83" s="396" t="str">
        <f>AT83</f>
        <v>177-182</v>
      </c>
      <c r="AV83" s="535"/>
      <c r="AW83" s="535" t="s">
        <v>262</v>
      </c>
      <c r="AX83" s="535"/>
      <c r="AY83" s="535" t="s">
        <v>263</v>
      </c>
      <c r="AZ83" s="396" t="str">
        <f>AY83</f>
        <v>190-194</v>
      </c>
      <c r="BA83" s="535" t="s">
        <v>263</v>
      </c>
      <c r="BB83" s="535" t="s">
        <v>264</v>
      </c>
      <c r="BC83" s="535" t="s">
        <v>265</v>
      </c>
      <c r="BD83" s="535" t="s">
        <v>266</v>
      </c>
      <c r="BE83" s="396" t="str">
        <f>BD83</f>
        <v>202-207</v>
      </c>
      <c r="BF83" s="535" t="s">
        <v>265</v>
      </c>
      <c r="BG83" s="535" t="s">
        <v>267</v>
      </c>
      <c r="BH83" s="992" t="s">
        <v>256</v>
      </c>
      <c r="BI83" s="992" t="s">
        <v>268</v>
      </c>
      <c r="BJ83" s="396" t="str">
        <f>BI83</f>
        <v>228-234</v>
      </c>
      <c r="BK83" s="535" t="s">
        <v>269</v>
      </c>
      <c r="BL83" s="535" t="s">
        <v>1187</v>
      </c>
      <c r="BM83" s="992" t="s">
        <v>1236</v>
      </c>
      <c r="BN83" s="992" t="s">
        <v>1289</v>
      </c>
      <c r="BO83" s="396" t="str">
        <f>BN83</f>
        <v>270-276</v>
      </c>
      <c r="BP83" s="921"/>
      <c r="BQ83" s="921"/>
      <c r="BR83" s="921"/>
      <c r="BS83" s="921"/>
      <c r="BT83" s="281"/>
      <c r="BU83" s="921"/>
      <c r="BV83" s="921"/>
      <c r="BW83" s="921"/>
      <c r="BX83" s="921"/>
      <c r="BY83" s="281"/>
    </row>
    <row r="84" spans="2:77" ht="12" customHeight="1" outlineLevel="1">
      <c r="B84" s="51" t="s">
        <v>270</v>
      </c>
      <c r="C84" s="59">
        <v>-9.8000000000000007</v>
      </c>
      <c r="D84" s="59">
        <v>-12.1</v>
      </c>
      <c r="E84" s="59">
        <v>-6.1</v>
      </c>
      <c r="F84" s="59">
        <v>-14</v>
      </c>
      <c r="G84" s="248">
        <v>-41.9</v>
      </c>
      <c r="H84" s="59">
        <v>-7.5209999999999999</v>
      </c>
      <c r="I84" s="59">
        <v>-6.4580000000000002</v>
      </c>
      <c r="J84" s="59">
        <v>-10.420999999999999</v>
      </c>
      <c r="K84" s="59">
        <v>-5.9119999999999999</v>
      </c>
      <c r="L84" s="248"/>
      <c r="M84" s="59"/>
      <c r="N84" s="59"/>
      <c r="O84" s="59"/>
      <c r="P84" s="59"/>
      <c r="Q84" s="248"/>
      <c r="R84" s="59"/>
      <c r="S84" s="59"/>
      <c r="T84" s="59"/>
      <c r="U84" s="59"/>
      <c r="V84" s="248"/>
      <c r="W84" s="144"/>
      <c r="X84" s="144"/>
      <c r="Y84" s="144"/>
      <c r="Z84" s="144"/>
      <c r="AA84" s="248"/>
      <c r="AB84" s="144"/>
      <c r="AC84" s="144"/>
      <c r="AD84" s="144"/>
      <c r="AE84" s="144"/>
      <c r="AF84" s="248"/>
      <c r="AG84" s="144">
        <v>-9.1151822610809994</v>
      </c>
      <c r="AH84" s="144">
        <v>-10.314180483449</v>
      </c>
      <c r="AI84" s="144">
        <v>-6.9166361778629994</v>
      </c>
      <c r="AJ84" s="144">
        <v>-8.4409761768229998</v>
      </c>
      <c r="AK84" s="248">
        <f>SUM(AG84:AJ84)</f>
        <v>-34.786975099216001</v>
      </c>
      <c r="AL84" s="144">
        <v>-11.816470000000001</v>
      </c>
      <c r="AM84" s="144">
        <v>-8.1137690999499998</v>
      </c>
      <c r="AN84" s="144">
        <v>-7.740391348638</v>
      </c>
      <c r="AO84" s="144">
        <v>-9.9082249161010001</v>
      </c>
      <c r="AP84" s="248">
        <f>SUM(AL84:AO84)</f>
        <v>-37.578855364688998</v>
      </c>
      <c r="AQ84" s="144">
        <f>-8.639+0.1</f>
        <v>-8.5389999999999997</v>
      </c>
      <c r="AR84" s="144">
        <v>-9.76</v>
      </c>
      <c r="AS84" s="144">
        <v>-9.5</v>
      </c>
      <c r="AT84" s="144">
        <v>-12.058</v>
      </c>
      <c r="AU84" s="248">
        <f>SUM(AQ84:AT84)</f>
        <v>-39.856999999999999</v>
      </c>
      <c r="AV84" s="144">
        <v>-10.045</v>
      </c>
      <c r="AW84" s="144">
        <v>-8.82</v>
      </c>
      <c r="AX84" s="144">
        <v>-9.6609999999999996</v>
      </c>
      <c r="AY84" s="144">
        <v>-12.301</v>
      </c>
      <c r="AZ84" s="248">
        <f>SUM(AV84:AY84)</f>
        <v>-40.827000000000005</v>
      </c>
      <c r="BA84" s="144">
        <v>-9.2349999999999994</v>
      </c>
      <c r="BB84" s="144">
        <v>-12.852</v>
      </c>
      <c r="BC84" s="144">
        <v>-10.37</v>
      </c>
      <c r="BD84" s="144">
        <v>-9.2210000000000001</v>
      </c>
      <c r="BE84" s="248">
        <f>SUM(BA84:BD84)</f>
        <v>-41.677999999999997</v>
      </c>
      <c r="BF84" s="144">
        <v>-10.776999999999999</v>
      </c>
      <c r="BG84" s="144">
        <v>-9.9120000000000008</v>
      </c>
      <c r="BH84" s="984">
        <v>-8.5500000000000007</v>
      </c>
      <c r="BI84" s="984">
        <v>-11.551</v>
      </c>
      <c r="BJ84" s="248">
        <f>SUM(BF84:BI84)</f>
        <v>-40.79</v>
      </c>
      <c r="BK84" s="984">
        <v>-10.057</v>
      </c>
      <c r="BL84" s="984">
        <v>-10.948</v>
      </c>
      <c r="BM84" s="984">
        <v>-10.846</v>
      </c>
      <c r="BN84" s="984">
        <v>-10.09</v>
      </c>
      <c r="BO84" s="248">
        <f>SUM(BK84:BN84)</f>
        <v>-41.941000000000003</v>
      </c>
      <c r="BP84" s="922"/>
      <c r="BQ84" s="922"/>
      <c r="BR84" s="922"/>
      <c r="BS84" s="922"/>
      <c r="BT84" s="281"/>
      <c r="BU84" s="922"/>
      <c r="BV84" s="922"/>
      <c r="BW84" s="922"/>
      <c r="BX84" s="922"/>
      <c r="BY84" s="281"/>
    </row>
    <row r="85" spans="2:77" ht="12" customHeight="1" outlineLevel="1">
      <c r="B85" s="49" t="s">
        <v>271</v>
      </c>
      <c r="C85" s="76">
        <f t="shared" ref="C85:K85" si="78">+SUM(C78:C84)</f>
        <v>40.700000000000003</v>
      </c>
      <c r="D85" s="76">
        <f t="shared" si="78"/>
        <v>58.999999999999993</v>
      </c>
      <c r="E85" s="76">
        <f t="shared" si="78"/>
        <v>65.800000000000011</v>
      </c>
      <c r="F85" s="76">
        <f t="shared" si="78"/>
        <v>71.5</v>
      </c>
      <c r="G85" s="249">
        <f t="shared" si="78"/>
        <v>237.1</v>
      </c>
      <c r="H85" s="76">
        <f t="shared" si="78"/>
        <v>61.034000000000006</v>
      </c>
      <c r="I85" s="76">
        <f t="shared" si="78"/>
        <v>72.158999999999992</v>
      </c>
      <c r="J85" s="76">
        <f t="shared" si="78"/>
        <v>74.248999999999995</v>
      </c>
      <c r="K85" s="76">
        <f t="shared" si="78"/>
        <v>74.930999999999997</v>
      </c>
      <c r="L85" s="249">
        <v>282.37299999999999</v>
      </c>
      <c r="M85" s="76">
        <v>72.835000000000008</v>
      </c>
      <c r="N85" s="76">
        <v>65.441999999999993</v>
      </c>
      <c r="O85" s="76">
        <v>63.813000000000002</v>
      </c>
      <c r="P85" s="76">
        <v>108.52699999999999</v>
      </c>
      <c r="Q85" s="249">
        <v>310.6169999999999</v>
      </c>
      <c r="R85" s="76">
        <v>57.262999999999998</v>
      </c>
      <c r="S85" s="76">
        <v>68.089000000000013</v>
      </c>
      <c r="T85" s="76">
        <v>76.572999999999993</v>
      </c>
      <c r="U85" s="76">
        <v>106.173</v>
      </c>
      <c r="V85" s="249">
        <v>308.09800000000001</v>
      </c>
      <c r="W85" s="145">
        <v>52.135749999999994</v>
      </c>
      <c r="X85" s="145">
        <v>84.889749999999992</v>
      </c>
      <c r="Y85" s="145">
        <v>92.299749999999989</v>
      </c>
      <c r="Z85" s="145">
        <v>105.26575</v>
      </c>
      <c r="AA85" s="249">
        <v>334.59100000000001</v>
      </c>
      <c r="AB85" s="145">
        <v>64.498000000000005</v>
      </c>
      <c r="AC85" s="145">
        <v>109.075</v>
      </c>
      <c r="AD85" s="145">
        <v>98.297000000000011</v>
      </c>
      <c r="AE85" s="185">
        <v>110.405</v>
      </c>
      <c r="AF85" s="249">
        <v>382.27500000000003</v>
      </c>
      <c r="AG85" s="145">
        <f t="shared" ref="AG85:AK85" si="79">+SUM(AG78:AG84)</f>
        <v>69.367121884654793</v>
      </c>
      <c r="AH85" s="145">
        <f t="shared" si="79"/>
        <v>102.53040415414219</v>
      </c>
      <c r="AI85" s="145">
        <f t="shared" si="79"/>
        <v>101.24300103411549</v>
      </c>
      <c r="AJ85" s="145">
        <f t="shared" si="79"/>
        <v>116.2481922338348</v>
      </c>
      <c r="AK85" s="249">
        <f t="shared" si="79"/>
        <v>389.3887193067473</v>
      </c>
      <c r="AL85" s="145">
        <f t="shared" ref="AL85:AT85" si="80">+SUM(AL78:AL84)</f>
        <v>76.943461235102191</v>
      </c>
      <c r="AM85" s="145">
        <f>+SUM(AM78:AM84)</f>
        <v>76.554131142467597</v>
      </c>
      <c r="AN85" s="145">
        <f>+SUM(AN78:AN84)</f>
        <v>95.808612648561834</v>
      </c>
      <c r="AO85" s="145">
        <f>+SUM(AO78:AO84)</f>
        <v>126.18798710701901</v>
      </c>
      <c r="AP85" s="249">
        <f t="shared" si="80"/>
        <v>375.49419213315065</v>
      </c>
      <c r="AQ85" s="145">
        <f t="shared" si="80"/>
        <v>88.76100000000001</v>
      </c>
      <c r="AR85" s="145">
        <f>+SUM(AR78:AR84)</f>
        <v>95.039999999999992</v>
      </c>
      <c r="AS85" s="145">
        <f t="shared" si="80"/>
        <v>107.5</v>
      </c>
      <c r="AT85" s="145">
        <f t="shared" si="80"/>
        <v>129.08000000000001</v>
      </c>
      <c r="AU85" s="249">
        <f t="shared" ref="AU85:AY85" si="81">+SUM(AU78:AU84)</f>
        <v>420.38099999999997</v>
      </c>
      <c r="AV85" s="145">
        <f t="shared" si="81"/>
        <v>70.813000000000002</v>
      </c>
      <c r="AW85" s="145">
        <f t="shared" si="81"/>
        <v>98.10499999999999</v>
      </c>
      <c r="AX85" s="145">
        <f t="shared" si="81"/>
        <v>114.488</v>
      </c>
      <c r="AY85" s="145">
        <f t="shared" si="81"/>
        <v>159.67200000000003</v>
      </c>
      <c r="AZ85" s="249">
        <f t="shared" ref="AZ85:BC85" si="82">+SUM(AZ78:AZ84)</f>
        <v>443.07799999999997</v>
      </c>
      <c r="BA85" s="145">
        <f t="shared" si="82"/>
        <v>81.290999999999997</v>
      </c>
      <c r="BB85" s="145">
        <f t="shared" si="82"/>
        <v>115.434</v>
      </c>
      <c r="BC85" s="145">
        <f t="shared" si="82"/>
        <v>133.852</v>
      </c>
      <c r="BD85" s="931">
        <f>+SUM(BD78:BD84)</f>
        <v>163.22200000000001</v>
      </c>
      <c r="BE85" s="249">
        <f>+SUM(BE78:BE84)</f>
        <v>493.79899999999998</v>
      </c>
      <c r="BF85" s="185">
        <f t="shared" ref="BF85:BH85" si="83">+SUM(BF78:BF84)</f>
        <v>99.960999999999999</v>
      </c>
      <c r="BG85" s="145">
        <f t="shared" si="83"/>
        <v>133.345</v>
      </c>
      <c r="BH85" s="145">
        <f t="shared" si="83"/>
        <v>149.06699999999998</v>
      </c>
      <c r="BI85" s="931">
        <f>+SUM(BI78:BI84)</f>
        <v>163.49299999999999</v>
      </c>
      <c r="BJ85" s="249">
        <f>+SUM(BJ78:BJ84)</f>
        <v>545.86599999999999</v>
      </c>
      <c r="BK85" s="145">
        <f t="shared" ref="BK85" si="84">+SUM(BK78:BK84)</f>
        <v>134.01000000000002</v>
      </c>
      <c r="BL85" s="145">
        <f>SUM(BL78,BL80,BL82,BL84)</f>
        <v>160.042</v>
      </c>
      <c r="BM85" s="931">
        <f>SUM(BM78,BM80,BM82,BM84)</f>
        <v>170.37299999999999</v>
      </c>
      <c r="BN85" s="931">
        <f>+SUM(BN78:BN84)</f>
        <v>186.56999999999996</v>
      </c>
      <c r="BO85" s="249">
        <f>+SUM(BO78:BO84)</f>
        <v>650.99499999999989</v>
      </c>
      <c r="BP85" s="923"/>
      <c r="BQ85" s="923"/>
      <c r="BR85" s="923"/>
      <c r="BS85" s="923"/>
      <c r="BT85" s="282"/>
      <c r="BU85" s="923"/>
      <c r="BV85" s="923"/>
      <c r="BW85" s="923"/>
      <c r="BX85" s="923"/>
      <c r="BY85" s="282"/>
    </row>
    <row r="86" spans="2:77" ht="12" customHeight="1" outlineLevel="1">
      <c r="B86" s="50" t="s">
        <v>272</v>
      </c>
      <c r="C86" s="193"/>
      <c r="D86" s="193"/>
      <c r="E86" s="193"/>
      <c r="F86" s="193"/>
      <c r="G86" s="250"/>
      <c r="H86" s="194">
        <f t="shared" ref="H86:AM86" si="85">+H85/H63</f>
        <v>0.11240996097311218</v>
      </c>
      <c r="I86" s="194">
        <f t="shared" si="85"/>
        <v>0.12677310883031914</v>
      </c>
      <c r="J86" s="194">
        <f t="shared" si="85"/>
        <v>0.13297145507653346</v>
      </c>
      <c r="K86" s="194">
        <f t="shared" si="85"/>
        <v>0.13086418459410462</v>
      </c>
      <c r="L86" s="250">
        <f t="shared" si="85"/>
        <v>0.12588369980108116</v>
      </c>
      <c r="M86" s="194">
        <f t="shared" si="85"/>
        <v>0.13334883439918419</v>
      </c>
      <c r="N86" s="194">
        <f t="shared" si="85"/>
        <v>0.12003433640135437</v>
      </c>
      <c r="O86" s="194">
        <f t="shared" si="85"/>
        <v>0.12142483374085454</v>
      </c>
      <c r="P86" s="194">
        <f t="shared" si="85"/>
        <v>0.18433304175760715</v>
      </c>
      <c r="Q86" s="250">
        <f t="shared" si="85"/>
        <v>0.14082576689397339</v>
      </c>
      <c r="R86" s="194">
        <f t="shared" si="85"/>
        <v>0.11372830963621161</v>
      </c>
      <c r="S86" s="194">
        <f t="shared" si="85"/>
        <v>0.12780282525536543</v>
      </c>
      <c r="T86" s="194">
        <f t="shared" si="85"/>
        <v>0.15100415703659295</v>
      </c>
      <c r="U86" s="194">
        <f t="shared" si="85"/>
        <v>0.18772875314286927</v>
      </c>
      <c r="V86" s="250">
        <f t="shared" si="85"/>
        <v>0.14609202482205441</v>
      </c>
      <c r="W86" s="195">
        <f t="shared" si="85"/>
        <v>9.9573426586782421E-2</v>
      </c>
      <c r="X86" s="193">
        <f t="shared" si="85"/>
        <v>0.14954514465703517</v>
      </c>
      <c r="Y86" s="195">
        <f t="shared" si="85"/>
        <v>0.16252788778325797</v>
      </c>
      <c r="Z86" s="194">
        <f t="shared" si="85"/>
        <v>0.17203631098203737</v>
      </c>
      <c r="AA86" s="250">
        <f t="shared" si="85"/>
        <v>0.14733032558852252</v>
      </c>
      <c r="AB86" s="195">
        <f t="shared" si="85"/>
        <v>0.11779983270078648</v>
      </c>
      <c r="AC86" s="195">
        <f t="shared" si="85"/>
        <v>0.17584290131517433</v>
      </c>
      <c r="AD86" s="195">
        <f t="shared" si="85"/>
        <v>0.1650959954181524</v>
      </c>
      <c r="AE86" s="195">
        <f t="shared" si="85"/>
        <v>0.17021470132064592</v>
      </c>
      <c r="AF86" s="250">
        <f t="shared" si="85"/>
        <v>0.15849964860780277</v>
      </c>
      <c r="AG86" s="195">
        <f t="shared" si="85"/>
        <v>0.12500242778968879</v>
      </c>
      <c r="AH86" s="195">
        <f t="shared" si="85"/>
        <v>0.16753791080138372</v>
      </c>
      <c r="AI86" s="195">
        <f t="shared" si="85"/>
        <v>0.17263922089858885</v>
      </c>
      <c r="AJ86" s="195">
        <f t="shared" si="85"/>
        <v>0.18586177243159599</v>
      </c>
      <c r="AK86" s="250">
        <f t="shared" si="85"/>
        <v>0.16369074095864991</v>
      </c>
      <c r="AL86" s="195">
        <f t="shared" si="85"/>
        <v>0.13366073545330465</v>
      </c>
      <c r="AM86" s="195">
        <f t="shared" si="85"/>
        <v>0.14370904360230241</v>
      </c>
      <c r="AN86" s="195">
        <f t="shared" ref="AN86:AZ86" si="86">+AN85/AN63</f>
        <v>0.17421588308978611</v>
      </c>
      <c r="AO86" s="195">
        <f t="shared" si="86"/>
        <v>0.19671817492276517</v>
      </c>
      <c r="AP86" s="250">
        <f t="shared" si="86"/>
        <v>0.16327450252398351</v>
      </c>
      <c r="AQ86" s="195">
        <f t="shared" si="86"/>
        <v>0.15046787591117142</v>
      </c>
      <c r="AR86" s="195">
        <f t="shared" si="86"/>
        <v>0.15598227474150664</v>
      </c>
      <c r="AS86" s="195">
        <f t="shared" si="86"/>
        <v>0.17513848159009451</v>
      </c>
      <c r="AT86" s="195">
        <f t="shared" si="86"/>
        <v>0.19697878373078551</v>
      </c>
      <c r="AU86" s="250">
        <f t="shared" si="86"/>
        <v>0.17031202459669592</v>
      </c>
      <c r="AV86" s="195">
        <f t="shared" si="86"/>
        <v>0.12657361281662172</v>
      </c>
      <c r="AW86" s="195">
        <f t="shared" si="86"/>
        <v>0.16099757613353091</v>
      </c>
      <c r="AX86" s="195">
        <f t="shared" si="86"/>
        <v>0.18157077561843624</v>
      </c>
      <c r="AY86" s="195">
        <f t="shared" si="86"/>
        <v>0.21074221456712403</v>
      </c>
      <c r="AZ86" s="250">
        <f t="shared" si="86"/>
        <v>0.17327871256636129</v>
      </c>
      <c r="BA86" s="195">
        <f t="shared" ref="BA86:BC86" si="87">+BA85/BA63</f>
        <v>0.12885743271090258</v>
      </c>
      <c r="BB86" s="195">
        <f t="shared" si="87"/>
        <v>0.16387656942969581</v>
      </c>
      <c r="BC86" s="195">
        <f t="shared" si="87"/>
        <v>0.18479524413040538</v>
      </c>
      <c r="BD86" s="932">
        <f>+BD85/BD63</f>
        <v>0.20771681019507734</v>
      </c>
      <c r="BE86" s="250">
        <f>+BE85/BE63</f>
        <v>0.17354455812998859</v>
      </c>
      <c r="BF86" s="195">
        <f t="shared" ref="BF86:BH86" si="88">+BF85/BF63</f>
        <v>0.14016492630758293</v>
      </c>
      <c r="BG86" s="195">
        <f t="shared" si="88"/>
        <v>0.16991147961686615</v>
      </c>
      <c r="BH86" s="195">
        <f t="shared" si="88"/>
        <v>0.18658610771067866</v>
      </c>
      <c r="BI86" s="932">
        <f>+BI85/BI63</f>
        <v>0.19833849520752433</v>
      </c>
      <c r="BJ86" s="250">
        <f>+BJ85/BJ63</f>
        <v>0.17489040234346589</v>
      </c>
      <c r="BK86" s="195">
        <f t="shared" ref="BK86:BM86" si="89">+BK85/BK63</f>
        <v>0.16633877203979422</v>
      </c>
      <c r="BL86" s="195">
        <f t="shared" si="89"/>
        <v>0.18257629686416238</v>
      </c>
      <c r="BM86" s="195">
        <f t="shared" si="89"/>
        <v>0.19601804019927055</v>
      </c>
      <c r="BN86" s="932">
        <f>+BN85/BN63</f>
        <v>0.19701556842217527</v>
      </c>
      <c r="BO86" s="250">
        <f>+BO85/BO63</f>
        <v>0.1860851275964934</v>
      </c>
      <c r="BP86" s="924"/>
      <c r="BQ86" s="924"/>
      <c r="BR86" s="924"/>
      <c r="BS86" s="924"/>
      <c r="BT86" s="283"/>
      <c r="BU86" s="924"/>
      <c r="BV86" s="924"/>
      <c r="BW86" s="924"/>
      <c r="BX86" s="924"/>
      <c r="BY86" s="283"/>
    </row>
    <row r="87" spans="2:77" ht="12" customHeight="1" outlineLevel="1">
      <c r="B87" s="260" t="s">
        <v>273</v>
      </c>
      <c r="C87" s="149"/>
      <c r="D87" s="149"/>
      <c r="E87" s="149"/>
      <c r="F87" s="149"/>
      <c r="G87" s="251"/>
      <c r="H87" s="149"/>
      <c r="I87" s="149"/>
      <c r="J87" s="149"/>
      <c r="K87" s="149"/>
      <c r="L87" s="251"/>
      <c r="M87" s="150"/>
      <c r="N87" s="150"/>
      <c r="O87" s="150"/>
      <c r="P87" s="150"/>
      <c r="Q87" s="251"/>
      <c r="R87" s="150"/>
      <c r="S87" s="150"/>
      <c r="T87" s="150"/>
      <c r="U87" s="150"/>
      <c r="V87" s="251"/>
      <c r="W87" s="167"/>
      <c r="X87" s="149"/>
      <c r="Y87" s="167"/>
      <c r="Z87" s="150"/>
      <c r="AA87" s="251"/>
      <c r="AB87" s="167"/>
      <c r="AC87" s="178"/>
      <c r="AD87" s="178"/>
      <c r="AE87" s="178"/>
      <c r="AF87" s="251"/>
      <c r="AG87" s="178"/>
      <c r="AH87" s="178"/>
      <c r="AI87" s="178"/>
      <c r="AJ87" s="178"/>
      <c r="AK87" s="251"/>
      <c r="AL87" s="178"/>
      <c r="AM87" s="178"/>
      <c r="AN87" s="178"/>
      <c r="AO87" s="178"/>
      <c r="AP87" s="251"/>
      <c r="AQ87" s="178"/>
      <c r="AR87" s="178"/>
      <c r="AS87" s="178"/>
      <c r="AT87" s="178"/>
      <c r="AU87" s="251"/>
      <c r="AV87" s="178"/>
      <c r="AW87" s="178"/>
      <c r="AX87" s="178"/>
      <c r="AY87" s="395"/>
      <c r="AZ87" s="539"/>
      <c r="BA87" s="178"/>
      <c r="BB87" s="178"/>
      <c r="BC87" s="178"/>
      <c r="BD87" s="395"/>
      <c r="BE87" s="539"/>
      <c r="BF87" s="178"/>
      <c r="BG87" s="178"/>
      <c r="BH87" s="178"/>
      <c r="BI87" s="395"/>
      <c r="BJ87" s="539"/>
      <c r="BK87" s="178"/>
      <c r="BL87" s="178"/>
      <c r="BM87" s="178"/>
      <c r="BN87" s="395"/>
      <c r="BO87" s="539"/>
      <c r="BP87" s="925"/>
      <c r="BQ87" s="925"/>
      <c r="BR87" s="925"/>
      <c r="BS87" s="925"/>
      <c r="BT87" s="539" cm="1">
        <f t="array" ref="BT87">_xll.FDS("CW-US","FE_ESTIMATE(EBIT,MEAN,ANN_ROLL,+1,NOW,,,'')")</f>
        <v>707.80039999999997</v>
      </c>
      <c r="BU87" s="925"/>
      <c r="BV87" s="925"/>
      <c r="BW87" s="925"/>
      <c r="BX87" s="925"/>
      <c r="BY87" s="539" cm="1">
        <f t="array" ref="BY87">_xll.FDS("CW-US","FE_ESTIMATE(EBIT,MEAN,ANN_ROLL,+2,NOW,,,'')")</f>
        <v>780.83600000000001</v>
      </c>
    </row>
    <row r="88" spans="2:77" ht="12" customHeight="1" outlineLevel="1">
      <c r="B88" s="260" t="s">
        <v>184</v>
      </c>
      <c r="C88" s="149"/>
      <c r="D88" s="149"/>
      <c r="E88" s="149"/>
      <c r="F88" s="149"/>
      <c r="G88" s="251"/>
      <c r="H88" s="149"/>
      <c r="I88" s="149"/>
      <c r="J88" s="149"/>
      <c r="K88" s="149"/>
      <c r="L88" s="251"/>
      <c r="M88" s="150"/>
      <c r="N88" s="150"/>
      <c r="O88" s="150"/>
      <c r="P88" s="150"/>
      <c r="Q88" s="251"/>
      <c r="R88" s="150"/>
      <c r="S88" s="150"/>
      <c r="T88" s="150"/>
      <c r="U88" s="150"/>
      <c r="V88" s="251"/>
      <c r="W88" s="167"/>
      <c r="X88" s="149"/>
      <c r="Y88" s="167"/>
      <c r="Z88" s="150"/>
      <c r="AA88" s="251"/>
      <c r="AB88" s="167"/>
      <c r="AC88" s="178"/>
      <c r="AD88" s="178"/>
      <c r="AE88" s="178"/>
      <c r="AF88" s="251"/>
      <c r="AG88" s="178"/>
      <c r="AH88" s="178"/>
      <c r="AI88" s="178"/>
      <c r="AJ88" s="395" t="s">
        <v>274</v>
      </c>
      <c r="AK88" s="396" t="str">
        <f>AJ88</f>
        <v>428-437</v>
      </c>
      <c r="AL88" s="178"/>
      <c r="AM88" s="178"/>
      <c r="AN88" s="178"/>
      <c r="AO88" s="395" t="s">
        <v>275</v>
      </c>
      <c r="AP88" s="396" t="str">
        <f>AO88</f>
        <v>404-414</v>
      </c>
      <c r="AQ88" s="395" t="s">
        <v>276</v>
      </c>
      <c r="AR88" s="395" t="s">
        <v>277</v>
      </c>
      <c r="AS88" s="178"/>
      <c r="AT88" s="395" t="s">
        <v>278</v>
      </c>
      <c r="AU88" s="396" t="str">
        <f>AT88</f>
        <v>432-446</v>
      </c>
      <c r="AV88" s="178"/>
      <c r="AW88" s="535" t="s">
        <v>279</v>
      </c>
      <c r="AX88" s="395" t="s">
        <v>280</v>
      </c>
      <c r="AY88" s="395" t="s">
        <v>281</v>
      </c>
      <c r="AZ88" s="396" t="str">
        <f>AY88</f>
        <v>463-477</v>
      </c>
      <c r="BA88" s="395" t="s">
        <v>281</v>
      </c>
      <c r="BB88" s="535" t="s">
        <v>282</v>
      </c>
      <c r="BC88" s="395" t="s">
        <v>283</v>
      </c>
      <c r="BD88" s="395" t="s">
        <v>284</v>
      </c>
      <c r="BE88" s="396" t="str">
        <f>BD88</f>
        <v>514-528</v>
      </c>
      <c r="BF88" s="395" t="s">
        <v>285</v>
      </c>
      <c r="BG88" s="395" t="s">
        <v>286</v>
      </c>
      <c r="BH88" s="395" t="s">
        <v>287</v>
      </c>
      <c r="BI88" s="395" t="s">
        <v>288</v>
      </c>
      <c r="BJ88" s="396" t="str">
        <f>BI88</f>
        <v>598-613</v>
      </c>
      <c r="BK88" s="395" t="s">
        <v>289</v>
      </c>
      <c r="BL88" s="395" t="s">
        <v>1179</v>
      </c>
      <c r="BM88" s="395" t="s">
        <v>1233</v>
      </c>
      <c r="BN88" s="395" t="s">
        <v>1290</v>
      </c>
      <c r="BO88" s="396" t="str">
        <f>BN88</f>
        <v>703-722</v>
      </c>
      <c r="BP88" s="925"/>
      <c r="BQ88" s="925"/>
      <c r="BR88" s="925"/>
      <c r="BS88" s="925"/>
      <c r="BT88" s="284"/>
      <c r="BU88" s="925"/>
      <c r="BV88" s="925"/>
      <c r="BW88" s="925"/>
      <c r="BX88" s="925"/>
      <c r="BY88" s="284"/>
    </row>
    <row r="89" spans="2:77" ht="12" customHeight="1" outlineLevel="1">
      <c r="B89" s="260"/>
      <c r="C89" s="149"/>
      <c r="D89" s="149"/>
      <c r="E89" s="149"/>
      <c r="F89" s="149"/>
      <c r="G89" s="251"/>
      <c r="H89" s="149"/>
      <c r="I89" s="149"/>
      <c r="J89" s="149"/>
      <c r="K89" s="149"/>
      <c r="L89" s="251"/>
      <c r="M89" s="150"/>
      <c r="N89" s="150"/>
      <c r="O89" s="150"/>
      <c r="P89" s="150"/>
      <c r="Q89" s="251"/>
      <c r="R89" s="150"/>
      <c r="S89" s="150"/>
      <c r="T89" s="150"/>
      <c r="U89" s="150"/>
      <c r="V89" s="251"/>
      <c r="W89" s="167"/>
      <c r="X89" s="149"/>
      <c r="Y89" s="167"/>
      <c r="Z89" s="150"/>
      <c r="AA89" s="251"/>
      <c r="AB89" s="167"/>
      <c r="AC89" s="178"/>
      <c r="AD89" s="178"/>
      <c r="AE89" s="178"/>
      <c r="AF89" s="251"/>
      <c r="AG89" s="178"/>
      <c r="AH89" s="178"/>
      <c r="AI89" s="178"/>
      <c r="AJ89" s="395"/>
      <c r="AK89" s="396"/>
      <c r="AL89" s="178"/>
      <c r="AM89" s="178"/>
      <c r="AN89" s="178"/>
      <c r="AO89" s="395"/>
      <c r="AP89" s="396"/>
      <c r="AQ89" s="395"/>
      <c r="AR89" s="395"/>
      <c r="AS89" s="178"/>
      <c r="AT89" s="395"/>
      <c r="AU89" s="396"/>
      <c r="AV89" s="178"/>
      <c r="AW89" s="535"/>
      <c r="AX89" s="395"/>
      <c r="AY89" s="395"/>
      <c r="AZ89" s="396"/>
      <c r="BA89" s="178"/>
      <c r="BB89" s="535"/>
      <c r="BC89" s="395"/>
      <c r="BD89" s="395"/>
      <c r="BE89" s="396"/>
      <c r="BF89" s="178"/>
      <c r="BG89" s="535"/>
      <c r="BH89" s="395"/>
      <c r="BI89" s="395"/>
      <c r="BJ89" s="396"/>
      <c r="BK89" s="178"/>
      <c r="BL89" s="535"/>
      <c r="BM89" s="395"/>
      <c r="BN89" s="395"/>
      <c r="BO89" s="396"/>
      <c r="BP89" s="925"/>
      <c r="BQ89" s="925"/>
      <c r="BR89" s="925"/>
      <c r="BS89" s="925"/>
      <c r="BT89" s="284"/>
      <c r="BU89" s="925"/>
      <c r="BV89" s="925"/>
      <c r="BW89" s="925"/>
      <c r="BX89" s="925"/>
      <c r="BY89" s="284"/>
    </row>
    <row r="90" spans="2:77" ht="12" customHeight="1">
      <c r="B90" s="54"/>
      <c r="C90" s="149"/>
      <c r="D90" s="149"/>
      <c r="E90" s="149"/>
      <c r="F90" s="149"/>
      <c r="G90" s="251"/>
      <c r="H90" s="149"/>
      <c r="I90" s="149"/>
      <c r="J90" s="149"/>
      <c r="K90" s="149"/>
      <c r="L90" s="251"/>
      <c r="M90" s="150"/>
      <c r="N90" s="150"/>
      <c r="O90" s="150"/>
      <c r="P90" s="150"/>
      <c r="Q90" s="251"/>
      <c r="R90" s="150"/>
      <c r="S90" s="150"/>
      <c r="T90" s="150"/>
      <c r="U90" s="150"/>
      <c r="V90" s="251"/>
      <c r="W90" s="167"/>
      <c r="X90" s="149"/>
      <c r="Y90" s="167"/>
      <c r="Z90" s="150"/>
      <c r="AA90" s="251"/>
      <c r="AB90" s="167"/>
      <c r="AC90" s="178"/>
      <c r="AD90" s="178"/>
      <c r="AE90" s="178"/>
      <c r="AF90" s="251"/>
      <c r="AG90" s="178"/>
      <c r="AH90" s="178"/>
      <c r="AI90" s="178"/>
      <c r="AJ90" s="178"/>
      <c r="AK90" s="251"/>
      <c r="AL90" s="178"/>
      <c r="AM90" s="178"/>
      <c r="AN90" s="178"/>
      <c r="AO90" s="178"/>
      <c r="AP90" s="251"/>
      <c r="AQ90" s="178"/>
      <c r="AR90" s="178"/>
      <c r="AS90" s="178"/>
      <c r="AT90" s="178"/>
      <c r="AU90" s="251"/>
      <c r="AV90" s="178"/>
      <c r="AW90" s="178"/>
      <c r="AX90" s="178"/>
      <c r="AY90" s="395"/>
      <c r="AZ90" s="396"/>
      <c r="BA90" s="178"/>
      <c r="BB90" s="178"/>
      <c r="BC90" s="178"/>
      <c r="BD90" s="395"/>
      <c r="BE90" s="396"/>
      <c r="BF90" s="178"/>
      <c r="BG90" s="178"/>
      <c r="BH90" s="178"/>
      <c r="BI90" s="395"/>
      <c r="BJ90" s="396"/>
      <c r="BK90" s="178"/>
      <c r="BL90" s="178"/>
      <c r="BM90" s="178"/>
      <c r="BN90" s="395"/>
      <c r="BO90" s="396"/>
      <c r="BP90" s="925"/>
      <c r="BQ90" s="925"/>
      <c r="BR90" s="925"/>
      <c r="BS90" s="925"/>
      <c r="BT90" s="284"/>
      <c r="BU90" s="925"/>
      <c r="BV90" s="925"/>
      <c r="BW90" s="925"/>
      <c r="BX90" s="925"/>
      <c r="BY90" s="284"/>
    </row>
    <row r="91" spans="2:77" s="6" customFormat="1">
      <c r="B91" s="52" t="s">
        <v>132</v>
      </c>
      <c r="C91" s="66">
        <v>494.4</v>
      </c>
      <c r="D91" s="66">
        <v>524.1</v>
      </c>
      <c r="E91" s="66">
        <v>511.4</v>
      </c>
      <c r="F91" s="66">
        <v>588.20000000000005</v>
      </c>
      <c r="G91" s="240">
        <v>2118.1</v>
      </c>
      <c r="H91" s="66">
        <v>542.95899999999995</v>
      </c>
      <c r="I91" s="66">
        <v>569.19799999999998</v>
      </c>
      <c r="J91" s="66">
        <v>558.38300000000004</v>
      </c>
      <c r="K91" s="66">
        <v>572.58600000000001</v>
      </c>
      <c r="L91" s="240">
        <v>2243.1260000000002</v>
      </c>
      <c r="M91" s="130">
        <v>546.19900000000007</v>
      </c>
      <c r="N91" s="130">
        <v>545.19399999999996</v>
      </c>
      <c r="O91" s="130">
        <v>525.53500000000008</v>
      </c>
      <c r="P91" s="130">
        <v>588.755</v>
      </c>
      <c r="Q91" s="240">
        <v>2205.683</v>
      </c>
      <c r="R91" s="130">
        <v>503.50700000000001</v>
      </c>
      <c r="S91" s="130">
        <v>532.76599999999996</v>
      </c>
      <c r="T91" s="130">
        <v>507.09199999999998</v>
      </c>
      <c r="U91" s="130">
        <v>565.56600000000003</v>
      </c>
      <c r="V91" s="240">
        <v>2108.931</v>
      </c>
      <c r="W91" s="130">
        <v>523.59100000000001</v>
      </c>
      <c r="X91" s="130">
        <v>567.65300000000002</v>
      </c>
      <c r="Y91" s="130">
        <v>567.90100000000007</v>
      </c>
      <c r="Z91" s="130">
        <v>611.88099999999997</v>
      </c>
      <c r="AA91" s="240">
        <v>2271.0260000000003</v>
      </c>
      <c r="AB91" s="180">
        <v>547.52199999999993</v>
      </c>
      <c r="AC91" s="180">
        <v>620.298</v>
      </c>
      <c r="AD91" s="180">
        <v>595.39300000000003</v>
      </c>
      <c r="AE91" s="180">
        <v>648.62199999999996</v>
      </c>
      <c r="AF91" s="240">
        <v>2411.835</v>
      </c>
      <c r="AG91" s="180">
        <v>554.92619712444298</v>
      </c>
      <c r="AH91" s="180">
        <v>611.98330374127704</v>
      </c>
      <c r="AI91" s="180">
        <v>586.44264326000007</v>
      </c>
      <c r="AJ91" s="180">
        <v>625.45509339</v>
      </c>
      <c r="AK91" s="240">
        <f>SUM(AG91:AJ91)</f>
        <v>2378.8072375157199</v>
      </c>
      <c r="AL91" s="180">
        <v>575.66241106000007</v>
      </c>
      <c r="AM91" s="180">
        <v>532.70225187999995</v>
      </c>
      <c r="AN91" s="180">
        <v>549.94189363999999</v>
      </c>
      <c r="AO91" s="180">
        <v>641.4658287499999</v>
      </c>
      <c r="AP91" s="240">
        <f>CW_Drivers!BI77</f>
        <v>2325.3420000000001</v>
      </c>
      <c r="AQ91" s="180">
        <f>CW_Drivers!BJ77</f>
        <v>589.95700000000011</v>
      </c>
      <c r="AR91" s="180">
        <f>CW_Drivers!BK77</f>
        <v>609.37699999999995</v>
      </c>
      <c r="AS91" s="180">
        <f>CW_Drivers!BL77</f>
        <v>613.846</v>
      </c>
      <c r="AT91" s="180">
        <f>CW_Drivers!BM77</f>
        <v>655.29899999999998</v>
      </c>
      <c r="AU91" s="240">
        <f>CW_Drivers!BN77</f>
        <v>2468.4790000000003</v>
      </c>
      <c r="AV91" s="180">
        <f>CW_Drivers!BO77</f>
        <v>559.46100000000001</v>
      </c>
      <c r="AW91" s="180">
        <f>CW_Drivers!BP77</f>
        <v>609.35699999999997</v>
      </c>
      <c r="AX91" s="180">
        <f>CW_Drivers!BQ77</f>
        <v>630.54299999999989</v>
      </c>
      <c r="AY91" s="180">
        <f>CW_Drivers!BR77</f>
        <v>757.66499999999996</v>
      </c>
      <c r="AZ91" s="240">
        <f>CW_Drivers!BS77</f>
        <v>2557.0259999999998</v>
      </c>
      <c r="BA91" s="180">
        <f>CW_Drivers!BT77</f>
        <v>630.86</v>
      </c>
      <c r="BB91" s="180">
        <f>CW_Drivers!BU77</f>
        <v>704.39600000000007</v>
      </c>
      <c r="BC91" s="180">
        <f>CW_Drivers!BV77</f>
        <v>724.32600000000002</v>
      </c>
      <c r="BD91" s="180">
        <f>CW_Drivers!BW77</f>
        <v>785.79099999999994</v>
      </c>
      <c r="BE91" s="240">
        <f>CW_Drivers!BX77</f>
        <v>2845.3730000000005</v>
      </c>
      <c r="BF91" s="180">
        <f>CW_Drivers!BY77</f>
        <v>713.16699999999992</v>
      </c>
      <c r="BG91" s="180">
        <f>CW_Drivers!BZ77</f>
        <v>784.79099999999994</v>
      </c>
      <c r="BH91" s="180">
        <f>CW_Drivers!CA77</f>
        <v>798.91800000000001</v>
      </c>
      <c r="BI91" s="180">
        <f>CW_Drivers!CB77</f>
        <v>824.31299999999999</v>
      </c>
      <c r="BJ91" s="240">
        <f>CW_Drivers!CC77</f>
        <v>3121.1889999999999</v>
      </c>
      <c r="BK91" s="180">
        <f>CW_Drivers!CD77</f>
        <v>805.64499999999998</v>
      </c>
      <c r="BL91" s="180">
        <f>CW_Drivers!CE77</f>
        <v>876.57600000000002</v>
      </c>
      <c r="BM91" s="180">
        <f>CW_Drivers!CF77</f>
        <v>869.17</v>
      </c>
      <c r="BN91" s="180">
        <f>CW_Drivers!CG77</f>
        <v>946.98099999999999</v>
      </c>
      <c r="BO91" s="240">
        <f>CW_Drivers!CH77</f>
        <v>3498.3720000000003</v>
      </c>
      <c r="BP91" s="264">
        <f>CW_Drivers!CI77</f>
        <v>870.31016</v>
      </c>
      <c r="BQ91" s="264">
        <f>CW_Drivers!CJ77</f>
        <v>937.06234999999992</v>
      </c>
      <c r="BR91" s="264">
        <f>CW_Drivers!CK77</f>
        <v>940.47026000000005</v>
      </c>
      <c r="BS91" s="264">
        <f>CW_Drivers!CL77</f>
        <v>991.23921999999993</v>
      </c>
      <c r="BT91" s="276">
        <f>CW_Drivers!CM77</f>
        <v>3739.0819900000001</v>
      </c>
      <c r="BU91" s="264">
        <f>CW_Drivers!CN77</f>
        <v>921.04350590000013</v>
      </c>
      <c r="BV91" s="264">
        <f>CW_Drivers!CO77</f>
        <v>992.06091610000021</v>
      </c>
      <c r="BW91" s="264">
        <f>CW_Drivers!CP77</f>
        <v>995.42604860000006</v>
      </c>
      <c r="BX91" s="264">
        <f>CW_Drivers!CQ77</f>
        <v>1049.5263104000001</v>
      </c>
      <c r="BY91" s="276">
        <f>CW_Drivers!CR77</f>
        <v>3958.0567810000007</v>
      </c>
    </row>
    <row r="92" spans="2:77" s="850" customFormat="1">
      <c r="B92" s="58" t="s">
        <v>183</v>
      </c>
      <c r="C92" s="845"/>
      <c r="D92" s="845"/>
      <c r="E92" s="845"/>
      <c r="F92" s="845"/>
      <c r="G92" s="846"/>
      <c r="H92" s="845">
        <f t="shared" ref="H92" si="90">H91/C91-1</f>
        <v>9.8218042071197331E-2</v>
      </c>
      <c r="I92" s="845">
        <f t="shared" ref="I92" si="91">I91/D91-1</f>
        <v>8.604846403358124E-2</v>
      </c>
      <c r="J92" s="845">
        <f t="shared" ref="J92" si="92">J91/E91-1</f>
        <v>9.1871333594055749E-2</v>
      </c>
      <c r="K92" s="845">
        <f t="shared" ref="K92" si="93">K91/F91-1</f>
        <v>-2.6545392723563488E-2</v>
      </c>
      <c r="L92" s="846">
        <f t="shared" ref="L92" si="94">L91/G91-1</f>
        <v>5.9027430244086743E-2</v>
      </c>
      <c r="M92" s="845">
        <f>M91/H91-1</f>
        <v>5.9673013984482548E-3</v>
      </c>
      <c r="N92" s="845">
        <f t="shared" ref="N92" si="95">N91/I91-1</f>
        <v>-4.2171616906594878E-2</v>
      </c>
      <c r="O92" s="845">
        <f>O91/J91-1</f>
        <v>-5.8827005836495694E-2</v>
      </c>
      <c r="P92" s="845">
        <f t="shared" ref="P92" si="96">P91/K91-1</f>
        <v>2.8238552811280737E-2</v>
      </c>
      <c r="Q92" s="846">
        <f t="shared" ref="Q92" si="97">Q91/L91-1</f>
        <v>-1.669233025697181E-2</v>
      </c>
      <c r="R92" s="845">
        <f t="shared" ref="R92" si="98">R91/M91-1</f>
        <v>-7.816198857925416E-2</v>
      </c>
      <c r="S92" s="845">
        <f t="shared" ref="S92" si="99">S91/N91-1</f>
        <v>-2.2795555343602447E-2</v>
      </c>
      <c r="T92" s="845">
        <f t="shared" ref="T92" si="100">T91/O91-1</f>
        <v>-3.5093761595326844E-2</v>
      </c>
      <c r="U92" s="845">
        <f t="shared" ref="U92" si="101">U91/P91-1</f>
        <v>-3.9386502025460457E-2</v>
      </c>
      <c r="V92" s="846">
        <f t="shared" ref="V92" si="102">V91/Q91-1</f>
        <v>-4.3864870881264451E-2</v>
      </c>
      <c r="W92" s="845">
        <f t="shared" ref="W92" si="103">W91/R91-1</f>
        <v>3.9888223996885852E-2</v>
      </c>
      <c r="X92" s="845">
        <f t="shared" ref="X92" si="104">X91/S91-1</f>
        <v>6.5482782309681964E-2</v>
      </c>
      <c r="Y92" s="845">
        <f>Y91/T91-1</f>
        <v>0.11991709591159028</v>
      </c>
      <c r="Z92" s="845">
        <f t="shared" ref="Z92" si="105">Z91/U91-1</f>
        <v>8.1891414971904108E-2</v>
      </c>
      <c r="AA92" s="846">
        <f t="shared" ref="AA92" si="106">AA91/V91-1</f>
        <v>7.6861215468879918E-2</v>
      </c>
      <c r="AB92" s="847">
        <f t="shared" ref="AB92" si="107">AB91/W91-1</f>
        <v>4.5705522058247627E-2</v>
      </c>
      <c r="AC92" s="847">
        <f>AC91/X91-1</f>
        <v>9.2741516384128975E-2</v>
      </c>
      <c r="AD92" s="847">
        <f t="shared" ref="AD92" si="108">AD91/Y91-1</f>
        <v>4.8409846082327679E-2</v>
      </c>
      <c r="AE92" s="847">
        <f>AE91/Z91-1</f>
        <v>6.0045989334527539E-2</v>
      </c>
      <c r="AF92" s="846">
        <f>AF91/AA91-1</f>
        <v>6.2002372495955527E-2</v>
      </c>
      <c r="AG92" s="847">
        <f t="shared" ref="AG92" si="109">AG91/AB91-1</f>
        <v>1.3523104321731427E-2</v>
      </c>
      <c r="AH92" s="847">
        <f t="shared" ref="AH92" si="110">AH91/AC91-1</f>
        <v>-1.3404357677637146E-2</v>
      </c>
      <c r="AI92" s="847">
        <f t="shared" ref="AI92" si="111">AI91/AD91-1</f>
        <v>-1.503268721667872E-2</v>
      </c>
      <c r="AJ92" s="847">
        <f t="shared" ref="AJ92" si="112">AJ91/AE91-1</f>
        <v>-3.5717115068560679E-2</v>
      </c>
      <c r="AK92" s="846">
        <f t="shared" ref="AK92" si="113">AK91/AF91-1</f>
        <v>-1.3694038972102196E-2</v>
      </c>
      <c r="AL92" s="847">
        <f t="shared" ref="AL92" si="114">AL91/AG91-1</f>
        <v>3.7367516695030023E-2</v>
      </c>
      <c r="AM92" s="847">
        <f t="shared" ref="AM92" si="115">AM91/AH91-1</f>
        <v>-0.12954773664020425</v>
      </c>
      <c r="AN92" s="847">
        <f t="shared" ref="AN92" si="116">AN91/AI91-1</f>
        <v>-6.2240954063460641E-2</v>
      </c>
      <c r="AO92" s="847">
        <f t="shared" ref="AO92" si="117">AO91/AJ91-1</f>
        <v>2.5598537016016332E-2</v>
      </c>
      <c r="AP92" s="846">
        <f t="shared" ref="AP92" si="118">AP91/AK91-1</f>
        <v>-2.2475649423177146E-2</v>
      </c>
      <c r="AQ92" s="847">
        <f t="shared" ref="AQ92" si="119">AQ91/AL91-1</f>
        <v>2.4831548257039371E-2</v>
      </c>
      <c r="AR92" s="847">
        <f t="shared" ref="AR92" si="120">AR91/AM91-1</f>
        <v>0.14393546835854609</v>
      </c>
      <c r="AS92" s="847">
        <f t="shared" ref="AS92" si="121">AS91/AN91-1</f>
        <v>0.11620156074494759</v>
      </c>
      <c r="AT92" s="847">
        <f t="shared" ref="AT92" si="122">AT91/AO91-1</f>
        <v>2.1564938660810995E-2</v>
      </c>
      <c r="AU92" s="846">
        <f t="shared" ref="AU92" si="123">AU91/AP91-1</f>
        <v>6.1555246497074556E-2</v>
      </c>
      <c r="AV92" s="847">
        <f t="shared" ref="AV92" si="124">AV91/AQ91-1</f>
        <v>-5.1691902969199566E-2</v>
      </c>
      <c r="AW92" s="847">
        <f t="shared" ref="AW92" si="125">AW91/AR91-1</f>
        <v>-3.2820405102218508E-5</v>
      </c>
      <c r="AX92" s="847">
        <f t="shared" ref="AX92" si="126">AX91/AS91-1</f>
        <v>2.7200633383617223E-2</v>
      </c>
      <c r="AY92" s="847">
        <f t="shared" ref="AY92:AZ92" si="127">AY91/AT91-1</f>
        <v>0.15621266017497359</v>
      </c>
      <c r="AZ92" s="846">
        <f t="shared" si="127"/>
        <v>3.5871076885806819E-2</v>
      </c>
      <c r="BA92" s="847">
        <f t="shared" ref="BA92:BC92" si="128">BA91/AV91-1</f>
        <v>0.12762104954590225</v>
      </c>
      <c r="BB92" s="847">
        <f t="shared" si="128"/>
        <v>0.15596604289439542</v>
      </c>
      <c r="BC92" s="847">
        <f t="shared" si="128"/>
        <v>0.1487337104685964</v>
      </c>
      <c r="BD92" s="847">
        <f>BD91/AY91-1</f>
        <v>3.7121947034639335E-2</v>
      </c>
      <c r="BE92" s="846">
        <f>BE91/AZ91-1</f>
        <v>0.11276654989038071</v>
      </c>
      <c r="BF92" s="847">
        <f t="shared" ref="BF92:BH92" si="129">BF91/BA91-1</f>
        <v>0.13046793266334822</v>
      </c>
      <c r="BG92" s="847">
        <f t="shared" si="129"/>
        <v>0.11413324323249974</v>
      </c>
      <c r="BH92" s="847">
        <f t="shared" si="129"/>
        <v>0.10298125429709826</v>
      </c>
      <c r="BI92" s="847">
        <f>BI91/BD91-1</f>
        <v>4.9023213551695033E-2</v>
      </c>
      <c r="BJ92" s="846">
        <f>BJ91/BE91-1</f>
        <v>9.6934918550221516E-2</v>
      </c>
      <c r="BK92" s="847">
        <f t="shared" ref="BK92:BM92" si="130">BK91/BF91-1</f>
        <v>0.12967229274489722</v>
      </c>
      <c r="BL92" s="847">
        <f t="shared" si="130"/>
        <v>0.11695470513805595</v>
      </c>
      <c r="BM92" s="847">
        <f t="shared" si="130"/>
        <v>8.7933930641192148E-2</v>
      </c>
      <c r="BN92" s="847">
        <f>BN91/BI91-1</f>
        <v>0.14881240499664572</v>
      </c>
      <c r="BO92" s="846">
        <f>BO91/BJ91-1</f>
        <v>0.12084593403347266</v>
      </c>
      <c r="BP92" s="848">
        <f t="shared" ref="BP92:BY92" si="131">BP91/BK91-1</f>
        <v>8.0265079532548578E-2</v>
      </c>
      <c r="BQ92" s="848">
        <f t="shared" si="131"/>
        <v>6.9002972931040629E-2</v>
      </c>
      <c r="BR92" s="848">
        <f t="shared" si="131"/>
        <v>8.2032582808886811E-2</v>
      </c>
      <c r="BS92" s="848">
        <f t="shared" si="131"/>
        <v>4.6736122477642139E-2</v>
      </c>
      <c r="BT92" s="849">
        <f t="shared" si="131"/>
        <v>6.8806287610351236E-2</v>
      </c>
      <c r="BU92" s="848">
        <f t="shared" si="131"/>
        <v>5.8293408754414688E-2</v>
      </c>
      <c r="BV92" s="848">
        <f t="shared" si="131"/>
        <v>5.8692536414466145E-2</v>
      </c>
      <c r="BW92" s="848">
        <f t="shared" si="131"/>
        <v>5.8434371545145858E-2</v>
      </c>
      <c r="BX92" s="848">
        <f t="shared" si="131"/>
        <v>5.8802243922511543E-2</v>
      </c>
      <c r="BY92" s="849">
        <f t="shared" si="131"/>
        <v>5.8563784261922658E-2</v>
      </c>
    </row>
    <row r="93" spans="2:77" s="6" customFormat="1">
      <c r="B93" s="260" t="s">
        <v>273</v>
      </c>
      <c r="C93" s="44"/>
      <c r="D93" s="44"/>
      <c r="E93" s="44"/>
      <c r="F93" s="44"/>
      <c r="G93" s="244"/>
      <c r="H93" s="44"/>
      <c r="I93" s="44"/>
      <c r="J93" s="44"/>
      <c r="K93" s="44"/>
      <c r="L93" s="244"/>
      <c r="M93" s="44"/>
      <c r="N93" s="44"/>
      <c r="O93" s="44"/>
      <c r="P93" s="44"/>
      <c r="Q93" s="244"/>
      <c r="R93" s="44"/>
      <c r="S93" s="44"/>
      <c r="T93" s="44"/>
      <c r="U93" s="44"/>
      <c r="V93" s="244"/>
      <c r="W93" s="44"/>
      <c r="X93" s="44"/>
      <c r="Y93" s="44"/>
      <c r="Z93" s="44"/>
      <c r="AA93" s="244"/>
      <c r="AB93" s="182"/>
      <c r="AC93" s="182"/>
      <c r="AD93" s="182"/>
      <c r="AE93" s="182"/>
      <c r="AF93" s="244"/>
      <c r="AG93" s="182"/>
      <c r="AH93" s="182"/>
      <c r="AI93" s="182"/>
      <c r="AJ93" s="182"/>
      <c r="AK93" s="244"/>
      <c r="AL93" s="182"/>
      <c r="AM93" s="182"/>
      <c r="AN93" s="182"/>
      <c r="AO93" s="182"/>
      <c r="AP93" s="244"/>
      <c r="AQ93" s="182"/>
      <c r="AR93" s="182"/>
      <c r="AS93" s="182"/>
      <c r="AT93" s="182"/>
      <c r="AU93" s="244"/>
      <c r="AV93" s="182"/>
      <c r="AW93" s="182"/>
      <c r="AX93" s="395"/>
      <c r="AY93" s="395"/>
      <c r="AZ93" s="396"/>
      <c r="BA93" s="854">
        <f>CW_Drivers!BT80</f>
        <v>585</v>
      </c>
      <c r="BB93" s="854">
        <f>CW_Drivers!BU80</f>
        <v>652</v>
      </c>
      <c r="BC93" s="854">
        <f>CW_Drivers!BV80</f>
        <v>683</v>
      </c>
      <c r="BD93" s="854">
        <f>CW_Drivers!BW80</f>
        <v>737</v>
      </c>
      <c r="BE93" s="396"/>
      <c r="BF93" s="854">
        <f>CW_Drivers!BY80</f>
        <v>664</v>
      </c>
      <c r="BG93" s="854">
        <f>CW_Drivers!BZ80</f>
        <v>736</v>
      </c>
      <c r="BH93" s="854">
        <f>CW_Drivers!CA80</f>
        <v>757</v>
      </c>
      <c r="BI93" s="854">
        <f>CW_Drivers!CB80</f>
        <v>785.3</v>
      </c>
      <c r="BJ93" s="396"/>
      <c r="BK93" s="854">
        <f>CW_Drivers!CD80</f>
        <v>767.2</v>
      </c>
      <c r="BL93" s="854">
        <f>CW_Drivers!CE80</f>
        <v>852</v>
      </c>
      <c r="BM93" s="854">
        <f>CW_Drivers!CF80</f>
        <v>870.30510000000004</v>
      </c>
      <c r="BN93" s="854">
        <f>CW_Drivers!CG80</f>
        <v>890.3</v>
      </c>
      <c r="BO93" s="396"/>
      <c r="BP93" s="537"/>
      <c r="BQ93" s="537"/>
      <c r="BR93" s="537"/>
      <c r="BS93" s="537"/>
      <c r="BT93" s="536" t="e">
        <f ca="1">CW_Drivers!CM80</f>
        <v>#NAME?</v>
      </c>
      <c r="BU93" s="537"/>
      <c r="BV93" s="537"/>
      <c r="BW93" s="537"/>
      <c r="BX93" s="537"/>
      <c r="BY93" s="536" t="e">
        <f ca="1">CW_Drivers!CR80</f>
        <v>#NAME?</v>
      </c>
    </row>
    <row r="94" spans="2:77" s="6" customFormat="1" ht="13.35" customHeight="1">
      <c r="B94" s="260" t="s">
        <v>184</v>
      </c>
      <c r="C94" s="44"/>
      <c r="D94" s="44"/>
      <c r="E94" s="44"/>
      <c r="F94" s="44"/>
      <c r="G94" s="244"/>
      <c r="H94" s="44"/>
      <c r="I94" s="44"/>
      <c r="J94" s="44"/>
      <c r="K94" s="44"/>
      <c r="L94" s="244"/>
      <c r="M94" s="44"/>
      <c r="N94" s="44"/>
      <c r="O94" s="44"/>
      <c r="P94" s="44"/>
      <c r="Q94" s="244"/>
      <c r="R94" s="44"/>
      <c r="S94" s="44"/>
      <c r="T94" s="44"/>
      <c r="U94" s="44"/>
      <c r="V94" s="244"/>
      <c r="W94" s="44"/>
      <c r="X94" s="44"/>
      <c r="Y94" s="44"/>
      <c r="Z94" s="44"/>
      <c r="AA94" s="244"/>
      <c r="AB94" s="182"/>
      <c r="AC94" s="182"/>
      <c r="AD94" s="182"/>
      <c r="AE94" s="182"/>
      <c r="AF94" s="244"/>
      <c r="AG94" s="182"/>
      <c r="AH94" s="182"/>
      <c r="AI94" s="182"/>
      <c r="AJ94" s="395" t="s">
        <v>227</v>
      </c>
      <c r="AK94" s="396" t="str">
        <f>AJ94</f>
        <v>2590-2630</v>
      </c>
      <c r="AL94" s="182"/>
      <c r="AM94" s="182"/>
      <c r="AN94" s="182"/>
      <c r="AO94" s="395" t="s">
        <v>133</v>
      </c>
      <c r="AP94" s="396" t="str">
        <f>AO94</f>
        <v>2445-2495</v>
      </c>
      <c r="AQ94" s="395" t="s">
        <v>134</v>
      </c>
      <c r="AR94" s="395" t="s">
        <v>135</v>
      </c>
      <c r="AS94" s="182"/>
      <c r="AT94" s="395" t="s">
        <v>136</v>
      </c>
      <c r="AU94" s="396" t="str">
        <f>AT94</f>
        <v>2530-2580</v>
      </c>
      <c r="AV94" s="182"/>
      <c r="AW94" s="395" t="s">
        <v>137</v>
      </c>
      <c r="AX94" s="395" t="s">
        <v>138</v>
      </c>
      <c r="AY94" s="395" t="s">
        <v>139</v>
      </c>
      <c r="AZ94" s="396" t="str">
        <f>AY94</f>
        <v>2655-2710</v>
      </c>
      <c r="BA94" s="395" t="str">
        <f>CW_Drivers!BT79</f>
        <v>2655-2710</v>
      </c>
      <c r="BB94" s="395" t="str">
        <f>CW_Drivers!BU79</f>
        <v>2730-2790</v>
      </c>
      <c r="BC94" s="395" t="str">
        <f>CW_Drivers!BV79</f>
        <v>2765-2815</v>
      </c>
      <c r="BD94" s="395" t="s">
        <v>142</v>
      </c>
      <c r="BE94" s="396" t="str">
        <f>BD94</f>
        <v>2960-3010</v>
      </c>
      <c r="BF94" s="395" t="str">
        <f>CW_Drivers!BY79</f>
        <v>2985-3035</v>
      </c>
      <c r="BG94" s="395" t="str">
        <f>CW_Drivers!BZ79</f>
        <v>3010-3060</v>
      </c>
      <c r="BH94" s="395" t="str">
        <f>CW_Drivers!CA79</f>
        <v>3050-3095</v>
      </c>
      <c r="BI94" s="395" t="str">
        <f>CW_Drivers!CB79</f>
        <v>3335-3385</v>
      </c>
      <c r="BJ94" s="396" t="str">
        <f>BI94</f>
        <v>3335-3385</v>
      </c>
      <c r="BK94" s="395" t="str">
        <f>CW_Drivers!CD79</f>
        <v>3365-3415</v>
      </c>
      <c r="BL94" s="395" t="str">
        <f>CW_Drivers!CE79</f>
        <v>3390-3435</v>
      </c>
      <c r="BM94" s="395" t="str">
        <f>CW_Drivers!CF79</f>
        <v>3420-3455</v>
      </c>
      <c r="BN94" s="395" t="str">
        <f>CW_Drivers!CG79</f>
        <v>3710-3765</v>
      </c>
      <c r="BO94" s="396" t="str">
        <f>BN94</f>
        <v>3710-3765</v>
      </c>
      <c r="BP94" s="988"/>
      <c r="BQ94" s="988"/>
      <c r="BR94" s="988"/>
      <c r="BS94" s="988"/>
      <c r="BT94" s="987" t="e">
        <f ca="1">BT93/BO91-1</f>
        <v>#NAME?</v>
      </c>
      <c r="BU94" s="988"/>
      <c r="BV94" s="988"/>
      <c r="BW94" s="988"/>
      <c r="BX94" s="988"/>
      <c r="BY94" s="987" t="e">
        <f ca="1">BY93/BT93-1</f>
        <v>#NAME?</v>
      </c>
    </row>
    <row r="95" spans="2:77" s="6" customFormat="1" ht="13.35" customHeight="1" outlineLevel="1">
      <c r="B95" s="260"/>
      <c r="C95" s="44"/>
      <c r="D95" s="44"/>
      <c r="E95" s="44"/>
      <c r="F95" s="44"/>
      <c r="G95" s="244"/>
      <c r="H95" s="44"/>
      <c r="I95" s="44"/>
      <c r="J95" s="44"/>
      <c r="K95" s="44"/>
      <c r="L95" s="244"/>
      <c r="M95" s="44"/>
      <c r="N95" s="44"/>
      <c r="O95" s="44"/>
      <c r="P95" s="44"/>
      <c r="Q95" s="244"/>
      <c r="R95" s="44"/>
      <c r="S95" s="44"/>
      <c r="T95" s="44"/>
      <c r="U95" s="44"/>
      <c r="V95" s="244"/>
      <c r="W95" s="44"/>
      <c r="X95" s="44"/>
      <c r="Y95" s="44"/>
      <c r="Z95" s="44"/>
      <c r="AA95" s="244"/>
      <c r="AB95" s="182"/>
      <c r="AC95" s="182"/>
      <c r="AD95" s="182"/>
      <c r="AE95" s="182"/>
      <c r="AF95" s="244"/>
      <c r="AG95" s="182"/>
      <c r="AH95" s="182"/>
      <c r="AI95" s="182"/>
      <c r="AJ95" s="395"/>
      <c r="AK95" s="396"/>
      <c r="AL95" s="182"/>
      <c r="AM95" s="182"/>
      <c r="AN95" s="182"/>
      <c r="AO95" s="395"/>
      <c r="AP95" s="396"/>
      <c r="AQ95" s="395"/>
      <c r="AR95" s="395"/>
      <c r="AS95" s="182"/>
      <c r="AT95" s="395"/>
      <c r="AU95" s="396"/>
      <c r="AV95" s="182"/>
      <c r="AW95" s="395"/>
      <c r="AX95" s="395"/>
      <c r="AY95" s="395"/>
      <c r="AZ95" s="396"/>
      <c r="BA95" s="182"/>
      <c r="BB95" s="395"/>
      <c r="BC95" s="395"/>
      <c r="BD95" s="395"/>
      <c r="BE95" s="396"/>
      <c r="BF95" s="182"/>
      <c r="BG95" s="395"/>
      <c r="BH95" s="395"/>
      <c r="BI95" s="395"/>
      <c r="BJ95" s="396"/>
      <c r="BK95" s="182"/>
      <c r="BL95" s="395"/>
      <c r="BM95" s="395"/>
      <c r="BN95" s="395"/>
      <c r="BO95" s="396"/>
      <c r="BP95" s="182"/>
      <c r="BQ95" s="182"/>
      <c r="BR95" s="182"/>
      <c r="BS95" s="182"/>
      <c r="BT95" s="244"/>
      <c r="BU95" s="182"/>
      <c r="BV95" s="182"/>
      <c r="BW95" s="182"/>
      <c r="BX95" s="182"/>
      <c r="BY95" s="244"/>
    </row>
    <row r="96" spans="2:77" s="6" customFormat="1" ht="13.35" customHeight="1" outlineLevel="1">
      <c r="B96" s="831" t="s">
        <v>290</v>
      </c>
      <c r="C96" s="44"/>
      <c r="D96" s="44"/>
      <c r="E96" s="44"/>
      <c r="F96" s="44"/>
      <c r="G96" s="244"/>
      <c r="H96" s="44"/>
      <c r="I96" s="44"/>
      <c r="J96" s="44"/>
      <c r="K96" s="44"/>
      <c r="L96" s="244"/>
      <c r="M96" s="44"/>
      <c r="N96" s="44"/>
      <c r="O96" s="44"/>
      <c r="P96" s="44"/>
      <c r="Q96" s="244"/>
      <c r="R96" s="44"/>
      <c r="S96" s="44"/>
      <c r="T96" s="44"/>
      <c r="U96" s="44"/>
      <c r="V96" s="244"/>
      <c r="W96" s="44"/>
      <c r="X96" s="44"/>
      <c r="Y96" s="44"/>
      <c r="Z96" s="44"/>
      <c r="AA96" s="244"/>
      <c r="AB96" s="182"/>
      <c r="AC96" s="182"/>
      <c r="AD96" s="182"/>
      <c r="AE96" s="182"/>
      <c r="AF96" s="839">
        <v>1540.5740000000001</v>
      </c>
      <c r="AG96" s="837"/>
      <c r="AH96" s="837"/>
      <c r="AI96" s="837"/>
      <c r="AJ96" s="837"/>
      <c r="AK96" s="839">
        <v>1589.2159999999999</v>
      </c>
      <c r="AL96" s="837"/>
      <c r="AM96" s="837"/>
      <c r="AN96" s="837"/>
      <c r="AO96" s="837"/>
      <c r="AP96" s="839">
        <v>1550.1089999999999</v>
      </c>
      <c r="AQ96" s="837"/>
      <c r="AR96" s="837"/>
      <c r="AS96" s="837"/>
      <c r="AT96" s="837"/>
      <c r="AU96" s="839">
        <v>1572.575</v>
      </c>
      <c r="AV96" s="837">
        <v>358.05900000000003</v>
      </c>
      <c r="AW96" s="837">
        <v>380.84300000000002</v>
      </c>
      <c r="AX96" s="837">
        <v>398.33300000000003</v>
      </c>
      <c r="AY96" s="842">
        <v>465.18099999999998</v>
      </c>
      <c r="AZ96" s="839">
        <f>SUM(AV96:AY96)</f>
        <v>1602.4160000000002</v>
      </c>
      <c r="BA96" s="837">
        <v>409.452</v>
      </c>
      <c r="BB96" s="837">
        <v>444.82299999999998</v>
      </c>
      <c r="BC96" s="837">
        <v>442.858</v>
      </c>
      <c r="BD96" s="837">
        <v>481.06099999999998</v>
      </c>
      <c r="BE96" s="839">
        <f>SUM(BA96:BD96)</f>
        <v>1778.194</v>
      </c>
      <c r="BF96" s="837">
        <v>459.41199999999998</v>
      </c>
      <c r="BG96" s="837">
        <v>500.69</v>
      </c>
      <c r="BH96" s="985">
        <v>500.65499999999997</v>
      </c>
      <c r="BI96" s="985">
        <v>506.88299999999998</v>
      </c>
      <c r="BJ96" s="839">
        <f>SUM(BF96:BI96)</f>
        <v>1967.64</v>
      </c>
      <c r="BK96" s="985">
        <v>513.18100000000004</v>
      </c>
      <c r="BL96" s="985">
        <v>550.41899999999998</v>
      </c>
      <c r="BM96" s="985">
        <v>541.70000000000005</v>
      </c>
      <c r="BN96" s="985">
        <v>591.53800000000001</v>
      </c>
      <c r="BO96" s="839">
        <f>SUM(BK96:BN96)</f>
        <v>2196.8379999999997</v>
      </c>
      <c r="BP96" s="182"/>
      <c r="BQ96" s="182"/>
      <c r="BR96" s="182"/>
      <c r="BS96" s="182"/>
      <c r="BT96" s="244"/>
      <c r="BU96" s="182"/>
      <c r="BV96" s="182"/>
      <c r="BW96" s="182"/>
      <c r="BX96" s="182"/>
      <c r="BY96" s="244"/>
    </row>
    <row r="97" spans="2:77" s="6" customFormat="1" ht="13.35" customHeight="1" outlineLevel="1">
      <c r="B97" s="880" t="s">
        <v>291</v>
      </c>
      <c r="C97" s="44"/>
      <c r="D97" s="44"/>
      <c r="E97" s="44"/>
      <c r="F97" s="44"/>
      <c r="G97" s="244"/>
      <c r="H97" s="44"/>
      <c r="I97" s="44"/>
      <c r="J97" s="44"/>
      <c r="K97" s="44"/>
      <c r="L97" s="244"/>
      <c r="M97" s="44"/>
      <c r="N97" s="44"/>
      <c r="O97" s="44"/>
      <c r="P97" s="44"/>
      <c r="Q97" s="244"/>
      <c r="R97" s="44"/>
      <c r="S97" s="44"/>
      <c r="T97" s="44"/>
      <c r="U97" s="44"/>
      <c r="V97" s="244"/>
      <c r="W97" s="44"/>
      <c r="X97" s="44"/>
      <c r="Y97" s="44"/>
      <c r="Z97" s="44"/>
      <c r="AA97" s="244"/>
      <c r="AB97" s="182"/>
      <c r="AC97" s="182"/>
      <c r="AD97" s="182"/>
      <c r="AE97" s="182"/>
      <c r="AF97" s="840">
        <f t="shared" ref="AF97" si="132">AF91-AF96</f>
        <v>871.26099999999997</v>
      </c>
      <c r="AG97" s="108"/>
      <c r="AH97" s="108"/>
      <c r="AI97" s="108"/>
      <c r="AJ97" s="108"/>
      <c r="AK97" s="840">
        <f t="shared" ref="AK97" si="133">AK91-AK96</f>
        <v>789.59123751571997</v>
      </c>
      <c r="AL97" s="108"/>
      <c r="AM97" s="108"/>
      <c r="AN97" s="108"/>
      <c r="AO97" s="108"/>
      <c r="AP97" s="840">
        <f t="shared" ref="AP97" si="134">AP91-AP96</f>
        <v>775.23300000000017</v>
      </c>
      <c r="AQ97" s="108"/>
      <c r="AR97" s="108"/>
      <c r="AS97" s="108"/>
      <c r="AT97" s="108"/>
      <c r="AU97" s="840">
        <f t="shared" ref="AU97:AV97" si="135">AU91-AU96</f>
        <v>895.90400000000022</v>
      </c>
      <c r="AV97" s="108">
        <f t="shared" si="135"/>
        <v>201.40199999999999</v>
      </c>
      <c r="AW97" s="108">
        <f t="shared" ref="AW97" si="136">AW91-AW96</f>
        <v>228.51399999999995</v>
      </c>
      <c r="AX97" s="108">
        <f>AX91-AX96</f>
        <v>232.20999999999987</v>
      </c>
      <c r="AY97" s="108">
        <f>AY91-AY96</f>
        <v>292.48399999999998</v>
      </c>
      <c r="AZ97" s="840">
        <f>SUM(AV97:AY97)</f>
        <v>954.60999999999967</v>
      </c>
      <c r="BA97" s="108">
        <f t="shared" ref="BA97:BB97" si="137">BA91-BA96</f>
        <v>221.40800000000002</v>
      </c>
      <c r="BB97" s="108">
        <f t="shared" si="137"/>
        <v>259.57300000000009</v>
      </c>
      <c r="BC97" s="108">
        <f>BC91-BC96</f>
        <v>281.46800000000002</v>
      </c>
      <c r="BD97" s="910">
        <f>BD91-BD96</f>
        <v>304.72999999999996</v>
      </c>
      <c r="BE97" s="840">
        <f>SUM(BA97:BD97)</f>
        <v>1067.1790000000001</v>
      </c>
      <c r="BF97" s="108">
        <f t="shared" ref="BF97:BG97" si="138">BF91-BF96</f>
        <v>253.75499999999994</v>
      </c>
      <c r="BG97" s="108">
        <f t="shared" si="138"/>
        <v>284.10099999999994</v>
      </c>
      <c r="BH97" s="108">
        <f>BH91-BH96</f>
        <v>298.26300000000003</v>
      </c>
      <c r="BI97" s="910">
        <f>BI91-BI96</f>
        <v>317.43</v>
      </c>
      <c r="BJ97" s="840">
        <f>SUM(BF97:BI97)</f>
        <v>1153.549</v>
      </c>
      <c r="BK97" s="108">
        <f t="shared" ref="BK97:BL97" si="139">BK91-BK96</f>
        <v>292.46399999999994</v>
      </c>
      <c r="BL97" s="108">
        <f t="shared" si="139"/>
        <v>326.15700000000004</v>
      </c>
      <c r="BM97" s="108">
        <f>BM91-BM96</f>
        <v>327.46999999999991</v>
      </c>
      <c r="BN97" s="910">
        <f>BN91-BN96</f>
        <v>355.44299999999998</v>
      </c>
      <c r="BO97" s="840">
        <f>SUM(BK97:BN97)</f>
        <v>1301.5339999999999</v>
      </c>
      <c r="BP97" s="182"/>
      <c r="BQ97" s="182"/>
      <c r="BR97" s="182"/>
      <c r="BS97" s="182"/>
      <c r="BT97" s="244"/>
      <c r="BU97" s="182"/>
      <c r="BV97" s="182"/>
      <c r="BW97" s="182"/>
      <c r="BX97" s="182"/>
      <c r="BY97" s="244"/>
    </row>
    <row r="98" spans="2:77" s="6" customFormat="1" ht="13.35" customHeight="1" outlineLevel="1">
      <c r="B98" s="879" t="s">
        <v>292</v>
      </c>
      <c r="C98" s="44"/>
      <c r="D98" s="44"/>
      <c r="E98" s="44"/>
      <c r="F98" s="44"/>
      <c r="G98" s="244"/>
      <c r="H98" s="44"/>
      <c r="I98" s="44"/>
      <c r="J98" s="44"/>
      <c r="K98" s="44"/>
      <c r="L98" s="244"/>
      <c r="M98" s="44"/>
      <c r="N98" s="44"/>
      <c r="O98" s="44"/>
      <c r="P98" s="44"/>
      <c r="Q98" s="244"/>
      <c r="R98" s="44"/>
      <c r="S98" s="44"/>
      <c r="T98" s="44"/>
      <c r="U98" s="44"/>
      <c r="V98" s="244"/>
      <c r="W98" s="44"/>
      <c r="X98" s="44"/>
      <c r="Y98" s="44"/>
      <c r="Z98" s="44"/>
      <c r="AA98" s="244"/>
      <c r="AB98" s="182"/>
      <c r="AC98" s="182"/>
      <c r="AD98" s="182"/>
      <c r="AE98" s="182"/>
      <c r="AF98" s="250">
        <f>AF97/AF$91</f>
        <v>0.36124403203370048</v>
      </c>
      <c r="AG98" s="195"/>
      <c r="AH98" s="195"/>
      <c r="AI98" s="195"/>
      <c r="AJ98" s="195"/>
      <c r="AK98" s="250">
        <f>AK97/AK$91</f>
        <v>0.33192737312348208</v>
      </c>
      <c r="AL98" s="195"/>
      <c r="AM98" s="195"/>
      <c r="AN98" s="195"/>
      <c r="AO98" s="195"/>
      <c r="AP98" s="250">
        <f>AP97/AP$91</f>
        <v>0.33338450860131547</v>
      </c>
      <c r="AQ98" s="195"/>
      <c r="AR98" s="195"/>
      <c r="AS98" s="195"/>
      <c r="AT98" s="195"/>
      <c r="AU98" s="250">
        <f>AU97/AU$91</f>
        <v>0.36293766323310839</v>
      </c>
      <c r="AV98" s="195">
        <f t="shared" ref="AV98" si="140">AV97/AV$91</f>
        <v>0.35999292175862119</v>
      </c>
      <c r="AW98" s="195">
        <f t="shared" ref="AW98" si="141">AW97/AW$91</f>
        <v>0.37500841050484357</v>
      </c>
      <c r="AX98" s="195">
        <f>AX97/AX$91</f>
        <v>0.36826988801715332</v>
      </c>
      <c r="AY98" s="195">
        <f>AY97/AY$91</f>
        <v>0.3860334052648598</v>
      </c>
      <c r="AZ98" s="250">
        <f>AZ97/AZ$91</f>
        <v>0.37332823365894585</v>
      </c>
      <c r="BA98" s="195">
        <f t="shared" ref="BA98:BB98" si="142">BA97/BA$91</f>
        <v>0.35096217861332152</v>
      </c>
      <c r="BB98" s="195">
        <f t="shared" si="142"/>
        <v>0.36850436402251013</v>
      </c>
      <c r="BC98" s="195">
        <f>BC97/BC$91</f>
        <v>0.38859298161325151</v>
      </c>
      <c r="BD98" s="932">
        <f>BD97/BD$91</f>
        <v>0.38780031840527568</v>
      </c>
      <c r="BE98" s="250">
        <f>BE97/BE$91</f>
        <v>0.37505768136550111</v>
      </c>
      <c r="BF98" s="195">
        <f t="shared" ref="BF98:BG98" si="143">BF97/BF$91</f>
        <v>0.35581427631957169</v>
      </c>
      <c r="BG98" s="195">
        <f t="shared" si="143"/>
        <v>0.36200848378740325</v>
      </c>
      <c r="BH98" s="195">
        <f>BH97/BH$91</f>
        <v>0.37333368380734949</v>
      </c>
      <c r="BI98" s="932">
        <f>BI97/BI$91</f>
        <v>0.38508430656801484</v>
      </c>
      <c r="BJ98" s="250">
        <f>BJ97/BJ$91</f>
        <v>0.36958639800409399</v>
      </c>
      <c r="BK98" s="195">
        <f t="shared" ref="BK98:BL98" si="144">BK97/BK$91</f>
        <v>0.3630184510547449</v>
      </c>
      <c r="BL98" s="195">
        <f t="shared" si="144"/>
        <v>0.37208068667177752</v>
      </c>
      <c r="BM98" s="195">
        <f>BM97/BM$91</f>
        <v>0.37676173821001635</v>
      </c>
      <c r="BN98" s="932">
        <f>BN97/BN$91</f>
        <v>0.37534332790203817</v>
      </c>
      <c r="BO98" s="250">
        <f>BO97/BO$91</f>
        <v>0.37203990884903027</v>
      </c>
      <c r="BP98" s="182"/>
      <c r="BQ98" s="182"/>
      <c r="BR98" s="182"/>
      <c r="BS98" s="182"/>
      <c r="BT98" s="244"/>
      <c r="BU98" s="182"/>
      <c r="BV98" s="182"/>
      <c r="BW98" s="182"/>
      <c r="BX98" s="182"/>
      <c r="BY98" s="244"/>
    </row>
    <row r="99" spans="2:77" s="6" customFormat="1" ht="8.1" customHeight="1" outlineLevel="1">
      <c r="B99" s="260"/>
      <c r="C99" s="44"/>
      <c r="D99" s="44"/>
      <c r="E99" s="44"/>
      <c r="F99" s="44"/>
      <c r="G99" s="244"/>
      <c r="H99" s="44"/>
      <c r="I99" s="44"/>
      <c r="J99" s="44"/>
      <c r="K99" s="44"/>
      <c r="L99" s="244"/>
      <c r="M99" s="44"/>
      <c r="N99" s="44"/>
      <c r="O99" s="44"/>
      <c r="P99" s="44"/>
      <c r="Q99" s="244"/>
      <c r="R99" s="44"/>
      <c r="S99" s="44"/>
      <c r="T99" s="44"/>
      <c r="U99" s="44"/>
      <c r="V99" s="244"/>
      <c r="W99" s="44"/>
      <c r="X99" s="44"/>
      <c r="Y99" s="44"/>
      <c r="Z99" s="44"/>
      <c r="AA99" s="244"/>
      <c r="AB99" s="182"/>
      <c r="AC99" s="182"/>
      <c r="AD99" s="182"/>
      <c r="AE99" s="182"/>
      <c r="AF99" s="244"/>
      <c r="AG99" s="182"/>
      <c r="AH99" s="182"/>
      <c r="AI99" s="182"/>
      <c r="AJ99" s="395"/>
      <c r="AK99" s="396"/>
      <c r="AL99" s="182"/>
      <c r="AM99" s="182"/>
      <c r="AN99" s="182"/>
      <c r="AO99" s="395"/>
      <c r="AP99" s="396"/>
      <c r="AQ99" s="395"/>
      <c r="AR99" s="395"/>
      <c r="AS99" s="182"/>
      <c r="AT99" s="395"/>
      <c r="AU99" s="396"/>
      <c r="AV99" s="182"/>
      <c r="AW99" s="395"/>
      <c r="AX99" s="395"/>
      <c r="AY99" s="395"/>
      <c r="AZ99" s="396"/>
      <c r="BA99" s="182"/>
      <c r="BB99" s="395"/>
      <c r="BC99" s="395"/>
      <c r="BD99" s="395"/>
      <c r="BE99" s="396"/>
      <c r="BF99" s="182"/>
      <c r="BG99" s="395"/>
      <c r="BH99" s="395"/>
      <c r="BI99" s="395"/>
      <c r="BJ99" s="396"/>
      <c r="BK99" s="182"/>
      <c r="BL99" s="395"/>
      <c r="BM99" s="395"/>
      <c r="BN99" s="395"/>
      <c r="BO99" s="396"/>
      <c r="BP99" s="182"/>
      <c r="BQ99" s="182"/>
      <c r="BR99" s="182"/>
      <c r="BS99" s="182"/>
      <c r="BT99" s="244"/>
      <c r="BU99" s="182"/>
      <c r="BV99" s="182"/>
      <c r="BW99" s="182"/>
      <c r="BX99" s="182"/>
      <c r="BY99" s="244"/>
    </row>
    <row r="100" spans="2:77" s="6" customFormat="1" ht="13.35" customHeight="1" outlineLevel="1">
      <c r="B100" s="831" t="s">
        <v>293</v>
      </c>
      <c r="C100" s="44"/>
      <c r="D100" s="44"/>
      <c r="E100" s="44"/>
      <c r="F100" s="44"/>
      <c r="G100" s="244"/>
      <c r="H100" s="44"/>
      <c r="I100" s="44"/>
      <c r="J100" s="44"/>
      <c r="K100" s="44"/>
      <c r="L100" s="244"/>
      <c r="M100" s="44"/>
      <c r="N100" s="44"/>
      <c r="O100" s="44"/>
      <c r="P100" s="44"/>
      <c r="Q100" s="244"/>
      <c r="R100" s="44"/>
      <c r="S100" s="44"/>
      <c r="T100" s="44"/>
      <c r="U100" s="44"/>
      <c r="V100" s="244"/>
      <c r="W100" s="44"/>
      <c r="X100" s="44"/>
      <c r="Y100" s="44"/>
      <c r="Z100" s="44"/>
      <c r="AA100" s="244"/>
      <c r="AB100" s="182"/>
      <c r="AC100" s="182"/>
      <c r="AD100" s="182"/>
      <c r="AE100" s="182"/>
      <c r="AF100" s="839">
        <v>64.525000000000006</v>
      </c>
      <c r="AG100" s="837"/>
      <c r="AH100" s="837"/>
      <c r="AI100" s="837"/>
      <c r="AJ100" s="837"/>
      <c r="AK100" s="839">
        <v>72.52</v>
      </c>
      <c r="AL100" s="837"/>
      <c r="AM100" s="837"/>
      <c r="AN100" s="837"/>
      <c r="AO100" s="837"/>
      <c r="AP100" s="839">
        <v>74.816000000000003</v>
      </c>
      <c r="AQ100" s="837"/>
      <c r="AR100" s="837"/>
      <c r="AS100" s="837"/>
      <c r="AT100" s="837"/>
      <c r="AU100" s="839">
        <v>88.489000000000004</v>
      </c>
      <c r="AV100" s="837">
        <v>20.549000000000003</v>
      </c>
      <c r="AW100" s="837">
        <v>23.867999999999999</v>
      </c>
      <c r="AX100" s="837">
        <v>17.387</v>
      </c>
      <c r="AY100" s="842">
        <v>19.032</v>
      </c>
      <c r="AZ100" s="839">
        <f>SUM(AV100:AY100)</f>
        <v>80.835999999999999</v>
      </c>
      <c r="BA100" s="837">
        <v>22.024000000000001</v>
      </c>
      <c r="BB100" s="837">
        <v>20.21</v>
      </c>
      <c r="BC100" s="837">
        <v>23.463999999999999</v>
      </c>
      <c r="BD100" s="837">
        <v>20.065999999999999</v>
      </c>
      <c r="BE100" s="839">
        <f>SUM(BA100:BD100)</f>
        <v>85.76400000000001</v>
      </c>
      <c r="BF100" s="837">
        <v>22.98</v>
      </c>
      <c r="BG100" s="837">
        <v>22.152000000000001</v>
      </c>
      <c r="BH100" s="985">
        <v>20.734000000000002</v>
      </c>
      <c r="BI100" s="985">
        <v>25.780999999999999</v>
      </c>
      <c r="BJ100" s="839">
        <f>SUM(BF100:BI100)</f>
        <v>91.64700000000002</v>
      </c>
      <c r="BK100" s="985">
        <v>23.018999999999998</v>
      </c>
      <c r="BL100" s="985">
        <v>23.308</v>
      </c>
      <c r="BM100" s="985">
        <v>23.407</v>
      </c>
      <c r="BN100" s="985">
        <v>25.427</v>
      </c>
      <c r="BO100" s="839">
        <f>SUM(BK100:BN100)</f>
        <v>95.161000000000001</v>
      </c>
      <c r="BP100" s="182"/>
      <c r="BQ100" s="182"/>
      <c r="BR100" s="182"/>
      <c r="BS100" s="182"/>
      <c r="BT100" s="244"/>
      <c r="BU100" s="182"/>
      <c r="BV100" s="182"/>
      <c r="BW100" s="182"/>
      <c r="BX100" s="182"/>
      <c r="BY100" s="244"/>
    </row>
    <row r="101" spans="2:77" s="6" customFormat="1" ht="13.35" customHeight="1" outlineLevel="1">
      <c r="B101" s="879" t="s">
        <v>294</v>
      </c>
      <c r="C101" s="44"/>
      <c r="D101" s="44"/>
      <c r="E101" s="44"/>
      <c r="F101" s="44"/>
      <c r="G101" s="244"/>
      <c r="H101" s="44"/>
      <c r="I101" s="44"/>
      <c r="J101" s="44"/>
      <c r="K101" s="44"/>
      <c r="L101" s="244"/>
      <c r="M101" s="44"/>
      <c r="N101" s="44"/>
      <c r="O101" s="44"/>
      <c r="P101" s="44"/>
      <c r="Q101" s="244"/>
      <c r="R101" s="44"/>
      <c r="S101" s="44"/>
      <c r="T101" s="44"/>
      <c r="U101" s="44"/>
      <c r="V101" s="244"/>
      <c r="W101" s="44"/>
      <c r="X101" s="44"/>
      <c r="Y101" s="44"/>
      <c r="Z101" s="44"/>
      <c r="AA101" s="244"/>
      <c r="AB101" s="182"/>
      <c r="AC101" s="182"/>
      <c r="AD101" s="182"/>
      <c r="AE101" s="182"/>
      <c r="AF101" s="250">
        <f>AF100/AF$91</f>
        <v>2.6753488526371001E-2</v>
      </c>
      <c r="AG101" s="837"/>
      <c r="AH101" s="837"/>
      <c r="AI101" s="837"/>
      <c r="AJ101" s="837"/>
      <c r="AK101" s="250">
        <f>AK100/AK$91</f>
        <v>3.0485866553750456E-2</v>
      </c>
      <c r="AL101" s="837"/>
      <c r="AM101" s="837"/>
      <c r="AN101" s="837"/>
      <c r="AO101" s="837"/>
      <c r="AP101" s="250">
        <f>AP100/AP$91</f>
        <v>3.2174192011325646E-2</v>
      </c>
      <c r="AQ101" s="837"/>
      <c r="AR101" s="837"/>
      <c r="AS101" s="837"/>
      <c r="AT101" s="837"/>
      <c r="AU101" s="250">
        <f>AU100/AU$91</f>
        <v>3.5847580635686993E-2</v>
      </c>
      <c r="AV101" s="195">
        <f t="shared" ref="AV101:AW101" si="145">AV100/AV$91</f>
        <v>3.6729995477790232E-2</v>
      </c>
      <c r="AW101" s="195">
        <f t="shared" si="145"/>
        <v>3.9169156996637436E-2</v>
      </c>
      <c r="AX101" s="195">
        <f>AX100/AX$91</f>
        <v>2.7574645979734934E-2</v>
      </c>
      <c r="AY101" s="195">
        <f>AY100/AY$91</f>
        <v>2.5119280948704244E-2</v>
      </c>
      <c r="AZ101" s="250">
        <f>AZ100/AZ$91</f>
        <v>3.161328824970884E-2</v>
      </c>
      <c r="BA101" s="195">
        <f t="shared" ref="BA101:BB101" si="146">BA100/BA$91</f>
        <v>3.4911073772310813E-2</v>
      </c>
      <c r="BB101" s="195">
        <f t="shared" si="146"/>
        <v>2.8691247536896856E-2</v>
      </c>
      <c r="BC101" s="195">
        <f>BC100/BC$91</f>
        <v>3.2394253416279405E-2</v>
      </c>
      <c r="BD101" s="932">
        <f>BD100/BD$91</f>
        <v>2.5536052207266308E-2</v>
      </c>
      <c r="BE101" s="250">
        <f>BE100/BE$91</f>
        <v>3.0141566676846934E-2</v>
      </c>
      <c r="BF101" s="195">
        <f t="shared" ref="BF101:BG101" si="147">BF100/BF$91</f>
        <v>3.2222466827545308E-2</v>
      </c>
      <c r="BG101" s="195">
        <f t="shared" si="147"/>
        <v>2.8226623393999169E-2</v>
      </c>
      <c r="BH101" s="195">
        <f>BH100/BH$91</f>
        <v>2.595260089270739E-2</v>
      </c>
      <c r="BI101" s="932">
        <f>BI100/BI$91</f>
        <v>3.1275741132312601E-2</v>
      </c>
      <c r="BJ101" s="250">
        <f>BJ100/BJ$91</f>
        <v>2.9362848581101633E-2</v>
      </c>
      <c r="BK101" s="195">
        <f t="shared" ref="BK101:BL101" si="148">BK100/BK$91</f>
        <v>2.8572137852279848E-2</v>
      </c>
      <c r="BL101" s="195">
        <f t="shared" si="148"/>
        <v>2.6589822217354796E-2</v>
      </c>
      <c r="BM101" s="195">
        <f>BM100/BM$91</f>
        <v>2.69302898167217E-2</v>
      </c>
      <c r="BN101" s="932">
        <f>BN100/BN$91</f>
        <v>2.6850591511339721E-2</v>
      </c>
      <c r="BO101" s="250">
        <f>BO100/BO$91</f>
        <v>2.7201509730811931E-2</v>
      </c>
      <c r="BP101" s="182"/>
      <c r="BQ101" s="182"/>
      <c r="BR101" s="182"/>
      <c r="BS101" s="182"/>
      <c r="BT101" s="244"/>
      <c r="BU101" s="182"/>
      <c r="BV101" s="182"/>
      <c r="BW101" s="182"/>
      <c r="BX101" s="182"/>
      <c r="BY101" s="244"/>
    </row>
    <row r="102" spans="2:77" s="6" customFormat="1" ht="13.35" customHeight="1" outlineLevel="1">
      <c r="B102" s="831" t="s">
        <v>295</v>
      </c>
      <c r="C102" s="44"/>
      <c r="D102" s="44"/>
      <c r="E102" s="44"/>
      <c r="F102" s="44"/>
      <c r="G102" s="244"/>
      <c r="H102" s="44"/>
      <c r="I102" s="44"/>
      <c r="J102" s="44"/>
      <c r="K102" s="44"/>
      <c r="L102" s="244"/>
      <c r="M102" s="44"/>
      <c r="N102" s="44"/>
      <c r="O102" s="44"/>
      <c r="P102" s="44"/>
      <c r="Q102" s="244"/>
      <c r="R102" s="44"/>
      <c r="S102" s="44"/>
      <c r="T102" s="44"/>
      <c r="U102" s="44"/>
      <c r="V102" s="244"/>
      <c r="W102" s="44"/>
      <c r="X102" s="44"/>
      <c r="Y102" s="44"/>
      <c r="Z102" s="44"/>
      <c r="AA102" s="244"/>
      <c r="AB102" s="182"/>
      <c r="AC102" s="182"/>
      <c r="AD102" s="182"/>
      <c r="AE102" s="182"/>
      <c r="AF102" s="839">
        <v>126.64100000000001</v>
      </c>
      <c r="AG102" s="837"/>
      <c r="AH102" s="837"/>
      <c r="AI102" s="837"/>
      <c r="AJ102" s="837"/>
      <c r="AK102" s="839">
        <v>120.861</v>
      </c>
      <c r="AL102" s="837"/>
      <c r="AM102" s="837"/>
      <c r="AN102" s="837"/>
      <c r="AO102" s="837"/>
      <c r="AP102" s="839">
        <v>109.53700000000001</v>
      </c>
      <c r="AQ102" s="837"/>
      <c r="AR102" s="837"/>
      <c r="AS102" s="837"/>
      <c r="AT102" s="837"/>
      <c r="AU102" s="839">
        <v>116.956</v>
      </c>
      <c r="AV102" s="837">
        <v>28.092000000000002</v>
      </c>
      <c r="AW102" s="837">
        <v>30.407</v>
      </c>
      <c r="AX102" s="837">
        <v>31.888000000000002</v>
      </c>
      <c r="AY102" s="842">
        <v>31.199000000000002</v>
      </c>
      <c r="AZ102" s="839">
        <f>SUM(AV102:AY102)</f>
        <v>121.586</v>
      </c>
      <c r="BA102" s="837">
        <v>32.42499999999999</v>
      </c>
      <c r="BB102" s="837">
        <v>34.273000000000003</v>
      </c>
      <c r="BC102" s="837">
        <v>34.084000000000003</v>
      </c>
      <c r="BD102" s="837">
        <v>36.305999999999997</v>
      </c>
      <c r="BE102" s="839">
        <f>SUM(BA102:BD102)</f>
        <v>137.08799999999999</v>
      </c>
      <c r="BF102" s="837">
        <v>36.765000000000001</v>
      </c>
      <c r="BG102" s="837">
        <v>35.125999999999998</v>
      </c>
      <c r="BH102" s="985">
        <v>37.311</v>
      </c>
      <c r="BI102" s="985">
        <v>36.158000000000001</v>
      </c>
      <c r="BJ102" s="839">
        <f>SUM(BF102:BI102)</f>
        <v>145.36000000000001</v>
      </c>
      <c r="BK102" s="985">
        <v>39.924999999999997</v>
      </c>
      <c r="BL102" s="985">
        <v>41.764000000000003</v>
      </c>
      <c r="BM102" s="985">
        <v>40.558999999999997</v>
      </c>
      <c r="BN102" s="985">
        <v>46.491999999999997</v>
      </c>
      <c r="BO102" s="839">
        <f>SUM(BK102:BN102)</f>
        <v>168.73999999999998</v>
      </c>
      <c r="BP102" s="182"/>
      <c r="BQ102" s="182"/>
      <c r="BR102" s="182"/>
      <c r="BS102" s="182"/>
      <c r="BT102" s="244"/>
      <c r="BU102" s="182"/>
      <c r="BV102" s="182"/>
      <c r="BW102" s="182"/>
      <c r="BX102" s="182"/>
      <c r="BY102" s="244"/>
    </row>
    <row r="103" spans="2:77" s="6" customFormat="1" ht="13.35" customHeight="1" outlineLevel="1">
      <c r="B103" s="879" t="s">
        <v>294</v>
      </c>
      <c r="C103" s="44"/>
      <c r="D103" s="44"/>
      <c r="E103" s="44"/>
      <c r="F103" s="44"/>
      <c r="G103" s="244"/>
      <c r="H103" s="44"/>
      <c r="I103" s="44"/>
      <c r="J103" s="44"/>
      <c r="K103" s="44"/>
      <c r="L103" s="244"/>
      <c r="M103" s="44"/>
      <c r="N103" s="44"/>
      <c r="O103" s="44"/>
      <c r="P103" s="44"/>
      <c r="Q103" s="244"/>
      <c r="R103" s="44"/>
      <c r="S103" s="44"/>
      <c r="T103" s="44"/>
      <c r="U103" s="44"/>
      <c r="V103" s="244"/>
      <c r="W103" s="44"/>
      <c r="X103" s="44"/>
      <c r="Y103" s="44"/>
      <c r="Z103" s="44"/>
      <c r="AA103" s="244"/>
      <c r="AB103" s="182"/>
      <c r="AC103" s="182"/>
      <c r="AD103" s="182"/>
      <c r="AE103" s="182"/>
      <c r="AF103" s="250">
        <f>AF102/AF$91</f>
        <v>5.2508152506286709E-2</v>
      </c>
      <c r="AG103" s="837"/>
      <c r="AH103" s="837"/>
      <c r="AI103" s="837"/>
      <c r="AJ103" s="837"/>
      <c r="AK103" s="250">
        <f>AK102/AK$91</f>
        <v>5.0807395443365058E-2</v>
      </c>
      <c r="AL103" s="837"/>
      <c r="AM103" s="837"/>
      <c r="AN103" s="837"/>
      <c r="AO103" s="837"/>
      <c r="AP103" s="250">
        <f>AP102/AP$91</f>
        <v>4.7105759066838344E-2</v>
      </c>
      <c r="AQ103" s="837"/>
      <c r="AR103" s="837"/>
      <c r="AS103" s="837"/>
      <c r="AT103" s="837"/>
      <c r="AU103" s="250">
        <f>AU102/AU$91</f>
        <v>4.737978325924587E-2</v>
      </c>
      <c r="AV103" s="195">
        <f t="shared" ref="AV103:AW103" si="149">AV102/AV$91</f>
        <v>5.021261535656641E-2</v>
      </c>
      <c r="AW103" s="195">
        <f t="shared" si="149"/>
        <v>4.9900140640051729E-2</v>
      </c>
      <c r="AX103" s="195">
        <f>AX102/AX$91</f>
        <v>5.0572284523022232E-2</v>
      </c>
      <c r="AY103" s="195">
        <f>AY102/AY$91</f>
        <v>4.1177829251714156E-2</v>
      </c>
      <c r="AZ103" s="250">
        <f>AZ102/AZ$91</f>
        <v>4.7549770710192237E-2</v>
      </c>
      <c r="BA103" s="195">
        <f t="shared" ref="BA103:BB103" si="150">BA102/BA$91</f>
        <v>5.1398091494150824E-2</v>
      </c>
      <c r="BB103" s="195">
        <f t="shared" si="150"/>
        <v>4.865586970965196E-2</v>
      </c>
      <c r="BC103" s="195">
        <f>BC102/BC$91</f>
        <v>4.7056159795451226E-2</v>
      </c>
      <c r="BD103" s="932">
        <f>BD102/BD$91</f>
        <v>4.6203125258497492E-2</v>
      </c>
      <c r="BE103" s="250">
        <f>BE102/BE$91</f>
        <v>4.8179272102462478E-2</v>
      </c>
      <c r="BF103" s="195">
        <f t="shared" ref="BF103:BG103" si="151">BF102/BF$91</f>
        <v>5.1551740335713803E-2</v>
      </c>
      <c r="BG103" s="195">
        <f t="shared" si="151"/>
        <v>4.4758413386493986E-2</v>
      </c>
      <c r="BH103" s="195">
        <f>BH102/BH$91</f>
        <v>4.6701914339143689E-2</v>
      </c>
      <c r="BI103" s="932">
        <f>BI102/BI$91</f>
        <v>4.3864405874952841E-2</v>
      </c>
      <c r="BJ103" s="250">
        <f>BJ102/BJ$91</f>
        <v>4.6571995479927686E-2</v>
      </c>
      <c r="BK103" s="195">
        <f t="shared" ref="BK103:BL103" si="152">BK102/BK$91</f>
        <v>4.9556566477791081E-2</v>
      </c>
      <c r="BL103" s="195">
        <f t="shared" si="152"/>
        <v>4.764447121527398E-2</v>
      </c>
      <c r="BM103" s="195">
        <f>BM102/BM$91</f>
        <v>4.6664058814731298E-2</v>
      </c>
      <c r="BN103" s="932">
        <f>BN102/BN$91</f>
        <v>4.9094966002485793E-2</v>
      </c>
      <c r="BO103" s="250">
        <f>BO102/BO$91</f>
        <v>4.8233864208837698E-2</v>
      </c>
      <c r="BP103" s="182"/>
      <c r="BQ103" s="182"/>
      <c r="BR103" s="182"/>
      <c r="BS103" s="182"/>
      <c r="BT103" s="244"/>
      <c r="BU103" s="182"/>
      <c r="BV103" s="182"/>
      <c r="BW103" s="182"/>
      <c r="BX103" s="182"/>
      <c r="BY103" s="244"/>
    </row>
    <row r="104" spans="2:77" s="6" customFormat="1" ht="13.35" customHeight="1" outlineLevel="1">
      <c r="B104" s="831" t="s">
        <v>296</v>
      </c>
      <c r="C104" s="44"/>
      <c r="D104" s="44"/>
      <c r="E104" s="44"/>
      <c r="F104" s="44"/>
      <c r="G104" s="244"/>
      <c r="H104" s="44"/>
      <c r="I104" s="44"/>
      <c r="J104" s="44"/>
      <c r="K104" s="44"/>
      <c r="L104" s="244"/>
      <c r="M104" s="44"/>
      <c r="N104" s="44"/>
      <c r="O104" s="44"/>
      <c r="P104" s="44"/>
      <c r="Q104" s="244"/>
      <c r="R104" s="44"/>
      <c r="S104" s="44"/>
      <c r="T104" s="44"/>
      <c r="U104" s="44"/>
      <c r="V104" s="244"/>
      <c r="W104" s="44"/>
      <c r="X104" s="44"/>
      <c r="Y104" s="44"/>
      <c r="Z104" s="44"/>
      <c r="AA104" s="244"/>
      <c r="AB104" s="182"/>
      <c r="AC104" s="182"/>
      <c r="AD104" s="182"/>
      <c r="AE104" s="182"/>
      <c r="AF104" s="839">
        <v>306.46899999999999</v>
      </c>
      <c r="AG104" s="837"/>
      <c r="AH104" s="837"/>
      <c r="AI104" s="837"/>
      <c r="AJ104" s="837"/>
      <c r="AK104" s="839">
        <v>301.411</v>
      </c>
      <c r="AL104" s="837"/>
      <c r="AM104" s="837"/>
      <c r="AN104" s="837"/>
      <c r="AO104" s="837"/>
      <c r="AP104" s="839">
        <v>303.28800000000001</v>
      </c>
      <c r="AQ104" s="837"/>
      <c r="AR104" s="837"/>
      <c r="AS104" s="837"/>
      <c r="AT104" s="837"/>
      <c r="AU104" s="839">
        <v>326.24</v>
      </c>
      <c r="AV104" s="837">
        <v>87.600000000000009</v>
      </c>
      <c r="AW104" s="837">
        <v>76.134</v>
      </c>
      <c r="AX104" s="837">
        <v>75.350999999999999</v>
      </c>
      <c r="AY104" s="842">
        <v>85.007999999999996</v>
      </c>
      <c r="AZ104" s="839">
        <f>SUM(AV104:AY104)</f>
        <v>324.09300000000002</v>
      </c>
      <c r="BA104" s="837">
        <v>88.343999999999994</v>
      </c>
      <c r="BB104" s="837">
        <v>92.314999999999998</v>
      </c>
      <c r="BC104" s="837">
        <v>91.400999999999996</v>
      </c>
      <c r="BD104" s="837">
        <v>87.664000000000001</v>
      </c>
      <c r="BE104" s="839">
        <f>SUM(BA104:BD104)</f>
        <v>359.72399999999999</v>
      </c>
      <c r="BF104" s="837">
        <v>94.049000000000007</v>
      </c>
      <c r="BG104" s="837">
        <v>95.007999999999996</v>
      </c>
      <c r="BH104" s="985">
        <v>92.034999999999997</v>
      </c>
      <c r="BI104" s="985">
        <v>92.405000000000001</v>
      </c>
      <c r="BJ104" s="839">
        <f>SUM(BF104:BI104)</f>
        <v>373.49699999999996</v>
      </c>
      <c r="BK104" s="985">
        <v>99.028999999999996</v>
      </c>
      <c r="BL104" s="985">
        <v>104.071</v>
      </c>
      <c r="BM104" s="985">
        <v>96.448999999999998</v>
      </c>
      <c r="BN104" s="985">
        <v>100.059</v>
      </c>
      <c r="BO104" s="839">
        <f>SUM(BK104:BN104)</f>
        <v>399.60799999999995</v>
      </c>
      <c r="BP104" s="182"/>
      <c r="BQ104" s="182"/>
      <c r="BR104" s="182"/>
      <c r="BS104" s="182"/>
      <c r="BT104" s="244"/>
      <c r="BU104" s="182"/>
      <c r="BV104" s="182"/>
      <c r="BW104" s="182"/>
      <c r="BX104" s="182"/>
      <c r="BY104" s="244"/>
    </row>
    <row r="105" spans="2:77" s="6" customFormat="1" ht="13.35" customHeight="1" outlineLevel="1">
      <c r="B105" s="879" t="s">
        <v>294</v>
      </c>
      <c r="C105" s="44"/>
      <c r="D105" s="44"/>
      <c r="E105" s="44"/>
      <c r="F105" s="44"/>
      <c r="G105" s="244"/>
      <c r="H105" s="44"/>
      <c r="I105" s="44"/>
      <c r="J105" s="44"/>
      <c r="K105" s="44"/>
      <c r="L105" s="244"/>
      <c r="M105" s="44"/>
      <c r="N105" s="44"/>
      <c r="O105" s="44"/>
      <c r="P105" s="44"/>
      <c r="Q105" s="244"/>
      <c r="R105" s="44"/>
      <c r="S105" s="44"/>
      <c r="T105" s="44"/>
      <c r="U105" s="44"/>
      <c r="V105" s="244"/>
      <c r="W105" s="44"/>
      <c r="X105" s="44"/>
      <c r="Y105" s="44"/>
      <c r="Z105" s="44"/>
      <c r="AA105" s="244"/>
      <c r="AB105" s="182"/>
      <c r="AC105" s="182"/>
      <c r="AD105" s="182"/>
      <c r="AE105" s="182"/>
      <c r="AF105" s="250">
        <f>AF104/AF$91</f>
        <v>0.12706880860423703</v>
      </c>
      <c r="AG105" s="182"/>
      <c r="AH105" s="182"/>
      <c r="AI105" s="182"/>
      <c r="AJ105" s="395"/>
      <c r="AK105" s="250">
        <f>AK104/AK$91</f>
        <v>0.1267067777693392</v>
      </c>
      <c r="AL105" s="182"/>
      <c r="AM105" s="182"/>
      <c r="AN105" s="182"/>
      <c r="AO105" s="395"/>
      <c r="AP105" s="250">
        <f>AP104/AP$91</f>
        <v>0.13042726618278086</v>
      </c>
      <c r="AQ105" s="395"/>
      <c r="AR105" s="395"/>
      <c r="AS105" s="182"/>
      <c r="AT105" s="395"/>
      <c r="AU105" s="250">
        <f>AU104/AU$91</f>
        <v>0.13216235584746719</v>
      </c>
      <c r="AV105" s="195">
        <f t="shared" ref="AV105:AW105" si="153">AV104/AV$91</f>
        <v>0.15657927898459412</v>
      </c>
      <c r="AW105" s="195">
        <f t="shared" si="153"/>
        <v>0.12494153673462355</v>
      </c>
      <c r="AX105" s="195">
        <f>AX104/AX$91</f>
        <v>0.11950176276637757</v>
      </c>
      <c r="AY105" s="195">
        <f>AY104/AY$91</f>
        <v>0.11219734315297658</v>
      </c>
      <c r="AZ105" s="250">
        <f>AZ104/AZ$91</f>
        <v>0.12674607141264893</v>
      </c>
      <c r="BA105" s="195">
        <f t="shared" ref="BA105:BB105" si="154">BA104/BA$91</f>
        <v>0.14003740925086389</v>
      </c>
      <c r="BB105" s="195">
        <f t="shared" si="154"/>
        <v>0.1310555426209121</v>
      </c>
      <c r="BC105" s="195">
        <f>BC104/BC$91</f>
        <v>0.12618765583452754</v>
      </c>
      <c r="BD105" s="932">
        <f>BD104/BD$91</f>
        <v>0.11156147117999571</v>
      </c>
      <c r="BE105" s="250">
        <f>BE104/BE$91</f>
        <v>0.12642419816312306</v>
      </c>
      <c r="BF105" s="195">
        <f t="shared" ref="BF105:BG105" si="155">BF104/BF$91</f>
        <v>0.1318751428487297</v>
      </c>
      <c r="BG105" s="195">
        <f t="shared" si="155"/>
        <v>0.12106153103182886</v>
      </c>
      <c r="BH105" s="195">
        <f>BH104/BH$91</f>
        <v>0.11519955740138536</v>
      </c>
      <c r="BI105" s="932">
        <f>BI104/BI$91</f>
        <v>0.11209940884105916</v>
      </c>
      <c r="BJ105" s="250">
        <f>BJ104/BJ$91</f>
        <v>0.11966497382888379</v>
      </c>
      <c r="BK105" s="195">
        <f t="shared" ref="BK105:BL105" si="156">BK104/BK$91</f>
        <v>0.12291890348726796</v>
      </c>
      <c r="BL105" s="195">
        <f t="shared" si="156"/>
        <v>0.11872444602635709</v>
      </c>
      <c r="BM105" s="195">
        <f>BM104/BM$91</f>
        <v>0.1109667844035114</v>
      </c>
      <c r="BN105" s="932">
        <f>BN104/BN$91</f>
        <v>0.10566104282979279</v>
      </c>
      <c r="BO105" s="250">
        <f>BO104/BO$91</f>
        <v>0.11422684608726572</v>
      </c>
      <c r="BP105" s="182"/>
      <c r="BQ105" s="182"/>
      <c r="BR105" s="182"/>
      <c r="BS105" s="182"/>
      <c r="BT105" s="244"/>
      <c r="BU105" s="182"/>
      <c r="BV105" s="182"/>
      <c r="BW105" s="182"/>
      <c r="BX105" s="182"/>
      <c r="BY105" s="244"/>
    </row>
    <row r="106" spans="2:77" s="6" customFormat="1" ht="13.35" customHeight="1" outlineLevel="1">
      <c r="B106" s="991" t="s">
        <v>297</v>
      </c>
      <c r="C106" s="44"/>
      <c r="D106" s="44"/>
      <c r="E106" s="44"/>
      <c r="F106" s="44"/>
      <c r="G106" s="244"/>
      <c r="H106" s="44"/>
      <c r="I106" s="44"/>
      <c r="J106" s="44"/>
      <c r="K106" s="44"/>
      <c r="L106" s="244"/>
      <c r="M106" s="44"/>
      <c r="N106" s="44"/>
      <c r="O106" s="44"/>
      <c r="P106" s="44"/>
      <c r="Q106" s="244"/>
      <c r="R106" s="44"/>
      <c r="S106" s="44"/>
      <c r="T106" s="44"/>
      <c r="U106" s="44"/>
      <c r="V106" s="244"/>
      <c r="W106" s="44"/>
      <c r="X106" s="44"/>
      <c r="Y106" s="44"/>
      <c r="Z106" s="44"/>
      <c r="AA106" s="244"/>
      <c r="AB106" s="182"/>
      <c r="AC106" s="182"/>
      <c r="AD106" s="182"/>
      <c r="AE106" s="182"/>
      <c r="AF106" s="250"/>
      <c r="AG106" s="182"/>
      <c r="AH106" s="182"/>
      <c r="AI106" s="182"/>
      <c r="AJ106" s="395"/>
      <c r="AK106" s="250"/>
      <c r="AL106" s="182"/>
      <c r="AM106" s="182"/>
      <c r="AN106" s="182"/>
      <c r="AO106" s="395"/>
      <c r="AP106" s="250"/>
      <c r="AQ106" s="395"/>
      <c r="AR106" s="395"/>
      <c r="AS106" s="182"/>
      <c r="AT106" s="395"/>
      <c r="AU106" s="250"/>
      <c r="AV106" s="195"/>
      <c r="AW106" s="195"/>
      <c r="AX106" s="195"/>
      <c r="AY106" s="195"/>
      <c r="AZ106" s="250"/>
      <c r="BA106" s="195"/>
      <c r="BB106" s="195"/>
      <c r="BC106" s="195"/>
      <c r="BD106" s="932"/>
      <c r="BE106" s="250"/>
      <c r="BF106" s="195"/>
      <c r="BG106" s="985">
        <v>2.9180000000000001</v>
      </c>
      <c r="BH106" s="985">
        <v>3.28</v>
      </c>
      <c r="BI106" s="985">
        <v>8.25</v>
      </c>
      <c r="BJ106" s="250"/>
      <c r="BK106" s="985">
        <v>1.286</v>
      </c>
      <c r="BL106" s="985">
        <v>0.70699999999999996</v>
      </c>
      <c r="BM106" s="985">
        <v>0.80400000000000005</v>
      </c>
      <c r="BN106" s="985">
        <v>1.7070000000000001</v>
      </c>
      <c r="BO106" s="250"/>
      <c r="BP106" s="182"/>
      <c r="BQ106" s="182"/>
      <c r="BR106" s="182"/>
      <c r="BS106" s="182"/>
      <c r="BT106" s="244"/>
      <c r="BU106" s="182"/>
      <c r="BV106" s="182"/>
      <c r="BW106" s="182"/>
      <c r="BX106" s="182"/>
      <c r="BY106" s="244"/>
    </row>
    <row r="107" spans="2:77" s="6" customFormat="1" ht="13.35" customHeight="1" outlineLevel="1">
      <c r="B107" s="49" t="s">
        <v>298</v>
      </c>
      <c r="C107" s="76"/>
      <c r="D107" s="76"/>
      <c r="E107" s="76"/>
      <c r="F107" s="76"/>
      <c r="G107" s="249"/>
      <c r="H107" s="76"/>
      <c r="I107" s="76"/>
      <c r="J107" s="76"/>
      <c r="K107" s="76"/>
      <c r="L107" s="249"/>
      <c r="M107" s="76"/>
      <c r="N107" s="76"/>
      <c r="O107" s="76"/>
      <c r="P107" s="76"/>
      <c r="Q107" s="249"/>
      <c r="R107" s="76"/>
      <c r="S107" s="76"/>
      <c r="T107" s="76"/>
      <c r="U107" s="76"/>
      <c r="V107" s="249"/>
      <c r="W107" s="145"/>
      <c r="X107" s="145"/>
      <c r="Y107" s="145"/>
      <c r="Z107" s="145"/>
      <c r="AA107" s="249"/>
      <c r="AB107" s="145"/>
      <c r="AC107" s="145"/>
      <c r="AD107" s="145"/>
      <c r="AE107" s="185"/>
      <c r="AF107" s="249">
        <f>AF97-AF100-AF102-AF104</f>
        <v>373.62600000000003</v>
      </c>
      <c r="AG107" s="145"/>
      <c r="AH107" s="145"/>
      <c r="AI107" s="145"/>
      <c r="AJ107" s="145"/>
      <c r="AK107" s="249">
        <f>AK97-AK100-AK102-AK104</f>
        <v>294.79923751571999</v>
      </c>
      <c r="AL107" s="145"/>
      <c r="AM107" s="145"/>
      <c r="AN107" s="145"/>
      <c r="AO107" s="145"/>
      <c r="AP107" s="249">
        <f>AP97-AP100-AP102-AP104</f>
        <v>287.5920000000001</v>
      </c>
      <c r="AQ107" s="145"/>
      <c r="AR107" s="145"/>
      <c r="AS107" s="145"/>
      <c r="AT107" s="145"/>
      <c r="AU107" s="249">
        <f t="shared" ref="AU107:BC107" si="157">AU97-AU100-AU102-AU104</f>
        <v>364.21900000000016</v>
      </c>
      <c r="AV107" s="145">
        <f t="shared" si="157"/>
        <v>65.160999999999959</v>
      </c>
      <c r="AW107" s="145">
        <f t="shared" si="157"/>
        <v>98.104999999999947</v>
      </c>
      <c r="AX107" s="145">
        <f t="shared" si="157"/>
        <v>107.58399999999986</v>
      </c>
      <c r="AY107" s="145">
        <f t="shared" si="157"/>
        <v>157.245</v>
      </c>
      <c r="AZ107" s="249">
        <f t="shared" si="157"/>
        <v>428.09499999999963</v>
      </c>
      <c r="BA107" s="145">
        <f t="shared" si="157"/>
        <v>78.615000000000038</v>
      </c>
      <c r="BB107" s="145">
        <f t="shared" si="157"/>
        <v>112.77500000000009</v>
      </c>
      <c r="BC107" s="145">
        <f t="shared" si="157"/>
        <v>132.51900000000001</v>
      </c>
      <c r="BD107" s="145">
        <f>BD97-BD100-BD102-BD104</f>
        <v>160.69400000000002</v>
      </c>
      <c r="BE107" s="249">
        <f>BE97-BE100-BE102-BE104</f>
        <v>484.60300000000012</v>
      </c>
      <c r="BF107" s="145">
        <f t="shared" ref="BF107" si="158">BF97-BF100-BF102-BF104</f>
        <v>99.960999999999927</v>
      </c>
      <c r="BG107" s="145">
        <f>BG97-BG100-BG102-BG104-BG106</f>
        <v>128.89699999999993</v>
      </c>
      <c r="BH107" s="145">
        <f>BH97-BH100-BH102-BH104-BH106</f>
        <v>144.90300000000005</v>
      </c>
      <c r="BI107" s="145">
        <f>BI97-BI100-BI102-BI104-BI106</f>
        <v>154.83599999999998</v>
      </c>
      <c r="BJ107" s="249">
        <f>BJ97-BJ100-BJ102-BJ104</f>
        <v>543.04500000000007</v>
      </c>
      <c r="BK107" s="145">
        <f>BK97-BK100-BK102-BK104-BK106</f>
        <v>129.20499999999993</v>
      </c>
      <c r="BL107" s="145">
        <f>BL97-BL100-BL102-BL104-BL106</f>
        <v>156.30700000000004</v>
      </c>
      <c r="BM107" s="931">
        <f>BM97-BM100-BM102-BM104-BM106</f>
        <v>166.25099999999989</v>
      </c>
      <c r="BN107" s="145">
        <f>BN97-BN100-BN102-BN104-BN106</f>
        <v>181.75799999999995</v>
      </c>
      <c r="BO107" s="249">
        <f>BO97-BO100-BO102-BO104</f>
        <v>638.02499999999986</v>
      </c>
      <c r="BP107" s="923"/>
      <c r="BQ107" s="923"/>
      <c r="BR107" s="923"/>
      <c r="BS107" s="923"/>
      <c r="BT107" s="843"/>
      <c r="BU107" s="923"/>
      <c r="BV107" s="923"/>
      <c r="BW107" s="923"/>
      <c r="BX107" s="923"/>
      <c r="BY107" s="843"/>
    </row>
    <row r="108" spans="2:77" s="6" customFormat="1" ht="13.35" customHeight="1" outlineLevel="1">
      <c r="B108" s="879" t="s">
        <v>299</v>
      </c>
      <c r="C108" s="44"/>
      <c r="D108" s="44"/>
      <c r="E108" s="44"/>
      <c r="F108" s="44"/>
      <c r="G108" s="244"/>
      <c r="H108" s="44"/>
      <c r="I108" s="44"/>
      <c r="J108" s="44"/>
      <c r="K108" s="44"/>
      <c r="L108" s="244"/>
      <c r="M108" s="44"/>
      <c r="N108" s="44"/>
      <c r="O108" s="44"/>
      <c r="P108" s="44"/>
      <c r="Q108" s="244"/>
      <c r="R108" s="44"/>
      <c r="S108" s="44"/>
      <c r="T108" s="44"/>
      <c r="U108" s="44"/>
      <c r="V108" s="244"/>
      <c r="W108" s="44"/>
      <c r="X108" s="44"/>
      <c r="Y108" s="44"/>
      <c r="Z108" s="44"/>
      <c r="AA108" s="244"/>
      <c r="AB108" s="182"/>
      <c r="AC108" s="182"/>
      <c r="AD108" s="182"/>
      <c r="AE108" s="182"/>
      <c r="AF108" s="250">
        <f>AF107/AF91</f>
        <v>0.15491358239680578</v>
      </c>
      <c r="AG108" s="182"/>
      <c r="AH108" s="182"/>
      <c r="AI108" s="182"/>
      <c r="AJ108" s="395"/>
      <c r="AK108" s="250">
        <f>AK107/AK91</f>
        <v>0.12392733335702737</v>
      </c>
      <c r="AL108" s="182"/>
      <c r="AM108" s="182"/>
      <c r="AN108" s="182"/>
      <c r="AO108" s="395"/>
      <c r="AP108" s="250">
        <f>AP107/AP91</f>
        <v>0.12367729134037062</v>
      </c>
      <c r="AQ108" s="395"/>
      <c r="AR108" s="395"/>
      <c r="AS108" s="182"/>
      <c r="AT108" s="395"/>
      <c r="AU108" s="250">
        <f t="shared" ref="AU108:BC108" si="159">AU107/AU91</f>
        <v>0.14754794349070829</v>
      </c>
      <c r="AV108" s="195">
        <f t="shared" si="159"/>
        <v>0.11647103193967043</v>
      </c>
      <c r="AW108" s="195">
        <f t="shared" si="159"/>
        <v>0.16099757613353083</v>
      </c>
      <c r="AX108" s="195">
        <f t="shared" si="159"/>
        <v>0.17062119474801857</v>
      </c>
      <c r="AY108" s="195">
        <f t="shared" si="159"/>
        <v>0.20753895191146485</v>
      </c>
      <c r="AZ108" s="250">
        <f t="shared" si="159"/>
        <v>0.16741910328639587</v>
      </c>
      <c r="BA108" s="195">
        <f t="shared" si="159"/>
        <v>0.12461560409599599</v>
      </c>
      <c r="BB108" s="195">
        <f t="shared" si="159"/>
        <v>0.16010170415504926</v>
      </c>
      <c r="BC108" s="195">
        <f t="shared" si="159"/>
        <v>0.18295491256699331</v>
      </c>
      <c r="BD108" s="932">
        <f>BD107/BD91</f>
        <v>0.20449966975951625</v>
      </c>
      <c r="BE108" s="250">
        <f>BE107/BE91</f>
        <v>0.17031264442306862</v>
      </c>
      <c r="BF108" s="195">
        <f t="shared" ref="BF108:BH108" si="160">BF107/BF91</f>
        <v>0.14016492630758284</v>
      </c>
      <c r="BG108" s="195">
        <f t="shared" si="160"/>
        <v>0.1642437285850627</v>
      </c>
      <c r="BH108" s="195">
        <f t="shared" si="160"/>
        <v>0.181374058414005</v>
      </c>
      <c r="BI108" s="932">
        <f>BI107/BI91</f>
        <v>0.18783641650683658</v>
      </c>
      <c r="BJ108" s="250">
        <f>BJ107/BJ91</f>
        <v>0.17398658011418089</v>
      </c>
      <c r="BK108" s="195">
        <f t="shared" ref="BK108:BM108" si="161">BK107/BK91</f>
        <v>0.16037460668160286</v>
      </c>
      <c r="BL108" s="195">
        <f t="shared" si="161"/>
        <v>0.17831539991968756</v>
      </c>
      <c r="BM108" s="195">
        <f t="shared" si="161"/>
        <v>0.19127558475327025</v>
      </c>
      <c r="BN108" s="932">
        <f>BN107/BN91</f>
        <v>0.19193415707390113</v>
      </c>
      <c r="BO108" s="250">
        <f>BO107/BO91</f>
        <v>0.18237768882211491</v>
      </c>
      <c r="BP108" s="182"/>
      <c r="BQ108" s="182"/>
      <c r="BR108" s="182"/>
      <c r="BS108" s="182"/>
      <c r="BT108" s="244"/>
      <c r="BU108" s="182"/>
      <c r="BV108" s="182"/>
      <c r="BW108" s="182"/>
      <c r="BX108" s="182"/>
      <c r="BY108" s="244"/>
    </row>
    <row r="109" spans="2:77" s="6" customFormat="1" ht="13.35" customHeight="1">
      <c r="B109" s="260"/>
      <c r="C109" s="44"/>
      <c r="D109" s="44"/>
      <c r="E109" s="44"/>
      <c r="F109" s="44"/>
      <c r="G109" s="244"/>
      <c r="H109" s="44"/>
      <c r="I109" s="44"/>
      <c r="J109" s="44"/>
      <c r="K109" s="44"/>
      <c r="L109" s="244"/>
      <c r="M109" s="44"/>
      <c r="N109" s="44"/>
      <c r="O109" s="44"/>
      <c r="P109" s="44"/>
      <c r="Q109" s="244"/>
      <c r="R109" s="44"/>
      <c r="S109" s="44"/>
      <c r="T109" s="44"/>
      <c r="U109" s="44"/>
      <c r="V109" s="244"/>
      <c r="W109" s="44"/>
      <c r="X109" s="44"/>
      <c r="Y109" s="44"/>
      <c r="Z109" s="44"/>
      <c r="AA109" s="244"/>
      <c r="AB109" s="182"/>
      <c r="AC109" s="182"/>
      <c r="AD109" s="182"/>
      <c r="AE109" s="182"/>
      <c r="AF109" s="244"/>
      <c r="AG109" s="182"/>
      <c r="AH109" s="182"/>
      <c r="AI109" s="182"/>
      <c r="AJ109" s="395"/>
      <c r="AK109" s="396"/>
      <c r="AL109" s="182"/>
      <c r="AM109" s="182"/>
      <c r="AN109" s="182"/>
      <c r="AO109" s="395"/>
      <c r="AP109" s="396"/>
      <c r="AQ109" s="395"/>
      <c r="AR109" s="395"/>
      <c r="AS109" s="182"/>
      <c r="AT109" s="395"/>
      <c r="AU109" s="396"/>
      <c r="AV109" s="182"/>
      <c r="AW109" s="395"/>
      <c r="AX109" s="395"/>
      <c r="AY109" s="395"/>
      <c r="AZ109" s="396"/>
      <c r="BA109" s="182"/>
      <c r="BB109" s="395"/>
      <c r="BC109" s="395"/>
      <c r="BD109" s="395"/>
      <c r="BE109" s="396"/>
      <c r="BF109" s="182"/>
      <c r="BG109" s="395"/>
      <c r="BH109" s="395"/>
      <c r="BI109" s="395"/>
      <c r="BJ109" s="396"/>
      <c r="BK109" s="182"/>
      <c r="BL109" s="395"/>
      <c r="BM109" s="395"/>
      <c r="BN109" s="395"/>
      <c r="BO109" s="396"/>
      <c r="BP109" s="182"/>
      <c r="BQ109" s="182"/>
      <c r="BR109" s="182"/>
      <c r="BS109" s="182"/>
      <c r="BT109" s="244"/>
      <c r="BU109" s="182"/>
      <c r="BV109" s="182"/>
      <c r="BW109" s="182"/>
      <c r="BX109" s="182"/>
      <c r="BY109" s="244"/>
    </row>
    <row r="110" spans="2:77" ht="12" customHeight="1">
      <c r="B110" s="49" t="s">
        <v>271</v>
      </c>
      <c r="C110" s="76">
        <v>40.700000000000003</v>
      </c>
      <c r="D110" s="76">
        <v>58.999999999999993</v>
      </c>
      <c r="E110" s="76">
        <v>65.800000000000011</v>
      </c>
      <c r="F110" s="76">
        <v>71.5</v>
      </c>
      <c r="G110" s="249">
        <v>237.1</v>
      </c>
      <c r="H110" s="76">
        <v>61.034000000000006</v>
      </c>
      <c r="I110" s="76">
        <v>72.158999999999992</v>
      </c>
      <c r="J110" s="76">
        <v>74.248999999999995</v>
      </c>
      <c r="K110" s="76">
        <v>74.930999999999997</v>
      </c>
      <c r="L110" s="249">
        <v>282.37299999999999</v>
      </c>
      <c r="M110" s="76">
        <v>72.835000000000008</v>
      </c>
      <c r="N110" s="76">
        <v>65.441999999999993</v>
      </c>
      <c r="O110" s="76">
        <v>63.813000000000002</v>
      </c>
      <c r="P110" s="76">
        <v>108.52699999999999</v>
      </c>
      <c r="Q110" s="249">
        <v>310.6169999999999</v>
      </c>
      <c r="R110" s="76">
        <v>57.262999999999998</v>
      </c>
      <c r="S110" s="76">
        <v>68.089000000000013</v>
      </c>
      <c r="T110" s="76">
        <v>76.572999999999993</v>
      </c>
      <c r="U110" s="76">
        <v>106.173</v>
      </c>
      <c r="V110" s="249">
        <v>308.09800000000001</v>
      </c>
      <c r="W110" s="145">
        <v>52.135749999999994</v>
      </c>
      <c r="X110" s="145">
        <v>84.889749999999992</v>
      </c>
      <c r="Y110" s="145">
        <v>92.299749999999989</v>
      </c>
      <c r="Z110" s="145">
        <v>105.26575</v>
      </c>
      <c r="AA110" s="249">
        <v>334.59100000000001</v>
      </c>
      <c r="AB110" s="145">
        <v>64.498000000000005</v>
      </c>
      <c r="AC110" s="145">
        <v>109.075</v>
      </c>
      <c r="AD110" s="145">
        <v>98.297000000000011</v>
      </c>
      <c r="AE110" s="185">
        <v>110.405</v>
      </c>
      <c r="AF110" s="249">
        <v>382.27500000000003</v>
      </c>
      <c r="AG110" s="145">
        <v>69.367121884654793</v>
      </c>
      <c r="AH110" s="145">
        <v>102.53040415414219</v>
      </c>
      <c r="AI110" s="145">
        <v>101.24300103411549</v>
      </c>
      <c r="AJ110" s="145">
        <v>116.2481922338348</v>
      </c>
      <c r="AK110" s="249">
        <v>389.3887193067473</v>
      </c>
      <c r="AL110" s="145">
        <v>76.943461235102191</v>
      </c>
      <c r="AM110" s="145">
        <v>76.554131142467597</v>
      </c>
      <c r="AN110" s="145">
        <v>95.808612648561834</v>
      </c>
      <c r="AO110" s="145">
        <v>126.18798710701901</v>
      </c>
      <c r="AP110" s="249">
        <v>375.49419213315065</v>
      </c>
      <c r="AQ110" s="145">
        <v>88.76100000000001</v>
      </c>
      <c r="AR110" s="145">
        <v>95.039999999999992</v>
      </c>
      <c r="AS110" s="145">
        <v>107.5</v>
      </c>
      <c r="AT110" s="145">
        <v>129.08000000000001</v>
      </c>
      <c r="AU110" s="249">
        <v>420.38099999999997</v>
      </c>
      <c r="AV110" s="145">
        <v>70.813000000000002</v>
      </c>
      <c r="AW110" s="145">
        <v>98.10499999999999</v>
      </c>
      <c r="AX110" s="145">
        <v>114.488</v>
      </c>
      <c r="AY110" s="145">
        <v>159.67200000000003</v>
      </c>
      <c r="AZ110" s="249">
        <v>443.07799999999997</v>
      </c>
      <c r="BA110" s="145">
        <v>81.290999999999997</v>
      </c>
      <c r="BB110" s="145">
        <v>115.434</v>
      </c>
      <c r="BC110" s="145">
        <v>133.852</v>
      </c>
      <c r="BD110" s="145">
        <v>163.22200000000001</v>
      </c>
      <c r="BE110" s="249">
        <f>SUM(BA110:BD110)</f>
        <v>493.79899999999998</v>
      </c>
      <c r="BF110" s="931">
        <v>99.960999999999999</v>
      </c>
      <c r="BG110" s="931">
        <v>133.345</v>
      </c>
      <c r="BH110" s="931">
        <v>149.06700000000001</v>
      </c>
      <c r="BI110" s="931">
        <v>160.69300000000001</v>
      </c>
      <c r="BJ110" s="249">
        <f>SUM(BF110:BI110)</f>
        <v>543.06600000000003</v>
      </c>
      <c r="BK110" s="931">
        <f t="shared" ref="BK110:BM110" si="162">BK85</f>
        <v>134.01000000000002</v>
      </c>
      <c r="BL110" s="931">
        <f t="shared" si="162"/>
        <v>160.042</v>
      </c>
      <c r="BM110" s="931">
        <f t="shared" si="162"/>
        <v>170.37299999999999</v>
      </c>
      <c r="BN110" s="931">
        <f>BN85</f>
        <v>186.56999999999996</v>
      </c>
      <c r="BO110" s="249">
        <f>SUM(BK110:BN110)</f>
        <v>650.995</v>
      </c>
      <c r="BP110" s="923">
        <f>BP91*BP111</f>
        <v>148.82303736</v>
      </c>
      <c r="BQ110" s="923">
        <f>BQ91*BQ111</f>
        <v>174.29359709999997</v>
      </c>
      <c r="BR110" s="923">
        <f>BR91*BR111</f>
        <v>188.09405200000003</v>
      </c>
      <c r="BS110" s="923">
        <f>BS91*BS111</f>
        <v>202.21280087999997</v>
      </c>
      <c r="BT110" s="843">
        <f>SUM(BP110:BS110)</f>
        <v>713.42348734000007</v>
      </c>
      <c r="BU110" s="923">
        <f>BU91*BU111</f>
        <v>162.1036570384</v>
      </c>
      <c r="BV110" s="923">
        <f>BV91*BV111</f>
        <v>190.47569589120005</v>
      </c>
      <c r="BW110" s="923">
        <f>BW91*BW111</f>
        <v>205.05776601159999</v>
      </c>
      <c r="BX110" s="923">
        <f>BX91*BX111</f>
        <v>220.400525184</v>
      </c>
      <c r="BY110" s="843">
        <f>SUM(BU110:BX110)</f>
        <v>778.03764412520002</v>
      </c>
    </row>
    <row r="111" spans="2:77" ht="12" customHeight="1" outlineLevel="1">
      <c r="B111" s="51" t="s">
        <v>299</v>
      </c>
      <c r="C111" s="10">
        <f t="shared" ref="C111:AH111" si="163">C110/C91</f>
        <v>8.2322006472491924E-2</v>
      </c>
      <c r="D111" s="10">
        <f t="shared" si="163"/>
        <v>0.11257393627170385</v>
      </c>
      <c r="E111" s="10">
        <f t="shared" si="163"/>
        <v>0.12866640594446621</v>
      </c>
      <c r="F111" s="10">
        <f t="shared" si="163"/>
        <v>0.12155729343760625</v>
      </c>
      <c r="G111" s="236">
        <f t="shared" si="163"/>
        <v>0.11193994617817855</v>
      </c>
      <c r="H111" s="10">
        <f t="shared" si="163"/>
        <v>0.11240996097311218</v>
      </c>
      <c r="I111" s="10">
        <f t="shared" si="163"/>
        <v>0.12677310883031914</v>
      </c>
      <c r="J111" s="10">
        <f t="shared" si="163"/>
        <v>0.13297145507653346</v>
      </c>
      <c r="K111" s="10">
        <f t="shared" si="163"/>
        <v>0.13086418459410462</v>
      </c>
      <c r="L111" s="236">
        <f t="shared" si="163"/>
        <v>0.12588369980108116</v>
      </c>
      <c r="M111" s="10">
        <f t="shared" si="163"/>
        <v>0.13334883439918419</v>
      </c>
      <c r="N111" s="10">
        <f t="shared" si="163"/>
        <v>0.12003433640135437</v>
      </c>
      <c r="O111" s="10">
        <f t="shared" si="163"/>
        <v>0.12142483374085454</v>
      </c>
      <c r="P111" s="10">
        <f t="shared" si="163"/>
        <v>0.18433304175760715</v>
      </c>
      <c r="Q111" s="236">
        <f t="shared" si="163"/>
        <v>0.14082576689397339</v>
      </c>
      <c r="R111" s="10">
        <f t="shared" si="163"/>
        <v>0.11372830963621161</v>
      </c>
      <c r="S111" s="10">
        <f t="shared" si="163"/>
        <v>0.12780282525536543</v>
      </c>
      <c r="T111" s="10">
        <f t="shared" si="163"/>
        <v>0.15100415703659295</v>
      </c>
      <c r="U111" s="10">
        <f t="shared" si="163"/>
        <v>0.18772875314286927</v>
      </c>
      <c r="V111" s="236">
        <f t="shared" si="163"/>
        <v>0.14609202482205441</v>
      </c>
      <c r="W111" s="10">
        <f t="shared" si="163"/>
        <v>9.9573426586782421E-2</v>
      </c>
      <c r="X111" s="10">
        <f t="shared" si="163"/>
        <v>0.14954514465703517</v>
      </c>
      <c r="Y111" s="10">
        <f t="shared" si="163"/>
        <v>0.16252788778325797</v>
      </c>
      <c r="Z111" s="10">
        <f t="shared" si="163"/>
        <v>0.17203631098203737</v>
      </c>
      <c r="AA111" s="236">
        <f t="shared" si="163"/>
        <v>0.14733032558852252</v>
      </c>
      <c r="AB111" s="10">
        <f t="shared" si="163"/>
        <v>0.11779983270078648</v>
      </c>
      <c r="AC111" s="10">
        <f t="shared" si="163"/>
        <v>0.17584290131517433</v>
      </c>
      <c r="AD111" s="10">
        <f t="shared" si="163"/>
        <v>0.1650959954181524</v>
      </c>
      <c r="AE111" s="10">
        <f t="shared" si="163"/>
        <v>0.17021470132064592</v>
      </c>
      <c r="AF111" s="236">
        <f t="shared" si="163"/>
        <v>0.15849964860780277</v>
      </c>
      <c r="AG111" s="10">
        <f t="shared" si="163"/>
        <v>0.12500242778968879</v>
      </c>
      <c r="AH111" s="10">
        <f t="shared" si="163"/>
        <v>0.16753791080138372</v>
      </c>
      <c r="AI111" s="10">
        <f t="shared" ref="AI111:BC111" si="164">AI110/AI91</f>
        <v>0.17263922089858885</v>
      </c>
      <c r="AJ111" s="10">
        <f t="shared" si="164"/>
        <v>0.18586177243159599</v>
      </c>
      <c r="AK111" s="236">
        <f t="shared" si="164"/>
        <v>0.16369074095864991</v>
      </c>
      <c r="AL111" s="10">
        <f t="shared" si="164"/>
        <v>0.13366073545330465</v>
      </c>
      <c r="AM111" s="10">
        <f t="shared" si="164"/>
        <v>0.14370904360230241</v>
      </c>
      <c r="AN111" s="10">
        <f t="shared" si="164"/>
        <v>0.17421588308978611</v>
      </c>
      <c r="AO111" s="10">
        <f t="shared" si="164"/>
        <v>0.19671817492276517</v>
      </c>
      <c r="AP111" s="236">
        <f t="shared" si="164"/>
        <v>0.16147912527841093</v>
      </c>
      <c r="AQ111" s="10">
        <f t="shared" si="164"/>
        <v>0.15045333812464298</v>
      </c>
      <c r="AR111" s="10">
        <f t="shared" si="164"/>
        <v>0.15596256504594036</v>
      </c>
      <c r="AS111" s="10">
        <f t="shared" si="164"/>
        <v>0.17512535717427499</v>
      </c>
      <c r="AT111" s="10">
        <f t="shared" si="164"/>
        <v>0.19697878373078551</v>
      </c>
      <c r="AU111" s="236">
        <f t="shared" si="164"/>
        <v>0.17029960554657339</v>
      </c>
      <c r="AV111" s="10">
        <f t="shared" si="164"/>
        <v>0.12657361281662172</v>
      </c>
      <c r="AW111" s="10">
        <f t="shared" si="164"/>
        <v>0.16099757613353091</v>
      </c>
      <c r="AX111" s="10">
        <f t="shared" si="164"/>
        <v>0.18157048765904946</v>
      </c>
      <c r="AY111" s="10">
        <f t="shared" si="164"/>
        <v>0.21074221456712403</v>
      </c>
      <c r="AZ111" s="236">
        <f t="shared" si="164"/>
        <v>0.17327864480063948</v>
      </c>
      <c r="BA111" s="10">
        <f t="shared" si="164"/>
        <v>0.12885743271090258</v>
      </c>
      <c r="BB111" s="10">
        <f t="shared" si="164"/>
        <v>0.16387656942969578</v>
      </c>
      <c r="BC111" s="10">
        <f t="shared" si="164"/>
        <v>0.18479524413040538</v>
      </c>
      <c r="BD111" s="928">
        <f>BD110/BD91</f>
        <v>0.20771681019507734</v>
      </c>
      <c r="BE111" s="236">
        <f>BE110/BE91</f>
        <v>0.17354455812998854</v>
      </c>
      <c r="BF111" s="10">
        <f t="shared" ref="BF111:BH111" si="165">BF110/BF91</f>
        <v>0.14016492630758295</v>
      </c>
      <c r="BG111" s="10">
        <f t="shared" si="165"/>
        <v>0.16991147961686615</v>
      </c>
      <c r="BH111" s="10">
        <f t="shared" si="165"/>
        <v>0.18658610771067871</v>
      </c>
      <c r="BI111" s="928">
        <f>BI110/BI91</f>
        <v>0.19494172723225281</v>
      </c>
      <c r="BJ111" s="236">
        <f>BJ110/BJ91</f>
        <v>0.17399330831936163</v>
      </c>
      <c r="BK111" s="10">
        <f t="shared" ref="BK111:BM111" si="166">BK110/BK91</f>
        <v>0.16633877203979422</v>
      </c>
      <c r="BL111" s="10">
        <f t="shared" si="166"/>
        <v>0.18257629686416238</v>
      </c>
      <c r="BM111" s="10">
        <f t="shared" si="166"/>
        <v>0.19601804019927058</v>
      </c>
      <c r="BN111" s="928">
        <f>BN110/BN91</f>
        <v>0.19701556842217527</v>
      </c>
      <c r="BO111" s="236">
        <f>BO110/BO91</f>
        <v>0.18608512759649343</v>
      </c>
      <c r="BP111" s="918">
        <v>0.17100000000000001</v>
      </c>
      <c r="BQ111" s="918">
        <v>0.186</v>
      </c>
      <c r="BR111" s="918">
        <v>0.2</v>
      </c>
      <c r="BS111" s="918">
        <v>0.20399999999999999</v>
      </c>
      <c r="BT111" s="262">
        <f>BT110/BT91</f>
        <v>0.19080177681260208</v>
      </c>
      <c r="BU111" s="918">
        <v>0.17599999999999999</v>
      </c>
      <c r="BV111" s="918">
        <v>0.192</v>
      </c>
      <c r="BW111" s="918">
        <v>0.20599999999999999</v>
      </c>
      <c r="BX111" s="918">
        <v>0.21</v>
      </c>
      <c r="BY111" s="262">
        <f>BY110/BY91</f>
        <v>0.19657061208925589</v>
      </c>
    </row>
    <row r="112" spans="2:77" ht="12" customHeight="1" outlineLevel="1">
      <c r="B112" s="50" t="s">
        <v>272</v>
      </c>
      <c r="C112" s="195"/>
      <c r="D112" s="195"/>
      <c r="E112" s="195"/>
      <c r="F112" s="195"/>
      <c r="G112" s="851"/>
      <c r="H112" s="195">
        <f>H110/C110-1</f>
        <v>0.49960687960687955</v>
      </c>
      <c r="I112" s="195">
        <f t="shared" ref="I112" si="167">I110/D110-1</f>
        <v>0.2230338983050848</v>
      </c>
      <c r="J112" s="195">
        <f t="shared" ref="J112" si="168">J110/E110-1</f>
        <v>0.12840425531914867</v>
      </c>
      <c r="K112" s="195">
        <f t="shared" ref="K112" si="169">K110/F110-1</f>
        <v>4.7986013986013987E-2</v>
      </c>
      <c r="L112" s="851">
        <f>L110/G110-1</f>
        <v>0.1909447490510332</v>
      </c>
      <c r="M112" s="195">
        <f>M110/H110-1</f>
        <v>0.19335124684602034</v>
      </c>
      <c r="N112" s="195">
        <f t="shared" ref="N112" si="170">N110/I110-1</f>
        <v>-9.3086101525797216E-2</v>
      </c>
      <c r="O112" s="195">
        <f t="shared" ref="O112" si="171">O110/J110-1</f>
        <v>-0.14055408153645155</v>
      </c>
      <c r="P112" s="195">
        <f t="shared" ref="P112" si="172">P110/K110-1</f>
        <v>0.44835915709119045</v>
      </c>
      <c r="Q112" s="851">
        <f>Q110/L110-1</f>
        <v>0.1000237274810265</v>
      </c>
      <c r="R112" s="195">
        <f>R110/M110-1</f>
        <v>-0.21379831125145887</v>
      </c>
      <c r="S112" s="195">
        <f t="shared" ref="S112" si="173">S110/N110-1</f>
        <v>4.0448030316922123E-2</v>
      </c>
      <c r="T112" s="195">
        <f t="shared" ref="T112" si="174">T110/O110-1</f>
        <v>0.19995925595098152</v>
      </c>
      <c r="U112" s="195">
        <f t="shared" ref="U112" si="175">U110/P110-1</f>
        <v>-2.1690454909838008E-2</v>
      </c>
      <c r="V112" s="851">
        <f>V110/Q110-1</f>
        <v>-8.1096656010453128E-3</v>
      </c>
      <c r="W112" s="195">
        <f>W110/R110-1</f>
        <v>-8.9538620051342166E-2</v>
      </c>
      <c r="X112" s="195">
        <f t="shared" ref="X112" si="176">X110/S110-1</f>
        <v>0.24674690478638217</v>
      </c>
      <c r="Y112" s="195">
        <f t="shared" ref="Y112" si="177">Y110/T110-1</f>
        <v>0.20538244550951368</v>
      </c>
      <c r="Z112" s="195">
        <f t="shared" ref="Z112" si="178">Z110/U110-1</f>
        <v>-8.5450161528826118E-3</v>
      </c>
      <c r="AA112" s="851">
        <f>AA110/V110-1</f>
        <v>8.5988873670066024E-2</v>
      </c>
      <c r="AB112" s="195">
        <f>AB110/W110-1</f>
        <v>0.23711656588809049</v>
      </c>
      <c r="AC112" s="195">
        <f t="shared" ref="AC112" si="179">AC110/X110-1</f>
        <v>0.2849018874481315</v>
      </c>
      <c r="AD112" s="195">
        <f t="shared" ref="AD112" si="180">AD110/Y110-1</f>
        <v>6.4975798959369113E-2</v>
      </c>
      <c r="AE112" s="195">
        <f t="shared" ref="AE112" si="181">AE110/Z110-1</f>
        <v>4.8821672766308222E-2</v>
      </c>
      <c r="AF112" s="250">
        <f>AF110/AA110-1</f>
        <v>0.14251429357035916</v>
      </c>
      <c r="AG112" s="195">
        <f>AG110/AB110-1</f>
        <v>7.5492602633489225E-2</v>
      </c>
      <c r="AH112" s="195">
        <f t="shared" ref="AH112" si="182">AH110/AC110-1</f>
        <v>-6.0000878715175898E-2</v>
      </c>
      <c r="AI112" s="195">
        <f t="shared" ref="AI112" si="183">AI110/AD110-1</f>
        <v>2.9970406361490953E-2</v>
      </c>
      <c r="AJ112" s="195">
        <f t="shared" ref="AJ112" si="184">AJ110/AE110-1</f>
        <v>5.2925068917483831E-2</v>
      </c>
      <c r="AK112" s="250">
        <f>AK110/AF110-1</f>
        <v>1.8608905386821695E-2</v>
      </c>
      <c r="AL112" s="195">
        <f>AL110/AG110-1</f>
        <v>0.10922089809413604</v>
      </c>
      <c r="AM112" s="195">
        <f t="shared" ref="AM112" si="185">AM110/AH110-1</f>
        <v>-0.25335190303768218</v>
      </c>
      <c r="AN112" s="195">
        <f t="shared" ref="AN112" si="186">AN110/AI110-1</f>
        <v>-5.3676682141439613E-2</v>
      </c>
      <c r="AO112" s="195">
        <f t="shared" ref="AO112" si="187">AO110/AJ110-1</f>
        <v>8.5504941472037466E-2</v>
      </c>
      <c r="AP112" s="250">
        <f>AP110/AK110-1</f>
        <v>-3.568292167871201E-2</v>
      </c>
      <c r="AQ112" s="195">
        <f>AQ110/AL110-1</f>
        <v>0.15358730391383246</v>
      </c>
      <c r="AR112" s="195">
        <f t="shared" ref="AR112" si="188">AR110/AM110-1</f>
        <v>0.24147447801517208</v>
      </c>
      <c r="AS112" s="195">
        <f t="shared" ref="AS112" si="189">AS110/AN110-1</f>
        <v>0.12202856328087819</v>
      </c>
      <c r="AT112" s="195">
        <f t="shared" ref="AT112" si="190">AT110/AO110-1</f>
        <v>2.2918290078819625E-2</v>
      </c>
      <c r="AU112" s="851">
        <f>AU110/AP110-1</f>
        <v>0.11954061822328366</v>
      </c>
      <c r="AV112" s="195">
        <f>AV110/AQ110-1</f>
        <v>-0.2022059237728282</v>
      </c>
      <c r="AW112" s="195">
        <f t="shared" ref="AW112:AY112" si="191">AW110/AR110-1</f>
        <v>3.2249579124579153E-2</v>
      </c>
      <c r="AX112" s="195">
        <f t="shared" si="191"/>
        <v>6.5004651162790639E-2</v>
      </c>
      <c r="AY112" s="195">
        <f t="shared" si="191"/>
        <v>0.2370003098853426</v>
      </c>
      <c r="AZ112" s="250">
        <f>AZ110/AU110-1</f>
        <v>5.3991498188548093E-2</v>
      </c>
      <c r="BA112" s="195">
        <f>BA110/AV110-1</f>
        <v>0.14796718116729979</v>
      </c>
      <c r="BB112" s="195">
        <f t="shared" ref="BB112:BC112" si="192">BB110/AW110-1</f>
        <v>0.17663727638754412</v>
      </c>
      <c r="BC112" s="195">
        <f t="shared" si="192"/>
        <v>0.16913562993501507</v>
      </c>
      <c r="BD112" s="932">
        <f>BD110/AY110-1</f>
        <v>2.2233077809509449E-2</v>
      </c>
      <c r="BE112" s="250">
        <f>BE110/AZ110-1</f>
        <v>0.11447420093076155</v>
      </c>
      <c r="BF112" s="195">
        <f>BF110/BA110-1</f>
        <v>0.22966872101462643</v>
      </c>
      <c r="BG112" s="195">
        <f t="shared" ref="BG112:BH112" si="193">BG110/BB110-1</f>
        <v>0.15516225722057619</v>
      </c>
      <c r="BH112" s="195">
        <f t="shared" si="193"/>
        <v>0.11367032244568631</v>
      </c>
      <c r="BI112" s="932">
        <f>BI110/BD110-1</f>
        <v>-1.549423484579282E-2</v>
      </c>
      <c r="BJ112" s="250">
        <f>BJ110/BE110-1</f>
        <v>9.9771364462058587E-2</v>
      </c>
      <c r="BK112" s="195">
        <f>BK110/BF110-1</f>
        <v>0.34062284290873457</v>
      </c>
      <c r="BL112" s="195">
        <f t="shared" ref="BL112:BM112" si="194">BL110/BG110-1</f>
        <v>0.20020998162660764</v>
      </c>
      <c r="BM112" s="195">
        <f t="shared" si="194"/>
        <v>0.14292901849503892</v>
      </c>
      <c r="BN112" s="932">
        <f>BN110/BI110-1</f>
        <v>0.16103377247297601</v>
      </c>
      <c r="BO112" s="250">
        <f>BO110/BJ110-1</f>
        <v>0.19874011630262256</v>
      </c>
      <c r="BP112" s="924">
        <f t="shared" ref="BP112:BY112" si="195">BP110/BK110-1</f>
        <v>0.11053680591000647</v>
      </c>
      <c r="BQ112" s="924">
        <f t="shared" si="195"/>
        <v>8.9049106484547558E-2</v>
      </c>
      <c r="BR112" s="924">
        <f t="shared" si="195"/>
        <v>0.10401326501264907</v>
      </c>
      <c r="BS112" s="924">
        <f t="shared" si="195"/>
        <v>8.3844138285898095E-2</v>
      </c>
      <c r="BT112" s="283">
        <f t="shared" si="195"/>
        <v>9.5897030453383048E-2</v>
      </c>
      <c r="BU112" s="924">
        <f t="shared" si="195"/>
        <v>8.9237660472379909E-2</v>
      </c>
      <c r="BV112" s="924">
        <f t="shared" si="195"/>
        <v>9.2843908556868415E-2</v>
      </c>
      <c r="BW112" s="924">
        <f t="shared" si="195"/>
        <v>9.0187402691500163E-2</v>
      </c>
      <c r="BX112" s="924">
        <f t="shared" si="195"/>
        <v>8.9943486390820837E-2</v>
      </c>
      <c r="BY112" s="283">
        <f t="shared" si="195"/>
        <v>9.0569147122018467E-2</v>
      </c>
    </row>
    <row r="113" spans="2:77" ht="12" customHeight="1">
      <c r="B113" s="260" t="s">
        <v>273</v>
      </c>
      <c r="C113" s="149"/>
      <c r="D113" s="149"/>
      <c r="E113" s="149"/>
      <c r="F113" s="149"/>
      <c r="G113" s="251"/>
      <c r="H113" s="149"/>
      <c r="I113" s="149"/>
      <c r="J113" s="149"/>
      <c r="K113" s="149"/>
      <c r="L113" s="251"/>
      <c r="M113" s="150"/>
      <c r="N113" s="150"/>
      <c r="O113" s="150"/>
      <c r="P113" s="150"/>
      <c r="Q113" s="251"/>
      <c r="R113" s="150"/>
      <c r="S113" s="150"/>
      <c r="T113" s="150"/>
      <c r="U113" s="150"/>
      <c r="V113" s="251"/>
      <c r="W113" s="167"/>
      <c r="X113" s="149"/>
      <c r="Y113" s="167"/>
      <c r="Z113" s="150"/>
      <c r="AA113" s="251"/>
      <c r="AB113" s="167"/>
      <c r="AC113" s="178"/>
      <c r="AD113" s="178"/>
      <c r="AE113" s="178"/>
      <c r="AF113" s="251"/>
      <c r="AG113" s="178"/>
      <c r="AH113" s="178"/>
      <c r="AI113" s="178"/>
      <c r="AJ113" s="178"/>
      <c r="AK113" s="251"/>
      <c r="AL113" s="178"/>
      <c r="AM113" s="178"/>
      <c r="AN113" s="178"/>
      <c r="AO113" s="178"/>
      <c r="AP113" s="251"/>
      <c r="AQ113" s="178"/>
      <c r="AR113" s="178"/>
      <c r="AS113" s="178"/>
      <c r="AT113" s="178"/>
      <c r="AU113" s="251"/>
      <c r="AV113" s="178"/>
      <c r="AW113" s="178"/>
      <c r="AX113" s="178"/>
      <c r="AY113" s="395"/>
      <c r="AZ113" s="539"/>
      <c r="BA113" s="854">
        <v>77</v>
      </c>
      <c r="BB113" s="854">
        <v>106</v>
      </c>
      <c r="BC113" s="854">
        <v>127</v>
      </c>
      <c r="BD113" s="854">
        <v>156</v>
      </c>
      <c r="BE113" s="539"/>
      <c r="BF113" s="854">
        <v>90</v>
      </c>
      <c r="BG113" s="854">
        <v>117</v>
      </c>
      <c r="BH113" s="854">
        <v>136</v>
      </c>
      <c r="BI113" s="854">
        <v>158.80000000000001</v>
      </c>
      <c r="BJ113" s="539"/>
      <c r="BK113" s="854">
        <v>118.2</v>
      </c>
      <c r="BL113" s="854">
        <v>153.9</v>
      </c>
      <c r="BM113" s="854">
        <v>163.73428000000001</v>
      </c>
      <c r="BN113" s="854">
        <v>180.3</v>
      </c>
      <c r="BO113" s="539"/>
      <c r="BP113" s="925"/>
      <c r="BQ113" s="925"/>
      <c r="BR113" s="925"/>
      <c r="BS113" s="925"/>
      <c r="BT113" s="539" cm="1">
        <f t="array" ref="BT113">_xll.FDS("CW-US","FE_ESTIMATE(EBIT,MEAN,ANN_ROLL,+1,NOW,,,'')")</f>
        <v>707.80039999999997</v>
      </c>
      <c r="BU113" s="925"/>
      <c r="BV113" s="925"/>
      <c r="BW113" s="925"/>
      <c r="BX113" s="925"/>
      <c r="BY113" s="539" cm="1">
        <f t="array" ref="BY113">_xll.FDS("CW-US","FE_ESTIMATE(EBIT,MEAN,ANN_ROLL,+2,NOW,,,'')")</f>
        <v>780.83600000000001</v>
      </c>
    </row>
    <row r="114" spans="2:77" ht="12" customHeight="1">
      <c r="B114" s="260" t="s">
        <v>184</v>
      </c>
      <c r="C114" s="149"/>
      <c r="D114" s="149"/>
      <c r="E114" s="149"/>
      <c r="F114" s="149"/>
      <c r="G114" s="251"/>
      <c r="H114" s="149"/>
      <c r="I114" s="149"/>
      <c r="J114" s="149"/>
      <c r="K114" s="149"/>
      <c r="L114" s="251"/>
      <c r="M114" s="150"/>
      <c r="N114" s="150"/>
      <c r="O114" s="150"/>
      <c r="P114" s="150"/>
      <c r="Q114" s="251"/>
      <c r="R114" s="150"/>
      <c r="S114" s="150"/>
      <c r="T114" s="150"/>
      <c r="U114" s="150"/>
      <c r="V114" s="251"/>
      <c r="W114" s="167"/>
      <c r="X114" s="149"/>
      <c r="Y114" s="167"/>
      <c r="Z114" s="150"/>
      <c r="AA114" s="251"/>
      <c r="AB114" s="167"/>
      <c r="AC114" s="178"/>
      <c r="AD114" s="178"/>
      <c r="AE114" s="178"/>
      <c r="AF114" s="251"/>
      <c r="AG114" s="178"/>
      <c r="AH114" s="178"/>
      <c r="AI114" s="178"/>
      <c r="AJ114" s="395" t="s">
        <v>274</v>
      </c>
      <c r="AK114" s="396" t="str">
        <f>AJ114</f>
        <v>428-437</v>
      </c>
      <c r="AL114" s="178"/>
      <c r="AM114" s="178"/>
      <c r="AN114" s="178"/>
      <c r="AO114" s="395" t="s">
        <v>275</v>
      </c>
      <c r="AP114" s="396" t="str">
        <f>AO114</f>
        <v>404-414</v>
      </c>
      <c r="AQ114" s="395" t="s">
        <v>276</v>
      </c>
      <c r="AR114" s="395" t="s">
        <v>277</v>
      </c>
      <c r="AS114" s="178"/>
      <c r="AT114" s="395" t="s">
        <v>278</v>
      </c>
      <c r="AU114" s="396" t="str">
        <f>AT114</f>
        <v>432-446</v>
      </c>
      <c r="AV114" s="178"/>
      <c r="AW114" s="535" t="s">
        <v>279</v>
      </c>
      <c r="AX114" s="395" t="s">
        <v>280</v>
      </c>
      <c r="AY114" s="395" t="s">
        <v>281</v>
      </c>
      <c r="AZ114" s="396" t="str">
        <f>AY114</f>
        <v>463-477</v>
      </c>
      <c r="BA114" s="395" t="s">
        <v>281</v>
      </c>
      <c r="BB114" s="535" t="s">
        <v>282</v>
      </c>
      <c r="BC114" s="395" t="s">
        <v>283</v>
      </c>
      <c r="BD114" s="395" t="s">
        <v>284</v>
      </c>
      <c r="BE114" s="396" t="str">
        <f>BD114</f>
        <v>514-528</v>
      </c>
      <c r="BF114" s="395" t="s">
        <v>285</v>
      </c>
      <c r="BG114" s="395" t="s">
        <v>286</v>
      </c>
      <c r="BH114" s="395" t="s">
        <v>287</v>
      </c>
      <c r="BI114" s="395" t="s">
        <v>288</v>
      </c>
      <c r="BJ114" s="396" t="str">
        <f>BI114</f>
        <v>598-613</v>
      </c>
      <c r="BK114" s="395" t="s">
        <v>289</v>
      </c>
      <c r="BL114" s="395" t="str">
        <f>BL88</f>
        <v>626-642</v>
      </c>
      <c r="BM114" s="395" t="str">
        <f>BM88</f>
        <v>634-647</v>
      </c>
      <c r="BN114" s="395" t="str">
        <f>BN88</f>
        <v>703-722</v>
      </c>
      <c r="BO114" s="396" t="str">
        <f>BN114</f>
        <v>703-722</v>
      </c>
      <c r="BP114" s="925"/>
      <c r="BQ114" s="925"/>
      <c r="BR114" s="925"/>
      <c r="BS114" s="925"/>
      <c r="BT114" s="283"/>
      <c r="BU114" s="1032"/>
      <c r="BV114" s="1032"/>
      <c r="BW114" s="1032"/>
      <c r="BX114" s="1032"/>
      <c r="BY114" s="283"/>
    </row>
    <row r="115" spans="2:77" s="6" customFormat="1" ht="9" customHeight="1">
      <c r="B115" s="260"/>
      <c r="C115" s="44"/>
      <c r="D115" s="44"/>
      <c r="E115" s="44"/>
      <c r="F115" s="44"/>
      <c r="G115" s="244"/>
      <c r="H115" s="44"/>
      <c r="I115" s="44"/>
      <c r="J115" s="44"/>
      <c r="K115" s="44"/>
      <c r="L115" s="244"/>
      <c r="M115" s="44"/>
      <c r="N115" s="44"/>
      <c r="O115" s="44"/>
      <c r="P115" s="44"/>
      <c r="Q115" s="244"/>
      <c r="R115" s="44"/>
      <c r="S115" s="44"/>
      <c r="T115" s="44"/>
      <c r="U115" s="44"/>
      <c r="V115" s="244"/>
      <c r="W115" s="44"/>
      <c r="X115" s="44"/>
      <c r="Y115" s="44"/>
      <c r="Z115" s="44"/>
      <c r="AA115" s="244"/>
      <c r="AB115" s="182"/>
      <c r="AC115" s="182"/>
      <c r="AD115" s="182"/>
      <c r="AE115" s="182"/>
      <c r="AF115" s="244"/>
      <c r="AG115" s="182"/>
      <c r="AH115" s="182"/>
      <c r="AI115" s="182"/>
      <c r="AJ115" s="395"/>
      <c r="AK115" s="396"/>
      <c r="AL115" s="182"/>
      <c r="AM115" s="182"/>
      <c r="AN115" s="182"/>
      <c r="AO115" s="395"/>
      <c r="AP115" s="396"/>
      <c r="AQ115" s="395"/>
      <c r="AR115" s="395"/>
      <c r="AS115" s="182"/>
      <c r="AT115" s="395"/>
      <c r="AU115" s="396"/>
      <c r="AV115" s="182"/>
      <c r="AW115" s="395"/>
      <c r="AX115" s="395"/>
      <c r="AY115" s="395"/>
      <c r="AZ115" s="396"/>
      <c r="BA115" s="182"/>
      <c r="BB115" s="395"/>
      <c r="BC115" s="395"/>
      <c r="BD115" s="395"/>
      <c r="BE115" s="396"/>
      <c r="BF115" s="182"/>
      <c r="BG115" s="395"/>
      <c r="BH115" s="395"/>
      <c r="BI115" s="395"/>
      <c r="BJ115" s="396"/>
      <c r="BK115" s="182"/>
      <c r="BL115" s="395"/>
      <c r="BM115" s="395"/>
      <c r="BN115" s="395"/>
      <c r="BO115" s="396"/>
      <c r="BP115" s="182"/>
      <c r="BQ115" s="182"/>
      <c r="BR115" s="182"/>
      <c r="BS115" s="182"/>
      <c r="BT115" s="244"/>
      <c r="BU115" s="182"/>
      <c r="BV115" s="182"/>
      <c r="BW115" s="182"/>
      <c r="BX115" s="182"/>
      <c r="BY115" s="244"/>
    </row>
    <row r="116" spans="2:77" ht="12" hidden="1" customHeight="1" outlineLevel="1">
      <c r="B116" s="831" t="s">
        <v>300</v>
      </c>
      <c r="C116" s="832"/>
      <c r="D116" s="832"/>
      <c r="E116" s="832"/>
      <c r="F116" s="832"/>
      <c r="G116" s="833"/>
      <c r="H116" s="834"/>
      <c r="I116" s="834"/>
      <c r="J116" s="834"/>
      <c r="K116" s="834"/>
      <c r="L116" s="839">
        <v>118.931</v>
      </c>
      <c r="M116" s="835"/>
      <c r="N116" s="835"/>
      <c r="O116" s="835"/>
      <c r="P116" s="835"/>
      <c r="Q116" s="839">
        <v>100.81</v>
      </c>
      <c r="R116" s="835"/>
      <c r="S116" s="835"/>
      <c r="T116" s="835"/>
      <c r="U116" s="835"/>
      <c r="V116" s="839">
        <v>96.007999999999996</v>
      </c>
      <c r="W116" s="836"/>
      <c r="X116" s="834"/>
      <c r="Y116" s="836"/>
      <c r="Z116" s="835"/>
      <c r="AA116" s="839">
        <v>99.995000000000005</v>
      </c>
      <c r="AB116" s="837">
        <v>24.600999999999999</v>
      </c>
      <c r="AC116" s="837">
        <f>51.257-AB116</f>
        <v>26.655999999999999</v>
      </c>
      <c r="AD116" s="837">
        <f>77.146-AC116-AB116</f>
        <v>25.889000000000003</v>
      </c>
      <c r="AE116" s="837">
        <f>102.949-AD116-AC116-AB116</f>
        <v>25.803000000000004</v>
      </c>
      <c r="AF116" s="839">
        <f>SUM(AB116:AE116)</f>
        <v>102.94900000000001</v>
      </c>
      <c r="AG116" s="837">
        <v>25.792999999999999</v>
      </c>
      <c r="AH116" s="837">
        <f>51.6-AG116</f>
        <v>25.807000000000002</v>
      </c>
      <c r="AI116" s="837">
        <f>76.998-AH116-AG116</f>
        <v>25.398000000000003</v>
      </c>
      <c r="AJ116" s="837">
        <f>102.412-AI116-AH116-AG116</f>
        <v>25.414000000000009</v>
      </c>
      <c r="AK116" s="839">
        <f>SUM(AG116:AJ116)</f>
        <v>102.41200000000001</v>
      </c>
      <c r="AL116" s="837">
        <v>28.141999999999999</v>
      </c>
      <c r="AM116" s="837">
        <f>56.568-AL116</f>
        <v>28.425999999999998</v>
      </c>
      <c r="AN116" s="837">
        <f>84.769-AM116-AL116</f>
        <v>28.201000000000004</v>
      </c>
      <c r="AO116" s="837">
        <f>115.903-AN116-AM116-AL116</f>
        <v>31.133999999999997</v>
      </c>
      <c r="AP116" s="839">
        <f>SUM(AL116:AO116)</f>
        <v>115.90300000000001</v>
      </c>
      <c r="AQ116" s="837">
        <v>28.594999999999999</v>
      </c>
      <c r="AR116" s="837">
        <f>57.616-AQ116</f>
        <v>29.021000000000001</v>
      </c>
      <c r="AS116" s="837">
        <f>86.24-AR116-AQ116</f>
        <v>28.623999999999995</v>
      </c>
      <c r="AT116" s="837">
        <f>114.384-AS116-AR116-AQ116</f>
        <v>28.144000000000005</v>
      </c>
      <c r="AU116" s="839">
        <f>SUM(AQ116:AT116)</f>
        <v>114.384</v>
      </c>
      <c r="AV116" s="837">
        <v>27.363</v>
      </c>
      <c r="AW116" s="837">
        <f>53.645-AV116</f>
        <v>26.282000000000004</v>
      </c>
      <c r="AX116" s="837">
        <f>83.52-AW116-AV116</f>
        <v>29.874999999999993</v>
      </c>
      <c r="AY116" s="838">
        <f>112.027-AX116-AW116-AV116</f>
        <v>28.507000000000012</v>
      </c>
      <c r="AZ116" s="839">
        <f>SUM(AV116:AY116)</f>
        <v>112.02700000000002</v>
      </c>
      <c r="BA116" s="837">
        <v>28.927</v>
      </c>
      <c r="BB116" s="837">
        <f>57.975-BA116</f>
        <v>29.048000000000002</v>
      </c>
      <c r="BC116" s="837">
        <f>86.836-BB116-BA116</f>
        <v>28.860999999999997</v>
      </c>
      <c r="BD116" s="837">
        <v>29</v>
      </c>
      <c r="BE116" s="839">
        <f>SUM(BA116:BD116)</f>
        <v>115.836</v>
      </c>
      <c r="BF116" s="985">
        <v>26.983000000000001</v>
      </c>
      <c r="BG116" s="985">
        <f>54.151-BF116</f>
        <v>27.168000000000003</v>
      </c>
      <c r="BH116" s="985">
        <f>80.844-BG116-BF116</f>
        <v>26.692999999999987</v>
      </c>
      <c r="BI116" s="985">
        <v>27</v>
      </c>
      <c r="BJ116" s="839">
        <f>SUM(BF116:BI116)</f>
        <v>107.84399999999999</v>
      </c>
      <c r="BK116" s="985">
        <v>30.821000000000002</v>
      </c>
      <c r="BL116" s="985">
        <f>62.128-BK116</f>
        <v>31.306999999999999</v>
      </c>
      <c r="BM116" s="985">
        <f>93.319-BL116-BK116</f>
        <v>31.190999999999999</v>
      </c>
      <c r="BN116" s="985">
        <f>124.817-BM116-BL116-BK116</f>
        <v>31.497999999999987</v>
      </c>
      <c r="BO116" s="839">
        <f>SUM(BK116:BN116)</f>
        <v>124.81699999999999</v>
      </c>
      <c r="BP116" s="926">
        <v>29.5</v>
      </c>
      <c r="BQ116" s="926">
        <v>29.5</v>
      </c>
      <c r="BR116" s="926">
        <v>29.5</v>
      </c>
      <c r="BS116" s="926">
        <v>29.5</v>
      </c>
      <c r="BT116" s="841">
        <f>SUM(BP116:BS116)</f>
        <v>118</v>
      </c>
      <c r="BU116" s="926">
        <f>BS116</f>
        <v>29.5</v>
      </c>
      <c r="BV116" s="926">
        <f>BU116</f>
        <v>29.5</v>
      </c>
      <c r="BW116" s="926">
        <f t="shared" ref="BW116:BX116" si="196">BV116</f>
        <v>29.5</v>
      </c>
      <c r="BX116" s="926">
        <f t="shared" si="196"/>
        <v>29.5</v>
      </c>
      <c r="BY116" s="841">
        <f>SUM(BU116:BX116)</f>
        <v>118</v>
      </c>
    </row>
    <row r="117" spans="2:77" ht="12" hidden="1" customHeight="1" outlineLevel="1">
      <c r="B117" s="831" t="s">
        <v>301</v>
      </c>
      <c r="C117" s="832"/>
      <c r="D117" s="832"/>
      <c r="E117" s="832"/>
      <c r="F117" s="832"/>
      <c r="G117" s="833"/>
      <c r="H117" s="834"/>
      <c r="I117" s="834"/>
      <c r="J117" s="834"/>
      <c r="K117" s="834"/>
      <c r="L117" s="839">
        <v>8.5</v>
      </c>
      <c r="M117" s="835"/>
      <c r="N117" s="835"/>
      <c r="O117" s="835"/>
      <c r="P117" s="835"/>
      <c r="Q117" s="839">
        <v>9.4730000000000008</v>
      </c>
      <c r="R117" s="835"/>
      <c r="S117" s="835"/>
      <c r="T117" s="835"/>
      <c r="U117" s="835"/>
      <c r="V117" s="839">
        <v>9.4779999999999998</v>
      </c>
      <c r="W117" s="836"/>
      <c r="X117" s="834"/>
      <c r="Y117" s="836"/>
      <c r="Z117" s="835"/>
      <c r="AA117" s="839">
        <v>11.571999999999999</v>
      </c>
      <c r="AB117" s="837">
        <v>4.5910000000000002</v>
      </c>
      <c r="AC117" s="837">
        <f>7.801-AB117</f>
        <v>3.21</v>
      </c>
      <c r="AD117" s="837">
        <f>11.846-AC117-AB117</f>
        <v>4.044999999999999</v>
      </c>
      <c r="AE117" s="837">
        <f>14.094-AD117-AC117-AB117</f>
        <v>2.2479999999999993</v>
      </c>
      <c r="AF117" s="839">
        <f>SUM(AB117:AE117)</f>
        <v>14.093999999999999</v>
      </c>
      <c r="AG117" s="837">
        <v>3.4950000000000001</v>
      </c>
      <c r="AH117" s="837">
        <f>6.98-AG117</f>
        <v>3.4850000000000003</v>
      </c>
      <c r="AI117" s="837">
        <f>11.262-AH117-AG117</f>
        <v>4.282</v>
      </c>
      <c r="AJ117" s="837">
        <f>13.669-AI117-AH117-AG117</f>
        <v>2.407</v>
      </c>
      <c r="AK117" s="839">
        <f>SUM(AG117:AJ117)</f>
        <v>13.669</v>
      </c>
      <c r="AL117" s="837">
        <v>3.34</v>
      </c>
      <c r="AM117" s="837">
        <f>7.14-AL117</f>
        <v>3.8</v>
      </c>
      <c r="AN117" s="837">
        <f>11.777-AM117-AL117</f>
        <v>4.6369999999999996</v>
      </c>
      <c r="AO117" s="837">
        <f>14.437-AN117-AM117-AL117</f>
        <v>2.660000000000001</v>
      </c>
      <c r="AP117" s="839">
        <f>SUM(AL117:AO117)</f>
        <v>14.437000000000001</v>
      </c>
      <c r="AQ117" s="837">
        <v>3.327</v>
      </c>
      <c r="AR117" s="837">
        <f>6.725-AQ117</f>
        <v>3.3979999999999997</v>
      </c>
      <c r="AS117" s="837">
        <f>10.861-AR117-AQ117</f>
        <v>4.136000000000001</v>
      </c>
      <c r="AT117" s="837">
        <f>13.45-AS117-AR117-AQ117</f>
        <v>2.5889999999999986</v>
      </c>
      <c r="AU117" s="839">
        <f>SUM(AQ117:AT117)</f>
        <v>13.45</v>
      </c>
      <c r="AV117" s="837">
        <v>3.8090000000000002</v>
      </c>
      <c r="AW117" s="837">
        <f>7.58-AV117</f>
        <v>3.7709999999999999</v>
      </c>
      <c r="AX117" s="837">
        <f>12.027-AW117-AV117</f>
        <v>4.4470000000000001</v>
      </c>
      <c r="AY117" s="842">
        <f>15.384-AX117-AW117-AV117</f>
        <v>3.3570000000000011</v>
      </c>
      <c r="AZ117" s="839">
        <f>SUM(AV117:AY117)</f>
        <v>15.384000000000002</v>
      </c>
      <c r="BA117" s="837">
        <v>5.1790000000000003</v>
      </c>
      <c r="BB117" s="837">
        <f>8.859-BA117</f>
        <v>3.6799999999999997</v>
      </c>
      <c r="BC117" s="837">
        <f>13.213-BB117-BA117</f>
        <v>4.3539999999999992</v>
      </c>
      <c r="BD117" s="837">
        <f>AVERAGE(BA117:BC117)</f>
        <v>4.4043333333333328</v>
      </c>
      <c r="BE117" s="839">
        <f>SUM(BA117:BD117)</f>
        <v>17.617333333333331</v>
      </c>
      <c r="BF117" s="985">
        <v>4.6950000000000003</v>
      </c>
      <c r="BG117" s="985">
        <f>9.466-BF117</f>
        <v>4.770999999999999</v>
      </c>
      <c r="BH117" s="985">
        <f>15.164-BG117-BF117</f>
        <v>5.6980000000000004</v>
      </c>
      <c r="BI117" s="837">
        <f>AVERAGE(BF117:BH117)</f>
        <v>5.0546666666666669</v>
      </c>
      <c r="BJ117" s="839">
        <f>SUM(BF117:BI117)</f>
        <v>20.218666666666667</v>
      </c>
      <c r="BK117" s="985">
        <v>5.2709999999999999</v>
      </c>
      <c r="BL117" s="985">
        <f>10.484-BK117</f>
        <v>5.2130000000000001</v>
      </c>
      <c r="BM117" s="985">
        <f>16.61-BL117-BK117</f>
        <v>6.1259999999999986</v>
      </c>
      <c r="BN117" s="985">
        <f>21.52-BM117-BL117-BK117</f>
        <v>4.910000000000001</v>
      </c>
      <c r="BO117" s="839">
        <f>SUM(BK117:BN117)</f>
        <v>21.52</v>
      </c>
      <c r="BP117" s="926">
        <f>BK117*1.05</f>
        <v>5.5345500000000003</v>
      </c>
      <c r="BQ117" s="926">
        <f t="shared" ref="BQ117:BS117" si="197">BL117*1.05</f>
        <v>5.4736500000000001</v>
      </c>
      <c r="BR117" s="926">
        <f t="shared" si="197"/>
        <v>6.4322999999999988</v>
      </c>
      <c r="BS117" s="926">
        <f t="shared" si="197"/>
        <v>5.1555000000000009</v>
      </c>
      <c r="BT117" s="841">
        <f>SUM(BP117:BS117)</f>
        <v>22.596</v>
      </c>
      <c r="BU117" s="926">
        <f>BP117*1.05</f>
        <v>5.811277500000001</v>
      </c>
      <c r="BV117" s="926">
        <f t="shared" ref="BV117" si="198">BQ117*1.05</f>
        <v>5.7473325000000006</v>
      </c>
      <c r="BW117" s="926">
        <f>BR117*1.05</f>
        <v>6.7539149999999992</v>
      </c>
      <c r="BX117" s="926">
        <f t="shared" ref="BX117" si="199">BS117*1.05</f>
        <v>5.4132750000000014</v>
      </c>
      <c r="BY117" s="841">
        <f>SUM(BU117:BX117)</f>
        <v>23.725800000000003</v>
      </c>
    </row>
    <row r="118" spans="2:77" s="4" customFormat="1" ht="12" hidden="1" customHeight="1" outlineLevel="1">
      <c r="B118" s="830" t="s">
        <v>302</v>
      </c>
      <c r="C118" s="149"/>
      <c r="D118" s="149"/>
      <c r="E118" s="149"/>
      <c r="F118" s="149"/>
      <c r="G118" s="251"/>
      <c r="H118" s="149"/>
      <c r="I118" s="149"/>
      <c r="J118" s="149"/>
      <c r="K118" s="149"/>
      <c r="L118" s="840">
        <f>L110+L116+L117</f>
        <v>409.80399999999997</v>
      </c>
      <c r="M118" s="150"/>
      <c r="N118" s="150"/>
      <c r="O118" s="150"/>
      <c r="P118" s="150"/>
      <c r="Q118" s="840">
        <f>Q110+Q116+Q117</f>
        <v>420.89999999999992</v>
      </c>
      <c r="R118" s="150"/>
      <c r="S118" s="150"/>
      <c r="T118" s="150"/>
      <c r="U118" s="150"/>
      <c r="V118" s="840">
        <f>V110+V116+V117</f>
        <v>413.584</v>
      </c>
      <c r="W118" s="167"/>
      <c r="X118" s="149"/>
      <c r="Y118" s="167"/>
      <c r="Z118" s="150"/>
      <c r="AA118" s="840">
        <f>AA110+AA116+AA117</f>
        <v>446.15800000000002</v>
      </c>
      <c r="AB118" s="108">
        <f>AB110+AB116+AB117</f>
        <v>93.69</v>
      </c>
      <c r="AC118" s="108">
        <f t="shared" ref="AC118:AE118" si="200">AC110+AC116+AC117</f>
        <v>138.941</v>
      </c>
      <c r="AD118" s="108">
        <f t="shared" si="200"/>
        <v>128.23099999999999</v>
      </c>
      <c r="AE118" s="108">
        <f t="shared" si="200"/>
        <v>138.45599999999999</v>
      </c>
      <c r="AF118" s="840">
        <f>SUM(AB118:AE118)</f>
        <v>499.31799999999998</v>
      </c>
      <c r="AG118" s="108">
        <f>AG110+AG116+AG117</f>
        <v>98.65512188465479</v>
      </c>
      <c r="AH118" s="108">
        <f t="shared" ref="AH118" si="201">AH110+AH116+AH117</f>
        <v>131.82240415414219</v>
      </c>
      <c r="AI118" s="108">
        <f t="shared" ref="AI118" si="202">AI110+AI116+AI117</f>
        <v>130.92300103411552</v>
      </c>
      <c r="AJ118" s="108">
        <f t="shared" ref="AJ118" si="203">AJ110+AJ116+AJ117</f>
        <v>144.06919223383483</v>
      </c>
      <c r="AK118" s="840">
        <f>SUM(AG118:AJ118)</f>
        <v>505.46971930674732</v>
      </c>
      <c r="AL118" s="108">
        <f>AL110+AL116+AL117</f>
        <v>108.42546123510219</v>
      </c>
      <c r="AM118" s="108">
        <f t="shared" ref="AM118" si="204">AM110+AM116+AM117</f>
        <v>108.7801311424676</v>
      </c>
      <c r="AN118" s="108">
        <f t="shared" ref="AN118" si="205">AN110+AN116+AN117</f>
        <v>128.64661264856184</v>
      </c>
      <c r="AO118" s="108">
        <f t="shared" ref="AO118" si="206">AO110+AO116+AO117</f>
        <v>159.98198710701899</v>
      </c>
      <c r="AP118" s="840">
        <f>SUM(AL118:AO118)</f>
        <v>505.83419213315062</v>
      </c>
      <c r="AQ118" s="108">
        <f>AQ110+AQ116+AQ117</f>
        <v>120.68300000000001</v>
      </c>
      <c r="AR118" s="108">
        <f t="shared" ref="AR118" si="207">AR110+AR116+AR117</f>
        <v>127.45899999999999</v>
      </c>
      <c r="AS118" s="108">
        <f t="shared" ref="AS118" si="208">AS110+AS116+AS117</f>
        <v>140.26</v>
      </c>
      <c r="AT118" s="108">
        <f t="shared" ref="AT118" si="209">AT110+AT116+AT117</f>
        <v>159.81300000000002</v>
      </c>
      <c r="AU118" s="840">
        <f>SUM(AQ118:AT118)</f>
        <v>548.21500000000003</v>
      </c>
      <c r="AV118" s="108">
        <f>AV110+AV116+AV117</f>
        <v>101.985</v>
      </c>
      <c r="AW118" s="108">
        <f t="shared" ref="AW118" si="210">AW110+AW116+AW117</f>
        <v>128.15799999999999</v>
      </c>
      <c r="AX118" s="108">
        <f t="shared" ref="AX118" si="211">AX110+AX116+AX117</f>
        <v>148.81</v>
      </c>
      <c r="AY118" s="108">
        <f t="shared" ref="AY118" si="212">AY110+AY116+AY117</f>
        <v>191.53600000000003</v>
      </c>
      <c r="AZ118" s="840">
        <f>SUM(AV118:AY118)</f>
        <v>570.48900000000003</v>
      </c>
      <c r="BA118" s="108">
        <f>BA110+BA116+BA117</f>
        <v>115.39699999999999</v>
      </c>
      <c r="BB118" s="108">
        <f>BB110+BB116+BB117</f>
        <v>148.16200000000001</v>
      </c>
      <c r="BC118" s="108">
        <f>BC110+BC116+BC117</f>
        <v>167.06700000000001</v>
      </c>
      <c r="BD118" s="108">
        <f>BD110+BD116+BD117</f>
        <v>196.62633333333335</v>
      </c>
      <c r="BE118" s="840">
        <f>SUM(BA118:BD118)</f>
        <v>627.25233333333335</v>
      </c>
      <c r="BF118" s="108">
        <f>BF110+BF116+BF117</f>
        <v>131.63900000000001</v>
      </c>
      <c r="BG118" s="108">
        <f>BG110+BG116+BG117</f>
        <v>165.28399999999999</v>
      </c>
      <c r="BH118" s="108">
        <f>BH110+BH116+BH117</f>
        <v>181.458</v>
      </c>
      <c r="BI118" s="108">
        <f>BI110+BI116+BI117</f>
        <v>192.74766666666667</v>
      </c>
      <c r="BJ118" s="840">
        <f>SUM(BF118:BI118)</f>
        <v>671.12866666666662</v>
      </c>
      <c r="BK118" s="108">
        <f>BK110+BK116+BK117</f>
        <v>170.102</v>
      </c>
      <c r="BL118" s="108">
        <f>BL110+BL116+BL117</f>
        <v>196.56199999999998</v>
      </c>
      <c r="BM118" s="108">
        <f>BM110+BM116+BM117</f>
        <v>207.69</v>
      </c>
      <c r="BN118" s="108">
        <f>BN110+BN116+BN117</f>
        <v>222.97799999999995</v>
      </c>
      <c r="BO118" s="840">
        <f>SUM(BK118:BN118)</f>
        <v>797.33199999999999</v>
      </c>
      <c r="BP118" s="911">
        <f>BP110+BP116+BP117</f>
        <v>183.85758736</v>
      </c>
      <c r="BQ118" s="911">
        <f>BQ110+BQ116+BQ117</f>
        <v>209.26724709999996</v>
      </c>
      <c r="BR118" s="911">
        <f>BR110+BR116+BR117</f>
        <v>224.02635200000003</v>
      </c>
      <c r="BS118" s="911">
        <f>BS110+BS116+BS117</f>
        <v>236.86830087999996</v>
      </c>
      <c r="BT118" s="843">
        <f>SUM(BP118:BS118)</f>
        <v>854.01948733999996</v>
      </c>
      <c r="BU118" s="911">
        <f>BU110+BU116+BU117</f>
        <v>197.41493453839999</v>
      </c>
      <c r="BV118" s="911">
        <f>BV110+BV116+BV117</f>
        <v>225.72302839120005</v>
      </c>
      <c r="BW118" s="911">
        <f>BW110+BW116+BW117</f>
        <v>241.3116810116</v>
      </c>
      <c r="BX118" s="911">
        <f>BX110+BX116+BX117</f>
        <v>255.313800184</v>
      </c>
      <c r="BY118" s="843">
        <f>SUM(BU118:BX118)</f>
        <v>919.76344412520007</v>
      </c>
    </row>
    <row r="119" spans="2:77" ht="11.1" hidden="1" customHeight="1" outlineLevel="1">
      <c r="B119" s="54"/>
      <c r="C119" s="149"/>
      <c r="D119" s="149"/>
      <c r="E119" s="149"/>
      <c r="F119" s="149"/>
      <c r="G119" s="251"/>
      <c r="H119" s="149"/>
      <c r="I119" s="149"/>
      <c r="J119" s="149"/>
      <c r="K119" s="149"/>
      <c r="L119" s="251"/>
      <c r="M119" s="150"/>
      <c r="N119" s="150"/>
      <c r="O119" s="150"/>
      <c r="P119" s="150"/>
      <c r="Q119" s="251"/>
      <c r="R119" s="150"/>
      <c r="S119" s="150"/>
      <c r="T119" s="150"/>
      <c r="U119" s="150"/>
      <c r="V119" s="251"/>
      <c r="W119" s="167"/>
      <c r="X119" s="149"/>
      <c r="Y119" s="167"/>
      <c r="Z119" s="150"/>
      <c r="AA119" s="251"/>
      <c r="AB119" s="167"/>
      <c r="AC119" s="178"/>
      <c r="AD119" s="178"/>
      <c r="AE119" s="178"/>
      <c r="AF119" s="251"/>
      <c r="AG119" s="178"/>
      <c r="AH119" s="178"/>
      <c r="AI119" s="178"/>
      <c r="AJ119" s="178"/>
      <c r="AK119" s="251"/>
      <c r="AL119" s="178"/>
      <c r="AM119" s="178"/>
      <c r="AN119" s="178"/>
      <c r="AO119" s="178"/>
      <c r="AP119" s="251"/>
      <c r="AQ119" s="178"/>
      <c r="AR119" s="178"/>
      <c r="AS119" s="178"/>
      <c r="AT119" s="178"/>
      <c r="AU119" s="251"/>
      <c r="AV119" s="178"/>
      <c r="AW119" s="178"/>
      <c r="AX119" s="178"/>
      <c r="AY119" s="395"/>
      <c r="AZ119" s="396"/>
      <c r="BA119" s="178"/>
      <c r="BB119" s="178"/>
      <c r="BC119" s="178"/>
      <c r="BD119" s="395"/>
      <c r="BE119" s="396"/>
      <c r="BF119" s="178"/>
      <c r="BG119" s="178"/>
      <c r="BH119" s="178"/>
      <c r="BI119" s="395"/>
      <c r="BJ119" s="396"/>
      <c r="BK119" s="178"/>
      <c r="BL119" s="178"/>
      <c r="BM119" s="178"/>
      <c r="BN119" s="395"/>
      <c r="BO119" s="396"/>
      <c r="BP119" s="925"/>
      <c r="BQ119" s="925"/>
      <c r="BR119" s="925"/>
      <c r="BS119" s="925"/>
      <c r="BT119" s="284"/>
      <c r="BU119" s="925"/>
      <c r="BV119" s="925"/>
      <c r="BW119" s="925"/>
      <c r="BX119" s="925"/>
      <c r="BY119" s="284"/>
    </row>
    <row r="120" spans="2:77" ht="12" customHeight="1" collapsed="1">
      <c r="B120" s="105" t="s">
        <v>303</v>
      </c>
      <c r="C120" s="59"/>
      <c r="D120" s="59"/>
      <c r="E120" s="155">
        <v>0.28799999999999998</v>
      </c>
      <c r="F120" s="155">
        <v>0.14399999999999999</v>
      </c>
      <c r="G120" s="248">
        <v>0.98</v>
      </c>
      <c r="H120" s="59">
        <v>0.112</v>
      </c>
      <c r="I120" s="59">
        <v>-2.3E-2</v>
      </c>
      <c r="J120" s="59">
        <v>-0.159</v>
      </c>
      <c r="K120" s="59">
        <v>0.435</v>
      </c>
      <c r="L120" s="248">
        <f>+SUM(H120:K120)</f>
        <v>0.36499999999999999</v>
      </c>
      <c r="M120" s="59">
        <v>0.48099999999999998</v>
      </c>
      <c r="N120" s="59">
        <v>-3.6999999999999998E-2</v>
      </c>
      <c r="O120" s="59">
        <v>0.161</v>
      </c>
      <c r="P120" s="59">
        <v>0.01</v>
      </c>
      <c r="Q120" s="248">
        <f>+SUM(M120:P120)</f>
        <v>0.61499999999999999</v>
      </c>
      <c r="R120" s="59">
        <v>0.23400000000000001</v>
      </c>
      <c r="S120" s="59">
        <v>0.10100000000000001</v>
      </c>
      <c r="T120" s="59">
        <v>0.48299999999999998</v>
      </c>
      <c r="U120" s="59">
        <v>0.29299999999999998</v>
      </c>
      <c r="V120" s="248">
        <f>+SUM(R120:U120)</f>
        <v>1.111</v>
      </c>
      <c r="W120" s="144">
        <v>3.847</v>
      </c>
      <c r="X120" s="59">
        <v>3.7290000000000001</v>
      </c>
      <c r="Y120" s="144">
        <v>4.4569999999999999</v>
      </c>
      <c r="Z120" s="59">
        <v>4</v>
      </c>
      <c r="AA120" s="248">
        <f>+SUM(W120:Z120)</f>
        <v>16.033000000000001</v>
      </c>
      <c r="AB120" s="144">
        <v>4.6829999999999998</v>
      </c>
      <c r="AC120" s="144">
        <v>3.9710000000000001</v>
      </c>
      <c r="AD120" s="144">
        <v>3.843</v>
      </c>
      <c r="AE120" s="144">
        <v>4.0990000000000002</v>
      </c>
      <c r="AF120" s="248">
        <f>+SUM(AB120:AE120)</f>
        <v>16.596</v>
      </c>
      <c r="AG120" s="144">
        <v>5.4779999999999998</v>
      </c>
      <c r="AH120" s="144">
        <v>5.8710000000000004</v>
      </c>
      <c r="AI120" s="144">
        <v>6.3550000000000004</v>
      </c>
      <c r="AJ120" s="144">
        <v>6.1520000000000001</v>
      </c>
      <c r="AK120" s="248">
        <f>+SUM(AG120:AJ120)</f>
        <v>23.856000000000002</v>
      </c>
      <c r="AL120" s="144">
        <v>5.532</v>
      </c>
      <c r="AM120" s="144">
        <f>-4.105+10</f>
        <v>5.8949999999999996</v>
      </c>
      <c r="AN120" s="144">
        <v>5.4169999999999998</v>
      </c>
      <c r="AO120" s="144">
        <v>2.9039999999999999</v>
      </c>
      <c r="AP120" s="248">
        <f>+SUM(AL120:AO120)</f>
        <v>19.748000000000001</v>
      </c>
      <c r="AQ120" s="144">
        <v>4.843</v>
      </c>
      <c r="AR120" s="144">
        <v>0.44</v>
      </c>
      <c r="AS120" s="144">
        <v>3.6269999999999998</v>
      </c>
      <c r="AT120" s="144">
        <v>3.157</v>
      </c>
      <c r="AU120" s="248">
        <f>+SUM(AQ120:AT120)</f>
        <v>12.067</v>
      </c>
      <c r="AV120" s="144">
        <v>2.9969999999999999</v>
      </c>
      <c r="AW120" s="144">
        <v>4.5549999999999997</v>
      </c>
      <c r="AX120" s="144">
        <v>3.746</v>
      </c>
      <c r="AY120" s="144">
        <v>1.4339999999999999</v>
      </c>
      <c r="AZ120" s="248">
        <f>+SUM(AV120:AY120)</f>
        <v>12.731999999999999</v>
      </c>
      <c r="BA120" s="144">
        <v>7.7670000000000003</v>
      </c>
      <c r="BB120" s="144">
        <v>7.9539999999999997</v>
      </c>
      <c r="BC120" s="144">
        <v>7.0229999999999997</v>
      </c>
      <c r="BD120" s="144">
        <v>7.117</v>
      </c>
      <c r="BE120" s="248">
        <f>+SUM(BA120:BD120)</f>
        <v>29.861000000000001</v>
      </c>
      <c r="BF120" s="984">
        <v>9.6080000000000005</v>
      </c>
      <c r="BG120" s="984">
        <v>8.56</v>
      </c>
      <c r="BH120" s="984">
        <v>10.125999999999999</v>
      </c>
      <c r="BI120" s="984">
        <v>10.034000000000001</v>
      </c>
      <c r="BJ120" s="248">
        <f>+SUM(BF120:BI120)</f>
        <v>38.327999999999996</v>
      </c>
      <c r="BK120" s="984">
        <v>6.03</v>
      </c>
      <c r="BL120" s="984">
        <v>10.981999999999999</v>
      </c>
      <c r="BM120" s="984">
        <v>5.3860000000000001</v>
      </c>
      <c r="BN120" s="984">
        <v>7.2389999999999999</v>
      </c>
      <c r="BO120" s="248">
        <f>+SUM(BK120:BN120)</f>
        <v>29.637</v>
      </c>
      <c r="BP120" s="922">
        <v>8.375</v>
      </c>
      <c r="BQ120" s="922">
        <v>8.375</v>
      </c>
      <c r="BR120" s="922">
        <v>8.375</v>
      </c>
      <c r="BS120" s="922">
        <v>8.375</v>
      </c>
      <c r="BT120" s="281">
        <f>+SUM(BP120:BS120)</f>
        <v>33.5</v>
      </c>
      <c r="BU120" s="922">
        <v>8</v>
      </c>
      <c r="BV120" s="922">
        <v>8</v>
      </c>
      <c r="BW120" s="922">
        <v>8</v>
      </c>
      <c r="BX120" s="922">
        <v>8</v>
      </c>
      <c r="BY120" s="281">
        <f>+SUM(BU120:BX120)</f>
        <v>32</v>
      </c>
    </row>
    <row r="121" spans="2:77" ht="12.6" customHeight="1">
      <c r="B121" s="105" t="s">
        <v>304</v>
      </c>
      <c r="C121" s="59"/>
      <c r="D121" s="59"/>
      <c r="E121" s="59">
        <v>-9.6999999999999993</v>
      </c>
      <c r="F121" s="59">
        <v>-9.4</v>
      </c>
      <c r="G121" s="248">
        <v>-37.052999999999997</v>
      </c>
      <c r="H121" s="59">
        <v>-9.0549999999999997</v>
      </c>
      <c r="I121" s="59">
        <v>-8.9860000000000007</v>
      </c>
      <c r="J121" s="59">
        <v>-9.0129999999999999</v>
      </c>
      <c r="K121" s="59">
        <v>-8.74</v>
      </c>
      <c r="L121" s="248">
        <f>SUM(H121:K121)</f>
        <v>-35.794000000000004</v>
      </c>
      <c r="M121" s="59">
        <v>-8.9960000000000004</v>
      </c>
      <c r="N121" s="59">
        <v>-8.9849999999999994</v>
      </c>
      <c r="O121" s="59">
        <v>-8.9719999999999995</v>
      </c>
      <c r="P121" s="59">
        <v>-9.0850000000000009</v>
      </c>
      <c r="Q121" s="248">
        <f>SUM(M121:P121)</f>
        <v>-36.038000000000004</v>
      </c>
      <c r="R121" s="59">
        <v>-9.9329999999999998</v>
      </c>
      <c r="S121" s="59">
        <v>-10.273</v>
      </c>
      <c r="T121" s="59">
        <v>-10.488</v>
      </c>
      <c r="U121" s="59">
        <v>-10.554</v>
      </c>
      <c r="V121" s="248">
        <f>SUM(R121:U121)</f>
        <v>-41.247999999999998</v>
      </c>
      <c r="W121" s="59">
        <v>-9.6769999999999996</v>
      </c>
      <c r="X121" s="59">
        <v>-10.75</v>
      </c>
      <c r="Y121" s="144">
        <v>-10.457000000000001</v>
      </c>
      <c r="Z121" s="59">
        <v>-9.9</v>
      </c>
      <c r="AA121" s="248">
        <f>SUM(W121:Z121)</f>
        <v>-40.783999999999999</v>
      </c>
      <c r="AB121" s="144">
        <v>-8.2040000000000006</v>
      </c>
      <c r="AC121" s="144">
        <v>-9.5660000000000007</v>
      </c>
      <c r="AD121" s="144">
        <v>-7.9489999999999998</v>
      </c>
      <c r="AE121" s="144">
        <v>-8.2639999999999993</v>
      </c>
      <c r="AF121" s="248">
        <f>SUM(AB121:AE121)</f>
        <v>-33.983000000000004</v>
      </c>
      <c r="AG121" s="144">
        <v>-7.2720000000000002</v>
      </c>
      <c r="AH121" s="144">
        <v>-7.96</v>
      </c>
      <c r="AI121" s="144">
        <v>-7.9509999999999996</v>
      </c>
      <c r="AJ121" s="144">
        <v>-8.1639999999999997</v>
      </c>
      <c r="AK121" s="248">
        <f>SUM(AG121:AJ121)</f>
        <v>-31.347000000000001</v>
      </c>
      <c r="AL121" s="144">
        <v>-7.4889999999999999</v>
      </c>
      <c r="AM121" s="144">
        <v>-8.5150000000000006</v>
      </c>
      <c r="AN121" s="144">
        <v>-9.0549999999999997</v>
      </c>
      <c r="AO121" s="144">
        <v>-10.486000000000001</v>
      </c>
      <c r="AP121" s="248">
        <f>SUM(AL121:AO121)</f>
        <v>-35.545000000000002</v>
      </c>
      <c r="AQ121" s="144">
        <v>-9.9589999999999996</v>
      </c>
      <c r="AR121" s="144">
        <v>-10.18</v>
      </c>
      <c r="AS121" s="144">
        <v>-9.9550000000000001</v>
      </c>
      <c r="AT121" s="144">
        <v>-10.146000000000001</v>
      </c>
      <c r="AU121" s="248">
        <f>SUM(AQ121:AT121)</f>
        <v>-40.24</v>
      </c>
      <c r="AV121" s="144">
        <v>-9.5299999999999994</v>
      </c>
      <c r="AW121" s="144">
        <v>-9.7880000000000003</v>
      </c>
      <c r="AX121" s="144">
        <v>-13.997</v>
      </c>
      <c r="AY121" s="144">
        <v>-13.664999999999999</v>
      </c>
      <c r="AZ121" s="248">
        <f>SUM(AV121:AY121)</f>
        <v>-46.98</v>
      </c>
      <c r="BA121" s="144">
        <v>-12.944000000000001</v>
      </c>
      <c r="BB121" s="144">
        <v>-14.992000000000001</v>
      </c>
      <c r="BC121" s="144">
        <v>-12.496</v>
      </c>
      <c r="BD121" s="144">
        <v>-10.961</v>
      </c>
      <c r="BE121" s="248">
        <f>SUM(BA121:BD121)</f>
        <v>-51.393000000000001</v>
      </c>
      <c r="BF121" s="984">
        <v>-10.57</v>
      </c>
      <c r="BG121" s="984">
        <v>-11.215999999999999</v>
      </c>
      <c r="BH121" s="984">
        <v>-11.407999999999999</v>
      </c>
      <c r="BI121" s="984">
        <v>-11.675000000000001</v>
      </c>
      <c r="BJ121" s="248">
        <f>SUM(BF121:BI121)</f>
        <v>-44.869</v>
      </c>
      <c r="BK121" s="984">
        <v>-10.143000000000001</v>
      </c>
      <c r="BL121" s="984">
        <v>-10.523999999999999</v>
      </c>
      <c r="BM121" s="984">
        <v>-10.484</v>
      </c>
      <c r="BN121" s="984">
        <v>-11.997</v>
      </c>
      <c r="BO121" s="248">
        <f>SUM(BK121:BN121)</f>
        <v>-43.148000000000003</v>
      </c>
      <c r="BP121" s="922">
        <f>-41.5/4</f>
        <v>-10.375</v>
      </c>
      <c r="BQ121" s="922">
        <f t="shared" ref="BQ121:BS121" si="213">-41.5/4</f>
        <v>-10.375</v>
      </c>
      <c r="BR121" s="922">
        <f t="shared" si="213"/>
        <v>-10.375</v>
      </c>
      <c r="BS121" s="922">
        <f t="shared" si="213"/>
        <v>-10.375</v>
      </c>
      <c r="BT121" s="281">
        <f>SUM(BP121:BS121)</f>
        <v>-41.5</v>
      </c>
      <c r="BU121" s="922">
        <f>BS121</f>
        <v>-10.375</v>
      </c>
      <c r="BV121" s="922">
        <f>BU121</f>
        <v>-10.375</v>
      </c>
      <c r="BW121" s="922">
        <f t="shared" ref="BW121:BX121" si="214">BV121</f>
        <v>-10.375</v>
      </c>
      <c r="BX121" s="922">
        <f t="shared" si="214"/>
        <v>-10.375</v>
      </c>
      <c r="BY121" s="281">
        <f>SUM(BU121:BX121)</f>
        <v>-41.5</v>
      </c>
    </row>
    <row r="122" spans="2:77" ht="6" customHeight="1">
      <c r="B122" s="51"/>
      <c r="C122" s="34"/>
      <c r="D122" s="34"/>
      <c r="E122" s="34"/>
      <c r="F122" s="34"/>
      <c r="G122" s="244"/>
      <c r="H122" s="34"/>
      <c r="I122" s="34"/>
      <c r="J122" s="34"/>
      <c r="K122" s="34"/>
      <c r="L122" s="244"/>
      <c r="M122" s="37"/>
      <c r="N122" s="34"/>
      <c r="O122" s="34"/>
      <c r="P122" s="34"/>
      <c r="Q122" s="244"/>
      <c r="R122" s="37"/>
      <c r="S122" s="34"/>
      <c r="T122" s="34"/>
      <c r="U122" s="34"/>
      <c r="V122" s="244"/>
      <c r="W122" s="34"/>
      <c r="X122" s="34"/>
      <c r="Y122" s="34"/>
      <c r="Z122" s="34"/>
      <c r="AA122" s="244"/>
      <c r="AB122" s="165"/>
      <c r="AC122" s="165"/>
      <c r="AD122" s="165"/>
      <c r="AE122" s="165"/>
      <c r="AF122" s="244"/>
      <c r="AG122" s="165"/>
      <c r="AH122" s="165"/>
      <c r="AI122" s="165"/>
      <c r="AJ122" s="165"/>
      <c r="AK122" s="244"/>
      <c r="AL122" s="165"/>
      <c r="AM122" s="165"/>
      <c r="AN122" s="165"/>
      <c r="AO122" s="165"/>
      <c r="AP122" s="244"/>
      <c r="AQ122" s="165"/>
      <c r="AR122" s="165"/>
      <c r="AS122" s="165"/>
      <c r="AT122" s="165"/>
      <c r="AU122" s="244"/>
      <c r="AV122" s="165"/>
      <c r="AW122" s="165"/>
      <c r="AX122" s="165"/>
      <c r="AY122" s="165"/>
      <c r="AZ122" s="244"/>
      <c r="BA122" s="165"/>
      <c r="BB122" s="165"/>
      <c r="BC122" s="165"/>
      <c r="BD122" s="165"/>
      <c r="BE122" s="244"/>
      <c r="BF122" s="165"/>
      <c r="BG122" s="165"/>
      <c r="BH122" s="165"/>
      <c r="BI122" s="165"/>
      <c r="BJ122" s="244"/>
      <c r="BK122" s="165"/>
      <c r="BL122" s="165"/>
      <c r="BM122" s="165"/>
      <c r="BN122" s="165"/>
      <c r="BO122" s="244"/>
      <c r="BP122" s="165"/>
      <c r="BQ122" s="165"/>
      <c r="BR122" s="165"/>
      <c r="BS122" s="165"/>
      <c r="BT122" s="285"/>
      <c r="BU122" s="165"/>
      <c r="BV122" s="165"/>
      <c r="BW122" s="165"/>
      <c r="BX122" s="165"/>
      <c r="BY122" s="285"/>
    </row>
    <row r="123" spans="2:77" s="4" customFormat="1" ht="12" customHeight="1">
      <c r="B123" s="49" t="s">
        <v>305</v>
      </c>
      <c r="C123" s="76">
        <v>40.700000000000003</v>
      </c>
      <c r="D123" s="76">
        <v>58.999999999999993</v>
      </c>
      <c r="E123" s="76">
        <v>56.388000000000012</v>
      </c>
      <c r="F123" s="76">
        <v>62.244</v>
      </c>
      <c r="G123" s="249">
        <v>201.02699999999999</v>
      </c>
      <c r="H123" s="76">
        <v>52.091000000000008</v>
      </c>
      <c r="I123" s="161">
        <v>63.149999999999991</v>
      </c>
      <c r="J123" s="76">
        <v>65.076999999999998</v>
      </c>
      <c r="K123" s="162">
        <v>66.626000000000005</v>
      </c>
      <c r="L123" s="827">
        <v>246.94399999999999</v>
      </c>
      <c r="M123" s="76">
        <v>64.320000000000007</v>
      </c>
      <c r="N123" s="76">
        <v>56.419999999999995</v>
      </c>
      <c r="O123" s="76">
        <v>55.002000000000002</v>
      </c>
      <c r="P123" s="161">
        <v>99.451999999999984</v>
      </c>
      <c r="Q123" s="249">
        <v>275.1939999999999</v>
      </c>
      <c r="R123" s="76">
        <v>47.564</v>
      </c>
      <c r="S123" s="76">
        <v>57.917000000000016</v>
      </c>
      <c r="T123" s="76">
        <v>66.567999999999998</v>
      </c>
      <c r="U123" s="76">
        <v>95.912000000000006</v>
      </c>
      <c r="V123" s="249">
        <v>267.96100000000001</v>
      </c>
      <c r="W123" s="76">
        <v>46.305749999999996</v>
      </c>
      <c r="X123" s="62">
        <v>77.868749999999991</v>
      </c>
      <c r="Y123" s="62">
        <v>86.299749999999989</v>
      </c>
      <c r="Z123" s="76">
        <v>99.365749999999991</v>
      </c>
      <c r="AA123" s="249">
        <v>309.84000000000003</v>
      </c>
      <c r="AB123" s="145">
        <f>+AB110+SUM(AB120:AB121)</f>
        <v>60.977000000000004</v>
      </c>
      <c r="AC123" s="145">
        <f t="shared" ref="AC123:AE123" si="215">+AC110+SUM(AC120:AC121)</f>
        <v>103.48</v>
      </c>
      <c r="AD123" s="145">
        <f t="shared" si="215"/>
        <v>94.191000000000017</v>
      </c>
      <c r="AE123" s="145">
        <f t="shared" si="215"/>
        <v>106.24000000000001</v>
      </c>
      <c r="AF123" s="249">
        <f>SUM(AB123:AE123)</f>
        <v>364.88800000000003</v>
      </c>
      <c r="AG123" s="145">
        <f>+AG110+SUM(AG120:AG121)</f>
        <v>67.573121884654796</v>
      </c>
      <c r="AH123" s="145">
        <f t="shared" ref="AH123:AJ123" si="216">+AH110+SUM(AH120:AH121)</f>
        <v>100.44140415414219</v>
      </c>
      <c r="AI123" s="145">
        <f t="shared" si="216"/>
        <v>99.64700103411549</v>
      </c>
      <c r="AJ123" s="145">
        <f t="shared" si="216"/>
        <v>114.2361922338348</v>
      </c>
      <c r="AK123" s="249">
        <f>SUM(AG123:AJ123)</f>
        <v>381.89771930674726</v>
      </c>
      <c r="AL123" s="145">
        <f>+AL110+SUM(AL120:AL121)</f>
        <v>74.986461235102198</v>
      </c>
      <c r="AM123" s="145">
        <f t="shared" ref="AM123:AO123" si="217">+AM110+SUM(AM120:AM121)</f>
        <v>73.934131142467592</v>
      </c>
      <c r="AN123" s="145">
        <f t="shared" si="217"/>
        <v>92.170612648561828</v>
      </c>
      <c r="AO123" s="145">
        <f t="shared" si="217"/>
        <v>118.60598710701902</v>
      </c>
      <c r="AP123" s="249">
        <f>SUM(AL123:AO123)</f>
        <v>359.69719213315062</v>
      </c>
      <c r="AQ123" s="145">
        <f>+AQ110+SUM(AQ120:AQ121)</f>
        <v>83.64500000000001</v>
      </c>
      <c r="AR123" s="145">
        <f t="shared" ref="AR123:AT123" si="218">+AR110+SUM(AR120:AR121)</f>
        <v>85.3</v>
      </c>
      <c r="AS123" s="145">
        <f t="shared" si="218"/>
        <v>101.172</v>
      </c>
      <c r="AT123" s="145">
        <f t="shared" si="218"/>
        <v>122.09100000000001</v>
      </c>
      <c r="AU123" s="249">
        <f>SUM(AQ123:AT123)</f>
        <v>392.20799999999997</v>
      </c>
      <c r="AV123" s="145">
        <f>+AV110+SUM(AV120:AV121)</f>
        <v>64.28</v>
      </c>
      <c r="AW123" s="145">
        <f>+AW110+SUM(AW120:AW121)</f>
        <v>92.871999999999986</v>
      </c>
      <c r="AX123" s="145">
        <f t="shared" ref="AX123:AY123" si="219">+AX110+SUM(AX120:AX121)</f>
        <v>104.23699999999999</v>
      </c>
      <c r="AY123" s="145">
        <f t="shared" si="219"/>
        <v>147.44100000000003</v>
      </c>
      <c r="AZ123" s="249">
        <f>SUM(AV123:AY123)</f>
        <v>408.83000000000004</v>
      </c>
      <c r="BA123" s="145">
        <f>+BA110+SUM(BA120:BA121)</f>
        <v>76.11399999999999</v>
      </c>
      <c r="BB123" s="145">
        <f>+BB110+SUM(BB120:BB121)</f>
        <v>108.396</v>
      </c>
      <c r="BC123" s="990">
        <f>+BC110+SUM(BC120:BC121)</f>
        <v>128.37899999999999</v>
      </c>
      <c r="BD123" s="145">
        <f>+BD110+SUM(BD120:BD121)</f>
        <v>159.37800000000001</v>
      </c>
      <c r="BE123" s="249">
        <f>SUM(BA123:BD123)</f>
        <v>472.26700000000005</v>
      </c>
      <c r="BF123" s="145">
        <f>+BF110+SUM(BF120:BF121)</f>
        <v>98.998999999999995</v>
      </c>
      <c r="BG123" s="145">
        <f>+BG110+SUM(BG120:BG121)</f>
        <v>130.68899999999999</v>
      </c>
      <c r="BH123" s="145">
        <f>+BH110+SUM(BH120:BH121)</f>
        <v>147.785</v>
      </c>
      <c r="BI123" s="145">
        <f>+BI110+SUM(BI120:BI121)</f>
        <v>159.05200000000002</v>
      </c>
      <c r="BJ123" s="249">
        <f>SUM(BF123:BI123)</f>
        <v>536.52499999999998</v>
      </c>
      <c r="BK123" s="145">
        <f>+BK110+SUM(BK120:BK121)</f>
        <v>129.89700000000002</v>
      </c>
      <c r="BL123" s="145">
        <f>+BL110+SUM(BL120:BL121)</f>
        <v>160.5</v>
      </c>
      <c r="BM123" s="145">
        <f>+BM110+SUM(BM120:BM121)</f>
        <v>165.27499999999998</v>
      </c>
      <c r="BN123" s="145">
        <f>+BN110+SUM(BN120:BN121)</f>
        <v>181.81199999999995</v>
      </c>
      <c r="BO123" s="249">
        <f>SUM(BK123:BN123)</f>
        <v>637.48399999999992</v>
      </c>
      <c r="BP123" s="923">
        <f>+BP110+SUM(BP120:BP121)</f>
        <v>146.82303736</v>
      </c>
      <c r="BQ123" s="923">
        <f>+BQ110+SUM(BQ120:BQ121)</f>
        <v>172.29359709999997</v>
      </c>
      <c r="BR123" s="923">
        <f>+BR110+SUM(BR120:BR121)</f>
        <v>186.09405200000003</v>
      </c>
      <c r="BS123" s="923">
        <f>+BS110+SUM(BS120:BS121)</f>
        <v>200.21280087999997</v>
      </c>
      <c r="BT123" s="282">
        <f>SUM(BP123:BS123)</f>
        <v>705.42348734000007</v>
      </c>
      <c r="BU123" s="923">
        <f>+BU110+SUM(BU120:BU121)</f>
        <v>159.7286570384</v>
      </c>
      <c r="BV123" s="923">
        <f>+BV110+SUM(BV120:BV121)</f>
        <v>188.10069589120005</v>
      </c>
      <c r="BW123" s="923">
        <f>+BW110+SUM(BW120:BW121)</f>
        <v>202.68276601159999</v>
      </c>
      <c r="BX123" s="923">
        <f>+BX110+SUM(BX120:BX121)</f>
        <v>218.025525184</v>
      </c>
      <c r="BY123" s="282">
        <f>SUM(BU123:BX123)</f>
        <v>768.53764412520002</v>
      </c>
    </row>
    <row r="124" spans="2:77" ht="12" customHeight="1">
      <c r="B124" s="105" t="s">
        <v>306</v>
      </c>
      <c r="C124" s="60"/>
      <c r="D124" s="60"/>
      <c r="E124" s="60">
        <v>18.3</v>
      </c>
      <c r="F124" s="60">
        <v>17.600000000000001</v>
      </c>
      <c r="G124" s="252">
        <v>61.646000000000001</v>
      </c>
      <c r="H124" s="60">
        <v>15.661</v>
      </c>
      <c r="I124" s="60">
        <v>20.140999999999998</v>
      </c>
      <c r="J124" s="60">
        <v>20.699000000000002</v>
      </c>
      <c r="K124" s="60">
        <v>20.494</v>
      </c>
      <c r="L124" s="252">
        <f>SUM(H124:K124)</f>
        <v>76.995000000000005</v>
      </c>
      <c r="M124" s="60">
        <v>21.097000000000001</v>
      </c>
      <c r="N124" s="60">
        <v>16.298999999999999</v>
      </c>
      <c r="O124" s="60">
        <v>16.86</v>
      </c>
      <c r="P124" s="60">
        <v>28.69</v>
      </c>
      <c r="Q124" s="252">
        <f>SUM(M124:P124)</f>
        <v>82.945999999999998</v>
      </c>
      <c r="R124" s="60">
        <v>14.744999999999999</v>
      </c>
      <c r="S124" s="60">
        <v>17.954000000000001</v>
      </c>
      <c r="T124" s="60">
        <v>20.635999999999999</v>
      </c>
      <c r="U124" s="60">
        <v>25.244</v>
      </c>
      <c r="V124" s="252">
        <f>SUM(R124:U124)</f>
        <v>78.578999999999994</v>
      </c>
      <c r="W124" s="60">
        <v>10</v>
      </c>
      <c r="X124" s="60">
        <f>22.061+1.6</f>
        <v>23.661000000000001</v>
      </c>
      <c r="Y124" s="60">
        <f>22.47</f>
        <v>22.47</v>
      </c>
      <c r="Z124" s="60">
        <f>31.582</f>
        <v>31.582000000000001</v>
      </c>
      <c r="AA124" s="252">
        <f>SUM(W124:Z124)</f>
        <v>87.712999999999994</v>
      </c>
      <c r="AB124" s="168">
        <v>17.334</v>
      </c>
      <c r="AC124" s="168">
        <f>21.693+1.6</f>
        <v>23.293000000000003</v>
      </c>
      <c r="AD124" s="168">
        <f>18.458+0.35</f>
        <v>18.808</v>
      </c>
      <c r="AE124" s="168">
        <f>23.005+0.1</f>
        <v>23.105</v>
      </c>
      <c r="AF124" s="252">
        <f>SUM(AB124:AE124)</f>
        <v>82.54</v>
      </c>
      <c r="AG124" s="168">
        <f>14.658+0.1</f>
        <v>14.757999999999999</v>
      </c>
      <c r="AH124" s="168">
        <f>23.524+0.5</f>
        <v>24.024000000000001</v>
      </c>
      <c r="AI124" s="168">
        <f>21.463+0.3</f>
        <v>21.763000000000002</v>
      </c>
      <c r="AJ124" s="168">
        <f>29.234+(2+0.5-1.9)</f>
        <v>29.834000000000003</v>
      </c>
      <c r="AK124" s="252">
        <f>SUM(AG124:AJ124)</f>
        <v>90.379000000000005</v>
      </c>
      <c r="AL124" s="168">
        <f>18.728+2.15-1</f>
        <v>19.878</v>
      </c>
      <c r="AM124" s="168">
        <f>11.711-0.8+9.9-0.5</f>
        <v>20.311</v>
      </c>
      <c r="AN124" s="168">
        <f>16.315+(15.3-12.8)-0.7</f>
        <v>18.115000000000002</v>
      </c>
      <c r="AO124" s="168">
        <f>26-(0.04*AO140)</f>
        <v>24.3416</v>
      </c>
      <c r="AP124" s="248">
        <f>SUM(AL124:AO124)</f>
        <v>82.645600000000002</v>
      </c>
      <c r="AQ124" s="168">
        <f>20.481+(3.7-2.8)</f>
        <v>21.381</v>
      </c>
      <c r="AR124" s="168">
        <f>23.435-2.5+0.4</f>
        <v>21.334999999999997</v>
      </c>
      <c r="AS124" s="168">
        <f>21.638+(9.9-7.1)-0.1</f>
        <v>24.338000000000001</v>
      </c>
      <c r="AT124" s="168">
        <f>21.797+(2.54-2.4)*AT140</f>
        <v>27.330360000000006</v>
      </c>
      <c r="AU124" s="248">
        <f>SUM(AQ124:AT124)</f>
        <v>94.384360000000015</v>
      </c>
      <c r="AV124" s="168">
        <f>13.292+0.3-0.051</f>
        <v>13.541</v>
      </c>
      <c r="AW124" s="168">
        <f>22</f>
        <v>22</v>
      </c>
      <c r="AX124" s="168">
        <f>23.564+(6.9-6.2)</f>
        <v>24.263999999999999</v>
      </c>
      <c r="AY124" s="168">
        <f>35.991+(2.89-2.92)*AT140</f>
        <v>34.80528000000001</v>
      </c>
      <c r="AZ124" s="248">
        <f>SUM(AV124:AY124)</f>
        <v>94.610280000000003</v>
      </c>
      <c r="BA124" s="168">
        <f>16.592+0.05</f>
        <v>16.641999999999999</v>
      </c>
      <c r="BB124" s="168">
        <v>24.738</v>
      </c>
      <c r="BC124" s="168">
        <f>30.268</f>
        <v>30.268000000000001</v>
      </c>
      <c r="BD124" s="168">
        <v>36.963000000000001</v>
      </c>
      <c r="BE124" s="248">
        <f>SUM(BA124:BD124)</f>
        <v>108.61099999999999</v>
      </c>
      <c r="BF124" s="168">
        <v>22.504000000000001</v>
      </c>
      <c r="BG124" s="168">
        <v>26.77</v>
      </c>
      <c r="BH124" s="168">
        <v>32.460999999999999</v>
      </c>
      <c r="BI124" s="168">
        <v>35.343000000000004</v>
      </c>
      <c r="BJ124" s="248">
        <f>SUM(BF124:BI124)</f>
        <v>117.078</v>
      </c>
      <c r="BK124" s="168">
        <v>23.754999999999999</v>
      </c>
      <c r="BL124" s="168">
        <v>35.704000000000001</v>
      </c>
      <c r="BM124" s="168">
        <v>36.320999999999998</v>
      </c>
      <c r="BN124" s="168">
        <v>40.002000000000002</v>
      </c>
      <c r="BO124" s="248">
        <f>SUM(BK124:BN124)</f>
        <v>135.78200000000001</v>
      </c>
      <c r="BP124" s="267">
        <f>BP123*BP125</f>
        <v>22.023455603999999</v>
      </c>
      <c r="BQ124" s="267">
        <f>BQ123*BQ125</f>
        <v>39.627527332999996</v>
      </c>
      <c r="BR124" s="267">
        <f>BR123*BR125</f>
        <v>42.801631960000009</v>
      </c>
      <c r="BS124" s="267">
        <f>BS123*BS125</f>
        <v>47.050008206799994</v>
      </c>
      <c r="BT124" s="281">
        <f>SUM(BP124:BS124)</f>
        <v>151.5026231038</v>
      </c>
      <c r="BU124" s="267">
        <f>BU123*BU125</f>
        <v>23.95929855576</v>
      </c>
      <c r="BV124" s="267">
        <f>BV123*BV125</f>
        <v>43.263160054976012</v>
      </c>
      <c r="BW124" s="267">
        <f>BW123*BW125</f>
        <v>46.617036182668002</v>
      </c>
      <c r="BX124" s="267">
        <f>BX123*BX125</f>
        <v>51.235998418240001</v>
      </c>
      <c r="BY124" s="281">
        <f>SUM(BU124:BX124)</f>
        <v>165.07549321164402</v>
      </c>
    </row>
    <row r="125" spans="2:77" s="852" customFormat="1" ht="12" customHeight="1">
      <c r="B125" s="51" t="s">
        <v>307</v>
      </c>
      <c r="C125" s="42">
        <f>C124/C123</f>
        <v>0</v>
      </c>
      <c r="D125" s="42">
        <f>D124/D123</f>
        <v>0</v>
      </c>
      <c r="E125" s="42">
        <f>E124/E123</f>
        <v>0.32453713556075753</v>
      </c>
      <c r="F125" s="42">
        <f>F124/F123</f>
        <v>0.28275817749501964</v>
      </c>
      <c r="G125" s="236">
        <f>G124/G123</f>
        <v>0.30665532490660463</v>
      </c>
      <c r="H125" s="42">
        <f t="shared" ref="H125:N125" si="220">H124/H123</f>
        <v>0.30064694476972986</v>
      </c>
      <c r="I125" s="42">
        <f t="shared" si="220"/>
        <v>0.31893903404592244</v>
      </c>
      <c r="J125" s="42">
        <f t="shared" si="220"/>
        <v>0.31806936398420338</v>
      </c>
      <c r="K125" s="42">
        <f t="shared" si="220"/>
        <v>0.30759763455707978</v>
      </c>
      <c r="L125" s="236">
        <f t="shared" si="220"/>
        <v>0.31179133730724379</v>
      </c>
      <c r="M125" s="42">
        <f t="shared" si="220"/>
        <v>0.32800062189054724</v>
      </c>
      <c r="N125" s="42">
        <f t="shared" si="220"/>
        <v>0.28888691953208084</v>
      </c>
      <c r="O125" s="42">
        <f t="shared" ref="O125:X125" si="221">O124/O123</f>
        <v>0.30653430784335112</v>
      </c>
      <c r="P125" s="42">
        <f t="shared" si="221"/>
        <v>0.28848087519607457</v>
      </c>
      <c r="Q125" s="236">
        <f t="shared" si="221"/>
        <v>0.30140918770031333</v>
      </c>
      <c r="R125" s="42">
        <f t="shared" si="221"/>
        <v>0.31000336388865529</v>
      </c>
      <c r="S125" s="42">
        <f t="shared" si="221"/>
        <v>0.30999533815632707</v>
      </c>
      <c r="T125" s="42">
        <f t="shared" si="221"/>
        <v>0.30999879822136761</v>
      </c>
      <c r="U125" s="42">
        <f t="shared" si="221"/>
        <v>0.26319959963299688</v>
      </c>
      <c r="V125" s="236">
        <f>V124/V123</f>
        <v>0.29324789801500961</v>
      </c>
      <c r="W125" s="42">
        <f t="shared" si="221"/>
        <v>0.21595590180485147</v>
      </c>
      <c r="X125" s="42">
        <f t="shared" si="221"/>
        <v>0.30385745244401641</v>
      </c>
      <c r="Y125" s="42">
        <f t="shared" ref="Y125:AY125" si="222">Y124/Y123</f>
        <v>0.26037155379940269</v>
      </c>
      <c r="Z125" s="42">
        <f t="shared" si="222"/>
        <v>0.31783587403104191</v>
      </c>
      <c r="AA125" s="236">
        <f t="shared" si="222"/>
        <v>0.28309127291505287</v>
      </c>
      <c r="AB125" s="10">
        <f t="shared" si="222"/>
        <v>0.28427111861849547</v>
      </c>
      <c r="AC125" s="10">
        <f t="shared" si="222"/>
        <v>0.22509663703131041</v>
      </c>
      <c r="AD125" s="10">
        <f t="shared" si="222"/>
        <v>0.19967937488719725</v>
      </c>
      <c r="AE125" s="10">
        <f t="shared" si="222"/>
        <v>0.21747929216867468</v>
      </c>
      <c r="AF125" s="236">
        <f t="shared" si="222"/>
        <v>0.22620639757953126</v>
      </c>
      <c r="AG125" s="10">
        <f t="shared" si="222"/>
        <v>0.21840044663307762</v>
      </c>
      <c r="AH125" s="10">
        <f t="shared" si="222"/>
        <v>0.23918423086889168</v>
      </c>
      <c r="AI125" s="10">
        <f t="shared" si="222"/>
        <v>0.21840095310594593</v>
      </c>
      <c r="AJ125" s="10">
        <f t="shared" si="222"/>
        <v>0.26116066560527113</v>
      </c>
      <c r="AK125" s="236">
        <f>AK124/AK123</f>
        <v>0.23665760603143568</v>
      </c>
      <c r="AL125" s="10">
        <f t="shared" si="222"/>
        <v>0.26508785282822273</v>
      </c>
      <c r="AM125" s="10">
        <f t="shared" si="222"/>
        <v>0.27471750443461163</v>
      </c>
      <c r="AN125" s="10">
        <f t="shared" si="222"/>
        <v>0.19653769763981987</v>
      </c>
      <c r="AO125" s="10">
        <f t="shared" si="222"/>
        <v>0.20523078635175812</v>
      </c>
      <c r="AP125" s="236">
        <f>AP124/AP123</f>
        <v>0.22976437349949269</v>
      </c>
      <c r="AQ125" s="10">
        <f t="shared" si="222"/>
        <v>0.25561599617430808</v>
      </c>
      <c r="AR125" s="10">
        <f t="shared" si="222"/>
        <v>0.25011723329425556</v>
      </c>
      <c r="AS125" s="10">
        <f t="shared" si="222"/>
        <v>0.24056062942316059</v>
      </c>
      <c r="AT125" s="10">
        <f t="shared" si="222"/>
        <v>0.22385237241074285</v>
      </c>
      <c r="AU125" s="236">
        <f>AU124/AU123</f>
        <v>0.24064873740464249</v>
      </c>
      <c r="AV125" s="10">
        <f t="shared" si="222"/>
        <v>0.21065650280024892</v>
      </c>
      <c r="AW125" s="10">
        <f t="shared" si="222"/>
        <v>0.23688517529502975</v>
      </c>
      <c r="AX125" s="10">
        <f t="shared" si="222"/>
        <v>0.23277722881510404</v>
      </c>
      <c r="AY125" s="10">
        <f t="shared" si="222"/>
        <v>0.23606242496998803</v>
      </c>
      <c r="AZ125" s="236">
        <f>AZ124/AZ123</f>
        <v>0.2314171660592422</v>
      </c>
      <c r="BA125" s="10">
        <f t="shared" ref="BA125:BC125" si="223">BA124/BA123</f>
        <v>0.21864571563707072</v>
      </c>
      <c r="BB125" s="10">
        <f t="shared" si="223"/>
        <v>0.22821875345953724</v>
      </c>
      <c r="BC125" s="10">
        <f t="shared" si="223"/>
        <v>0.23577064784738938</v>
      </c>
      <c r="BD125" s="928">
        <f>BD124/BD123</f>
        <v>0.23192034032300568</v>
      </c>
      <c r="BE125" s="236">
        <f>BE124/BE123</f>
        <v>0.22997795738427623</v>
      </c>
      <c r="BF125" s="10">
        <f t="shared" ref="BF125:BH125" si="224">BF124/BF123</f>
        <v>0.2273154274285599</v>
      </c>
      <c r="BG125" s="10">
        <f t="shared" si="224"/>
        <v>0.20483743849903205</v>
      </c>
      <c r="BH125" s="10">
        <f t="shared" si="224"/>
        <v>0.21965016747301824</v>
      </c>
      <c r="BI125" s="928">
        <f>BI124/BI123</f>
        <v>0.22221034630183839</v>
      </c>
      <c r="BJ125" s="236">
        <f>BJ124/BJ123</f>
        <v>0.21821536741065189</v>
      </c>
      <c r="BK125" s="10">
        <f t="shared" ref="BK125:BM125" si="225">BK124/BK123</f>
        <v>0.18287566302532002</v>
      </c>
      <c r="BL125" s="10">
        <f t="shared" si="225"/>
        <v>0.22245482866043614</v>
      </c>
      <c r="BM125" s="10">
        <f t="shared" si="225"/>
        <v>0.21976100438662838</v>
      </c>
      <c r="BN125" s="928">
        <f>BN124/BN123</f>
        <v>0.22001848062834142</v>
      </c>
      <c r="BO125" s="236">
        <f>BO124/BO123</f>
        <v>0.21299671834900957</v>
      </c>
      <c r="BP125" s="918">
        <v>0.15</v>
      </c>
      <c r="BQ125" s="918">
        <v>0.23</v>
      </c>
      <c r="BR125" s="918">
        <v>0.23</v>
      </c>
      <c r="BS125" s="918">
        <v>0.23499999999999999</v>
      </c>
      <c r="BT125" s="262">
        <f>BT124/BT123</f>
        <v>0.21476832827764744</v>
      </c>
      <c r="BU125" s="918">
        <v>0.15</v>
      </c>
      <c r="BV125" s="918">
        <v>0.23</v>
      </c>
      <c r="BW125" s="918">
        <v>0.23</v>
      </c>
      <c r="BX125" s="918">
        <v>0.23499999999999999</v>
      </c>
      <c r="BY125" s="262">
        <f>BY124/BY123</f>
        <v>0.21479168193451834</v>
      </c>
    </row>
    <row r="126" spans="2:77" s="4" customFormat="1" ht="9" customHeight="1">
      <c r="B126" s="49"/>
      <c r="C126" s="38"/>
      <c r="D126" s="38"/>
      <c r="E126" s="38"/>
      <c r="F126" s="38"/>
      <c r="G126" s="244"/>
      <c r="H126" s="38"/>
      <c r="I126" s="38"/>
      <c r="J126" s="38"/>
      <c r="K126" s="38"/>
      <c r="L126" s="244"/>
      <c r="M126" s="33"/>
      <c r="N126" s="38"/>
      <c r="O126" s="38"/>
      <c r="P126" s="38"/>
      <c r="Q126" s="244"/>
      <c r="R126" s="33"/>
      <c r="S126" s="38"/>
      <c r="T126" s="38"/>
      <c r="U126" s="38"/>
      <c r="V126" s="244"/>
      <c r="W126" s="38"/>
      <c r="X126" s="38"/>
      <c r="Y126" s="38"/>
      <c r="Z126" s="38"/>
      <c r="AA126" s="244"/>
      <c r="AB126" s="230"/>
      <c r="AC126" s="230"/>
      <c r="AD126" s="230"/>
      <c r="AE126" s="230"/>
      <c r="AF126" s="244"/>
      <c r="AG126" s="230"/>
      <c r="AH126" s="230"/>
      <c r="AI126" s="230"/>
      <c r="AJ126" s="230"/>
      <c r="AK126" s="244"/>
      <c r="AL126" s="230"/>
      <c r="AM126" s="230"/>
      <c r="AN126" s="230"/>
      <c r="AO126" s="230"/>
      <c r="AP126" s="244"/>
      <c r="AQ126" s="230"/>
      <c r="AR126" s="230"/>
      <c r="AS126" s="230"/>
      <c r="AT126" s="230"/>
      <c r="AU126" s="244"/>
      <c r="AV126" s="230"/>
      <c r="AW126" s="230"/>
      <c r="AX126" s="230"/>
      <c r="AY126" s="230"/>
      <c r="AZ126" s="244"/>
      <c r="BA126" s="230"/>
      <c r="BB126" s="230"/>
      <c r="BC126" s="230"/>
      <c r="BD126" s="230"/>
      <c r="BE126" s="244"/>
      <c r="BF126" s="230"/>
      <c r="BG126" s="230"/>
      <c r="BH126" s="230"/>
      <c r="BI126" s="230"/>
      <c r="BJ126" s="244"/>
      <c r="BK126" s="230"/>
      <c r="BL126" s="230"/>
      <c r="BM126" s="230"/>
      <c r="BN126" s="230"/>
      <c r="BO126" s="244"/>
      <c r="BP126" s="230"/>
      <c r="BQ126" s="230"/>
      <c r="BR126" s="230"/>
      <c r="BS126" s="230"/>
      <c r="BT126" s="285"/>
      <c r="BU126" s="230"/>
      <c r="BV126" s="230"/>
      <c r="BW126" s="230"/>
      <c r="BX126" s="230"/>
      <c r="BY126" s="285"/>
    </row>
    <row r="127" spans="2:77" hidden="1">
      <c r="B127" s="105" t="s">
        <v>308</v>
      </c>
      <c r="C127" s="63"/>
      <c r="D127" s="63"/>
      <c r="E127" s="63"/>
      <c r="F127" s="63"/>
      <c r="G127" s="826">
        <f>SUM(C127:F127)</f>
        <v>0</v>
      </c>
      <c r="H127" s="63"/>
      <c r="I127" s="63"/>
      <c r="J127" s="63"/>
      <c r="K127" s="63"/>
      <c r="L127" s="248">
        <f>SUM(H127:K127)</f>
        <v>0</v>
      </c>
      <c r="M127" s="61"/>
      <c r="N127" s="61"/>
      <c r="O127" s="61"/>
      <c r="P127" s="61"/>
      <c r="Q127" s="248"/>
      <c r="R127" s="61"/>
      <c r="S127" s="61"/>
      <c r="T127" s="61"/>
      <c r="U127" s="61"/>
      <c r="V127" s="248"/>
      <c r="W127" s="61"/>
      <c r="X127" s="61"/>
      <c r="Y127" s="36"/>
      <c r="Z127" s="36"/>
      <c r="AA127" s="248"/>
      <c r="AB127" s="169"/>
      <c r="AC127" s="169"/>
      <c r="AD127" s="169"/>
      <c r="AE127" s="147"/>
      <c r="AF127" s="248"/>
      <c r="AG127" s="169"/>
      <c r="AH127" s="169"/>
      <c r="AI127" s="169"/>
      <c r="AJ127" s="169"/>
      <c r="AK127" s="248"/>
      <c r="AL127" s="169"/>
      <c r="AM127" s="169"/>
      <c r="AN127" s="147"/>
      <c r="AO127" s="169"/>
      <c r="AP127" s="248"/>
      <c r="AQ127" s="169"/>
      <c r="AR127" s="169"/>
      <c r="AS127" s="169"/>
      <c r="AT127" s="169"/>
      <c r="AU127" s="248"/>
      <c r="AV127" s="169"/>
      <c r="AW127" s="169"/>
      <c r="AX127" s="169"/>
      <c r="AY127" s="169"/>
      <c r="AZ127" s="248"/>
      <c r="BA127" s="169"/>
      <c r="BB127" s="169"/>
      <c r="BC127" s="169"/>
      <c r="BD127" s="169"/>
      <c r="BE127" s="248"/>
      <c r="BF127" s="169"/>
      <c r="BG127" s="169"/>
      <c r="BH127" s="169"/>
      <c r="BI127" s="169"/>
      <c r="BJ127" s="248"/>
      <c r="BK127" s="169"/>
      <c r="BL127" s="169"/>
      <c r="BM127" s="169"/>
      <c r="BN127" s="169"/>
      <c r="BO127" s="248"/>
      <c r="BP127" s="169"/>
      <c r="BQ127" s="169"/>
      <c r="BR127" s="169"/>
      <c r="BS127" s="169"/>
      <c r="BT127" s="281"/>
      <c r="BU127" s="169"/>
      <c r="BV127" s="169"/>
      <c r="BW127" s="169"/>
      <c r="BX127" s="169"/>
      <c r="BY127" s="281"/>
    </row>
    <row r="128" spans="2:77" s="4" customFormat="1">
      <c r="B128" s="49" t="s">
        <v>309</v>
      </c>
      <c r="C128" s="64">
        <f t="shared" ref="C128:K128" si="226">C123-C124</f>
        <v>40.700000000000003</v>
      </c>
      <c r="D128" s="64">
        <f t="shared" si="226"/>
        <v>58.999999999999993</v>
      </c>
      <c r="E128" s="64">
        <f t="shared" si="226"/>
        <v>38.088000000000008</v>
      </c>
      <c r="F128" s="64">
        <f t="shared" si="226"/>
        <v>44.643999999999998</v>
      </c>
      <c r="G128" s="253">
        <f t="shared" si="226"/>
        <v>139.38099999999997</v>
      </c>
      <c r="H128" s="154">
        <f t="shared" si="226"/>
        <v>36.430000000000007</v>
      </c>
      <c r="I128" s="163">
        <f t="shared" si="226"/>
        <v>43.008999999999993</v>
      </c>
      <c r="J128" s="64">
        <f t="shared" si="226"/>
        <v>44.378</v>
      </c>
      <c r="K128" s="64">
        <f t="shared" si="226"/>
        <v>46.132000000000005</v>
      </c>
      <c r="L128" s="253">
        <f>SUM(H128:K128)</f>
        <v>169.94900000000001</v>
      </c>
      <c r="M128" s="74">
        <f t="shared" ref="M128:V128" si="227">M123-M124</f>
        <v>43.223000000000006</v>
      </c>
      <c r="N128" s="74">
        <f t="shared" si="227"/>
        <v>40.120999999999995</v>
      </c>
      <c r="O128" s="74">
        <f t="shared" si="227"/>
        <v>38.142000000000003</v>
      </c>
      <c r="P128" s="74">
        <f t="shared" si="227"/>
        <v>70.761999999999986</v>
      </c>
      <c r="Q128" s="253">
        <f t="shared" si="227"/>
        <v>192.24799999999991</v>
      </c>
      <c r="R128" s="74">
        <f t="shared" si="227"/>
        <v>32.819000000000003</v>
      </c>
      <c r="S128" s="74">
        <f t="shared" si="227"/>
        <v>39.963000000000015</v>
      </c>
      <c r="T128" s="74">
        <f t="shared" si="227"/>
        <v>45.932000000000002</v>
      </c>
      <c r="U128" s="74">
        <f t="shared" si="227"/>
        <v>70.668000000000006</v>
      </c>
      <c r="V128" s="253">
        <f t="shared" si="227"/>
        <v>189.38200000000001</v>
      </c>
      <c r="W128" s="74">
        <f>W123-W124+W129</f>
        <v>36.305749999999996</v>
      </c>
      <c r="X128" s="74">
        <f>X123-X124</f>
        <v>54.20774999999999</v>
      </c>
      <c r="Y128" s="74">
        <f>Y123-Y124</f>
        <v>63.82974999999999</v>
      </c>
      <c r="Z128" s="74">
        <f>Z123-Z124</f>
        <v>67.783749999999998</v>
      </c>
      <c r="AA128" s="253">
        <f>AA123-AA124+AA129</f>
        <v>222.12700000000004</v>
      </c>
      <c r="AB128" s="170">
        <f>AB123-AB124+AB129</f>
        <v>43.643000000000001</v>
      </c>
      <c r="AC128" s="170">
        <f>AC123-AC124</f>
        <v>80.186999999999998</v>
      </c>
      <c r="AD128" s="170">
        <f>AD123-AD124</f>
        <v>75.38300000000001</v>
      </c>
      <c r="AE128" s="170">
        <f>AE123-AE124</f>
        <v>83.135000000000005</v>
      </c>
      <c r="AF128" s="253">
        <f>AF123-AF124+AF129</f>
        <v>282.34800000000001</v>
      </c>
      <c r="AG128" s="170">
        <f>AG123-AG124</f>
        <v>52.815121884654801</v>
      </c>
      <c r="AH128" s="170">
        <f>AH123-AH124</f>
        <v>76.41740415414219</v>
      </c>
      <c r="AI128" s="170">
        <f>AI123-AI124</f>
        <v>77.884001034115485</v>
      </c>
      <c r="AJ128" s="170">
        <f>AJ123-AJ124</f>
        <v>84.402192233834796</v>
      </c>
      <c r="AK128" s="253">
        <f>AK123-AK124+AK129</f>
        <v>291.51871930674724</v>
      </c>
      <c r="AL128" s="170">
        <f>AL123-AL124</f>
        <v>55.108461235102197</v>
      </c>
      <c r="AM128" s="170">
        <f>AM123-AM124</f>
        <v>53.623131142467592</v>
      </c>
      <c r="AN128" s="170">
        <f>AN123-AN124</f>
        <v>74.055612648561834</v>
      </c>
      <c r="AO128" s="170">
        <f>AO123-AO124</f>
        <v>94.264387107019019</v>
      </c>
      <c r="AP128" s="253">
        <f>AP123-AP124+AP129</f>
        <v>277.05159213315062</v>
      </c>
      <c r="AQ128" s="218">
        <f>AQ123-AQ124</f>
        <v>62.26400000000001</v>
      </c>
      <c r="AR128" s="170">
        <f>AR123-AR124</f>
        <v>63.965000000000003</v>
      </c>
      <c r="AS128" s="170">
        <f>AS123-AS124</f>
        <v>76.834000000000003</v>
      </c>
      <c r="AT128" s="170">
        <f>AT123-AT124</f>
        <v>94.760639999999995</v>
      </c>
      <c r="AU128" s="253">
        <f>AU123-AU124+AU129</f>
        <v>297.82363999999995</v>
      </c>
      <c r="AV128" s="170">
        <f>AV123-AV124</f>
        <v>50.739000000000004</v>
      </c>
      <c r="AW128" s="170">
        <f>AW123-AW124</f>
        <v>70.871999999999986</v>
      </c>
      <c r="AX128" s="170">
        <f>AX123-AX124</f>
        <v>79.972999999999999</v>
      </c>
      <c r="AY128" s="170">
        <f>AY123-AY124</f>
        <v>112.63572000000002</v>
      </c>
      <c r="AZ128" s="253">
        <f>AZ123-AZ124+AZ129</f>
        <v>314.21972000000005</v>
      </c>
      <c r="BA128" s="170">
        <f>BA135*BA140</f>
        <v>58.929479999999998</v>
      </c>
      <c r="BB128" s="170">
        <f>BB135*BB140</f>
        <v>82.893249999999995</v>
      </c>
      <c r="BC128" s="170">
        <f>BC123-BC124</f>
        <v>98.11099999999999</v>
      </c>
      <c r="BD128" s="170">
        <f>BD132+SUM(BD129:BD130)</f>
        <v>121.81225000000001</v>
      </c>
      <c r="BE128" s="253">
        <f>BE123-BE124+BE129</f>
        <v>363.65600000000006</v>
      </c>
      <c r="BF128" s="170">
        <f>BF123-BF124</f>
        <v>76.49499999999999</v>
      </c>
      <c r="BG128" s="170">
        <f>BG135*BG140</f>
        <v>102.79767</v>
      </c>
      <c r="BH128" s="170">
        <f>BH135*BH140</f>
        <v>114.19947000000001</v>
      </c>
      <c r="BI128" s="170">
        <f>BI132+SUM(BI129:BI130)</f>
        <v>124.71666</v>
      </c>
      <c r="BJ128" s="253">
        <f>BJ123-BJ124+BJ129</f>
        <v>419.447</v>
      </c>
      <c r="BK128" s="170">
        <f>BK132+SUM(BK129:BK130)</f>
        <v>106.63614</v>
      </c>
      <c r="BL128" s="170">
        <f>BL135*BL140</f>
        <v>122.42668999999999</v>
      </c>
      <c r="BM128" s="170">
        <f>BM135*BM140</f>
        <v>128.05419999999998</v>
      </c>
      <c r="BN128" s="170">
        <f>BN132+SUM(BN129:BN130)</f>
        <v>140.71519999999998</v>
      </c>
      <c r="BO128" s="253">
        <f>BO123-BO124+BO129</f>
        <v>501.70199999999988</v>
      </c>
      <c r="BP128" s="268">
        <f>BP123-BP124</f>
        <v>124.79958175600001</v>
      </c>
      <c r="BQ128" s="268">
        <f>BQ123-BQ124</f>
        <v>132.66606976699998</v>
      </c>
      <c r="BR128" s="268">
        <f>BR123-BR124</f>
        <v>143.29242004000002</v>
      </c>
      <c r="BS128" s="268">
        <f>BS123-BS124</f>
        <v>153.16279267319999</v>
      </c>
      <c r="BT128" s="286">
        <f>BT123-BT124+BT129</f>
        <v>553.92086423620003</v>
      </c>
      <c r="BU128" s="268">
        <f>BU123-BU124</f>
        <v>135.76935848264</v>
      </c>
      <c r="BV128" s="268">
        <f>BV123-BV124</f>
        <v>144.83753583622405</v>
      </c>
      <c r="BW128" s="268">
        <f>BW123-BW124</f>
        <v>156.06572982893198</v>
      </c>
      <c r="BX128" s="268">
        <f>BX123-BX124</f>
        <v>166.78952676576</v>
      </c>
      <c r="BY128" s="286">
        <f>BY123-BY124+BY129</f>
        <v>603.462150913556</v>
      </c>
    </row>
    <row r="129" spans="2:78" hidden="1">
      <c r="B129" s="105" t="s">
        <v>310</v>
      </c>
      <c r="C129" s="60"/>
      <c r="D129" s="60"/>
      <c r="E129" s="60">
        <v>1.6</v>
      </c>
      <c r="F129" s="60">
        <v>-2.6</v>
      </c>
      <c r="G129" s="248">
        <v>-1.423</v>
      </c>
      <c r="H129" s="60">
        <v>1.266</v>
      </c>
      <c r="I129" s="60">
        <v>6.6180000000000003</v>
      </c>
      <c r="J129" s="60">
        <v>19.344999999999999</v>
      </c>
      <c r="K129" s="60">
        <v>29.382000000000001</v>
      </c>
      <c r="L129" s="248">
        <f>SUM(H129:K129)</f>
        <v>56.611000000000004</v>
      </c>
      <c r="M129" s="60">
        <v>27.231999999999999</v>
      </c>
      <c r="N129" s="60">
        <v>14.384</v>
      </c>
      <c r="O129" s="60">
        <v>4.258</v>
      </c>
      <c r="P129" s="60">
        <v>0.91300000000000003</v>
      </c>
      <c r="Q129" s="248">
        <f>SUM(M129:P129)</f>
        <v>46.786999999999999</v>
      </c>
      <c r="R129" s="68">
        <v>0</v>
      </c>
      <c r="S129" s="68">
        <v>0</v>
      </c>
      <c r="T129" s="68">
        <v>0</v>
      </c>
      <c r="U129" s="68">
        <v>2.0529999999999999</v>
      </c>
      <c r="V129" s="248">
        <f>SUM(R129:U129)</f>
        <v>2.0529999999999999</v>
      </c>
      <c r="W129" s="68">
        <v>0</v>
      </c>
      <c r="X129" s="68">
        <v>0</v>
      </c>
      <c r="Y129" s="68">
        <v>0</v>
      </c>
      <c r="Z129" s="68">
        <v>0</v>
      </c>
      <c r="AA129" s="248">
        <f>SUM(W129:Z129)</f>
        <v>0</v>
      </c>
      <c r="AB129" s="172">
        <v>0</v>
      </c>
      <c r="AC129" s="172">
        <v>0</v>
      </c>
      <c r="AD129" s="172">
        <v>0</v>
      </c>
      <c r="AE129" s="172">
        <v>0</v>
      </c>
      <c r="AF129" s="248">
        <f>SUM(AB129:AE129)</f>
        <v>0</v>
      </c>
      <c r="AG129" s="172">
        <v>0</v>
      </c>
      <c r="AH129" s="172">
        <v>0</v>
      </c>
      <c r="AI129" s="172">
        <v>0</v>
      </c>
      <c r="AJ129" s="172">
        <v>0</v>
      </c>
      <c r="AK129" s="248">
        <f>SUM(AG129:AJ129)</f>
        <v>0</v>
      </c>
      <c r="AL129" s="172">
        <v>0</v>
      </c>
      <c r="AM129" s="172">
        <v>0</v>
      </c>
      <c r="AN129" s="172">
        <v>0</v>
      </c>
      <c r="AO129" s="172">
        <v>0</v>
      </c>
      <c r="AP129" s="248">
        <f>SUM(AL129:AO129)</f>
        <v>0</v>
      </c>
      <c r="AQ129" s="172">
        <v>0</v>
      </c>
      <c r="AR129" s="172">
        <v>0</v>
      </c>
      <c r="AS129" s="172">
        <v>0</v>
      </c>
      <c r="AT129" s="172">
        <v>0</v>
      </c>
      <c r="AU129" s="248">
        <f>SUM(AQ129:AT129)</f>
        <v>0</v>
      </c>
      <c r="AV129" s="172">
        <v>0</v>
      </c>
      <c r="AW129" s="172">
        <v>0</v>
      </c>
      <c r="AX129" s="172">
        <v>0</v>
      </c>
      <c r="AY129" s="172">
        <v>0</v>
      </c>
      <c r="AZ129" s="248">
        <f>SUM(AV129:AY129)</f>
        <v>0</v>
      </c>
      <c r="BA129" s="172">
        <v>0</v>
      </c>
      <c r="BB129" s="172">
        <v>0</v>
      </c>
      <c r="BC129" s="172">
        <v>0</v>
      </c>
      <c r="BD129" s="172">
        <v>0</v>
      </c>
      <c r="BE129" s="248">
        <f>SUM(BA129:BD129)</f>
        <v>0</v>
      </c>
      <c r="BF129" s="172">
        <v>0</v>
      </c>
      <c r="BG129" s="172">
        <v>0</v>
      </c>
      <c r="BH129" s="172">
        <v>0</v>
      </c>
      <c r="BI129" s="172">
        <v>0</v>
      </c>
      <c r="BJ129" s="248">
        <f>SUM(BF129:BI129)</f>
        <v>0</v>
      </c>
      <c r="BK129" s="172">
        <v>0</v>
      </c>
      <c r="BL129" s="172">
        <v>0</v>
      </c>
      <c r="BM129" s="172">
        <v>0</v>
      </c>
      <c r="BN129" s="172">
        <v>0</v>
      </c>
      <c r="BO129" s="248">
        <f>SUM(BK129:BN129)</f>
        <v>0</v>
      </c>
      <c r="BP129" s="269">
        <v>0</v>
      </c>
      <c r="BQ129" s="269">
        <v>0</v>
      </c>
      <c r="BR129" s="269">
        <v>0</v>
      </c>
      <c r="BS129" s="269">
        <v>0</v>
      </c>
      <c r="BT129" s="281">
        <f>SUM(BP129:BS129)</f>
        <v>0</v>
      </c>
      <c r="BU129" s="269">
        <v>0</v>
      </c>
      <c r="BV129" s="269">
        <v>0</v>
      </c>
      <c r="BW129" s="269">
        <v>0</v>
      </c>
      <c r="BX129" s="269">
        <v>0</v>
      </c>
      <c r="BY129" s="281">
        <f>SUM(BU129:BX129)</f>
        <v>0</v>
      </c>
    </row>
    <row r="130" spans="2:78">
      <c r="B130" s="105" t="s">
        <v>311</v>
      </c>
      <c r="C130" s="60"/>
      <c r="D130" s="60"/>
      <c r="E130" s="60"/>
      <c r="F130" s="60"/>
      <c r="G130" s="248"/>
      <c r="H130" s="60"/>
      <c r="I130" s="60"/>
      <c r="J130" s="60"/>
      <c r="K130" s="60"/>
      <c r="L130" s="248"/>
      <c r="M130" s="60"/>
      <c r="N130" s="60"/>
      <c r="O130" s="60"/>
      <c r="P130" s="60"/>
      <c r="Q130" s="248"/>
      <c r="R130" s="68"/>
      <c r="S130" s="68"/>
      <c r="T130" s="68"/>
      <c r="U130" s="68"/>
      <c r="V130" s="248"/>
      <c r="W130" s="68">
        <f>3.48</f>
        <v>3.48</v>
      </c>
      <c r="X130" s="68">
        <f>5.2-1.6+0.12</f>
        <v>3.72</v>
      </c>
      <c r="Y130" s="68">
        <v>0</v>
      </c>
      <c r="Z130" s="68">
        <v>0</v>
      </c>
      <c r="AA130" s="248">
        <f>SUM(W130:Z130)</f>
        <v>7.2</v>
      </c>
      <c r="AB130" s="172">
        <v>0</v>
      </c>
      <c r="AC130" s="172">
        <f>7-1.6</f>
        <v>5.4</v>
      </c>
      <c r="AD130" s="172">
        <f>1.3-0.3</f>
        <v>1</v>
      </c>
      <c r="AE130" s="172">
        <f>0.4-0.05</f>
        <v>0.35000000000000003</v>
      </c>
      <c r="AF130" s="248">
        <f>SUM(AB130:AE130)</f>
        <v>6.75</v>
      </c>
      <c r="AG130" s="172">
        <v>0.4</v>
      </c>
      <c r="AH130" s="172">
        <f>2-0.5</f>
        <v>1.5</v>
      </c>
      <c r="AI130" s="172">
        <f>1.6-0.3</f>
        <v>1.3</v>
      </c>
      <c r="AJ130" s="172">
        <v>1.9</v>
      </c>
      <c r="AK130" s="248">
        <f>SUM(AG130:AJ130)</f>
        <v>5.0999999999999996</v>
      </c>
      <c r="AL130" s="172">
        <v>5.5</v>
      </c>
      <c r="AM130" s="172">
        <v>22.6</v>
      </c>
      <c r="AN130" s="172">
        <v>9.4499999999999993</v>
      </c>
      <c r="AO130" s="172">
        <f>+(2.27-1.3)*AO140</f>
        <v>40.216200000000001</v>
      </c>
      <c r="AP130" s="248">
        <f>SUM(AL130:AO130)</f>
        <v>77.766199999999998</v>
      </c>
      <c r="AQ130" s="172">
        <v>2.8</v>
      </c>
      <c r="AR130" s="172">
        <v>2.6</v>
      </c>
      <c r="AS130" s="172">
        <v>7.1</v>
      </c>
      <c r="AT130" s="172">
        <f>+(2.4-1.94)*AT140</f>
        <v>18.181039999999999</v>
      </c>
      <c r="AU130" s="248">
        <f>SUM(AQ130:AT130)</f>
        <v>30.681039999999999</v>
      </c>
      <c r="AV130" s="172">
        <f>+(0.11+0.1+0.05)*AV140</f>
        <v>10.05368</v>
      </c>
      <c r="AW130" s="172">
        <v>0</v>
      </c>
      <c r="AX130" s="172">
        <f>0.16*AX140</f>
        <v>6.1835199999999997</v>
      </c>
      <c r="AY130" s="172">
        <f>+(2.92-2.82)*AY140</f>
        <v>3.8633000000000037</v>
      </c>
      <c r="AZ130" s="248">
        <f>SUM(AV130:AY130)</f>
        <v>20.100500000000004</v>
      </c>
      <c r="BA130" s="172">
        <f>0.05*BA140</f>
        <v>1.9258</v>
      </c>
      <c r="BB130" s="172">
        <f>0.05*BB140</f>
        <v>1.9277500000000001</v>
      </c>
      <c r="BC130" s="172">
        <f>0.03*BC140</f>
        <v>1.1567399999999999</v>
      </c>
      <c r="BD130" s="172">
        <f>(0.02+0.03)*BD140</f>
        <v>1.9252500000000001</v>
      </c>
      <c r="BE130" s="248">
        <f>SUM(BA130:BD130)</f>
        <v>6.9355400000000005</v>
      </c>
      <c r="BF130" s="172">
        <f>0*BF140</f>
        <v>0</v>
      </c>
      <c r="BG130" s="172">
        <f>0.09*BG140</f>
        <v>3.4650899999999996</v>
      </c>
      <c r="BH130" s="172">
        <f>0.08*BH140</f>
        <v>3.0760800000000001</v>
      </c>
      <c r="BI130" s="172">
        <f>(0.01+0.17)*BI140</f>
        <v>6.8646600000000007</v>
      </c>
      <c r="BJ130" s="248">
        <f>SUM(BF130:BI130)</f>
        <v>13.40583</v>
      </c>
      <c r="BK130" s="172">
        <f>(0.03+0.11)*BK140</f>
        <v>5.2991400000000004</v>
      </c>
      <c r="BL130" s="172">
        <f>0.02*BL140</f>
        <v>0.75805999999999996</v>
      </c>
      <c r="BM130" s="172">
        <f>0.09*BM140</f>
        <v>3.3896699999999997</v>
      </c>
      <c r="BN130" s="172">
        <f>(0.06+0.04)*BN140</f>
        <v>3.7172000000000001</v>
      </c>
      <c r="BO130" s="248">
        <f>SUM(BK130:BN130)</f>
        <v>13.164070000000001</v>
      </c>
      <c r="BP130" s="269">
        <v>0</v>
      </c>
      <c r="BQ130" s="269">
        <v>0</v>
      </c>
      <c r="BR130" s="269">
        <v>0</v>
      </c>
      <c r="BS130" s="269">
        <v>0</v>
      </c>
      <c r="BT130" s="281">
        <f>SUM(BP130:BS130)</f>
        <v>0</v>
      </c>
      <c r="BU130" s="269">
        <v>0</v>
      </c>
      <c r="BV130" s="269">
        <v>0</v>
      </c>
      <c r="BW130" s="269">
        <v>0</v>
      </c>
      <c r="BX130" s="269">
        <v>0</v>
      </c>
      <c r="BY130" s="281">
        <f>SUM(BU130:BX130)</f>
        <v>0</v>
      </c>
    </row>
    <row r="131" spans="2:78">
      <c r="B131" s="105" t="s">
        <v>312</v>
      </c>
      <c r="C131" s="63"/>
      <c r="D131" s="63"/>
      <c r="E131" s="63"/>
      <c r="F131" s="63"/>
      <c r="G131" s="826"/>
      <c r="H131" s="63"/>
      <c r="I131" s="63"/>
      <c r="J131" s="63"/>
      <c r="K131" s="63"/>
      <c r="L131" s="828"/>
      <c r="M131" s="127"/>
      <c r="N131" s="127"/>
      <c r="O131" s="127"/>
      <c r="P131" s="127"/>
      <c r="Q131" s="829"/>
      <c r="R131" s="127"/>
      <c r="S131" s="68"/>
      <c r="T131" s="68"/>
      <c r="U131" s="37"/>
      <c r="V131" s="248"/>
      <c r="W131" s="127"/>
      <c r="X131" s="179"/>
      <c r="Y131" s="179"/>
      <c r="Z131" s="127"/>
      <c r="AA131" s="248"/>
      <c r="AB131" s="171"/>
      <c r="AC131" s="171"/>
      <c r="AD131" s="171"/>
      <c r="AE131" s="171"/>
      <c r="AF131" s="248"/>
      <c r="AG131" s="171"/>
      <c r="AH131" s="171"/>
      <c r="AI131" s="171"/>
      <c r="AJ131" s="171"/>
      <c r="AK131" s="248"/>
      <c r="AL131" s="171"/>
      <c r="AM131" s="171"/>
      <c r="AN131" s="192"/>
      <c r="AO131" s="171"/>
      <c r="AP131" s="248"/>
      <c r="AQ131" s="171"/>
      <c r="AR131" s="171"/>
      <c r="AS131" s="171"/>
      <c r="AT131" s="171"/>
      <c r="AU131" s="248"/>
      <c r="AV131" s="171"/>
      <c r="AW131" s="171"/>
      <c r="AX131" s="171"/>
      <c r="AY131" s="171"/>
      <c r="AZ131" s="248"/>
      <c r="BA131" s="171"/>
      <c r="BB131" s="171"/>
      <c r="BC131" s="171"/>
      <c r="BD131" s="171"/>
      <c r="BE131" s="248"/>
      <c r="BF131" s="171"/>
      <c r="BG131" s="171"/>
      <c r="BH131" s="171"/>
      <c r="BI131" s="171"/>
      <c r="BJ131" s="248"/>
      <c r="BK131" s="171"/>
      <c r="BL131" s="171"/>
      <c r="BM131" s="171"/>
      <c r="BN131" s="171"/>
      <c r="BO131" s="248"/>
      <c r="BP131" s="927"/>
      <c r="BQ131" s="927"/>
      <c r="BR131" s="927"/>
      <c r="BS131" s="927"/>
      <c r="BT131" s="281"/>
      <c r="BU131" s="927"/>
      <c r="BV131" s="927"/>
      <c r="BW131" s="927"/>
      <c r="BX131" s="927"/>
      <c r="BY131" s="281"/>
    </row>
    <row r="132" spans="2:78">
      <c r="B132" s="51" t="s">
        <v>313</v>
      </c>
      <c r="C132" s="172">
        <f t="shared" ref="C132:AD132" si="228">+C128-SUM(C129:C131)</f>
        <v>40.700000000000003</v>
      </c>
      <c r="D132" s="172">
        <f t="shared" si="228"/>
        <v>58.999999999999993</v>
      </c>
      <c r="E132" s="172">
        <f t="shared" si="228"/>
        <v>36.488000000000007</v>
      </c>
      <c r="F132" s="172">
        <f t="shared" si="228"/>
        <v>47.244</v>
      </c>
      <c r="G132" s="254">
        <f t="shared" si="228"/>
        <v>140.80399999999997</v>
      </c>
      <c r="H132" s="172">
        <f t="shared" si="228"/>
        <v>35.164000000000009</v>
      </c>
      <c r="I132" s="172">
        <f t="shared" si="228"/>
        <v>36.390999999999991</v>
      </c>
      <c r="J132" s="172">
        <f t="shared" si="228"/>
        <v>25.033000000000001</v>
      </c>
      <c r="K132" s="172">
        <f t="shared" si="228"/>
        <v>16.750000000000004</v>
      </c>
      <c r="L132" s="254">
        <f t="shared" si="228"/>
        <v>113.33800000000001</v>
      </c>
      <c r="M132" s="172">
        <f t="shared" si="228"/>
        <v>15.991000000000007</v>
      </c>
      <c r="N132" s="172">
        <f t="shared" si="228"/>
        <v>25.736999999999995</v>
      </c>
      <c r="O132" s="172">
        <f t="shared" si="228"/>
        <v>33.884</v>
      </c>
      <c r="P132" s="172">
        <f t="shared" si="228"/>
        <v>69.84899999999999</v>
      </c>
      <c r="Q132" s="254">
        <f t="shared" si="228"/>
        <v>145.4609999999999</v>
      </c>
      <c r="R132" s="172">
        <f t="shared" si="228"/>
        <v>32.819000000000003</v>
      </c>
      <c r="S132" s="172">
        <f t="shared" si="228"/>
        <v>39.963000000000015</v>
      </c>
      <c r="T132" s="172">
        <f t="shared" si="228"/>
        <v>45.932000000000002</v>
      </c>
      <c r="U132" s="172">
        <f t="shared" si="228"/>
        <v>68.615000000000009</v>
      </c>
      <c r="V132" s="254">
        <f t="shared" si="228"/>
        <v>187.32900000000001</v>
      </c>
      <c r="W132" s="172">
        <f t="shared" si="228"/>
        <v>32.825749999999999</v>
      </c>
      <c r="X132" s="68">
        <f t="shared" si="228"/>
        <v>50.487749999999991</v>
      </c>
      <c r="Y132" s="68">
        <f t="shared" si="228"/>
        <v>63.82974999999999</v>
      </c>
      <c r="Z132" s="172">
        <f t="shared" si="228"/>
        <v>67.783749999999998</v>
      </c>
      <c r="AA132" s="254">
        <f t="shared" si="228"/>
        <v>214.92700000000005</v>
      </c>
      <c r="AB132" s="172">
        <f t="shared" si="228"/>
        <v>43.643000000000001</v>
      </c>
      <c r="AC132" s="172">
        <f t="shared" si="228"/>
        <v>74.786999999999992</v>
      </c>
      <c r="AD132" s="172">
        <f t="shared" si="228"/>
        <v>74.38300000000001</v>
      </c>
      <c r="AE132" s="172">
        <f t="shared" ref="AE132:AK132" si="229">+AE128-SUM(AE129:AE131)</f>
        <v>82.785000000000011</v>
      </c>
      <c r="AF132" s="254">
        <f t="shared" si="229"/>
        <v>275.59800000000001</v>
      </c>
      <c r="AG132" s="172">
        <f t="shared" si="229"/>
        <v>52.415121884654802</v>
      </c>
      <c r="AH132" s="172">
        <f t="shared" si="229"/>
        <v>74.91740415414219</v>
      </c>
      <c r="AI132" s="172">
        <f t="shared" si="229"/>
        <v>76.584001034115488</v>
      </c>
      <c r="AJ132" s="172">
        <f t="shared" si="229"/>
        <v>82.502192233834791</v>
      </c>
      <c r="AK132" s="254">
        <f t="shared" si="229"/>
        <v>286.41871930674722</v>
      </c>
      <c r="AL132" s="172">
        <f t="shared" ref="AL132:AP132" si="230">+AL128-SUM(AL129:AL131)</f>
        <v>49.608461235102197</v>
      </c>
      <c r="AM132" s="172">
        <f t="shared" si="230"/>
        <v>31.023131142467591</v>
      </c>
      <c r="AN132" s="172">
        <f t="shared" si="230"/>
        <v>64.605612648561831</v>
      </c>
      <c r="AO132" s="172">
        <f t="shared" si="230"/>
        <v>54.048187107019018</v>
      </c>
      <c r="AP132" s="254">
        <f t="shared" si="230"/>
        <v>199.28539213315062</v>
      </c>
      <c r="AQ132" s="172">
        <f t="shared" ref="AQ132:AU132" si="231">+AQ128-SUM(AQ129:AQ131)</f>
        <v>59.464000000000013</v>
      </c>
      <c r="AR132" s="147">
        <f t="shared" si="231"/>
        <v>61.365000000000002</v>
      </c>
      <c r="AS132" s="172">
        <f t="shared" si="231"/>
        <v>69.734000000000009</v>
      </c>
      <c r="AT132" s="172">
        <f t="shared" si="231"/>
        <v>76.579599999999999</v>
      </c>
      <c r="AU132" s="254">
        <f t="shared" si="231"/>
        <v>267.14259999999996</v>
      </c>
      <c r="AV132" s="172">
        <f t="shared" ref="AV132:AZ132" si="232">+AV128-SUM(AV129:AV131)</f>
        <v>40.685320000000004</v>
      </c>
      <c r="AW132" s="172">
        <f>+AW128-SUM(AW129:AW131)</f>
        <v>70.871999999999986</v>
      </c>
      <c r="AX132" s="172">
        <f t="shared" si="232"/>
        <v>73.789479999999998</v>
      </c>
      <c r="AY132" s="172">
        <f>+AY128-SUM(AY129:AY131)</f>
        <v>108.77242000000001</v>
      </c>
      <c r="AZ132" s="254">
        <f t="shared" si="232"/>
        <v>294.11922000000004</v>
      </c>
      <c r="BA132" s="172">
        <v>56.845999999999997</v>
      </c>
      <c r="BB132" s="172">
        <f>+BB128-SUM(BB129:BB131)</f>
        <v>80.965499999999992</v>
      </c>
      <c r="BC132" s="172">
        <f>+BC128-SUM(BC129:BC131)</f>
        <v>96.954259999999991</v>
      </c>
      <c r="BD132" s="172">
        <v>119.887</v>
      </c>
      <c r="BE132" s="254">
        <f>+BE128-SUM(BE129:BE131)</f>
        <v>356.72046000000006</v>
      </c>
      <c r="BF132" s="172">
        <f>+BF128-SUM(BF129:BF131)</f>
        <v>76.49499999999999</v>
      </c>
      <c r="BG132" s="172">
        <f>+BG128-SUM(BG129:BG131)</f>
        <v>99.332579999999993</v>
      </c>
      <c r="BH132" s="172">
        <f>+BH128-SUM(BH129:BH131)</f>
        <v>111.12339</v>
      </c>
      <c r="BI132" s="172">
        <v>117.852</v>
      </c>
      <c r="BJ132" s="254">
        <f>+BJ128-SUM(BJ129:BJ131)</f>
        <v>406.04117000000002</v>
      </c>
      <c r="BK132" s="172">
        <v>101.337</v>
      </c>
      <c r="BL132" s="172">
        <v>121.06100000000001</v>
      </c>
      <c r="BM132" s="172">
        <f>+BM128-SUM(BM129:BM131)</f>
        <v>124.66452999999998</v>
      </c>
      <c r="BN132" s="172">
        <v>136.99799999999999</v>
      </c>
      <c r="BO132" s="254">
        <f>+BO128-SUM(BO129:BO131)</f>
        <v>488.5379299999999</v>
      </c>
      <c r="BP132" s="270">
        <f t="shared" ref="BP132:BY132" si="233">+BP128-SUM(BP129:BP131)</f>
        <v>124.79958175600001</v>
      </c>
      <c r="BQ132" s="270">
        <f t="shared" si="233"/>
        <v>132.66606976699998</v>
      </c>
      <c r="BR132" s="270">
        <f t="shared" si="233"/>
        <v>143.29242004000002</v>
      </c>
      <c r="BS132" s="270">
        <f t="shared" si="233"/>
        <v>153.16279267319999</v>
      </c>
      <c r="BT132" s="287">
        <f t="shared" si="233"/>
        <v>553.92086423620003</v>
      </c>
      <c r="BU132" s="270">
        <f t="shared" si="233"/>
        <v>135.76935848264</v>
      </c>
      <c r="BV132" s="270">
        <f t="shared" si="233"/>
        <v>144.83753583622405</v>
      </c>
      <c r="BW132" s="270">
        <f t="shared" si="233"/>
        <v>156.06572982893198</v>
      </c>
      <c r="BX132" s="270">
        <f t="shared" si="233"/>
        <v>166.78952676576</v>
      </c>
      <c r="BY132" s="287">
        <f t="shared" si="233"/>
        <v>603.462150913556</v>
      </c>
    </row>
    <row r="133" spans="2:78" ht="6" customHeight="1">
      <c r="B133" s="49"/>
      <c r="C133" s="32"/>
      <c r="D133" s="32"/>
      <c r="E133" s="32"/>
      <c r="F133" s="32"/>
      <c r="G133" s="244"/>
      <c r="H133" s="32"/>
      <c r="I133" s="32"/>
      <c r="J133" s="32"/>
      <c r="K133" s="32"/>
      <c r="L133" s="244"/>
      <c r="M133" s="32"/>
      <c r="N133" s="32"/>
      <c r="O133" s="32"/>
      <c r="P133" s="32"/>
      <c r="Q133" s="244"/>
      <c r="R133" s="32"/>
      <c r="S133" s="32"/>
      <c r="T133" s="32"/>
      <c r="U133" s="32"/>
      <c r="V133" s="244"/>
      <c r="W133" s="32"/>
      <c r="X133" s="32"/>
      <c r="Y133" s="32"/>
      <c r="Z133" s="32"/>
      <c r="AA133" s="244"/>
      <c r="AB133" s="173"/>
      <c r="AC133" s="173"/>
      <c r="AD133" s="173"/>
      <c r="AE133" s="173"/>
      <c r="AF133" s="244"/>
      <c r="AG133" s="173"/>
      <c r="AH133" s="173"/>
      <c r="AI133" s="173"/>
      <c r="AJ133" s="173"/>
      <c r="AK133" s="244"/>
      <c r="AL133" s="173"/>
      <c r="AM133" s="189"/>
      <c r="AN133" s="189"/>
      <c r="AO133" s="189"/>
      <c r="AP133" s="244"/>
      <c r="AQ133" s="189"/>
      <c r="AR133" s="189"/>
      <c r="AS133" s="189"/>
      <c r="AT133" s="189"/>
      <c r="AU133" s="244"/>
      <c r="AV133" s="189"/>
      <c r="AW133" s="189"/>
      <c r="AX133" s="189"/>
      <c r="AY133" s="189"/>
      <c r="AZ133" s="244"/>
      <c r="BA133" s="189"/>
      <c r="BB133" s="189"/>
      <c r="BC133" s="189"/>
      <c r="BD133" s="189"/>
      <c r="BE133" s="244"/>
      <c r="BF133" s="189"/>
      <c r="BG133" s="189"/>
      <c r="BH133" s="189"/>
      <c r="BI133" s="189"/>
      <c r="BJ133" s="244"/>
      <c r="BK133" s="189"/>
      <c r="BL133" s="189"/>
      <c r="BM133" s="189"/>
      <c r="BN133" s="189"/>
      <c r="BO133" s="244"/>
      <c r="BP133" s="189"/>
      <c r="BQ133" s="189"/>
      <c r="BR133" s="189"/>
      <c r="BS133" s="189"/>
      <c r="BT133" s="285"/>
      <c r="BU133" s="189"/>
      <c r="BV133" s="189"/>
      <c r="BW133" s="189"/>
      <c r="BX133" s="189"/>
      <c r="BY133" s="285"/>
    </row>
    <row r="134" spans="2:78">
      <c r="B134" s="55" t="s">
        <v>314</v>
      </c>
      <c r="C134" s="77"/>
      <c r="D134" s="69"/>
      <c r="E134" s="69">
        <f t="shared" ref="E134:U134" si="234">E132/E140</f>
        <v>0.7585862785862787</v>
      </c>
      <c r="F134" s="69">
        <f t="shared" si="234"/>
        <v>0.97209876543209872</v>
      </c>
      <c r="G134" s="255">
        <f t="shared" si="234"/>
        <v>2.9121820062047563</v>
      </c>
      <c r="H134" s="69">
        <f t="shared" si="234"/>
        <v>0.71617107942973535</v>
      </c>
      <c r="I134" s="69">
        <f t="shared" si="234"/>
        <v>0.73906862446434718</v>
      </c>
      <c r="J134" s="69">
        <f t="shared" si="234"/>
        <v>0.50982668377426121</v>
      </c>
      <c r="K134" s="69">
        <f t="shared" si="234"/>
        <v>0.34250076679276154</v>
      </c>
      <c r="L134" s="255">
        <f t="shared" si="234"/>
        <v>2.3094854814060111</v>
      </c>
      <c r="M134" s="69">
        <f t="shared" si="234"/>
        <v>0.328141672822786</v>
      </c>
      <c r="N134" s="69">
        <f t="shared" si="234"/>
        <v>0.53332090016163114</v>
      </c>
      <c r="O134" s="69">
        <f t="shared" si="234"/>
        <v>0.71492773499314266</v>
      </c>
      <c r="P134" s="69">
        <f t="shared" si="234"/>
        <v>1.5137507314218839</v>
      </c>
      <c r="Q134" s="255">
        <f>Q132/Q140</f>
        <v>3.0548765120967722</v>
      </c>
      <c r="R134" s="69">
        <f t="shared" si="234"/>
        <v>0.72544208664898324</v>
      </c>
      <c r="S134" s="69">
        <f t="shared" si="234"/>
        <v>0.88484190948543118</v>
      </c>
      <c r="T134" s="69">
        <f t="shared" si="234"/>
        <v>1.0207791630553149</v>
      </c>
      <c r="U134" s="69">
        <f t="shared" si="234"/>
        <v>1.5321662237902778</v>
      </c>
      <c r="V134" s="255">
        <f>V132/V140-0.01</f>
        <v>4.1487079587079592</v>
      </c>
      <c r="W134" s="69">
        <f>W132/W140</f>
        <v>0.7317376281765493</v>
      </c>
      <c r="X134" s="69">
        <f t="shared" ref="X134:AC134" si="235">X132/X140</f>
        <v>1.1267826455687724</v>
      </c>
      <c r="Y134" s="69">
        <f t="shared" si="235"/>
        <v>1.4284059884527591</v>
      </c>
      <c r="Z134" s="69">
        <f t="shared" si="235"/>
        <v>1.516686431576121</v>
      </c>
      <c r="AA134" s="255">
        <f t="shared" si="235"/>
        <v>4.8016576930810313</v>
      </c>
      <c r="AB134" s="174">
        <f t="shared" si="235"/>
        <v>0.97683423608935049</v>
      </c>
      <c r="AC134" s="174">
        <f t="shared" si="235"/>
        <v>1.6786075011783717</v>
      </c>
      <c r="AD134" s="174">
        <f t="shared" ref="AD134:AK134" si="236">AD132/AD140</f>
        <v>1.6777868001984935</v>
      </c>
      <c r="AE134" s="174">
        <f t="shared" si="236"/>
        <v>1.8908455529669732</v>
      </c>
      <c r="AF134" s="255">
        <f t="shared" si="236"/>
        <v>6.216963681479811</v>
      </c>
      <c r="AG134" s="174">
        <f t="shared" si="236"/>
        <v>1.2173143639893818</v>
      </c>
      <c r="AH134" s="174">
        <f t="shared" si="236"/>
        <v>1.7412933282387084</v>
      </c>
      <c r="AI134" s="174">
        <f t="shared" si="236"/>
        <v>1.7812303996770669</v>
      </c>
      <c r="AJ134" s="174">
        <f t="shared" si="236"/>
        <v>1.9192805153732564</v>
      </c>
      <c r="AK134" s="255">
        <f t="shared" si="236"/>
        <v>6.658461593875435</v>
      </c>
      <c r="AL134" s="174">
        <f t="shared" ref="AL134:AP134" si="237">AL132/AL140</f>
        <v>1.1598892035329014</v>
      </c>
      <c r="AM134" s="174">
        <f t="shared" si="237"/>
        <v>0.7412049012655022</v>
      </c>
      <c r="AN134" s="174">
        <f t="shared" si="237"/>
        <v>1.5456997547326803</v>
      </c>
      <c r="AO134" s="174">
        <f t="shared" si="237"/>
        <v>1.3036224579599378</v>
      </c>
      <c r="AP134" s="255">
        <f t="shared" si="237"/>
        <v>4.7482253519293458</v>
      </c>
      <c r="AQ134" s="174">
        <f t="shared" ref="AQ134:AT134" si="238">AQ132/AQ140</f>
        <v>1.4467070530131623</v>
      </c>
      <c r="AR134" s="174">
        <f t="shared" si="238"/>
        <v>1.4935017523364487</v>
      </c>
      <c r="AS134" s="174">
        <f t="shared" si="238"/>
        <v>1.7029059829059829</v>
      </c>
      <c r="AT134" s="174">
        <f t="shared" si="238"/>
        <v>1.9375468070033397</v>
      </c>
      <c r="AU134" s="255">
        <f>AU132/AU140</f>
        <v>6.5798669950738899</v>
      </c>
      <c r="AV134" s="174">
        <f t="shared" ref="AV134:AZ134" si="239">AV132/AV140</f>
        <v>1.0521702699906901</v>
      </c>
      <c r="AW134" s="174">
        <f t="shared" si="239"/>
        <v>1.8334971801107254</v>
      </c>
      <c r="AX134" s="174">
        <f t="shared" si="239"/>
        <v>1.9093197402126945</v>
      </c>
      <c r="AY134" s="174">
        <f t="shared" si="239"/>
        <v>2.8155312815468641</v>
      </c>
      <c r="AZ134" s="255">
        <f t="shared" si="239"/>
        <v>7.6097131990530533</v>
      </c>
      <c r="BA134" s="174">
        <f>BA132/BA140</f>
        <v>1.4759061169384151</v>
      </c>
      <c r="BB134" s="174">
        <f t="shared" ref="BB134:BC134" si="240">BB132/BB140</f>
        <v>2.0999999999999996</v>
      </c>
      <c r="BC134" s="174">
        <f t="shared" si="240"/>
        <v>2.514504383007417</v>
      </c>
      <c r="BD134" s="174">
        <f>BD132/BD140</f>
        <v>3.1135436956239446</v>
      </c>
      <c r="BE134" s="255">
        <f>BE132/BE140</f>
        <v>9.2574113433765444</v>
      </c>
      <c r="BF134" s="174">
        <f>BF132/BF140</f>
        <v>1.9904504176315994</v>
      </c>
      <c r="BG134" s="174">
        <f t="shared" ref="BG134:BH134" si="241">BG132/BG140</f>
        <v>2.58</v>
      </c>
      <c r="BH134" s="174">
        <f t="shared" si="241"/>
        <v>2.89</v>
      </c>
      <c r="BI134" s="174">
        <f>BI132/BI140</f>
        <v>3.09022733828041</v>
      </c>
      <c r="BJ134" s="255">
        <f>SUM(BF134:BI134)</f>
        <v>10.550677755912011</v>
      </c>
      <c r="BK134" s="174">
        <f>BK132/BK140</f>
        <v>2.6772608385511614</v>
      </c>
      <c r="BL134" s="174">
        <f>BL132/BL140</f>
        <v>3.1939688151333669</v>
      </c>
      <c r="BM134" s="174">
        <f t="shared" ref="BM134" si="242">BM132/BM140</f>
        <v>3.31</v>
      </c>
      <c r="BN134" s="174">
        <f>BN132/BN140</f>
        <v>3.6855159797697192</v>
      </c>
      <c r="BO134" s="255">
        <f>SUM(BK134:BN134)</f>
        <v>12.866745633454247</v>
      </c>
      <c r="BP134" s="271">
        <f t="shared" ref="BP134:BX134" si="243">BP132/BP140</f>
        <v>3.3591618689707157</v>
      </c>
      <c r="BQ134" s="271">
        <f t="shared" si="243"/>
        <v>3.5728231651136491</v>
      </c>
      <c r="BR134" s="271">
        <f t="shared" si="243"/>
        <v>3.8610805141194242</v>
      </c>
      <c r="BS134" s="271">
        <f t="shared" si="243"/>
        <v>4.1292675691038516</v>
      </c>
      <c r="BT134" s="288">
        <f>SUM(BP134:BS134)</f>
        <v>14.922333117307641</v>
      </c>
      <c r="BU134" s="271">
        <f t="shared" si="243"/>
        <v>3.6623154532434201</v>
      </c>
      <c r="BV134" s="271">
        <f t="shared" si="243"/>
        <v>3.9090342177540789</v>
      </c>
      <c r="BW134" s="271">
        <f t="shared" si="243"/>
        <v>4.2143478566896757</v>
      </c>
      <c r="BX134" s="271">
        <f t="shared" si="243"/>
        <v>4.5063635244180302</v>
      </c>
      <c r="BY134" s="288">
        <f>SUM(BU134:BX134)</f>
        <v>16.292061052105204</v>
      </c>
    </row>
    <row r="135" spans="2:78" s="4" customFormat="1">
      <c r="B135" s="56" t="s">
        <v>315</v>
      </c>
      <c r="C135" s="70"/>
      <c r="D135" s="71"/>
      <c r="E135" s="71">
        <f t="shared" ref="E135:AC135" si="244">E128/E140</f>
        <v>0.79185031185031196</v>
      </c>
      <c r="F135" s="71">
        <f t="shared" si="244"/>
        <v>0.91860082304526747</v>
      </c>
      <c r="G135" s="256">
        <f t="shared" si="244"/>
        <v>2.882750775594622</v>
      </c>
      <c r="H135" s="71">
        <f t="shared" si="244"/>
        <v>0.74195519348268846</v>
      </c>
      <c r="I135" s="71">
        <f t="shared" si="244"/>
        <v>0.87347427851906001</v>
      </c>
      <c r="J135" s="71">
        <f t="shared" si="244"/>
        <v>0.9038105130241747</v>
      </c>
      <c r="K135" s="71">
        <f t="shared" si="244"/>
        <v>0.94329823126469692</v>
      </c>
      <c r="L135" s="256">
        <f t="shared" si="244"/>
        <v>3.4630463576158941</v>
      </c>
      <c r="M135" s="71">
        <f t="shared" si="244"/>
        <v>0.88695313141262433</v>
      </c>
      <c r="N135" s="71">
        <f t="shared" si="244"/>
        <v>0.83138546976667071</v>
      </c>
      <c r="O135" s="71">
        <f t="shared" si="244"/>
        <v>0.80476843548897559</v>
      </c>
      <c r="P135" s="71">
        <f t="shared" si="244"/>
        <v>1.5335370478729164</v>
      </c>
      <c r="Q135" s="256">
        <f>Q128/Q140</f>
        <v>4.0374663978494603</v>
      </c>
      <c r="R135" s="71">
        <f t="shared" si="244"/>
        <v>0.72544208664898324</v>
      </c>
      <c r="S135" s="71">
        <f t="shared" si="244"/>
        <v>0.88484190948543118</v>
      </c>
      <c r="T135" s="71">
        <f t="shared" si="244"/>
        <v>1.0207791630553149</v>
      </c>
      <c r="U135" s="71">
        <f t="shared" si="244"/>
        <v>1.5780095125382401</v>
      </c>
      <c r="V135" s="256">
        <f t="shared" si="244"/>
        <v>4.204284604284604</v>
      </c>
      <c r="W135" s="71">
        <f t="shared" si="244"/>
        <v>0.8093123049487293</v>
      </c>
      <c r="X135" s="71">
        <f>X128/X140</f>
        <v>1.2098053875510519</v>
      </c>
      <c r="Y135" s="71">
        <f>Y128/Y140</f>
        <v>1.4284059884527591</v>
      </c>
      <c r="Z135" s="71">
        <f>Z128/Z140</f>
        <v>1.516686431576121</v>
      </c>
      <c r="AA135" s="256">
        <f>AA128/AA140</f>
        <v>4.9625120082214433</v>
      </c>
      <c r="AB135" s="175">
        <f t="shared" si="244"/>
        <v>0.97683423608935049</v>
      </c>
      <c r="AC135" s="175">
        <f t="shared" si="244"/>
        <v>1.79981146050771</v>
      </c>
      <c r="AD135" s="175">
        <f t="shared" ref="AD135:AK135" si="245">AD128/AD140</f>
        <v>1.7003428519871882</v>
      </c>
      <c r="AE135" s="175">
        <f t="shared" si="245"/>
        <v>1.8988397058151754</v>
      </c>
      <c r="AF135" s="256">
        <f t="shared" si="245"/>
        <v>6.3692307692307697</v>
      </c>
      <c r="AG135" s="175">
        <f t="shared" si="245"/>
        <v>1.2266041591493986</v>
      </c>
      <c r="AH135" s="175">
        <f t="shared" si="245"/>
        <v>1.7761575900460718</v>
      </c>
      <c r="AI135" s="175">
        <f t="shared" si="245"/>
        <v>1.8114664736391555</v>
      </c>
      <c r="AJ135" s="175">
        <f t="shared" si="245"/>
        <v>1.9634809527249524</v>
      </c>
      <c r="AK135" s="256">
        <f t="shared" si="245"/>
        <v>6.777022818543144</v>
      </c>
      <c r="AL135" s="175">
        <f t="shared" ref="AL135:AO135" si="246">AL128/AL140</f>
        <v>1.2884840129787747</v>
      </c>
      <c r="AM135" s="175">
        <f t="shared" si="246"/>
        <v>1.2811642848516926</v>
      </c>
      <c r="AN135" s="175">
        <f t="shared" si="246"/>
        <v>1.7717925365112768</v>
      </c>
      <c r="AO135" s="175">
        <f t="shared" si="246"/>
        <v>2.2736224579599376</v>
      </c>
      <c r="AP135" s="256">
        <f>AP128/AP140</f>
        <v>6.6011029683504034</v>
      </c>
      <c r="AQ135" s="175">
        <f t="shared" ref="AQ135:AU135" si="247">AQ128/AQ140</f>
        <v>1.5148286013186387</v>
      </c>
      <c r="AR135" s="175">
        <f t="shared" si="247"/>
        <v>1.5567805685358256</v>
      </c>
      <c r="AS135" s="175">
        <f t="shared" si="247"/>
        <v>1.8762881562881562</v>
      </c>
      <c r="AT135" s="175">
        <f t="shared" si="247"/>
        <v>2.3975468070033394</v>
      </c>
      <c r="AU135" s="256">
        <f t="shared" si="247"/>
        <v>7.3355576354679792</v>
      </c>
      <c r="AV135" s="175">
        <f t="shared" ref="AV135:AZ135" si="248">AV128/AV140</f>
        <v>1.3121702699906901</v>
      </c>
      <c r="AW135" s="175">
        <f>AW128/AW140</f>
        <v>1.8334971801107254</v>
      </c>
      <c r="AX135" s="175">
        <f>AX128/AX140</f>
        <v>2.0693197402126944</v>
      </c>
      <c r="AY135" s="175">
        <f t="shared" si="248"/>
        <v>2.9155312815468646</v>
      </c>
      <c r="AZ135" s="256">
        <f t="shared" si="248"/>
        <v>8.1297711543188331</v>
      </c>
      <c r="BA135" s="175">
        <v>1.53</v>
      </c>
      <c r="BB135" s="175">
        <v>2.15</v>
      </c>
      <c r="BC135" s="175">
        <f>BC128/BC140</f>
        <v>2.5445043830074172</v>
      </c>
      <c r="BD135" s="175">
        <f>BD128/BD140</f>
        <v>3.1635436956239449</v>
      </c>
      <c r="BE135" s="256">
        <f>BE128/BE140</f>
        <v>9.4373986271685695</v>
      </c>
      <c r="BF135" s="175">
        <f>BF128/BF140</f>
        <v>1.9904504176315994</v>
      </c>
      <c r="BG135" s="175">
        <v>2.67</v>
      </c>
      <c r="BH135" s="175">
        <v>2.97</v>
      </c>
      <c r="BI135" s="175">
        <f>BI128/BI140</f>
        <v>3.2702273382804101</v>
      </c>
      <c r="BJ135" s="256">
        <f>SUM(BF135:BI135)</f>
        <v>10.90067775591201</v>
      </c>
      <c r="BK135" s="175">
        <f>BK128/BK140</f>
        <v>2.8172608385511611</v>
      </c>
      <c r="BL135" s="175">
        <v>3.23</v>
      </c>
      <c r="BM135" s="175">
        <v>3.4</v>
      </c>
      <c r="BN135" s="175">
        <f>BN128/BN140</f>
        <v>3.7855159797697189</v>
      </c>
      <c r="BO135" s="256">
        <f>SUM(BK135:BN135)</f>
        <v>13.232776818320879</v>
      </c>
      <c r="BP135" s="272">
        <f t="shared" ref="BP135:BX135" si="249">BP128/BP140</f>
        <v>3.3591618689707157</v>
      </c>
      <c r="BQ135" s="272">
        <f t="shared" si="249"/>
        <v>3.5728231651136491</v>
      </c>
      <c r="BR135" s="272">
        <f t="shared" si="249"/>
        <v>3.8610805141194242</v>
      </c>
      <c r="BS135" s="272">
        <f t="shared" si="249"/>
        <v>4.1292675691038516</v>
      </c>
      <c r="BT135" s="289">
        <f>SUM(BP135:BS135)</f>
        <v>14.922333117307641</v>
      </c>
      <c r="BU135" s="272">
        <f t="shared" si="249"/>
        <v>3.6623154532434201</v>
      </c>
      <c r="BV135" s="272">
        <f t="shared" si="249"/>
        <v>3.9090342177540789</v>
      </c>
      <c r="BW135" s="272">
        <f t="shared" si="249"/>
        <v>4.2143478566896757</v>
      </c>
      <c r="BX135" s="272">
        <f t="shared" si="249"/>
        <v>4.5063635244180302</v>
      </c>
      <c r="BY135" s="289">
        <f>SUM(BU135:BX135)</f>
        <v>16.292061052105204</v>
      </c>
    </row>
    <row r="136" spans="2:78" s="4" customFormat="1">
      <c r="B136" s="260" t="s">
        <v>273</v>
      </c>
      <c r="C136" s="78"/>
      <c r="D136" s="39"/>
      <c r="E136" s="39"/>
      <c r="F136" s="39"/>
      <c r="G136" s="257"/>
      <c r="H136" s="39"/>
      <c r="I136" s="39"/>
      <c r="J136" s="39"/>
      <c r="K136" s="39"/>
      <c r="L136" s="257"/>
      <c r="M136" s="39"/>
      <c r="N136" s="39"/>
      <c r="O136" s="39"/>
      <c r="P136" s="39"/>
      <c r="Q136" s="257"/>
      <c r="R136" s="39"/>
      <c r="S136" s="39"/>
      <c r="T136" s="39"/>
      <c r="U136" s="39"/>
      <c r="V136" s="257"/>
      <c r="W136" s="39"/>
      <c r="X136" s="39"/>
      <c r="Y136" s="39"/>
      <c r="Z136" s="39"/>
      <c r="AA136" s="257"/>
      <c r="AB136" s="146"/>
      <c r="AC136" s="146"/>
      <c r="AD136" s="146"/>
      <c r="AE136" s="146"/>
      <c r="AF136" s="257"/>
      <c r="AG136" s="146"/>
      <c r="AH136" s="146"/>
      <c r="AI136" s="146"/>
      <c r="AJ136" s="146"/>
      <c r="AK136" s="257"/>
      <c r="AL136" s="146"/>
      <c r="AM136" s="146"/>
      <c r="AN136" s="146"/>
      <c r="AO136" s="146"/>
      <c r="AP136" s="257"/>
      <c r="AQ136" s="146"/>
      <c r="AR136" s="146"/>
      <c r="AS136" s="146"/>
      <c r="AT136" s="146"/>
      <c r="AU136" s="257"/>
      <c r="AV136" s="146"/>
      <c r="AW136" s="146"/>
      <c r="AX136" s="146"/>
      <c r="AY136" s="146"/>
      <c r="AZ136" s="257"/>
      <c r="BA136" s="855">
        <v>1.4</v>
      </c>
      <c r="BB136" s="855">
        <v>1.96</v>
      </c>
      <c r="BC136" s="855">
        <v>2.38</v>
      </c>
      <c r="BD136" s="855">
        <v>2.92</v>
      </c>
      <c r="BE136" s="257"/>
      <c r="BF136" s="855">
        <v>1.74</v>
      </c>
      <c r="BG136" s="855">
        <v>2.29</v>
      </c>
      <c r="BH136" s="855">
        <v>2.69</v>
      </c>
      <c r="BI136" s="855">
        <v>3.09</v>
      </c>
      <c r="BJ136" s="257"/>
      <c r="BK136" s="855">
        <v>2.38</v>
      </c>
      <c r="BL136" s="855">
        <v>3.12</v>
      </c>
      <c r="BM136" s="855">
        <v>3.2987500000000001</v>
      </c>
      <c r="BN136" s="855">
        <v>3.69</v>
      </c>
      <c r="BO136" s="257"/>
      <c r="BP136" s="399"/>
      <c r="BQ136" s="919"/>
      <c r="BR136" s="919"/>
      <c r="BS136" s="399"/>
      <c r="BT136" s="538" cm="1">
        <f t="array" ref="BT136">_xll.FDS("CW-US","FE_ESTIMATE(EPS_NONGAAP,MEAN,ANN_ROLL,+1,NOW,,,'')")</f>
        <v>14.648917000000001</v>
      </c>
      <c r="BU136" s="399"/>
      <c r="BV136" s="919"/>
      <c r="BW136" s="919"/>
      <c r="BX136" s="399"/>
      <c r="BY136" s="538" cm="1">
        <f t="array" ref="BY136">_xll.FDS("CW-US","FE_ESTIMATE(EPS_NONGAAP,MEAN,ANN_ROLL,+2,NOW,,,'')")</f>
        <v>16.393692000000001</v>
      </c>
      <c r="BZ136" s="1033"/>
    </row>
    <row r="137" spans="2:78" s="4" customFormat="1">
      <c r="B137" s="260" t="s">
        <v>184</v>
      </c>
      <c r="C137" s="78"/>
      <c r="D137" s="39"/>
      <c r="E137" s="39"/>
      <c r="F137" s="39"/>
      <c r="G137" s="257"/>
      <c r="H137" s="39"/>
      <c r="I137" s="39"/>
      <c r="J137" s="39"/>
      <c r="K137" s="39"/>
      <c r="L137" s="257"/>
      <c r="M137" s="39"/>
      <c r="N137" s="39"/>
      <c r="O137" s="39"/>
      <c r="P137" s="39"/>
      <c r="Q137" s="257"/>
      <c r="R137" s="39"/>
      <c r="S137" s="39"/>
      <c r="T137" s="39"/>
      <c r="U137" s="39"/>
      <c r="V137" s="257"/>
      <c r="W137" s="39"/>
      <c r="X137" s="39"/>
      <c r="Y137" s="39"/>
      <c r="Z137" s="39"/>
      <c r="AA137" s="257"/>
      <c r="AB137" s="146"/>
      <c r="AC137" s="146"/>
      <c r="AD137" s="146"/>
      <c r="AE137" s="146"/>
      <c r="AF137" s="257"/>
      <c r="AG137" s="146"/>
      <c r="AH137" s="146"/>
      <c r="AI137" s="146"/>
      <c r="AJ137" s="400" t="s">
        <v>316</v>
      </c>
      <c r="AK137" s="401" t="str">
        <f>AJ137</f>
        <v>7.50-7.70</v>
      </c>
      <c r="AL137" s="146"/>
      <c r="AM137" s="146"/>
      <c r="AN137" s="146"/>
      <c r="AO137" s="400" t="s">
        <v>317</v>
      </c>
      <c r="AP137" s="401" t="str">
        <f>AO137</f>
        <v>7.00-7.20</v>
      </c>
      <c r="AQ137" s="400" t="s">
        <v>318</v>
      </c>
      <c r="AR137" s="400" t="s">
        <v>319</v>
      </c>
      <c r="AS137" s="400" t="s">
        <v>320</v>
      </c>
      <c r="AT137" s="400" t="s">
        <v>321</v>
      </c>
      <c r="AU137" s="401" t="str">
        <f>AT137</f>
        <v>8.05-8.25</v>
      </c>
      <c r="AV137" s="146"/>
      <c r="AW137" s="400" t="s">
        <v>322</v>
      </c>
      <c r="AX137" s="400" t="s">
        <v>323</v>
      </c>
      <c r="AY137" s="400" t="s">
        <v>324</v>
      </c>
      <c r="AZ137" s="401" t="str">
        <f>AY137</f>
        <v>8.65-8.90</v>
      </c>
      <c r="BA137" s="400" t="s">
        <v>324</v>
      </c>
      <c r="BB137" s="400" t="s">
        <v>325</v>
      </c>
      <c r="BC137" s="400" t="s">
        <v>326</v>
      </c>
      <c r="BD137" s="400" t="s">
        <v>327</v>
      </c>
      <c r="BE137" s="401" t="str">
        <f>BD137</f>
        <v>10.00-10.30</v>
      </c>
      <c r="BF137" s="400" t="s">
        <v>328</v>
      </c>
      <c r="BG137" s="400" t="s">
        <v>329</v>
      </c>
      <c r="BH137" s="400" t="s">
        <v>330</v>
      </c>
      <c r="BI137" s="400" t="s">
        <v>331</v>
      </c>
      <c r="BJ137" s="401" t="str">
        <f>BI137</f>
        <v>12.10-12.40</v>
      </c>
      <c r="BK137" s="400" t="s">
        <v>332</v>
      </c>
      <c r="BL137" s="400" t="s">
        <v>1181</v>
      </c>
      <c r="BM137" s="400" t="s">
        <v>1232</v>
      </c>
      <c r="BN137" s="400" t="s">
        <v>1291</v>
      </c>
      <c r="BO137" s="401" t="str">
        <f>BN137</f>
        <v>14.70-15.15</v>
      </c>
      <c r="BP137" s="399"/>
      <c r="BQ137" s="399"/>
      <c r="BR137" s="399"/>
      <c r="BS137" s="399"/>
      <c r="BT137" s="279"/>
      <c r="BU137" s="399"/>
      <c r="BV137" s="399"/>
      <c r="BW137" s="399"/>
      <c r="BX137" s="399"/>
      <c r="BY137" s="279"/>
    </row>
    <row r="138" spans="2:78" s="4" customFormat="1" ht="12" customHeight="1">
      <c r="B138" s="54" t="s">
        <v>183</v>
      </c>
      <c r="C138" s="65"/>
      <c r="D138" s="47"/>
      <c r="E138" s="47"/>
      <c r="F138" s="47"/>
      <c r="G138" s="247"/>
      <c r="H138" s="65"/>
      <c r="I138" s="47"/>
      <c r="J138" s="47">
        <f t="shared" ref="J138:P138" si="250">J135/E135-1</f>
        <v>0.14139061322366087</v>
      </c>
      <c r="K138" s="47">
        <f t="shared" si="250"/>
        <v>2.6885898205005532E-2</v>
      </c>
      <c r="L138" s="247">
        <f t="shared" si="250"/>
        <v>0.20129925449471964</v>
      </c>
      <c r="M138" s="35">
        <f>M135/H135-1</f>
        <v>0.19542681175843679</v>
      </c>
      <c r="N138" s="35">
        <f t="shared" si="250"/>
        <v>-4.8185515918968025E-2</v>
      </c>
      <c r="O138" s="35">
        <f>O135/J135-1</f>
        <v>-0.10958278987461834</v>
      </c>
      <c r="P138" s="35">
        <f t="shared" si="250"/>
        <v>0.6257181419887492</v>
      </c>
      <c r="Q138" s="247">
        <f>Q135/L135-1</f>
        <v>0.16587131124315091</v>
      </c>
      <c r="R138" s="35">
        <f>R135/M135-1</f>
        <v>-0.18209648181342697</v>
      </c>
      <c r="S138" s="35">
        <f>S135/N135-1</f>
        <v>6.4298020187631089E-2</v>
      </c>
      <c r="T138" s="35">
        <f>T135/O135-1</f>
        <v>0.26841351877213193</v>
      </c>
      <c r="U138" s="35">
        <f t="shared" ref="U138:AA138" si="251">U135/P135-1</f>
        <v>2.8999928451033385E-2</v>
      </c>
      <c r="V138" s="247">
        <f t="shared" si="251"/>
        <v>4.1317546698097285E-2</v>
      </c>
      <c r="W138" s="35">
        <f t="shared" si="251"/>
        <v>0.115612562109769</v>
      </c>
      <c r="X138" s="35">
        <f t="shared" si="251"/>
        <v>0.36725597486063832</v>
      </c>
      <c r="Y138" s="35">
        <f>Y135/T135-1</f>
        <v>0.39932910089716955</v>
      </c>
      <c r="Z138" s="35">
        <f t="shared" si="251"/>
        <v>-3.8861033773795461E-2</v>
      </c>
      <c r="AA138" s="247">
        <f t="shared" si="251"/>
        <v>0.18034635504079022</v>
      </c>
      <c r="AB138" s="142">
        <f t="shared" ref="AB138:AP138" si="252">AB135/W135-1</f>
        <v>0.20699293723358614</v>
      </c>
      <c r="AC138" s="142">
        <f t="shared" si="252"/>
        <v>0.48768676270402267</v>
      </c>
      <c r="AD138" s="142">
        <f>AD134/Y134-1</f>
        <v>0.17458678678312056</v>
      </c>
      <c r="AE138" s="142">
        <f>AE135/Z135-1</f>
        <v>0.25196590823452247</v>
      </c>
      <c r="AF138" s="247">
        <f>AF135/AA135-1</f>
        <v>0.28346908958180883</v>
      </c>
      <c r="AG138" s="142">
        <f t="shared" si="252"/>
        <v>0.2556932525829303</v>
      </c>
      <c r="AH138" s="142">
        <f t="shared" si="252"/>
        <v>-1.3142415736682622E-2</v>
      </c>
      <c r="AI138" s="142">
        <f t="shared" si="252"/>
        <v>6.5353655894808016E-2</v>
      </c>
      <c r="AJ138" s="142">
        <f t="shared" si="252"/>
        <v>3.4042498011714217E-2</v>
      </c>
      <c r="AK138" s="247">
        <f t="shared" si="252"/>
        <v>6.4025321751942865E-2</v>
      </c>
      <c r="AL138" s="142">
        <f t="shared" si="252"/>
        <v>5.0448103707953607E-2</v>
      </c>
      <c r="AM138" s="142">
        <f t="shared" si="252"/>
        <v>-0.27868771778383672</v>
      </c>
      <c r="AN138" s="142">
        <f t="shared" si="252"/>
        <v>-2.1901557497873814E-2</v>
      </c>
      <c r="AO138" s="142">
        <f t="shared" si="252"/>
        <v>0.15795493447724329</v>
      </c>
      <c r="AP138" s="247">
        <f t="shared" si="252"/>
        <v>-2.5958279159307596E-2</v>
      </c>
      <c r="AQ138" s="142">
        <f t="shared" ref="AQ138" si="253">AQ135/AL135-1</f>
        <v>0.1756673626214349</v>
      </c>
      <c r="AR138" s="142">
        <f t="shared" ref="AR138" si="254">AR135/AM135-1</f>
        <v>0.21512954032748288</v>
      </c>
      <c r="AS138" s="142">
        <f t="shared" ref="AS138" si="255">AS135/AN135-1</f>
        <v>5.8977345046635765E-2</v>
      </c>
      <c r="AT138" s="142">
        <f t="shared" ref="AT138:AU138" si="256">AT135/AO135-1</f>
        <v>5.4505244971320366E-2</v>
      </c>
      <c r="AU138" s="247">
        <f t="shared" si="256"/>
        <v>0.11126241639298562</v>
      </c>
      <c r="AV138" s="142">
        <f t="shared" ref="AV138" si="257">AV135/AQ135-1</f>
        <v>-0.1337830109304361</v>
      </c>
      <c r="AW138" s="142">
        <f t="shared" ref="AW138" si="258">AW135/AR135-1</f>
        <v>0.17774927126380802</v>
      </c>
      <c r="AX138" s="142">
        <f t="shared" ref="AX138" si="259">AX135/AS135-1</f>
        <v>0.10287949816109854</v>
      </c>
      <c r="AY138" s="142">
        <f t="shared" ref="AY138:BC138" si="260">AY135/AT135-1</f>
        <v>0.21604770052057787</v>
      </c>
      <c r="AZ138" s="247">
        <f t="shared" si="260"/>
        <v>0.10826900398284267</v>
      </c>
      <c r="BA138" s="142">
        <f t="shared" si="260"/>
        <v>0.16600721338615254</v>
      </c>
      <c r="BB138" s="142">
        <f t="shared" si="260"/>
        <v>0.17262247431990096</v>
      </c>
      <c r="BC138" s="142">
        <f t="shared" si="260"/>
        <v>0.22963326235213954</v>
      </c>
      <c r="BD138" s="920">
        <f>BD135/AY135-1</f>
        <v>8.5065941719375093E-2</v>
      </c>
      <c r="BE138" s="247">
        <f>BE135/AZ135-1</f>
        <v>0.16084431505246943</v>
      </c>
      <c r="BF138" s="142">
        <f t="shared" ref="BF138:BH138" si="261">BF135/BA135-1</f>
        <v>0.30094798538013023</v>
      </c>
      <c r="BG138" s="142">
        <f t="shared" si="261"/>
        <v>0.24186046511627901</v>
      </c>
      <c r="BH138" s="142">
        <f t="shared" si="261"/>
        <v>0.16722141248178102</v>
      </c>
      <c r="BI138" s="920">
        <f>BI135/BD135-1</f>
        <v>3.3722828865628829E-2</v>
      </c>
      <c r="BJ138" s="247">
        <f>BJ135/BE135-1</f>
        <v>0.15505110958552959</v>
      </c>
      <c r="BK138" s="142">
        <f t="shared" ref="BK138:BM138" si="262">BK135/BF135-1</f>
        <v>0.41538860430563673</v>
      </c>
      <c r="BL138" s="142">
        <f t="shared" si="262"/>
        <v>0.20973782771535587</v>
      </c>
      <c r="BM138" s="142">
        <f t="shared" si="262"/>
        <v>0.14478114478114468</v>
      </c>
      <c r="BN138" s="920">
        <f>BN135/BI135-1</f>
        <v>0.15756966968549158</v>
      </c>
      <c r="BO138" s="247">
        <f>BO135/BJ135-1</f>
        <v>0.21394073970712957</v>
      </c>
      <c r="BP138" s="919">
        <f t="shared" ref="BP138:BY138" si="263">BP135/BK135-1</f>
        <v>0.19235032234297456</v>
      </c>
      <c r="BQ138" s="919">
        <f t="shared" si="263"/>
        <v>0.10613720282156325</v>
      </c>
      <c r="BR138" s="919">
        <f t="shared" si="263"/>
        <v>0.13561191591747779</v>
      </c>
      <c r="BS138" s="919">
        <f t="shared" si="263"/>
        <v>9.0807063335932359E-2</v>
      </c>
      <c r="BT138" s="279">
        <f t="shared" si="263"/>
        <v>0.12767964896434725</v>
      </c>
      <c r="BU138" s="919">
        <f t="shared" si="263"/>
        <v>9.0246792532684417E-2</v>
      </c>
      <c r="BV138" s="919">
        <f t="shared" si="263"/>
        <v>9.4102349067627378E-2</v>
      </c>
      <c r="BW138" s="919">
        <f t="shared" si="263"/>
        <v>9.1494425272511837E-2</v>
      </c>
      <c r="BX138" s="919">
        <f t="shared" si="263"/>
        <v>9.1322722251204747E-2</v>
      </c>
      <c r="BY138" s="279">
        <f t="shared" si="263"/>
        <v>9.1790467618558136E-2</v>
      </c>
    </row>
    <row r="139" spans="2:78" s="8" customFormat="1" ht="6" customHeight="1">
      <c r="B139" s="57"/>
      <c r="C139" s="78"/>
      <c r="D139" s="39"/>
      <c r="E139" s="39"/>
      <c r="F139" s="39"/>
      <c r="G139" s="257"/>
      <c r="H139" s="78"/>
      <c r="I139" s="39"/>
      <c r="J139" s="39"/>
      <c r="K139" s="39"/>
      <c r="L139" s="257"/>
      <c r="M139" s="39"/>
      <c r="N139" s="39"/>
      <c r="O139" s="39"/>
      <c r="P139" s="39"/>
      <c r="Q139" s="257"/>
      <c r="R139" s="39"/>
      <c r="S139" s="39"/>
      <c r="T139" s="39"/>
      <c r="U139" s="39"/>
      <c r="V139" s="257"/>
      <c r="W139" s="39"/>
      <c r="X139" s="39"/>
      <c r="Y139" s="39"/>
      <c r="Z139" s="39"/>
      <c r="AA139" s="257"/>
      <c r="AB139" s="146"/>
      <c r="AC139" s="146"/>
      <c r="AD139" s="146"/>
      <c r="AE139" s="146"/>
      <c r="AF139" s="257"/>
      <c r="AG139" s="146"/>
      <c r="AH139" s="146"/>
      <c r="AI139" s="146"/>
      <c r="AJ139" s="146"/>
      <c r="AK139" s="257"/>
      <c r="AL139" s="146"/>
      <c r="AM139" s="146"/>
      <c r="AN139" s="146"/>
      <c r="AO139" s="146"/>
      <c r="AP139" s="257"/>
      <c r="AQ139" s="146"/>
      <c r="AR139" s="146"/>
      <c r="AS139" s="146"/>
      <c r="AT139" s="146"/>
      <c r="AU139" s="257"/>
      <c r="AV139" s="146"/>
      <c r="AW139" s="146"/>
      <c r="AX139" s="146"/>
      <c r="AY139" s="146"/>
      <c r="AZ139" s="257"/>
      <c r="BA139" s="146"/>
      <c r="BB139" s="146"/>
      <c r="BC139" s="146"/>
      <c r="BD139" s="146"/>
      <c r="BE139" s="257"/>
      <c r="BF139" s="146"/>
      <c r="BG139" s="146"/>
      <c r="BH139" s="146"/>
      <c r="BI139" s="146"/>
      <c r="BJ139" s="257"/>
      <c r="BK139" s="146"/>
      <c r="BL139" s="146"/>
      <c r="BM139" s="146"/>
      <c r="BN139" s="146"/>
      <c r="BO139" s="257"/>
      <c r="BP139" s="146"/>
      <c r="BQ139" s="146"/>
      <c r="BR139" s="146"/>
      <c r="BS139" s="146"/>
      <c r="BT139" s="290"/>
      <c r="BU139" s="146"/>
      <c r="BV139" s="146"/>
      <c r="BW139" s="146"/>
      <c r="BX139" s="146"/>
      <c r="BY139" s="290"/>
    </row>
    <row r="140" spans="2:78">
      <c r="B140" s="51" t="s">
        <v>333</v>
      </c>
      <c r="C140" s="60"/>
      <c r="D140" s="60"/>
      <c r="E140" s="60">
        <v>48.1</v>
      </c>
      <c r="F140" s="60">
        <v>48.6</v>
      </c>
      <c r="G140" s="258">
        <f>AVERAGE(C140:F140)</f>
        <v>48.35</v>
      </c>
      <c r="H140" s="158">
        <v>49.1</v>
      </c>
      <c r="I140" s="158">
        <v>49.238999999999997</v>
      </c>
      <c r="J140" s="158">
        <v>49.100999999999999</v>
      </c>
      <c r="K140" s="158">
        <v>48.905000000000001</v>
      </c>
      <c r="L140" s="258">
        <v>49.075000000000003</v>
      </c>
      <c r="M140" s="157">
        <v>48.731999999999999</v>
      </c>
      <c r="N140" s="158">
        <v>48.258000000000003</v>
      </c>
      <c r="O140" s="158">
        <v>47.395000000000003</v>
      </c>
      <c r="P140" s="158">
        <v>46.143000000000001</v>
      </c>
      <c r="Q140" s="258">
        <v>47.616</v>
      </c>
      <c r="R140" s="157">
        <v>45.24</v>
      </c>
      <c r="S140" s="157">
        <v>45.164000000000001</v>
      </c>
      <c r="T140" s="157">
        <v>44.997</v>
      </c>
      <c r="U140" s="157">
        <v>44.783000000000001</v>
      </c>
      <c r="V140" s="258">
        <v>45.045000000000002</v>
      </c>
      <c r="W140" s="157">
        <v>44.86</v>
      </c>
      <c r="X140" s="157">
        <v>44.807000000000002</v>
      </c>
      <c r="Y140" s="157">
        <v>44.686</v>
      </c>
      <c r="Z140" s="157">
        <v>44.692</v>
      </c>
      <c r="AA140" s="258">
        <v>44.761000000000003</v>
      </c>
      <c r="AB140" s="177">
        <v>44.677999999999997</v>
      </c>
      <c r="AC140" s="177">
        <v>44.552999999999997</v>
      </c>
      <c r="AD140" s="177">
        <v>44.334000000000003</v>
      </c>
      <c r="AE140" s="177">
        <v>43.781999999999996</v>
      </c>
      <c r="AF140" s="1010">
        <v>44.33</v>
      </c>
      <c r="AG140" s="177">
        <v>43.058</v>
      </c>
      <c r="AH140" s="177">
        <v>43.024000000000001</v>
      </c>
      <c r="AI140" s="177">
        <v>42.994999999999997</v>
      </c>
      <c r="AJ140" s="177">
        <v>42.985999999999997</v>
      </c>
      <c r="AK140" s="1010">
        <f>AVERAGE(AG140:AJ140)</f>
        <v>43.015749999999997</v>
      </c>
      <c r="AL140" s="177">
        <v>42.77</v>
      </c>
      <c r="AM140" s="177">
        <v>41.854999999999997</v>
      </c>
      <c r="AN140" s="177">
        <v>41.796999999999997</v>
      </c>
      <c r="AO140" s="177">
        <v>41.46</v>
      </c>
      <c r="AP140" s="1010">
        <f>AVERAGE(AL140:AO140)</f>
        <v>41.970500000000001</v>
      </c>
      <c r="AQ140" s="177">
        <v>41.103000000000002</v>
      </c>
      <c r="AR140" s="177">
        <v>41.088000000000001</v>
      </c>
      <c r="AS140" s="177">
        <v>40.950000000000003</v>
      </c>
      <c r="AT140" s="177">
        <v>39.524000000000001</v>
      </c>
      <c r="AU140" s="1010">
        <v>40.6</v>
      </c>
      <c r="AV140" s="177">
        <v>38.667999999999999</v>
      </c>
      <c r="AW140" s="177">
        <v>38.654000000000003</v>
      </c>
      <c r="AX140" s="177">
        <v>38.646999999999998</v>
      </c>
      <c r="AY140" s="177">
        <v>38.633000000000003</v>
      </c>
      <c r="AZ140" s="1010">
        <f>AVERAGE(AV140:AY140)</f>
        <v>38.650500000000001</v>
      </c>
      <c r="BA140" s="177">
        <v>38.515999999999998</v>
      </c>
      <c r="BB140" s="177">
        <v>38.555</v>
      </c>
      <c r="BC140" s="177">
        <v>38.558</v>
      </c>
      <c r="BD140" s="177">
        <v>38.505000000000003</v>
      </c>
      <c r="BE140" s="1010">
        <f>AVERAGE(BA140:BD140)</f>
        <v>38.533499999999997</v>
      </c>
      <c r="BF140" s="177">
        <v>38.430999999999997</v>
      </c>
      <c r="BG140" s="177">
        <v>38.500999999999998</v>
      </c>
      <c r="BH140" s="177">
        <v>38.451000000000001</v>
      </c>
      <c r="BI140" s="177">
        <v>38.137</v>
      </c>
      <c r="BJ140" s="1010">
        <f>AVERAGE(BF140:BI140)</f>
        <v>38.379999999999995</v>
      </c>
      <c r="BK140" s="177">
        <v>37.850999999999999</v>
      </c>
      <c r="BL140" s="177">
        <v>37.902999999999999</v>
      </c>
      <c r="BM140" s="177">
        <v>37.662999999999997</v>
      </c>
      <c r="BN140" s="177">
        <v>37.171999999999997</v>
      </c>
      <c r="BO140" s="1010">
        <f>AVERAGE(BK140:BN140)</f>
        <v>37.64725</v>
      </c>
      <c r="BP140" s="273">
        <f>BN140-0.02</f>
        <v>37.151999999999994</v>
      </c>
      <c r="BQ140" s="273">
        <f>BP140-0.02</f>
        <v>37.131999999999991</v>
      </c>
      <c r="BR140" s="273">
        <f t="shared" ref="BR140:BS140" si="264">BQ140-0.02</f>
        <v>37.111999999999988</v>
      </c>
      <c r="BS140" s="273">
        <f t="shared" si="264"/>
        <v>37.091999999999985</v>
      </c>
      <c r="BT140" s="1011">
        <f>AVERAGE(BP140:BS140)</f>
        <v>37.121999999999993</v>
      </c>
      <c r="BU140" s="273">
        <f>BS140-0.02</f>
        <v>37.071999999999981</v>
      </c>
      <c r="BV140" s="273">
        <f>BU140-0.02</f>
        <v>37.051999999999978</v>
      </c>
      <c r="BW140" s="273">
        <f t="shared" ref="BW140" si="265">BV140-0.02</f>
        <v>37.031999999999975</v>
      </c>
      <c r="BX140" s="273">
        <f t="shared" ref="BX140" si="266">BW140-0.02</f>
        <v>37.011999999999972</v>
      </c>
      <c r="BY140" s="1011">
        <f>AVERAGE(BU140:BX140)</f>
        <v>37.04199999999998</v>
      </c>
    </row>
    <row r="141" spans="2:78">
      <c r="B141" s="260"/>
      <c r="C141" s="60"/>
      <c r="D141" s="60"/>
      <c r="E141" s="60"/>
      <c r="F141" s="60"/>
      <c r="G141" s="258"/>
      <c r="H141" s="158"/>
      <c r="I141" s="158"/>
      <c r="J141" s="158"/>
      <c r="K141" s="158"/>
      <c r="L141" s="258"/>
      <c r="M141" s="157"/>
      <c r="N141" s="158"/>
      <c r="O141" s="158"/>
      <c r="P141" s="158"/>
      <c r="Q141" s="258"/>
      <c r="R141" s="157"/>
      <c r="S141" s="157"/>
      <c r="T141" s="157"/>
      <c r="U141" s="157"/>
      <c r="V141" s="258"/>
      <c r="W141" s="157"/>
      <c r="X141" s="157"/>
      <c r="Y141" s="157"/>
      <c r="Z141" s="157"/>
      <c r="AA141" s="258"/>
      <c r="AB141" s="177"/>
      <c r="AC141" s="177"/>
      <c r="AD141" s="177"/>
      <c r="AE141" s="177"/>
      <c r="AF141" s="258"/>
      <c r="AG141" s="177"/>
      <c r="AH141" s="177"/>
      <c r="AI141" s="177"/>
      <c r="AJ141" s="177"/>
      <c r="AK141" s="258"/>
      <c r="AL141" s="177"/>
      <c r="AM141" s="177"/>
      <c r="AN141" s="177"/>
      <c r="AO141" s="177"/>
      <c r="AP141" s="258"/>
      <c r="AQ141" s="177"/>
      <c r="AR141" s="177"/>
      <c r="AS141" s="177"/>
      <c r="AT141" s="177"/>
      <c r="AU141" s="258"/>
      <c r="AV141" s="177"/>
      <c r="AW141" s="177"/>
      <c r="AX141" s="177"/>
      <c r="AY141" s="177"/>
      <c r="AZ141" s="258"/>
      <c r="BA141" s="177"/>
      <c r="BB141" s="177"/>
      <c r="BC141" s="177"/>
      <c r="BD141" s="177"/>
      <c r="BE141" s="258"/>
      <c r="BF141" s="177"/>
      <c r="BG141" s="177"/>
      <c r="BH141" s="177"/>
      <c r="BI141" s="273"/>
      <c r="BJ141" s="291"/>
      <c r="BK141" s="1012"/>
      <c r="BL141" s="1026"/>
      <c r="BM141" s="1026"/>
      <c r="BN141" s="273"/>
      <c r="BO141" s="291"/>
      <c r="BP141" s="273"/>
      <c r="BQ141" s="273"/>
      <c r="BR141" s="273"/>
      <c r="BS141" s="273"/>
      <c r="BT141" s="291"/>
      <c r="BU141" s="273"/>
      <c r="BV141" s="273"/>
      <c r="BW141" s="273"/>
      <c r="BX141" s="273"/>
      <c r="BY141" s="291"/>
    </row>
    <row r="142" spans="2:78" s="9" customFormat="1" ht="6" customHeight="1">
      <c r="B142" s="58"/>
      <c r="C142" s="40"/>
      <c r="D142" s="40"/>
      <c r="E142" s="73"/>
      <c r="F142" s="73"/>
      <c r="G142" s="259"/>
      <c r="H142" s="40"/>
      <c r="I142" s="40"/>
      <c r="J142" s="73"/>
      <c r="K142" s="40"/>
      <c r="L142" s="259"/>
      <c r="M142" s="40"/>
      <c r="N142" s="40"/>
      <c r="O142" s="40"/>
      <c r="P142" s="40"/>
      <c r="Q142" s="259"/>
      <c r="R142" s="40"/>
      <c r="S142" s="40"/>
      <c r="T142" s="40"/>
      <c r="U142" s="40"/>
      <c r="V142" s="259"/>
      <c r="W142" s="40"/>
      <c r="X142" s="40"/>
      <c r="Y142" s="40"/>
      <c r="Z142" s="40"/>
      <c r="AA142" s="259"/>
      <c r="AB142" s="229"/>
      <c r="AC142" s="229"/>
      <c r="AD142" s="229"/>
      <c r="AE142" s="229"/>
      <c r="AF142" s="259"/>
      <c r="AG142" s="229"/>
      <c r="AH142" s="229"/>
      <c r="AI142" s="229"/>
      <c r="AJ142" s="229"/>
      <c r="AK142" s="259"/>
      <c r="AL142" s="229"/>
      <c r="AM142" s="229"/>
      <c r="AN142" s="229"/>
      <c r="AO142" s="229"/>
      <c r="AP142" s="259"/>
      <c r="AQ142" s="229"/>
      <c r="AR142" s="229"/>
      <c r="AS142" s="229"/>
      <c r="AT142" s="229"/>
      <c r="AU142" s="259"/>
      <c r="AV142" s="229"/>
      <c r="AW142" s="229"/>
      <c r="AX142" s="229"/>
      <c r="AY142" s="229"/>
      <c r="AZ142" s="259"/>
      <c r="BA142" s="229"/>
      <c r="BB142" s="229"/>
      <c r="BC142" s="229"/>
      <c r="BD142" s="229"/>
      <c r="BE142" s="259"/>
      <c r="BF142" s="229"/>
      <c r="BG142" s="229"/>
      <c r="BH142" s="229"/>
      <c r="BI142" s="229"/>
      <c r="BJ142" s="292"/>
      <c r="BK142" s="229"/>
      <c r="BL142" s="229"/>
      <c r="BM142" s="229"/>
      <c r="BN142" s="229"/>
      <c r="BO142" s="292"/>
      <c r="BP142" s="229"/>
      <c r="BQ142" s="229"/>
      <c r="BR142" s="229"/>
      <c r="BS142" s="229"/>
      <c r="BT142" s="292"/>
      <c r="BU142" s="229"/>
      <c r="BV142" s="229"/>
      <c r="BW142" s="229"/>
      <c r="BX142" s="229"/>
      <c r="BY142" s="292"/>
    </row>
    <row r="143" spans="2:78" ht="3" customHeight="1">
      <c r="Q143" s="3"/>
    </row>
    <row r="144" spans="2:78">
      <c r="B144" s="159" t="s">
        <v>334</v>
      </c>
      <c r="E144" s="104"/>
      <c r="L144" s="124"/>
      <c r="M144" s="126"/>
      <c r="N144" s="126"/>
      <c r="O144" s="133"/>
      <c r="P144" s="104"/>
      <c r="Q144" s="136"/>
      <c r="R144" s="134"/>
      <c r="S144" s="134"/>
      <c r="T144" s="138"/>
      <c r="U144" s="141"/>
      <c r="V144" s="137"/>
      <c r="X144" s="137"/>
      <c r="Y144" s="137"/>
      <c r="Z144" s="137"/>
      <c r="AA144" s="137"/>
      <c r="AB144" s="137"/>
      <c r="AC144" s="151"/>
      <c r="AD144" s="151"/>
      <c r="AE144" s="151"/>
      <c r="AF144" s="137"/>
      <c r="AG144" s="137"/>
      <c r="AH144" s="137"/>
      <c r="AI144" s="151"/>
      <c r="AJ144" s="137"/>
      <c r="AK144" s="137"/>
      <c r="AL144" s="137"/>
      <c r="AM144" s="137"/>
      <c r="AN144" s="151"/>
      <c r="AO144" s="151"/>
      <c r="AP144" s="137"/>
      <c r="AR144" s="196"/>
      <c r="AS144" s="212"/>
      <c r="AT144" s="196"/>
      <c r="AU144" s="187"/>
      <c r="AV144" s="196"/>
      <c r="AW144" s="196"/>
      <c r="AX144" s="196"/>
      <c r="AY144" s="196"/>
      <c r="AZ144" s="187"/>
      <c r="BA144" s="196"/>
      <c r="BB144" s="196"/>
      <c r="BC144" s="196"/>
      <c r="BD144" s="196"/>
      <c r="BE144" s="187"/>
      <c r="BF144" s="196"/>
      <c r="BG144" s="196"/>
      <c r="BH144" s="196"/>
      <c r="BI144" s="196"/>
      <c r="BJ144" s="187"/>
      <c r="BL144" s="1003"/>
    </row>
    <row r="145" spans="2:68">
      <c r="B145" s="876" t="s">
        <v>335</v>
      </c>
      <c r="E145" s="104"/>
      <c r="L145" s="124"/>
      <c r="M145" s="126"/>
      <c r="N145" s="126"/>
      <c r="O145" s="133"/>
      <c r="P145" s="104"/>
      <c r="Q145" s="136"/>
      <c r="R145" s="134"/>
      <c r="S145" s="134"/>
      <c r="T145" s="138"/>
      <c r="U145" s="141"/>
      <c r="V145" s="137"/>
      <c r="X145" s="137"/>
      <c r="Y145" s="137"/>
      <c r="Z145" s="137"/>
      <c r="AA145" s="137"/>
      <c r="AB145" s="137"/>
      <c r="AC145" s="184"/>
      <c r="AD145" s="151"/>
      <c r="AE145" s="151"/>
      <c r="AF145" s="137"/>
      <c r="AG145" s="137"/>
      <c r="AH145" s="137"/>
      <c r="AI145" s="137"/>
      <c r="AJ145" s="137"/>
      <c r="AK145" s="137"/>
      <c r="AL145" s="137"/>
      <c r="AM145" s="137"/>
      <c r="AN145" s="137"/>
      <c r="AO145" s="200"/>
      <c r="AP145" s="151"/>
      <c r="AQ145" s="126"/>
      <c r="AR145" s="126"/>
      <c r="AS145" s="126"/>
      <c r="AT145" s="126"/>
      <c r="AU145" s="197"/>
      <c r="AV145" s="126"/>
      <c r="AW145" s="126"/>
      <c r="AX145" s="126"/>
      <c r="AY145" s="126"/>
      <c r="AZ145" s="197"/>
      <c r="BA145" s="126"/>
      <c r="BB145" s="126"/>
      <c r="BC145" s="126"/>
      <c r="BD145" s="126"/>
      <c r="BE145" s="197"/>
      <c r="BF145" s="126"/>
      <c r="BG145" s="126"/>
      <c r="BH145" s="126"/>
      <c r="BI145" s="126"/>
      <c r="BJ145" s="197"/>
    </row>
    <row r="146" spans="2:68">
      <c r="M146" s="126"/>
      <c r="W146" s="151"/>
      <c r="AC146" s="176"/>
      <c r="AE146" s="176"/>
      <c r="AJ146" s="176"/>
      <c r="AO146" s="176"/>
      <c r="AQ146" s="176"/>
      <c r="AR146" s="176"/>
      <c r="AS146" s="176"/>
      <c r="AT146" s="176"/>
      <c r="AV146" s="176"/>
      <c r="AW146" s="176"/>
      <c r="AX146" s="176"/>
      <c r="AY146" s="176"/>
      <c r="BA146" s="176"/>
      <c r="BB146" s="176"/>
      <c r="BC146" s="176"/>
      <c r="BD146" s="176"/>
      <c r="BF146" s="176"/>
      <c r="BG146" s="176"/>
      <c r="BH146" s="176"/>
      <c r="BI146" s="176"/>
    </row>
    <row r="147" spans="2:68">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P147" s="3">
        <f>(14.7+15.15)/2</f>
        <v>14.925000000000001</v>
      </c>
    </row>
    <row r="148" spans="2:6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P148" s="1067">
        <f>BP147/BO135-1</f>
        <v>0.12788118509912638</v>
      </c>
    </row>
    <row r="149" spans="2:68">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S149" s="3"/>
      <c r="AT149" s="3"/>
      <c r="AU149" s="3"/>
      <c r="AV149" s="3"/>
      <c r="AW149" s="3"/>
      <c r="AX149" s="3"/>
      <c r="AY149" s="3"/>
      <c r="AZ149" s="3"/>
      <c r="BA149" s="3"/>
      <c r="BB149" s="3"/>
      <c r="BC149" s="3"/>
      <c r="BD149" s="3"/>
      <c r="BE149" s="3"/>
      <c r="BF149" s="3"/>
      <c r="BG149" s="3"/>
      <c r="BH149" s="3"/>
      <c r="BI149" s="3"/>
      <c r="BJ149" s="3"/>
    </row>
    <row r="150" spans="2:68">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row>
    <row r="151" spans="2:68">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t="s">
        <v>336</v>
      </c>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row>
    <row r="152" spans="2:68">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t="s">
        <v>337</v>
      </c>
      <c r="AI152" s="3"/>
      <c r="AJ152" s="3"/>
      <c r="AK152" s="3"/>
      <c r="AL152" s="3"/>
      <c r="AM152" s="3"/>
      <c r="AN152" s="3"/>
      <c r="AO152" s="3"/>
      <c r="AP152" s="3"/>
      <c r="AQ152" s="3"/>
      <c r="AR152" s="104"/>
      <c r="AS152" s="3"/>
      <c r="AT152" s="3"/>
      <c r="AU152" s="3"/>
      <c r="AV152" s="3"/>
      <c r="AW152" s="3"/>
      <c r="AX152" s="3"/>
      <c r="AY152" s="3"/>
      <c r="AZ152" s="3"/>
      <c r="BA152" s="3"/>
      <c r="BB152" s="3"/>
      <c r="BC152" s="3"/>
      <c r="BD152" s="3"/>
      <c r="BE152" s="3"/>
      <c r="BF152" s="3"/>
      <c r="BG152" s="3"/>
      <c r="BH152" s="3"/>
      <c r="BI152" s="3"/>
      <c r="BJ152" s="3"/>
    </row>
    <row r="153" spans="2:68">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row>
    <row r="154" spans="2:68">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row>
    <row r="155" spans="2:68">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S155" s="3"/>
      <c r="AT155" s="3"/>
      <c r="AU155" s="3"/>
      <c r="AV155" s="3"/>
      <c r="AW155" s="3"/>
      <c r="AX155" s="3"/>
      <c r="AY155" s="3"/>
      <c r="AZ155" s="3"/>
      <c r="BA155" s="3"/>
      <c r="BB155" s="3"/>
      <c r="BC155" s="3"/>
      <c r="BD155" s="3"/>
      <c r="BE155" s="3"/>
      <c r="BF155" s="3"/>
      <c r="BG155" s="3"/>
      <c r="BH155" s="3"/>
      <c r="BI155" s="3"/>
      <c r="BJ155" s="3"/>
    </row>
    <row r="156" spans="2:68">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row>
    <row r="157" spans="2:68">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row>
    <row r="158" spans="2:6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row>
    <row r="159" spans="2:68">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row>
    <row r="160" spans="2:68">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row>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sheetData>
  <mergeCells count="3">
    <mergeCell ref="B4:BT4"/>
    <mergeCell ref="B2:BY2"/>
    <mergeCell ref="B3:BY3"/>
  </mergeCells>
  <phoneticPr fontId="171" type="noConversion"/>
  <hyperlinks>
    <hyperlink ref="B145" r:id="rId1" xr:uid="{F1600FAF-7794-4D31-BB6B-EA3649C6B0B0}"/>
  </hyperlinks>
  <printOptions horizontalCentered="1" verticalCentered="1"/>
  <pageMargins left="0.7" right="0.7" top="0.75" bottom="0.75" header="0.3" footer="0.3"/>
  <pageSetup scale="80" orientation="landscape" r:id="rId2"/>
  <ignoredErrors>
    <ignoredError sqref="C122:G122 C139:G139 H9:K9 G8 G82 G140 C125:G127 L121:L122 L124:L127 AK140 AZ140 G78 G80" formulaRange="1"/>
    <ignoredError sqref="H24:K24 G23 H41:K41 G40 E133:G133 L128:L129 L120 AL85" formula="1" formulaRange="1"/>
    <ignoredError sqref="L133 Q139 Q120:Q122 Q133 V120:V122 L138:L139 AA139 Q124:Q127 AA125:AA127 V129 AA129 AA120 V124:V127 V133:V134 AA133 W128 AD138 AF87 AK8 AF122 AF126:AF127 AK40 AK120:AK122 AP40:AP41 AI72 AP138:AP140 AP8:AP9 AP23:AP24 AK23 AP77 AP120:AP122 AU138:AU139 AU12:AU14 AU27:AU29 AU44:AU46 AU37 AZ84:AZ86 AZ12:AZ15 AZ44:AZ47 AZ27:AZ30 AZ37 AZ33 AU33 AZ62:AZ67 AU63:AU67 AP63:AP67 AZ120:AZ122 AU84:AU87 AP84:AP87 AK84:AK87 AU70:AU74 AZ70:AZ74 AP70:AP74 AU120:AU122 AZ8:AZ9 AU8:AU9 AZ22:AZ24 AU23:AU24 AZ39:AZ41 AU40:AU41 AK78 AU77:AU78 AZ77:AZ78 AK80 AU80 AZ80 AK82 AU82 AZ82 AK124:AK127 AP124:AP127 AU124:AU127 AZ124:AZ127 AF128 AK128 AP128:AP134 AU128:AU133 AZ128 AU135" formula="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63E3-C2A7-443D-81FF-7618D6AD187D}">
  <sheetPr>
    <pageSetUpPr fitToPage="1"/>
  </sheetPr>
  <dimension ref="A1:XDU58"/>
  <sheetViews>
    <sheetView showGridLines="0" zoomScaleNormal="100" workbookViewId="0">
      <pane xSplit="1" ySplit="7" topLeftCell="BJ8" activePane="bottomRight" state="frozen"/>
      <selection pane="topRight" activeCell="B1" sqref="B1"/>
      <selection pane="bottomLeft" activeCell="A5" sqref="A5"/>
      <selection pane="bottomRight" activeCell="BQ27" sqref="BQ27"/>
    </sheetView>
  </sheetViews>
  <sheetFormatPr defaultColWidth="12" defaultRowHeight="12.75" outlineLevelCol="1"/>
  <cols>
    <col min="1" max="1" width="41.5" style="540" customWidth="1"/>
    <col min="2" max="5" width="14.5" style="541" hidden="1" customWidth="1" outlineLevel="1"/>
    <col min="6" max="6" width="14.5" style="541" hidden="1" customWidth="1" collapsed="1"/>
    <col min="7" max="7" width="14.5" style="541" hidden="1" customWidth="1" outlineLevel="1" collapsed="1"/>
    <col min="8" max="8" width="14.5" style="542" hidden="1" customWidth="1" outlineLevel="1"/>
    <col min="9" max="10" width="14.5" style="541" hidden="1" customWidth="1" outlineLevel="1"/>
    <col min="11" max="11" width="14.5" style="541" hidden="1" customWidth="1" collapsed="1"/>
    <col min="12" max="15" width="14.5" style="541" hidden="1" customWidth="1" outlineLevel="1"/>
    <col min="16" max="16" width="14.5" style="541" hidden="1" customWidth="1" collapsed="1"/>
    <col min="17" max="20" width="14.5" style="540" hidden="1" customWidth="1" outlineLevel="1"/>
    <col min="21" max="21" width="14.5" style="540" hidden="1" customWidth="1" collapsed="1"/>
    <col min="22" max="22" width="13.33203125" style="540" hidden="1" customWidth="1" outlineLevel="1"/>
    <col min="23" max="25" width="14.5" style="540" hidden="1" customWidth="1" outlineLevel="1"/>
    <col min="26" max="26" width="14.5" style="540" hidden="1" customWidth="1" collapsed="1"/>
    <col min="27" max="30" width="12" style="540" hidden="1" customWidth="1" outlineLevel="1"/>
    <col min="31" max="31" width="13.6640625" style="540" hidden="1" customWidth="1" collapsed="1"/>
    <col min="32" max="33" width="13.6640625" style="540" hidden="1" customWidth="1" outlineLevel="1"/>
    <col min="34" max="34" width="12" style="540" hidden="1" customWidth="1" outlineLevel="1"/>
    <col min="35" max="35" width="10.6640625" style="540" hidden="1" customWidth="1" outlineLevel="1"/>
    <col min="36" max="36" width="13.6640625" style="542" hidden="1" customWidth="1" collapsed="1"/>
    <col min="37" max="39" width="13.6640625" style="540" hidden="1" customWidth="1" outlineLevel="1"/>
    <col min="40" max="40" width="13.6640625" style="543" hidden="1" customWidth="1" outlineLevel="1"/>
    <col min="41" max="41" width="13.6640625" style="543" hidden="1" customWidth="1" collapsed="1"/>
    <col min="42" max="42" width="13.6640625" style="540" hidden="1" customWidth="1" outlineLevel="1"/>
    <col min="43" max="43" width="13.1640625" style="540" hidden="1" customWidth="1" outlineLevel="1"/>
    <col min="44" max="44" width="15" style="540" hidden="1" customWidth="1" outlineLevel="1"/>
    <col min="45" max="45" width="13.6640625" style="540" hidden="1" customWidth="1" outlineLevel="1"/>
    <col min="46" max="46" width="15" style="540" customWidth="1" collapsed="1"/>
    <col min="47" max="47" width="12" style="540" hidden="1" customWidth="1" outlineLevel="1"/>
    <col min="48" max="48" width="12.6640625" style="540" hidden="1" customWidth="1" outlineLevel="1"/>
    <col min="49" max="50" width="12" style="540" hidden="1" customWidth="1" outlineLevel="1"/>
    <col min="51" max="51" width="12.5" style="540" bestFit="1" customWidth="1" collapsed="1"/>
    <col min="52" max="55" width="12" style="540" hidden="1" customWidth="1" outlineLevel="1"/>
    <col min="56" max="56" width="16.6640625" style="540" customWidth="1" collapsed="1"/>
    <col min="57" max="57" width="16.5" style="540" hidden="1" customWidth="1" outlineLevel="1"/>
    <col min="58" max="60" width="12" style="540" hidden="1" customWidth="1" outlineLevel="1"/>
    <col min="61" max="61" width="13.33203125" style="540" bestFit="1" customWidth="1" collapsed="1"/>
    <col min="62" max="62" width="12.5" style="540" customWidth="1" outlineLevel="1"/>
    <col min="63" max="64" width="13.33203125" style="540" customWidth="1" outlineLevel="1"/>
    <col min="65" max="65" width="13.6640625" style="540" customWidth="1" outlineLevel="1"/>
    <col min="66" max="66" width="13.6640625" style="540" customWidth="1"/>
    <col min="67" max="70" width="12" style="540" customWidth="1" outlineLevel="1"/>
    <col min="71" max="71" width="12" style="540"/>
    <col min="72" max="75" width="12" style="540" customWidth="1" outlineLevel="1"/>
    <col min="76" max="76" width="12" style="540"/>
    <col min="77" max="80" width="12" style="540" customWidth="1" outlineLevel="1"/>
    <col min="81" max="16384" width="12" style="540"/>
  </cols>
  <sheetData>
    <row r="1" spans="1:81">
      <c r="A1" s="1072"/>
      <c r="B1" s="1072"/>
      <c r="C1" s="1072"/>
      <c r="D1" s="1072"/>
      <c r="E1" s="1072"/>
      <c r="F1" s="1072"/>
      <c r="G1" s="1072"/>
      <c r="H1" s="1072"/>
      <c r="I1" s="1072"/>
      <c r="J1" s="1072"/>
      <c r="K1" s="1072"/>
      <c r="L1" s="1072"/>
      <c r="M1" s="1072"/>
      <c r="N1" s="1072"/>
      <c r="O1" s="1072"/>
      <c r="P1" s="1072"/>
      <c r="Q1" s="1072"/>
      <c r="R1" s="1072"/>
      <c r="S1" s="1072"/>
      <c r="T1" s="1072"/>
      <c r="U1" s="1072"/>
      <c r="V1" s="1072"/>
      <c r="W1" s="1072"/>
      <c r="X1" s="1072"/>
      <c r="Y1" s="1072"/>
      <c r="Z1" s="1072"/>
      <c r="AA1" s="1072"/>
      <c r="AB1" s="1072"/>
      <c r="AC1" s="1072"/>
      <c r="AD1" s="1072"/>
      <c r="AE1" s="1072"/>
      <c r="AF1" s="1072"/>
      <c r="AG1" s="1072"/>
      <c r="AH1" s="1072"/>
      <c r="AI1" s="1072"/>
      <c r="AJ1" s="1072"/>
      <c r="AK1" s="1072"/>
      <c r="AL1" s="1072"/>
      <c r="AM1" s="1072"/>
      <c r="AN1" s="1072"/>
      <c r="AO1" s="1072"/>
    </row>
    <row r="2" spans="1:81">
      <c r="A2" s="1072"/>
      <c r="B2" s="1072"/>
      <c r="C2" s="1072"/>
      <c r="D2" s="1072"/>
      <c r="E2" s="1072"/>
      <c r="F2" s="1072"/>
      <c r="G2" s="1072"/>
      <c r="H2" s="1072"/>
      <c r="I2" s="1072"/>
      <c r="J2" s="1072"/>
      <c r="K2" s="1072"/>
      <c r="L2" s="1072"/>
      <c r="M2" s="1072"/>
      <c r="N2" s="1072"/>
      <c r="O2" s="1072"/>
      <c r="P2" s="1072"/>
      <c r="Q2" s="1072"/>
      <c r="R2" s="1072"/>
      <c r="S2" s="1072"/>
      <c r="T2" s="1072"/>
      <c r="U2" s="1072"/>
      <c r="V2" s="1072"/>
      <c r="W2" s="1072"/>
      <c r="X2" s="1072"/>
      <c r="Y2" s="1072"/>
      <c r="Z2" s="1072"/>
      <c r="AA2" s="1072"/>
      <c r="AB2" s="1072"/>
      <c r="AC2" s="1072"/>
      <c r="AD2" s="1072"/>
      <c r="AE2" s="1072"/>
      <c r="AF2" s="1072"/>
      <c r="AG2" s="1072"/>
      <c r="AH2" s="1072"/>
      <c r="AI2" s="1072"/>
      <c r="AJ2" s="1072"/>
      <c r="AK2" s="1072"/>
      <c r="AL2" s="1072"/>
      <c r="AM2" s="1072"/>
      <c r="AN2" s="1072"/>
      <c r="AO2" s="1072"/>
    </row>
    <row r="3" spans="1:81">
      <c r="A3" s="1072" t="s">
        <v>338</v>
      </c>
      <c r="B3" s="1072"/>
      <c r="C3" s="1072"/>
      <c r="D3" s="1072"/>
      <c r="E3" s="1072"/>
      <c r="F3" s="1072"/>
      <c r="G3" s="1072"/>
      <c r="H3" s="1072"/>
      <c r="I3" s="1072"/>
      <c r="J3" s="1072"/>
      <c r="K3" s="1072"/>
      <c r="L3" s="1072"/>
      <c r="M3" s="1072"/>
      <c r="N3" s="1072"/>
      <c r="O3" s="1072"/>
      <c r="P3" s="1072"/>
      <c r="Q3" s="1072"/>
      <c r="R3" s="1072"/>
      <c r="S3" s="1072"/>
      <c r="T3" s="1072"/>
      <c r="U3" s="1072"/>
      <c r="V3" s="1072"/>
      <c r="W3" s="1072"/>
      <c r="X3" s="1072"/>
      <c r="Y3" s="1072"/>
      <c r="Z3" s="1072"/>
      <c r="AA3" s="1072"/>
      <c r="AB3" s="1072"/>
      <c r="AC3" s="1072"/>
      <c r="AD3" s="1072"/>
      <c r="AE3" s="1072"/>
      <c r="AF3" s="1072"/>
      <c r="AG3" s="1072"/>
      <c r="AH3" s="1072"/>
      <c r="AI3" s="1072"/>
      <c r="AJ3" s="1072"/>
      <c r="AK3" s="1072"/>
      <c r="AL3" s="1072"/>
      <c r="AM3" s="1072"/>
      <c r="AN3" s="1072"/>
      <c r="AO3" s="1072"/>
      <c r="AP3" s="1072"/>
      <c r="AQ3" s="1072"/>
      <c r="AR3" s="1072"/>
      <c r="AS3" s="1072"/>
      <c r="AT3" s="1072"/>
      <c r="AU3" s="1072"/>
      <c r="AV3" s="1072"/>
      <c r="AW3" s="1072"/>
      <c r="AX3" s="1072"/>
      <c r="AY3" s="1072"/>
    </row>
    <row r="4" spans="1:81">
      <c r="AJ4" s="540"/>
    </row>
    <row r="5" spans="1:81">
      <c r="A5" s="544"/>
      <c r="B5" s="544"/>
      <c r="C5" s="544"/>
      <c r="D5" s="544"/>
      <c r="E5" s="544"/>
      <c r="F5" s="544"/>
      <c r="G5" s="544"/>
      <c r="H5" s="544"/>
      <c r="I5" s="544"/>
      <c r="J5" s="544"/>
      <c r="K5" s="544"/>
      <c r="L5" s="544"/>
      <c r="M5" s="544"/>
      <c r="N5" s="544"/>
      <c r="O5" s="544"/>
      <c r="P5" s="544"/>
      <c r="Q5" s="544"/>
      <c r="R5" s="544"/>
      <c r="S5" s="544"/>
      <c r="T5" s="544"/>
      <c r="U5" s="544"/>
      <c r="V5" s="545"/>
      <c r="W5" s="545"/>
      <c r="X5" s="545"/>
      <c r="Y5" s="545"/>
      <c r="Z5" s="545"/>
      <c r="AA5" s="545"/>
      <c r="AB5" s="545"/>
      <c r="AC5" s="545"/>
      <c r="AD5" s="545"/>
      <c r="AE5" s="545"/>
      <c r="AF5" s="545"/>
      <c r="AG5" s="545"/>
      <c r="AH5" s="545"/>
      <c r="AI5" s="545"/>
      <c r="AJ5" s="545"/>
      <c r="AK5" s="545"/>
      <c r="AL5" s="545"/>
      <c r="AM5" s="545"/>
      <c r="AN5" s="546"/>
      <c r="AO5" s="546"/>
      <c r="AP5" s="545"/>
      <c r="AQ5" s="545"/>
      <c r="AR5" s="545"/>
      <c r="AS5" s="545"/>
      <c r="BD5" s="986">
        <f>-BD17/CW_IS!AZ91</f>
        <v>1.4945878532326226E-2</v>
      </c>
      <c r="BI5" s="986">
        <f>-BI17/CW_IS!BE91</f>
        <v>1.566191849012414E-2</v>
      </c>
      <c r="BN5" s="986">
        <f>-BN17/CW_IS!BJ91</f>
        <v>1.9448678051857803E-2</v>
      </c>
      <c r="BS5" s="986">
        <f>-BS17/CW_IS!BO91</f>
        <v>2.5638211145069759E-2</v>
      </c>
      <c r="BX5" s="986">
        <f>-BX17/CW_IS!BT91</f>
        <v>3.0756212435983518E-2</v>
      </c>
      <c r="CC5" s="986">
        <f>-CC17/CW_IS!BY91</f>
        <v>2.9999999999999995E-2</v>
      </c>
    </row>
    <row r="6" spans="1:81" ht="13.5" thickBot="1">
      <c r="F6" s="547"/>
      <c r="K6" s="547"/>
      <c r="P6" s="547"/>
      <c r="Q6" s="541"/>
      <c r="R6" s="541"/>
      <c r="S6" s="541"/>
      <c r="T6" s="541"/>
      <c r="U6" s="547"/>
      <c r="V6" s="541"/>
      <c r="W6" s="541"/>
      <c r="X6" s="541"/>
      <c r="Y6" s="541"/>
      <c r="Z6" s="546"/>
      <c r="AA6" s="546"/>
      <c r="AB6" s="546"/>
      <c r="AC6" s="546"/>
      <c r="AD6" s="546"/>
      <c r="AE6" s="546"/>
      <c r="AF6" s="546"/>
      <c r="AG6" s="546"/>
      <c r="AH6" s="546"/>
      <c r="AI6" s="546"/>
      <c r="AJ6" s="546"/>
      <c r="AK6" s="546"/>
      <c r="AL6" s="546"/>
      <c r="AM6" s="545"/>
      <c r="AN6" s="546"/>
      <c r="AO6" s="546"/>
      <c r="AP6" s="546"/>
      <c r="AQ6" s="546"/>
      <c r="AR6" s="545"/>
      <c r="AS6" s="545"/>
      <c r="AT6" s="545"/>
      <c r="AU6" s="546"/>
      <c r="AV6" s="546"/>
      <c r="AW6" s="545"/>
      <c r="AX6" s="545"/>
      <c r="AY6" s="545"/>
      <c r="AZ6" s="545"/>
      <c r="BA6" s="545"/>
      <c r="BB6" s="545"/>
      <c r="BC6" s="545"/>
      <c r="BD6" s="545"/>
      <c r="BE6" s="545"/>
      <c r="BF6" s="545"/>
      <c r="BG6" s="545"/>
      <c r="BH6" s="545"/>
      <c r="BI6" s="545"/>
    </row>
    <row r="7" spans="1:81" s="558" customFormat="1">
      <c r="A7" s="548" t="s">
        <v>339</v>
      </c>
      <c r="B7" s="549" t="str">
        <f>[46]Drivers!V4</f>
        <v>1Q13</v>
      </c>
      <c r="C7" s="549" t="str">
        <f>[46]Drivers!W4</f>
        <v>2Q13</v>
      </c>
      <c r="D7" s="549" t="str">
        <f>[46]Drivers!X4</f>
        <v>3Q13</v>
      </c>
      <c r="E7" s="549" t="str">
        <f>[46]Drivers!Y4</f>
        <v>4Q13</v>
      </c>
      <c r="F7" s="550">
        <f>[46]Drivers!Z4</f>
        <v>2013</v>
      </c>
      <c r="G7" s="551" t="str">
        <f>[46]Drivers!AA4</f>
        <v>1Q14</v>
      </c>
      <c r="H7" s="552" t="str">
        <f>[46]Drivers!AB4</f>
        <v>2Q14</v>
      </c>
      <c r="I7" s="551" t="str">
        <f>[46]Drivers!AC4</f>
        <v>3Q14</v>
      </c>
      <c r="J7" s="551" t="str">
        <f>[46]Drivers!AD4</f>
        <v>4Q14</v>
      </c>
      <c r="K7" s="550">
        <f>[46]Drivers!AE4</f>
        <v>2014</v>
      </c>
      <c r="L7" s="551" t="str">
        <f>[46]Drivers!AF4</f>
        <v>1Q15</v>
      </c>
      <c r="M7" s="551" t="str">
        <f>[46]Drivers!AG4</f>
        <v>2Q15</v>
      </c>
      <c r="N7" s="551" t="str">
        <f>[46]Drivers!AH4</f>
        <v>3Q15</v>
      </c>
      <c r="O7" s="551" t="str">
        <f>[46]Drivers!AI4</f>
        <v>4Q15</v>
      </c>
      <c r="P7" s="550">
        <f>[46]Drivers!AJ4</f>
        <v>2015</v>
      </c>
      <c r="Q7" s="551" t="s">
        <v>156</v>
      </c>
      <c r="R7" s="551" t="s">
        <v>157</v>
      </c>
      <c r="S7" s="551" t="s">
        <v>158</v>
      </c>
      <c r="T7" s="551" t="s">
        <v>159</v>
      </c>
      <c r="U7" s="550">
        <v>2016</v>
      </c>
      <c r="V7" s="551" t="s">
        <v>50</v>
      </c>
      <c r="W7" s="551" t="s">
        <v>51</v>
      </c>
      <c r="X7" s="551" t="s">
        <v>52</v>
      </c>
      <c r="Y7" s="551" t="s">
        <v>164</v>
      </c>
      <c r="Z7" s="553" t="s">
        <v>49</v>
      </c>
      <c r="AA7" s="554" t="s">
        <v>50</v>
      </c>
      <c r="AB7" s="554" t="s">
        <v>51</v>
      </c>
      <c r="AC7" s="554" t="s">
        <v>52</v>
      </c>
      <c r="AD7" s="554" t="s">
        <v>53</v>
      </c>
      <c r="AE7" s="553" t="s">
        <v>340</v>
      </c>
      <c r="AF7" s="554" t="s">
        <v>341</v>
      </c>
      <c r="AG7" s="554" t="s">
        <v>342</v>
      </c>
      <c r="AH7" s="554" t="s">
        <v>343</v>
      </c>
      <c r="AI7" s="554" t="s">
        <v>344</v>
      </c>
      <c r="AJ7" s="553" t="s">
        <v>345</v>
      </c>
      <c r="AK7" s="555" t="s">
        <v>167</v>
      </c>
      <c r="AL7" s="555" t="s">
        <v>168</v>
      </c>
      <c r="AM7" s="555" t="s">
        <v>169</v>
      </c>
      <c r="AN7" s="555" t="s">
        <v>170</v>
      </c>
      <c r="AO7" s="556">
        <v>2019</v>
      </c>
      <c r="AP7" s="555" t="s">
        <v>62</v>
      </c>
      <c r="AQ7" s="555" t="s">
        <v>63</v>
      </c>
      <c r="AR7" s="555" t="s">
        <v>64</v>
      </c>
      <c r="AS7" s="555" t="s">
        <v>65</v>
      </c>
      <c r="AT7" s="557">
        <v>2020</v>
      </c>
      <c r="AU7" s="555" t="s">
        <v>66</v>
      </c>
      <c r="AV7" s="555" t="s">
        <v>67</v>
      </c>
      <c r="AW7" s="555" t="s">
        <v>68</v>
      </c>
      <c r="AX7" s="555" t="s">
        <v>69</v>
      </c>
      <c r="AY7" s="557">
        <v>2021</v>
      </c>
      <c r="AZ7" s="555" t="s">
        <v>70</v>
      </c>
      <c r="BA7" s="555" t="s">
        <v>71</v>
      </c>
      <c r="BB7" s="555" t="s">
        <v>72</v>
      </c>
      <c r="BC7" s="555" t="s">
        <v>73</v>
      </c>
      <c r="BD7" s="557">
        <v>2022</v>
      </c>
      <c r="BE7" s="555" t="s">
        <v>74</v>
      </c>
      <c r="BF7" s="555" t="s">
        <v>75</v>
      </c>
      <c r="BG7" s="555" t="s">
        <v>76</v>
      </c>
      <c r="BH7" s="555" t="s">
        <v>77</v>
      </c>
      <c r="BI7" s="557">
        <v>2023</v>
      </c>
      <c r="BJ7" s="555" t="str">
        <f>CW_IS!BF5</f>
        <v>1Q24</v>
      </c>
      <c r="BK7" s="555" t="str">
        <f>CW_IS!BG5</f>
        <v>2Q24</v>
      </c>
      <c r="BL7" s="555" t="str">
        <f>CW_IS!BH5</f>
        <v>3Q24</v>
      </c>
      <c r="BM7" s="555" t="str">
        <f>CW_IS!BI5</f>
        <v>4Q24</v>
      </c>
      <c r="BN7" s="557">
        <f>CW_Drivers!CC3</f>
        <v>2024</v>
      </c>
      <c r="BO7" s="555" t="str">
        <f>CW_IS!BK5</f>
        <v>1Q25</v>
      </c>
      <c r="BP7" s="555" t="str">
        <f>CW_IS!BL5</f>
        <v>2Q25</v>
      </c>
      <c r="BQ7" s="555" t="str">
        <f>CW_IS!BM5</f>
        <v>3Q25</v>
      </c>
      <c r="BR7" s="555" t="str">
        <f>CW_IS!BN5</f>
        <v>4Q25</v>
      </c>
      <c r="BS7" s="557">
        <f>CW_Drivers!CH3</f>
        <v>2025</v>
      </c>
      <c r="BT7" s="555" t="str">
        <f>CW_IS!BP5</f>
        <v>1Q26E</v>
      </c>
      <c r="BU7" s="555" t="str">
        <f>CW_IS!BQ5</f>
        <v>2Q26E</v>
      </c>
      <c r="BV7" s="555" t="str">
        <f>CW_IS!BR5</f>
        <v>3Q26E</v>
      </c>
      <c r="BW7" s="555" t="str">
        <f>CW_IS!BS5</f>
        <v>4Q26E</v>
      </c>
      <c r="BX7" s="557" t="str">
        <f>CW_Drivers!CM3</f>
        <v>2026E</v>
      </c>
      <c r="BY7" s="555" t="str">
        <f>CW_IS!BU5</f>
        <v>1Q27E</v>
      </c>
      <c r="BZ7" s="555" t="str">
        <f>CW_IS!BV5</f>
        <v>2Q27E</v>
      </c>
      <c r="CA7" s="555" t="str">
        <f>CW_IS!BW5</f>
        <v>3Q27E</v>
      </c>
      <c r="CB7" s="555" t="str">
        <f>CW_IS!BX5</f>
        <v>4Q27E</v>
      </c>
      <c r="CC7" s="557" t="str">
        <f>CW_Drivers!CR3</f>
        <v>2027E</v>
      </c>
    </row>
    <row r="8" spans="1:81" s="558" customFormat="1">
      <c r="A8" s="559" t="s">
        <v>346</v>
      </c>
      <c r="B8" s="560"/>
      <c r="C8" s="560"/>
      <c r="D8" s="560"/>
      <c r="E8" s="560"/>
      <c r="F8" s="561"/>
      <c r="G8" s="560"/>
      <c r="H8" s="562"/>
      <c r="I8" s="560"/>
      <c r="J8" s="560"/>
      <c r="K8" s="561"/>
      <c r="L8" s="560"/>
      <c r="M8" s="560"/>
      <c r="N8" s="560"/>
      <c r="O8" s="560"/>
      <c r="P8" s="561"/>
      <c r="Q8" s="560"/>
      <c r="R8" s="560"/>
      <c r="S8" s="560"/>
      <c r="T8" s="560"/>
      <c r="U8" s="561"/>
      <c r="V8" s="560"/>
      <c r="W8" s="560"/>
      <c r="X8" s="560"/>
      <c r="Y8" s="560"/>
      <c r="Z8" s="561"/>
      <c r="AA8" s="560"/>
      <c r="AB8" s="560"/>
      <c r="AC8" s="560"/>
      <c r="AD8" s="560"/>
      <c r="AE8" s="561"/>
      <c r="AF8" s="560"/>
      <c r="AG8" s="560"/>
      <c r="AH8" s="560"/>
      <c r="AI8" s="563"/>
      <c r="AJ8" s="564"/>
      <c r="AK8" s="563"/>
      <c r="AL8" s="563"/>
      <c r="AM8" s="565"/>
      <c r="AN8" s="565"/>
      <c r="AO8" s="566"/>
      <c r="AP8" s="567"/>
      <c r="AQ8" s="567"/>
      <c r="AR8" s="567"/>
      <c r="AS8" s="567"/>
      <c r="AT8" s="566"/>
      <c r="AU8" s="567"/>
      <c r="AV8" s="567"/>
      <c r="AW8" s="567"/>
      <c r="AX8" s="567"/>
      <c r="AY8" s="566"/>
      <c r="AZ8" s="567"/>
      <c r="BA8" s="567"/>
      <c r="BB8" s="567"/>
      <c r="BC8" s="567"/>
      <c r="BD8" s="566"/>
      <c r="BE8" s="567"/>
      <c r="BF8" s="567"/>
      <c r="BG8" s="567"/>
      <c r="BH8" s="567"/>
      <c r="BI8" s="566"/>
      <c r="BJ8" s="567"/>
      <c r="BK8" s="567"/>
      <c r="BL8" s="567"/>
      <c r="BM8" s="567"/>
      <c r="BN8" s="566"/>
      <c r="BO8" s="567"/>
      <c r="BP8" s="567"/>
      <c r="BQ8" s="567"/>
      <c r="BR8" s="567"/>
      <c r="BS8" s="566"/>
      <c r="BT8" s="567"/>
      <c r="BU8" s="567"/>
      <c r="BV8" s="567"/>
      <c r="BW8" s="567"/>
      <c r="BX8" s="566"/>
      <c r="BY8" s="567"/>
      <c r="BZ8" s="567"/>
      <c r="CA8" s="567"/>
      <c r="CB8" s="567"/>
      <c r="CC8" s="566"/>
    </row>
    <row r="9" spans="1:81" s="558" customFormat="1">
      <c r="A9" s="568" t="s">
        <v>347</v>
      </c>
      <c r="B9" s="560"/>
      <c r="C9" s="560"/>
      <c r="D9" s="560"/>
      <c r="E9" s="560"/>
      <c r="F9" s="561"/>
      <c r="G9" s="560"/>
      <c r="H9" s="562"/>
      <c r="I9" s="560"/>
      <c r="J9" s="560"/>
      <c r="K9" s="561"/>
      <c r="L9" s="560"/>
      <c r="M9" s="560"/>
      <c r="N9" s="560"/>
      <c r="O9" s="560"/>
      <c r="P9" s="561"/>
      <c r="Q9" s="560"/>
      <c r="R9" s="560"/>
      <c r="S9" s="560"/>
      <c r="T9" s="560"/>
      <c r="U9" s="561"/>
      <c r="V9" s="560"/>
      <c r="W9" s="560"/>
      <c r="X9" s="560"/>
      <c r="Y9" s="560"/>
      <c r="Z9" s="561"/>
      <c r="AA9" s="560"/>
      <c r="AB9" s="560"/>
      <c r="AC9" s="560"/>
      <c r="AD9" s="560"/>
      <c r="AE9" s="561"/>
      <c r="AF9" s="560"/>
      <c r="AG9" s="560"/>
      <c r="AH9" s="560"/>
      <c r="AI9" s="563"/>
      <c r="AJ9" s="569"/>
      <c r="AK9" s="570"/>
      <c r="AL9" s="571"/>
      <c r="AM9" s="571"/>
      <c r="AN9" s="571"/>
      <c r="AO9" s="572">
        <f>+AK9</f>
        <v>0</v>
      </c>
      <c r="AP9" s="573"/>
      <c r="AQ9" s="573"/>
      <c r="AR9" s="573"/>
      <c r="AS9" s="573"/>
      <c r="AT9" s="572">
        <f>+AP9</f>
        <v>0</v>
      </c>
      <c r="AU9" s="573">
        <f>+AT29</f>
        <v>198.24799999999999</v>
      </c>
      <c r="AV9" s="573">
        <f>+AU29</f>
        <v>147.06899999999999</v>
      </c>
      <c r="AW9" s="571">
        <f>AV29</f>
        <v>197.50800000000001</v>
      </c>
      <c r="AX9" s="571">
        <f>AW29</f>
        <v>234.416</v>
      </c>
      <c r="AY9" s="572">
        <f>+AU9</f>
        <v>198.24799999999999</v>
      </c>
      <c r="AZ9" s="573">
        <f>+AY29</f>
        <v>171.00399999999999</v>
      </c>
      <c r="BA9" s="571">
        <f>AZ29</f>
        <v>136.68199999999999</v>
      </c>
      <c r="BB9" s="571">
        <f>BA29</f>
        <v>171.41399999999999</v>
      </c>
      <c r="BC9" s="571">
        <f>BB29</f>
        <v>113.55200000000001</v>
      </c>
      <c r="BD9" s="572">
        <f>+AZ9</f>
        <v>171.00399999999999</v>
      </c>
      <c r="BE9" s="573">
        <f>+BD29</f>
        <v>256.97399999999999</v>
      </c>
      <c r="BF9" s="571">
        <f>BE29</f>
        <v>130.65899999999999</v>
      </c>
      <c r="BG9" s="571">
        <f>BF29</f>
        <v>158.73699999999999</v>
      </c>
      <c r="BH9" s="571">
        <f>BG29</f>
        <v>148.809</v>
      </c>
      <c r="BI9" s="572">
        <f>+BE9</f>
        <v>256.97399999999999</v>
      </c>
      <c r="BJ9" s="573">
        <f>+BI29</f>
        <v>406.86700000000002</v>
      </c>
      <c r="BK9" s="571">
        <f>BJ29</f>
        <v>338.03399999999999</v>
      </c>
      <c r="BL9" s="571">
        <f>BK29</f>
        <v>382.56400000000002</v>
      </c>
      <c r="BM9" s="571">
        <f>BL29</f>
        <v>443.85</v>
      </c>
      <c r="BN9" s="572">
        <f>+BJ9</f>
        <v>406.86700000000002</v>
      </c>
      <c r="BO9" s="573">
        <f>+BN29</f>
        <v>385.04199999999997</v>
      </c>
      <c r="BP9" s="571">
        <f>BO29</f>
        <v>226.459</v>
      </c>
      <c r="BQ9" s="571">
        <f>BP29</f>
        <v>331.66399999999999</v>
      </c>
      <c r="BR9" s="571">
        <f>BQ29</f>
        <v>225.42699999999999</v>
      </c>
      <c r="BS9" s="572">
        <f>+BO9</f>
        <v>385.04199999999997</v>
      </c>
      <c r="BT9" s="574">
        <f>+BR29</f>
        <v>371.34500000000003</v>
      </c>
      <c r="BU9" s="575">
        <f>BT29</f>
        <v>295.13765175600008</v>
      </c>
      <c r="BV9" s="575">
        <f>BU29</f>
        <v>251.74069152300007</v>
      </c>
      <c r="BW9" s="575">
        <f>BV29</f>
        <v>544.93353156300009</v>
      </c>
      <c r="BX9" s="576">
        <f>+BT9</f>
        <v>371.34500000000003</v>
      </c>
      <c r="BY9" s="574">
        <f>+BW29</f>
        <v>856.72474423620008</v>
      </c>
      <c r="BZ9" s="575">
        <f>BY29</f>
        <v>973.27679504184005</v>
      </c>
      <c r="CA9" s="575">
        <f>BZ29</f>
        <v>1086.7073558950642</v>
      </c>
      <c r="CB9" s="575">
        <f>CA29</f>
        <v>1212.2765392659962</v>
      </c>
      <c r="CC9" s="576">
        <f>+BY9</f>
        <v>856.72474423620008</v>
      </c>
    </row>
    <row r="10" spans="1:81" s="558" customFormat="1">
      <c r="A10" s="543" t="s">
        <v>302</v>
      </c>
      <c r="B10" s="560"/>
      <c r="C10" s="560"/>
      <c r="D10" s="560"/>
      <c r="E10" s="560"/>
      <c r="F10" s="561"/>
      <c r="G10" s="560"/>
      <c r="H10" s="562"/>
      <c r="I10" s="560"/>
      <c r="J10" s="560"/>
      <c r="K10" s="561"/>
      <c r="L10" s="560"/>
      <c r="M10" s="573"/>
      <c r="N10" s="573"/>
      <c r="O10" s="560"/>
      <c r="P10" s="561"/>
      <c r="Q10" s="560"/>
      <c r="R10" s="573"/>
      <c r="S10" s="573"/>
      <c r="T10" s="560"/>
      <c r="U10" s="561"/>
      <c r="V10" s="560"/>
      <c r="W10" s="573"/>
      <c r="X10" s="573"/>
      <c r="Y10" s="560"/>
      <c r="Z10" s="561"/>
      <c r="AA10" s="560"/>
      <c r="AB10" s="573"/>
      <c r="AC10" s="573"/>
      <c r="AD10" s="560"/>
      <c r="AE10" s="561"/>
      <c r="AF10" s="560"/>
      <c r="AG10" s="573"/>
      <c r="AH10" s="573"/>
      <c r="AI10" s="563"/>
      <c r="AJ10" s="569"/>
      <c r="AK10" s="573"/>
      <c r="AL10" s="573"/>
      <c r="AM10" s="573"/>
      <c r="AN10" s="573"/>
      <c r="AO10" s="569">
        <f t="shared" ref="AO10:AO14" si="0">SUM(AK10:AN10)</f>
        <v>0</v>
      </c>
      <c r="AP10" s="573"/>
      <c r="AQ10" s="573"/>
      <c r="AR10" s="573"/>
      <c r="AS10" s="573"/>
      <c r="AT10" s="569">
        <f>CW_IS!AP118</f>
        <v>505.83419213315062</v>
      </c>
      <c r="AU10" s="573">
        <f>CW_IS!AQ118</f>
        <v>120.68300000000001</v>
      </c>
      <c r="AV10" s="573">
        <f>CW_IS!AR118</f>
        <v>127.45899999999999</v>
      </c>
      <c r="AW10" s="573">
        <f>CW_IS!AS118</f>
        <v>140.26</v>
      </c>
      <c r="AX10" s="573">
        <f>CW_IS!AT118</f>
        <v>159.81300000000002</v>
      </c>
      <c r="AY10" s="569">
        <f t="shared" ref="AY10:AY14" si="1">SUM(AU10:AX10)</f>
        <v>548.21500000000003</v>
      </c>
      <c r="AZ10" s="573">
        <f>CW_IS!AV118</f>
        <v>101.985</v>
      </c>
      <c r="BA10" s="573">
        <f>CW_IS!AW118</f>
        <v>128.15799999999999</v>
      </c>
      <c r="BB10" s="573">
        <f>CW_IS!AX118</f>
        <v>148.81</v>
      </c>
      <c r="BC10" s="573">
        <f>CW_IS!AY118</f>
        <v>191.53600000000003</v>
      </c>
      <c r="BD10" s="569">
        <f t="shared" ref="BD10:BD14" si="2">SUM(AZ10:BC10)</f>
        <v>570.48900000000003</v>
      </c>
      <c r="BE10" s="573">
        <f>CW_IS!BA118</f>
        <v>115.39699999999999</v>
      </c>
      <c r="BF10" s="573">
        <f>CW_IS!BB118</f>
        <v>148.16200000000001</v>
      </c>
      <c r="BG10" s="573">
        <f>CW_IS!BC118</f>
        <v>167.06700000000001</v>
      </c>
      <c r="BH10" s="573">
        <f>CW_IS!BD118</f>
        <v>196.62633333333335</v>
      </c>
      <c r="BI10" s="569">
        <f>SUM(BE10:BH10)</f>
        <v>627.25233333333335</v>
      </c>
      <c r="BJ10" s="573">
        <f>CW_IS!BF118</f>
        <v>131.63900000000001</v>
      </c>
      <c r="BK10" s="573">
        <f>CW_IS!BG118</f>
        <v>165.28399999999999</v>
      </c>
      <c r="BL10" s="573">
        <f>CW_IS!BH118</f>
        <v>181.458</v>
      </c>
      <c r="BM10" s="573">
        <f>CW_IS!BI118</f>
        <v>192.74766666666667</v>
      </c>
      <c r="BN10" s="569">
        <f>SUM(BJ10:BM10)</f>
        <v>671.12866666666662</v>
      </c>
      <c r="BO10" s="573">
        <f>CW_IS!BK118</f>
        <v>170.102</v>
      </c>
      <c r="BP10" s="573">
        <f>CW_IS!BL118</f>
        <v>196.56199999999998</v>
      </c>
      <c r="BQ10" s="573">
        <f>CW_IS!BM118</f>
        <v>207.69</v>
      </c>
      <c r="BR10" s="573">
        <f>CW_IS!BN118</f>
        <v>222.97799999999995</v>
      </c>
      <c r="BS10" s="569">
        <f>SUM(BO10:BR10)</f>
        <v>797.33199999999999</v>
      </c>
      <c r="BT10" s="574">
        <f>CW_IS!BP118</f>
        <v>183.85758736</v>
      </c>
      <c r="BU10" s="574">
        <f>CW_IS!BQ118</f>
        <v>209.26724709999996</v>
      </c>
      <c r="BV10" s="574">
        <f>CW_IS!BR118</f>
        <v>224.02635200000003</v>
      </c>
      <c r="BW10" s="574">
        <f>CW_IS!BS118</f>
        <v>236.86830087999996</v>
      </c>
      <c r="BX10" s="577">
        <f>SUM(BT10:BW10)</f>
        <v>854.01948733999996</v>
      </c>
      <c r="BY10" s="574">
        <f>CW_IS!BU118</f>
        <v>197.41493453839999</v>
      </c>
      <c r="BZ10" s="574">
        <f>CW_IS!BV118</f>
        <v>225.72302839120005</v>
      </c>
      <c r="CA10" s="574">
        <f>CW_IS!BW118</f>
        <v>241.3116810116</v>
      </c>
      <c r="CB10" s="574">
        <f>CW_IS!BX118</f>
        <v>255.313800184</v>
      </c>
      <c r="CC10" s="577">
        <f>SUM(BY10:CB10)</f>
        <v>919.76344412520007</v>
      </c>
    </row>
    <row r="11" spans="1:81" s="558" customFormat="1">
      <c r="A11" s="578" t="s">
        <v>348</v>
      </c>
      <c r="B11" s="579"/>
      <c r="C11" s="579"/>
      <c r="D11" s="579"/>
      <c r="E11" s="579"/>
      <c r="F11" s="580"/>
      <c r="G11" s="579"/>
      <c r="H11" s="581"/>
      <c r="I11" s="579"/>
      <c r="J11" s="579"/>
      <c r="K11" s="580"/>
      <c r="L11" s="582"/>
      <c r="M11" s="571"/>
      <c r="N11" s="571"/>
      <c r="O11" s="579"/>
      <c r="P11" s="561"/>
      <c r="Q11" s="582"/>
      <c r="R11" s="571"/>
      <c r="S11" s="571"/>
      <c r="T11" s="579"/>
      <c r="U11" s="561"/>
      <c r="V11" s="582"/>
      <c r="W11" s="571"/>
      <c r="X11" s="571"/>
      <c r="Y11" s="579"/>
      <c r="Z11" s="561"/>
      <c r="AA11" s="582"/>
      <c r="AB11" s="571"/>
      <c r="AC11" s="571"/>
      <c r="AD11" s="579"/>
      <c r="AE11" s="561"/>
      <c r="AF11" s="582"/>
      <c r="AG11" s="571"/>
      <c r="AH11" s="571"/>
      <c r="AI11" s="563"/>
      <c r="AJ11" s="569"/>
      <c r="AK11" s="571"/>
      <c r="AL11" s="571"/>
      <c r="AM11" s="571"/>
      <c r="AN11" s="571"/>
      <c r="AO11" s="569">
        <f t="shared" si="0"/>
        <v>0</v>
      </c>
      <c r="AP11" s="571"/>
      <c r="AQ11" s="571"/>
      <c r="AR11" s="571"/>
      <c r="AS11" s="571"/>
      <c r="AT11" s="569">
        <f>(CW_IS!AP124)*-1</f>
        <v>-82.645600000000002</v>
      </c>
      <c r="AU11" s="571">
        <f>(CW_IS!AQ124)*-1</f>
        <v>-21.381</v>
      </c>
      <c r="AV11" s="571">
        <f>(CW_IS!AR124)*-1</f>
        <v>-21.334999999999997</v>
      </c>
      <c r="AW11" s="571">
        <f>(CW_IS!AS124)*-1</f>
        <v>-24.338000000000001</v>
      </c>
      <c r="AX11" s="571">
        <f>(CW_IS!AT124)*-1</f>
        <v>-27.330360000000006</v>
      </c>
      <c r="AY11" s="569">
        <f t="shared" si="1"/>
        <v>-94.384360000000015</v>
      </c>
      <c r="AZ11" s="571">
        <f>(CW_IS!AV124)*-1</f>
        <v>-13.541</v>
      </c>
      <c r="BA11" s="571">
        <f>(CW_IS!AW124)*-1</f>
        <v>-22</v>
      </c>
      <c r="BB11" s="571">
        <f>(CW_IS!AX124)*-1</f>
        <v>-24.263999999999999</v>
      </c>
      <c r="BC11" s="571">
        <f>(CW_IS!AY124)*-1</f>
        <v>-34.80528000000001</v>
      </c>
      <c r="BD11" s="569">
        <f t="shared" si="2"/>
        <v>-94.610280000000003</v>
      </c>
      <c r="BE11" s="571">
        <f>(CW_IS!BA124)*-1</f>
        <v>-16.641999999999999</v>
      </c>
      <c r="BF11" s="571">
        <f>(CW_IS!BB124)*-1</f>
        <v>-24.738</v>
      </c>
      <c r="BG11" s="571">
        <f>(CW_IS!BC124)*-1</f>
        <v>-30.268000000000001</v>
      </c>
      <c r="BH11" s="571">
        <f>(CW_IS!BD124)*-1</f>
        <v>-36.963000000000001</v>
      </c>
      <c r="BI11" s="569">
        <f>SUM(BE11:BH11)</f>
        <v>-108.61099999999999</v>
      </c>
      <c r="BJ11" s="571">
        <f>(CW_IS!BF124)*-1</f>
        <v>-22.504000000000001</v>
      </c>
      <c r="BK11" s="571">
        <f>(CW_IS!BG124)*-1</f>
        <v>-26.77</v>
      </c>
      <c r="BL11" s="571">
        <f>(CW_IS!BH124)*-1</f>
        <v>-32.460999999999999</v>
      </c>
      <c r="BM11" s="571">
        <f>(CW_IS!BI124)*-1</f>
        <v>-35.343000000000004</v>
      </c>
      <c r="BN11" s="569">
        <f>SUM(BJ11:BM11)</f>
        <v>-117.078</v>
      </c>
      <c r="BO11" s="571">
        <f>(CW_IS!BK124)*-1</f>
        <v>-23.754999999999999</v>
      </c>
      <c r="BP11" s="571">
        <f>(CW_IS!BL124)*-1</f>
        <v>-35.704000000000001</v>
      </c>
      <c r="BQ11" s="571">
        <f>(CW_IS!BM124)*-1</f>
        <v>-36.320999999999998</v>
      </c>
      <c r="BR11" s="571">
        <f>(CW_IS!BN124)*-1</f>
        <v>-40.002000000000002</v>
      </c>
      <c r="BS11" s="569">
        <f>SUM(BO11:BR11)</f>
        <v>-135.78200000000001</v>
      </c>
      <c r="BT11" s="575">
        <f>(CW_IS!BP124)*-1</f>
        <v>-22.023455603999999</v>
      </c>
      <c r="BU11" s="575">
        <f>(CW_IS!BQ124)*-1</f>
        <v>-39.627527332999996</v>
      </c>
      <c r="BV11" s="575">
        <f>(CW_IS!BR124)*-1</f>
        <v>-42.801631960000009</v>
      </c>
      <c r="BW11" s="575">
        <f>(CW_IS!BS124)*-1</f>
        <v>-47.050008206799994</v>
      </c>
      <c r="BX11" s="577">
        <f>SUM(BT11:BW11)</f>
        <v>-151.5026231038</v>
      </c>
      <c r="BY11" s="575">
        <f>(CW_IS!BU124)*-1</f>
        <v>-23.95929855576</v>
      </c>
      <c r="BZ11" s="575">
        <f>(CW_IS!BV124)*-1</f>
        <v>-43.263160054976012</v>
      </c>
      <c r="CA11" s="575">
        <f>(CW_IS!BW124)*-1</f>
        <v>-46.617036182668002</v>
      </c>
      <c r="CB11" s="575">
        <f>(CW_IS!BX124)*-1</f>
        <v>-51.235998418240001</v>
      </c>
      <c r="CC11" s="577">
        <f>SUM(BY11:CB11)</f>
        <v>-165.07549321164402</v>
      </c>
    </row>
    <row r="12" spans="1:81" s="558" customFormat="1">
      <c r="A12" s="578" t="s">
        <v>349</v>
      </c>
      <c r="B12" s="560"/>
      <c r="C12" s="560"/>
      <c r="D12" s="560"/>
      <c r="E12" s="560"/>
      <c r="F12" s="561"/>
      <c r="G12" s="560"/>
      <c r="H12" s="562"/>
      <c r="I12" s="560"/>
      <c r="J12" s="560"/>
      <c r="K12" s="561"/>
      <c r="L12" s="560"/>
      <c r="M12" s="573"/>
      <c r="N12" s="573"/>
      <c r="O12" s="560"/>
      <c r="P12" s="561"/>
      <c r="Q12" s="560"/>
      <c r="R12" s="573"/>
      <c r="S12" s="573"/>
      <c r="T12" s="560"/>
      <c r="U12" s="561"/>
      <c r="V12" s="560"/>
      <c r="W12" s="573"/>
      <c r="X12" s="573"/>
      <c r="Y12" s="560"/>
      <c r="Z12" s="561"/>
      <c r="AA12" s="560"/>
      <c r="AB12" s="573"/>
      <c r="AC12" s="573"/>
      <c r="AD12" s="560"/>
      <c r="AE12" s="561"/>
      <c r="AF12" s="560"/>
      <c r="AG12" s="573"/>
      <c r="AH12" s="573"/>
      <c r="AI12" s="563"/>
      <c r="AJ12" s="569"/>
      <c r="AK12" s="573"/>
      <c r="AL12" s="573"/>
      <c r="AM12" s="573"/>
      <c r="AN12" s="573"/>
      <c r="AO12" s="569">
        <f t="shared" si="0"/>
        <v>0</v>
      </c>
      <c r="AP12" s="573"/>
      <c r="AQ12" s="573"/>
      <c r="AR12" s="573"/>
      <c r="AS12" s="573"/>
      <c r="AT12" s="569">
        <f>CW_IS!AP121</f>
        <v>-35.545000000000002</v>
      </c>
      <c r="AU12" s="573">
        <f>CW_IS!AQ121</f>
        <v>-9.9589999999999996</v>
      </c>
      <c r="AV12" s="573">
        <f>CW_IS!AR121</f>
        <v>-10.18</v>
      </c>
      <c r="AW12" s="573">
        <f>CW_IS!AS121</f>
        <v>-9.9550000000000001</v>
      </c>
      <c r="AX12" s="573">
        <f>CW_IS!AT121</f>
        <v>-10.146000000000001</v>
      </c>
      <c r="AY12" s="569">
        <f t="shared" si="1"/>
        <v>-40.24</v>
      </c>
      <c r="AZ12" s="573">
        <f>CW_IS!AV121</f>
        <v>-9.5299999999999994</v>
      </c>
      <c r="BA12" s="573">
        <f>CW_IS!AW121</f>
        <v>-9.7880000000000003</v>
      </c>
      <c r="BB12" s="573">
        <f>CW_IS!AX121</f>
        <v>-13.997</v>
      </c>
      <c r="BC12" s="573">
        <f>CW_IS!AY121</f>
        <v>-13.664999999999999</v>
      </c>
      <c r="BD12" s="569">
        <f t="shared" si="2"/>
        <v>-46.98</v>
      </c>
      <c r="BE12" s="573">
        <f>CW_IS!BA121</f>
        <v>-12.944000000000001</v>
      </c>
      <c r="BF12" s="573">
        <f>CW_IS!BB121</f>
        <v>-14.992000000000001</v>
      </c>
      <c r="BG12" s="573">
        <f>CW_IS!BC121</f>
        <v>-12.496</v>
      </c>
      <c r="BH12" s="573">
        <f>CW_IS!BD121</f>
        <v>-10.961</v>
      </c>
      <c r="BI12" s="569">
        <f>SUM(BE12:BH12)</f>
        <v>-51.393000000000001</v>
      </c>
      <c r="BJ12" s="573">
        <f>CW_IS!BF121</f>
        <v>-10.57</v>
      </c>
      <c r="BK12" s="573">
        <f>CW_IS!BG121</f>
        <v>-11.215999999999999</v>
      </c>
      <c r="BL12" s="573">
        <f>CW_IS!BH121</f>
        <v>-11.407999999999999</v>
      </c>
      <c r="BM12" s="573">
        <f>CW_IS!BI121</f>
        <v>-11.675000000000001</v>
      </c>
      <c r="BN12" s="569">
        <f>SUM(BJ12:BM12)</f>
        <v>-44.869</v>
      </c>
      <c r="BO12" s="573">
        <f>CW_IS!BK121</f>
        <v>-10.143000000000001</v>
      </c>
      <c r="BP12" s="573">
        <f>CW_IS!BL121</f>
        <v>-10.523999999999999</v>
      </c>
      <c r="BQ12" s="573">
        <f>CW_IS!BM121</f>
        <v>-10.484</v>
      </c>
      <c r="BR12" s="573">
        <f>CW_IS!BN121</f>
        <v>-11.997</v>
      </c>
      <c r="BS12" s="569">
        <f>SUM(BO12:BR12)</f>
        <v>-43.148000000000003</v>
      </c>
      <c r="BT12" s="574">
        <f>CW_IS!BP121</f>
        <v>-10.375</v>
      </c>
      <c r="BU12" s="574">
        <f>CW_IS!BQ121</f>
        <v>-10.375</v>
      </c>
      <c r="BV12" s="574">
        <f>CW_IS!BR121</f>
        <v>-10.375</v>
      </c>
      <c r="BW12" s="574">
        <f>CW_IS!BS121</f>
        <v>-10.375</v>
      </c>
      <c r="BX12" s="577">
        <f>SUM(BT12:BW12)</f>
        <v>-41.5</v>
      </c>
      <c r="BY12" s="574">
        <f>CW_IS!BU121</f>
        <v>-10.375</v>
      </c>
      <c r="BZ12" s="574">
        <f>CW_IS!BV121</f>
        <v>-10.375</v>
      </c>
      <c r="CA12" s="574">
        <f>CW_IS!BW121</f>
        <v>-10.375</v>
      </c>
      <c r="CB12" s="574">
        <f>CW_IS!BX121</f>
        <v>-10.375</v>
      </c>
      <c r="CC12" s="577">
        <f>SUM(BY12:CB12)</f>
        <v>-41.5</v>
      </c>
    </row>
    <row r="13" spans="1:81" s="558" customFormat="1" ht="13.35" customHeight="1">
      <c r="A13" s="578" t="s">
        <v>350</v>
      </c>
      <c r="B13" s="560"/>
      <c r="C13" s="560"/>
      <c r="D13" s="560"/>
      <c r="E13" s="560"/>
      <c r="F13" s="561"/>
      <c r="G13" s="560"/>
      <c r="H13" s="562"/>
      <c r="I13" s="560"/>
      <c r="J13" s="560"/>
      <c r="K13" s="561"/>
      <c r="L13" s="560"/>
      <c r="M13" s="573"/>
      <c r="N13" s="573"/>
      <c r="O13" s="560"/>
      <c r="P13" s="561"/>
      <c r="Q13" s="560"/>
      <c r="R13" s="573"/>
      <c r="S13" s="573"/>
      <c r="T13" s="560"/>
      <c r="U13" s="561"/>
      <c r="V13" s="560"/>
      <c r="W13" s="573"/>
      <c r="X13" s="573"/>
      <c r="Y13" s="560"/>
      <c r="Z13" s="561"/>
      <c r="AA13" s="560"/>
      <c r="AB13" s="573"/>
      <c r="AC13" s="573"/>
      <c r="AD13" s="560"/>
      <c r="AE13" s="561"/>
      <c r="AF13" s="560"/>
      <c r="AG13" s="573"/>
      <c r="AH13" s="573"/>
      <c r="AI13" s="563"/>
      <c r="AJ13" s="569"/>
      <c r="AK13" s="583"/>
      <c r="AL13" s="583"/>
      <c r="AM13" s="570"/>
      <c r="AN13" s="573"/>
      <c r="AO13" s="569">
        <f t="shared" si="0"/>
        <v>0</v>
      </c>
      <c r="AP13" s="583"/>
      <c r="AQ13" s="583"/>
      <c r="AR13" s="570"/>
      <c r="AS13" s="573"/>
      <c r="AT13" s="569">
        <v>-121.52600000000002</v>
      </c>
      <c r="AU13" s="583">
        <v>-96</v>
      </c>
      <c r="AV13" s="583">
        <v>-20</v>
      </c>
      <c r="AW13" s="583">
        <v>0</v>
      </c>
      <c r="AX13" s="583">
        <v>100</v>
      </c>
      <c r="AY13" s="569">
        <f>SUM(AU13:AX13)</f>
        <v>-16</v>
      </c>
      <c r="AZ13" s="583">
        <v>-100</v>
      </c>
      <c r="BA13" s="583">
        <v>-25</v>
      </c>
      <c r="BB13" s="583">
        <v>0</v>
      </c>
      <c r="BC13" s="583">
        <v>25</v>
      </c>
      <c r="BD13" s="569">
        <f>SUM(AZ13:BC13)</f>
        <v>-100</v>
      </c>
      <c r="BE13" s="583">
        <f>6.153-42.773-0.163-85.442-8.252-4.946-44.602</f>
        <v>-180.02500000000001</v>
      </c>
      <c r="BF13" s="583">
        <f>(-22.37-57.557+1.83-72.019+21.586-9.392-40.867)-BE13</f>
        <v>1.23599999999999</v>
      </c>
      <c r="BG13" s="583">
        <f>(-56.138-56.753+0.064-42.02+37.598-14.128-31.343)-BF13-BE13</f>
        <v>16.069000000000017</v>
      </c>
      <c r="BH13" s="573">
        <v>25</v>
      </c>
      <c r="BI13" s="569">
        <f>SUM(BE13:BH13)</f>
        <v>-137.72</v>
      </c>
      <c r="BJ13" s="583">
        <v>-151</v>
      </c>
      <c r="BK13" s="583">
        <f>-85.914-54.113-55.306+36.573-9.528+0.751-BJ13</f>
        <v>-16.536999999999949</v>
      </c>
      <c r="BL13" s="583">
        <f>(-120.795-71.683-15.206+85.579-13.218+5.034)-BK13-BJ13</f>
        <v>37.247999999999934</v>
      </c>
      <c r="BM13" s="583">
        <f>(-2.394-21.568-15.779+47.914-18.307-29.286)-BL13-BK13-BJ13</f>
        <v>90.869000000000014</v>
      </c>
      <c r="BN13" s="569">
        <f>SUM(BJ13:BM13)</f>
        <v>-39.42</v>
      </c>
      <c r="BO13" s="583">
        <f>-72.749-34.079-35.967-12.714-6.03-12.862</f>
        <v>-174.40100000000001</v>
      </c>
      <c r="BP13" s="583">
        <f>-110.541-57.614-40.083+35.719-10.691-13.544</f>
        <v>-196.75400000000002</v>
      </c>
      <c r="BQ13" s="583">
        <f>(-128.774-86.139+28.48+40.119-14.433-12.116)-BP13-BO13</f>
        <v>198.29200000000003</v>
      </c>
      <c r="BR13" s="583">
        <f>(-88.808-34.5+16.024+144.269-18.88+2.195)-BQ13-BP13-BO13</f>
        <v>193.16300000000001</v>
      </c>
      <c r="BS13" s="569">
        <f>SUM(BO13:BR13)</f>
        <v>20.300000000000011</v>
      </c>
      <c r="BT13" s="584">
        <v>-175</v>
      </c>
      <c r="BU13" s="584">
        <v>-150</v>
      </c>
      <c r="BV13" s="584">
        <v>175</v>
      </c>
      <c r="BW13" s="584">
        <v>185</v>
      </c>
      <c r="BX13" s="577">
        <f>SUM(BT13:BW13)</f>
        <v>35</v>
      </c>
      <c r="BY13" s="584">
        <v>5</v>
      </c>
      <c r="BZ13" s="584">
        <v>-5</v>
      </c>
      <c r="CA13" s="584">
        <v>-5</v>
      </c>
      <c r="CB13" s="584">
        <v>5</v>
      </c>
      <c r="CC13" s="577">
        <f>SUM(BY13:CB13)</f>
        <v>0</v>
      </c>
    </row>
    <row r="14" spans="1:81" s="558" customFormat="1" ht="13.35" customHeight="1">
      <c r="A14" s="578" t="s">
        <v>351</v>
      </c>
      <c r="B14" s="560"/>
      <c r="C14" s="560"/>
      <c r="D14" s="560"/>
      <c r="E14" s="560"/>
      <c r="F14" s="561"/>
      <c r="G14" s="560"/>
      <c r="H14" s="562"/>
      <c r="I14" s="560"/>
      <c r="J14" s="560"/>
      <c r="K14" s="561"/>
      <c r="L14" s="560"/>
      <c r="M14" s="573"/>
      <c r="N14" s="573"/>
      <c r="O14" s="560"/>
      <c r="P14" s="561"/>
      <c r="Q14" s="560"/>
      <c r="R14" s="573"/>
      <c r="S14" s="573"/>
      <c r="T14" s="560"/>
      <c r="U14" s="561"/>
      <c r="V14" s="560"/>
      <c r="W14" s="573"/>
      <c r="X14" s="573"/>
      <c r="Y14" s="560"/>
      <c r="Z14" s="561"/>
      <c r="AA14" s="560"/>
      <c r="AB14" s="573"/>
      <c r="AC14" s="573"/>
      <c r="AD14" s="560"/>
      <c r="AE14" s="561"/>
      <c r="AF14" s="560"/>
      <c r="AG14" s="573"/>
      <c r="AH14" s="573"/>
      <c r="AI14" s="563"/>
      <c r="AJ14" s="569"/>
      <c r="AK14" s="583"/>
      <c r="AL14" s="583"/>
      <c r="AM14" s="570"/>
      <c r="AN14" s="573"/>
      <c r="AO14" s="569">
        <f t="shared" si="0"/>
        <v>0</v>
      </c>
      <c r="AP14" s="583"/>
      <c r="AQ14" s="583"/>
      <c r="AR14" s="570"/>
      <c r="AS14" s="573"/>
      <c r="AT14" s="569">
        <f t="shared" ref="AT14" si="3">SUM(AP14:AS14)</f>
        <v>0</v>
      </c>
      <c r="AU14" s="583">
        <v>0</v>
      </c>
      <c r="AV14" s="583">
        <v>0</v>
      </c>
      <c r="AW14" s="570">
        <v>0</v>
      </c>
      <c r="AX14" s="573">
        <v>0</v>
      </c>
      <c r="AY14" s="569">
        <f t="shared" si="1"/>
        <v>0</v>
      </c>
      <c r="AZ14" s="583">
        <v>0</v>
      </c>
      <c r="BA14" s="583">
        <v>0</v>
      </c>
      <c r="BB14" s="570">
        <v>0</v>
      </c>
      <c r="BC14" s="573">
        <v>0</v>
      </c>
      <c r="BD14" s="569">
        <f t="shared" si="2"/>
        <v>0</v>
      </c>
      <c r="BE14" s="583">
        <v>0</v>
      </c>
      <c r="BF14" s="583">
        <v>0</v>
      </c>
      <c r="BG14" s="570">
        <v>0</v>
      </c>
      <c r="BH14" s="570">
        <v>0</v>
      </c>
      <c r="BI14" s="569">
        <f>SUM(BE14:BH14)</f>
        <v>0</v>
      </c>
      <c r="BJ14" s="570">
        <v>-145</v>
      </c>
      <c r="BK14" s="570">
        <v>0</v>
      </c>
      <c r="BL14" s="570">
        <v>0</v>
      </c>
      <c r="BM14" s="570">
        <v>0</v>
      </c>
      <c r="BN14" s="569">
        <f>SUM(BJ14:BM14)</f>
        <v>-145</v>
      </c>
      <c r="BO14" s="570">
        <v>0</v>
      </c>
      <c r="BP14" s="570">
        <v>0</v>
      </c>
      <c r="BQ14" s="570">
        <v>0</v>
      </c>
      <c r="BR14" s="570">
        <v>0</v>
      </c>
      <c r="BS14" s="569">
        <f>SUM(BO14:BR14)</f>
        <v>0</v>
      </c>
      <c r="BT14" s="584">
        <v>0</v>
      </c>
      <c r="BU14" s="584">
        <v>0</v>
      </c>
      <c r="BV14" s="585">
        <v>0</v>
      </c>
      <c r="BW14" s="574">
        <v>0</v>
      </c>
      <c r="BX14" s="577">
        <f>SUM(BT14:BW14)</f>
        <v>0</v>
      </c>
      <c r="BY14" s="584">
        <v>0</v>
      </c>
      <c r="BZ14" s="584">
        <v>0</v>
      </c>
      <c r="CA14" s="585">
        <v>0</v>
      </c>
      <c r="CB14" s="574">
        <v>0</v>
      </c>
      <c r="CC14" s="577">
        <f>SUM(BY14:CB14)</f>
        <v>0</v>
      </c>
    </row>
    <row r="15" spans="1:81" s="558" customFormat="1" ht="13.35" customHeight="1">
      <c r="A15" s="586" t="s">
        <v>352</v>
      </c>
      <c r="B15" s="587"/>
      <c r="C15" s="587"/>
      <c r="D15" s="587"/>
      <c r="E15" s="587"/>
      <c r="F15" s="588"/>
      <c r="G15" s="587"/>
      <c r="H15" s="589"/>
      <c r="I15" s="587"/>
      <c r="J15" s="587"/>
      <c r="K15" s="588"/>
      <c r="L15" s="587"/>
      <c r="M15" s="590"/>
      <c r="N15" s="590"/>
      <c r="O15" s="587"/>
      <c r="P15" s="561"/>
      <c r="Q15" s="587"/>
      <c r="R15" s="590"/>
      <c r="S15" s="590"/>
      <c r="T15" s="587"/>
      <c r="U15" s="561"/>
      <c r="V15" s="587"/>
      <c r="W15" s="590"/>
      <c r="X15" s="590"/>
      <c r="Y15" s="587"/>
      <c r="Z15" s="561"/>
      <c r="AA15" s="587"/>
      <c r="AB15" s="590"/>
      <c r="AC15" s="590"/>
      <c r="AD15" s="587"/>
      <c r="AE15" s="561"/>
      <c r="AF15" s="587"/>
      <c r="AG15" s="590"/>
      <c r="AH15" s="590"/>
      <c r="AI15" s="563"/>
      <c r="AJ15" s="591"/>
      <c r="AK15" s="592"/>
      <c r="AL15" s="592"/>
      <c r="AM15" s="593"/>
      <c r="AN15" s="590"/>
      <c r="AO15" s="591"/>
      <c r="AP15" s="592"/>
      <c r="AQ15" s="592"/>
      <c r="AR15" s="592"/>
      <c r="AS15" s="592"/>
      <c r="AT15" s="591"/>
      <c r="AU15" s="592"/>
      <c r="AV15" s="592"/>
      <c r="AW15" s="592"/>
      <c r="AX15" s="592"/>
      <c r="AY15" s="569"/>
      <c r="AZ15" s="592"/>
      <c r="BA15" s="592"/>
      <c r="BB15" s="592"/>
      <c r="BC15" s="592"/>
      <c r="BD15" s="569"/>
      <c r="BE15" s="592"/>
      <c r="BF15" s="592"/>
      <c r="BG15" s="592"/>
      <c r="BH15" s="592"/>
      <c r="BI15" s="569"/>
      <c r="BJ15" s="592"/>
      <c r="BK15" s="592"/>
      <c r="BL15" s="592"/>
      <c r="BM15" s="592"/>
      <c r="BN15" s="569"/>
      <c r="BO15" s="592"/>
      <c r="BP15" s="592"/>
      <c r="BQ15" s="592"/>
      <c r="BR15" s="592"/>
      <c r="BS15" s="569"/>
      <c r="BT15" s="592"/>
      <c r="BU15" s="592"/>
      <c r="BV15" s="592"/>
      <c r="BW15" s="590"/>
      <c r="BX15" s="591"/>
      <c r="BY15" s="592"/>
      <c r="BZ15" s="592"/>
      <c r="CA15" s="592"/>
      <c r="CB15" s="590"/>
      <c r="CC15" s="591"/>
    </row>
    <row r="16" spans="1:81" s="603" customFormat="1">
      <c r="A16" s="594" t="s">
        <v>353</v>
      </c>
      <c r="B16" s="595"/>
      <c r="C16" s="595"/>
      <c r="D16" s="595"/>
      <c r="E16" s="595"/>
      <c r="F16" s="596"/>
      <c r="G16" s="595"/>
      <c r="H16" s="597"/>
      <c r="I16" s="595"/>
      <c r="J16" s="595"/>
      <c r="K16" s="596"/>
      <c r="L16" s="595"/>
      <c r="M16" s="598"/>
      <c r="N16" s="598"/>
      <c r="O16" s="595"/>
      <c r="P16" s="596"/>
      <c r="Q16" s="595"/>
      <c r="R16" s="598"/>
      <c r="S16" s="598"/>
      <c r="T16" s="595"/>
      <c r="U16" s="596"/>
      <c r="V16" s="595"/>
      <c r="W16" s="598"/>
      <c r="X16" s="598"/>
      <c r="Y16" s="595"/>
      <c r="Z16" s="596"/>
      <c r="AA16" s="595"/>
      <c r="AB16" s="598"/>
      <c r="AC16" s="598"/>
      <c r="AD16" s="595"/>
      <c r="AE16" s="596"/>
      <c r="AF16" s="595"/>
      <c r="AG16" s="598"/>
      <c r="AH16" s="598"/>
      <c r="AI16" s="598"/>
      <c r="AJ16" s="599"/>
      <c r="AK16" s="598"/>
      <c r="AL16" s="598"/>
      <c r="AM16" s="598"/>
      <c r="AN16" s="598"/>
      <c r="AO16" s="599">
        <f>SUM(AK16:AN16)</f>
        <v>0</v>
      </c>
      <c r="AP16" s="598"/>
      <c r="AQ16" s="598"/>
      <c r="AR16" s="598"/>
      <c r="AS16" s="598"/>
      <c r="AT16" s="599">
        <v>261.18</v>
      </c>
      <c r="AU16" s="598">
        <v>-26.603000000000002</v>
      </c>
      <c r="AV16" s="598">
        <v>75.079000000000008</v>
      </c>
      <c r="AW16" s="598">
        <v>107.19499999999999</v>
      </c>
      <c r="AX16" s="598">
        <v>231.99700000000001</v>
      </c>
      <c r="AY16" s="599">
        <f>SUM(AU16:AX16)</f>
        <v>387.66800000000001</v>
      </c>
      <c r="AZ16" s="598">
        <v>-124.315</v>
      </c>
      <c r="BA16" s="598">
        <v>31</v>
      </c>
      <c r="BB16" s="598">
        <v>95.658000000000001</v>
      </c>
      <c r="BC16" s="600">
        <v>292.38900000000001</v>
      </c>
      <c r="BD16" s="599">
        <f>SUM(AZ16:BC16)</f>
        <v>294.73200000000003</v>
      </c>
      <c r="BE16" s="598">
        <v>-91.599000000000004</v>
      </c>
      <c r="BF16" s="598">
        <f>19.353-BE16</f>
        <v>110.952</v>
      </c>
      <c r="BG16" s="598">
        <v>146.364</v>
      </c>
      <c r="BH16" s="598">
        <v>282</v>
      </c>
      <c r="BI16" s="599">
        <f>SUM(BE16:BH16)</f>
        <v>447.71699999999998</v>
      </c>
      <c r="BJ16" s="598">
        <v>-45.633000000000003</v>
      </c>
      <c r="BK16" s="598">
        <v>111.33499999999999</v>
      </c>
      <c r="BL16" s="598">
        <f>242.976-BK16-BJ16</f>
        <v>177.27400000000003</v>
      </c>
      <c r="BM16" s="598">
        <v>301</v>
      </c>
      <c r="BN16" s="599">
        <f>SUM(BJ16:BM16)</f>
        <v>543.976</v>
      </c>
      <c r="BO16" s="598">
        <v>-38.765000000000001</v>
      </c>
      <c r="BP16" s="598">
        <v>136.58500000000001</v>
      </c>
      <c r="BQ16" s="598">
        <v>192.83799999999999</v>
      </c>
      <c r="BR16" s="598">
        <v>352.74400000000003</v>
      </c>
      <c r="BS16" s="599">
        <f>SUM(BO16:BR16)</f>
        <v>643.40200000000004</v>
      </c>
      <c r="BT16" s="601">
        <f>SUM(BT10:BT14)</f>
        <v>-23.540868243999995</v>
      </c>
      <c r="BU16" s="601">
        <f>SUM(BU10:BU14)</f>
        <v>9.2647197669999741</v>
      </c>
      <c r="BV16" s="601">
        <f>SUM(BV10:BV14)</f>
        <v>345.84972004000002</v>
      </c>
      <c r="BW16" s="601">
        <f>SUM(BW10:BW14)</f>
        <v>364.44329267319995</v>
      </c>
      <c r="BX16" s="602">
        <f>SUM(BT16:BW16)</f>
        <v>696.01686423619992</v>
      </c>
      <c r="BY16" s="601">
        <f>SUM(BY10:BY14)</f>
        <v>168.08063598263999</v>
      </c>
      <c r="BZ16" s="601">
        <f>SUM(BZ10:BZ14)</f>
        <v>167.08486833622402</v>
      </c>
      <c r="CA16" s="601">
        <f>SUM(CA10:CA14)</f>
        <v>179.31964482893198</v>
      </c>
      <c r="CB16" s="601">
        <f>SUM(CB10:CB14)</f>
        <v>198.70280176576</v>
      </c>
      <c r="CC16" s="602">
        <f>SUM(BY16:CB16)</f>
        <v>713.18795091355594</v>
      </c>
    </row>
    <row r="17" spans="1:81 16349:16349" s="558" customFormat="1" collapsed="1">
      <c r="A17" s="543" t="s">
        <v>354</v>
      </c>
      <c r="B17" s="560"/>
      <c r="C17" s="560"/>
      <c r="D17" s="560"/>
      <c r="E17" s="560"/>
      <c r="F17" s="561"/>
      <c r="G17" s="560"/>
      <c r="H17" s="562"/>
      <c r="I17" s="560"/>
      <c r="J17" s="560"/>
      <c r="K17" s="561"/>
      <c r="L17" s="560"/>
      <c r="M17" s="573"/>
      <c r="N17" s="573"/>
      <c r="O17" s="560"/>
      <c r="P17" s="604"/>
      <c r="Q17" s="560"/>
      <c r="R17" s="573"/>
      <c r="S17" s="573"/>
      <c r="T17" s="560"/>
      <c r="U17" s="604"/>
      <c r="V17" s="560"/>
      <c r="W17" s="573"/>
      <c r="X17" s="573"/>
      <c r="Y17" s="560"/>
      <c r="Z17" s="604"/>
      <c r="AA17" s="560"/>
      <c r="AB17" s="573"/>
      <c r="AC17" s="573"/>
      <c r="AD17" s="560"/>
      <c r="AE17" s="604"/>
      <c r="AF17" s="560"/>
      <c r="AG17" s="573"/>
      <c r="AH17" s="573"/>
      <c r="AI17" s="573"/>
      <c r="AJ17" s="569"/>
      <c r="AK17" s="573"/>
      <c r="AL17" s="573"/>
      <c r="AM17" s="573"/>
      <c r="AN17" s="573"/>
      <c r="AO17" s="569">
        <f>SUM(AK17:AN17)</f>
        <v>0</v>
      </c>
      <c r="AP17" s="573"/>
      <c r="AQ17" s="573"/>
      <c r="AR17" s="573"/>
      <c r="AS17" s="573"/>
      <c r="AT17" s="569">
        <v>-47.499000000000002</v>
      </c>
      <c r="AU17" s="573">
        <v>-8.5370000000000008</v>
      </c>
      <c r="AV17" s="573">
        <v>-9.234</v>
      </c>
      <c r="AW17" s="573">
        <v>-10.087000000000002</v>
      </c>
      <c r="AX17" s="573">
        <v>-13.249999999999991</v>
      </c>
      <c r="AY17" s="569">
        <f>SUM(AU17:AX17)</f>
        <v>-41.107999999999997</v>
      </c>
      <c r="AZ17" s="573">
        <v>-10.896000000000001</v>
      </c>
      <c r="BA17" s="573">
        <v>-8.5960000000000001</v>
      </c>
      <c r="BB17" s="573">
        <v>-9.2970000000000006</v>
      </c>
      <c r="BC17" s="573">
        <v>-9.4279999999999973</v>
      </c>
      <c r="BD17" s="569">
        <f>SUM(AZ17:BC17)</f>
        <v>-38.216999999999999</v>
      </c>
      <c r="BE17" s="573">
        <v>-10.661</v>
      </c>
      <c r="BF17" s="573">
        <f>-22.191-BE17</f>
        <v>-11.53</v>
      </c>
      <c r="BG17" s="573">
        <v>-9.3729999999999993</v>
      </c>
      <c r="BH17" s="573">
        <v>-13</v>
      </c>
      <c r="BI17" s="569">
        <f>SUM(BE17:BH17)</f>
        <v>-44.564</v>
      </c>
      <c r="BJ17" s="573">
        <v>-12.055</v>
      </c>
      <c r="BK17" s="573">
        <v>-11.064</v>
      </c>
      <c r="BL17" s="573">
        <f>-37.703-BK17-BJ17</f>
        <v>-14.584000000000003</v>
      </c>
      <c r="BM17" s="573">
        <v>-23</v>
      </c>
      <c r="BN17" s="569">
        <f>SUM(BJ17:BM17)</f>
        <v>-60.703000000000003</v>
      </c>
      <c r="BO17" s="573">
        <v>-15.773</v>
      </c>
      <c r="BP17" s="573">
        <v>-19.381</v>
      </c>
      <c r="BQ17" s="573">
        <v>-16.899999999999999</v>
      </c>
      <c r="BR17" s="573">
        <v>-37.637999999999998</v>
      </c>
      <c r="BS17" s="569">
        <f>SUM(BO17:BR17)</f>
        <v>-89.691999999999993</v>
      </c>
      <c r="BT17" s="574">
        <f>-115/4</f>
        <v>-28.75</v>
      </c>
      <c r="BU17" s="574">
        <f t="shared" ref="BU17:BW17" si="4">-115/4</f>
        <v>-28.75</v>
      </c>
      <c r="BV17" s="574">
        <f t="shared" si="4"/>
        <v>-28.75</v>
      </c>
      <c r="BW17" s="574">
        <f t="shared" si="4"/>
        <v>-28.75</v>
      </c>
      <c r="BX17" s="577">
        <f>SUM(BT17:BW17)</f>
        <v>-115</v>
      </c>
      <c r="BY17" s="574">
        <f>-(0.03*CW_IS!BU91)</f>
        <v>-27.631305177000002</v>
      </c>
      <c r="BZ17" s="574">
        <f>-(0.03*CW_IS!BV91)</f>
        <v>-29.761827483000005</v>
      </c>
      <c r="CA17" s="574">
        <f>-(0.03*CW_IS!BW91)</f>
        <v>-29.862781458000001</v>
      </c>
      <c r="CB17" s="574">
        <f>-(0.03*CW_IS!BX91)</f>
        <v>-31.485789312000001</v>
      </c>
      <c r="CC17" s="577">
        <f>SUM(BY17:CB17)</f>
        <v>-118.74170343</v>
      </c>
    </row>
    <row r="18" spans="1:81 16349:16349" s="603" customFormat="1">
      <c r="A18" s="594" t="s">
        <v>355</v>
      </c>
      <c r="B18" s="595"/>
      <c r="C18" s="595"/>
      <c r="D18" s="595"/>
      <c r="E18" s="595"/>
      <c r="F18" s="596"/>
      <c r="G18" s="595"/>
      <c r="H18" s="597"/>
      <c r="I18" s="595"/>
      <c r="J18" s="595"/>
      <c r="K18" s="596"/>
      <c r="L18" s="595"/>
      <c r="M18" s="598"/>
      <c r="N18" s="598"/>
      <c r="O18" s="595"/>
      <c r="P18" s="596"/>
      <c r="Q18" s="595"/>
      <c r="R18" s="598"/>
      <c r="S18" s="598"/>
      <c r="T18" s="595"/>
      <c r="U18" s="596"/>
      <c r="V18" s="595"/>
      <c r="W18" s="598"/>
      <c r="X18" s="598"/>
      <c r="Y18" s="595"/>
      <c r="Z18" s="596"/>
      <c r="AA18" s="595"/>
      <c r="AB18" s="598"/>
      <c r="AC18" s="598"/>
      <c r="AD18" s="595"/>
      <c r="AE18" s="596"/>
      <c r="AF18" s="595"/>
      <c r="AG18" s="598"/>
      <c r="AH18" s="598"/>
      <c r="AI18" s="598"/>
      <c r="AJ18" s="599"/>
      <c r="AK18" s="598"/>
      <c r="AL18" s="598"/>
      <c r="AM18" s="598"/>
      <c r="AN18" s="598"/>
      <c r="AO18" s="599">
        <f>AO16+AO17</f>
        <v>0</v>
      </c>
      <c r="AP18" s="598"/>
      <c r="AQ18" s="598"/>
      <c r="AR18" s="598"/>
      <c r="AS18" s="598"/>
      <c r="AT18" s="599">
        <f>+AT16+AT17</f>
        <v>213.68100000000001</v>
      </c>
      <c r="AU18" s="598">
        <f>+AU16+AU17</f>
        <v>-35.14</v>
      </c>
      <c r="AV18" s="598">
        <f>+AV16+AV17</f>
        <v>65.845000000000013</v>
      </c>
      <c r="AW18" s="598">
        <f>+AW16+AW17</f>
        <v>97.10799999999999</v>
      </c>
      <c r="AX18" s="598">
        <f>+AX16+AX17</f>
        <v>218.74700000000001</v>
      </c>
      <c r="AY18" s="599">
        <f>SUM(AU18:AX18)</f>
        <v>346.56</v>
      </c>
      <c r="AZ18" s="598">
        <f>+AZ16+AZ17</f>
        <v>-135.21100000000001</v>
      </c>
      <c r="BA18" s="598">
        <f>+BA16+BA17</f>
        <v>22.404</v>
      </c>
      <c r="BB18" s="598">
        <f>+BB16+BB17</f>
        <v>86.361000000000004</v>
      </c>
      <c r="BC18" s="598">
        <f>+BC16+BC17</f>
        <v>282.96100000000001</v>
      </c>
      <c r="BD18" s="599">
        <f>SUM(AZ18:BC18)</f>
        <v>256.51499999999999</v>
      </c>
      <c r="BE18" s="598">
        <f>+BE16+BE17</f>
        <v>-102.26</v>
      </c>
      <c r="BF18" s="598">
        <f>+BF16+BF17</f>
        <v>99.421999999999997</v>
      </c>
      <c r="BG18" s="598">
        <f>+BG16+BG17</f>
        <v>136.99100000000001</v>
      </c>
      <c r="BH18" s="598">
        <v>270</v>
      </c>
      <c r="BI18" s="599">
        <f>SUM(BE18:BH18)</f>
        <v>404.15300000000002</v>
      </c>
      <c r="BJ18" s="598">
        <f>+BJ16+BJ17</f>
        <v>-57.688000000000002</v>
      </c>
      <c r="BK18" s="598">
        <f>+BK16+BK17</f>
        <v>100.27099999999999</v>
      </c>
      <c r="BL18" s="598">
        <f>+BL16+BL17</f>
        <v>162.69000000000003</v>
      </c>
      <c r="BM18" s="598">
        <f>+BM16+BM17</f>
        <v>278</v>
      </c>
      <c r="BN18" s="599">
        <f>SUM(BJ18:BM18)</f>
        <v>483.27300000000002</v>
      </c>
      <c r="BO18" s="598">
        <f>+BO16+BO17</f>
        <v>-54.537999999999997</v>
      </c>
      <c r="BP18" s="598">
        <f>+BP16+BP17</f>
        <v>117.20400000000001</v>
      </c>
      <c r="BQ18" s="598">
        <f>+BQ16+BQ17</f>
        <v>175.93799999999999</v>
      </c>
      <c r="BR18" s="598">
        <f>+BR16+BR17</f>
        <v>315.10600000000005</v>
      </c>
      <c r="BS18" s="599">
        <f>SUM(BO18:BR18)</f>
        <v>553.71</v>
      </c>
      <c r="BT18" s="601">
        <f>+BT16+BT17</f>
        <v>-52.290868243999995</v>
      </c>
      <c r="BU18" s="601">
        <f>+BU16+BU17</f>
        <v>-19.485280233000026</v>
      </c>
      <c r="BV18" s="601">
        <f>+BV16+BV17</f>
        <v>317.09972004000002</v>
      </c>
      <c r="BW18" s="601">
        <f>+BW16+BW17</f>
        <v>335.69329267319995</v>
      </c>
      <c r="BX18" s="602">
        <f>SUM(BT18:BW18)</f>
        <v>581.01686423619992</v>
      </c>
      <c r="BY18" s="601">
        <f>+BY16+BY17</f>
        <v>140.44933080563999</v>
      </c>
      <c r="BZ18" s="601">
        <f>+BZ16+BZ17</f>
        <v>137.32304085322403</v>
      </c>
      <c r="CA18" s="601">
        <f>+CA16+CA17</f>
        <v>149.45686337093198</v>
      </c>
      <c r="CB18" s="601">
        <f>+CB16+CB17</f>
        <v>167.21701245375999</v>
      </c>
      <c r="CC18" s="602">
        <f>SUM(BY18:CB18)</f>
        <v>594.44624748355591</v>
      </c>
    </row>
    <row r="19" spans="1:81 16349:16349" s="611" customFormat="1">
      <c r="A19" s="586" t="s">
        <v>273</v>
      </c>
      <c r="B19" s="587"/>
      <c r="C19" s="587"/>
      <c r="D19" s="587"/>
      <c r="E19" s="587"/>
      <c r="F19" s="588"/>
      <c r="G19" s="587"/>
      <c r="H19" s="589"/>
      <c r="I19" s="587"/>
      <c r="J19" s="587"/>
      <c r="K19" s="588"/>
      <c r="L19" s="587"/>
      <c r="M19" s="605"/>
      <c r="N19" s="605"/>
      <c r="O19" s="587"/>
      <c r="P19" s="588"/>
      <c r="Q19" s="587"/>
      <c r="R19" s="605"/>
      <c r="S19" s="605"/>
      <c r="T19" s="587"/>
      <c r="U19" s="588"/>
      <c r="V19" s="587"/>
      <c r="W19" s="605"/>
      <c r="X19" s="605"/>
      <c r="Y19" s="587"/>
      <c r="Z19" s="588"/>
      <c r="AA19" s="587"/>
      <c r="AB19" s="605"/>
      <c r="AC19" s="605"/>
      <c r="AD19" s="587"/>
      <c r="AE19" s="588"/>
      <c r="AF19" s="587"/>
      <c r="AG19" s="605"/>
      <c r="AH19" s="605"/>
      <c r="AI19" s="605"/>
      <c r="AJ19" s="606"/>
      <c r="AK19" s="605"/>
      <c r="AL19" s="605"/>
      <c r="AM19" s="605"/>
      <c r="AN19" s="605"/>
      <c r="AO19" s="606"/>
      <c r="AP19" s="607"/>
      <c r="AQ19" s="608"/>
      <c r="AR19" s="608"/>
      <c r="AS19" s="608"/>
      <c r="AT19" s="609"/>
      <c r="AU19" s="608"/>
      <c r="AV19" s="565"/>
      <c r="AW19" s="605"/>
      <c r="AX19" s="605"/>
      <c r="AY19" s="609"/>
      <c r="AZ19" s="608"/>
      <c r="BA19" s="605"/>
      <c r="BB19" s="605"/>
      <c r="BC19" s="605"/>
      <c r="BD19" s="609"/>
      <c r="BE19" s="608"/>
      <c r="BF19" s="605"/>
      <c r="BG19" s="605"/>
      <c r="BH19" s="605"/>
      <c r="BI19" s="609"/>
      <c r="BJ19" s="608"/>
      <c r="BK19" s="605"/>
      <c r="BL19" s="605"/>
      <c r="BM19" s="605"/>
      <c r="BN19" s="609"/>
      <c r="BO19" s="608"/>
      <c r="BP19" s="605"/>
      <c r="BQ19" s="605"/>
      <c r="BR19" s="605"/>
      <c r="BS19" s="1100">
        <f>-BS17/-BN17-1</f>
        <v>0.47755465133518915</v>
      </c>
      <c r="BT19" s="574"/>
      <c r="BU19" s="605"/>
      <c r="BV19" s="605"/>
      <c r="BW19" s="605"/>
      <c r="BX19" s="1100">
        <f>-BX17/-BS17-1</f>
        <v>0.28216563350131563</v>
      </c>
      <c r="BY19" s="574"/>
      <c r="BZ19" s="605"/>
      <c r="CA19" s="605"/>
      <c r="CB19" s="605"/>
      <c r="CC19" s="610"/>
    </row>
    <row r="20" spans="1:81 16349:16349" s="611" customFormat="1">
      <c r="A20" s="586" t="s">
        <v>352</v>
      </c>
      <c r="B20" s="587"/>
      <c r="C20" s="587"/>
      <c r="D20" s="587"/>
      <c r="E20" s="587"/>
      <c r="F20" s="588"/>
      <c r="G20" s="587"/>
      <c r="H20" s="589"/>
      <c r="I20" s="587"/>
      <c r="J20" s="587"/>
      <c r="K20" s="588"/>
      <c r="L20" s="587"/>
      <c r="M20" s="605"/>
      <c r="N20" s="605"/>
      <c r="O20" s="587"/>
      <c r="P20" s="588"/>
      <c r="Q20" s="587"/>
      <c r="R20" s="605"/>
      <c r="S20" s="605"/>
      <c r="T20" s="587"/>
      <c r="U20" s="588"/>
      <c r="V20" s="587"/>
      <c r="W20" s="605"/>
      <c r="X20" s="605"/>
      <c r="Y20" s="587"/>
      <c r="Z20" s="588"/>
      <c r="AA20" s="587"/>
      <c r="AB20" s="605"/>
      <c r="AC20" s="605"/>
      <c r="AD20" s="587"/>
      <c r="AE20" s="588"/>
      <c r="AF20" s="587"/>
      <c r="AG20" s="605"/>
      <c r="AH20" s="605"/>
      <c r="AI20" s="605"/>
      <c r="AJ20" s="606"/>
      <c r="AK20" s="605"/>
      <c r="AL20" s="605"/>
      <c r="AM20" s="605"/>
      <c r="AN20" s="605"/>
      <c r="AO20" s="606"/>
      <c r="AP20" s="607"/>
      <c r="AQ20" s="607"/>
      <c r="AR20" s="607"/>
      <c r="AS20" s="607"/>
      <c r="AT20" s="606" t="s">
        <v>356</v>
      </c>
      <c r="AU20" s="844"/>
      <c r="AV20" s="605"/>
      <c r="AW20" s="605"/>
      <c r="AX20" s="844" t="s">
        <v>357</v>
      </c>
      <c r="AY20" s="606" t="str">
        <f>AX20</f>
        <v>345-365</v>
      </c>
      <c r="AZ20" s="844"/>
      <c r="BA20" s="605"/>
      <c r="BB20" s="605" t="s">
        <v>358</v>
      </c>
      <c r="BC20" s="605" t="s">
        <v>359</v>
      </c>
      <c r="BD20" s="606" t="str">
        <f>BC20</f>
        <v>360-400</v>
      </c>
      <c r="BE20" s="605" t="s">
        <v>359</v>
      </c>
      <c r="BF20" s="605" t="s">
        <v>360</v>
      </c>
      <c r="BG20" s="605" t="s">
        <v>361</v>
      </c>
      <c r="BH20" s="605" t="s">
        <v>362</v>
      </c>
      <c r="BI20" s="606" t="str">
        <f>BH20</f>
        <v>415-435</v>
      </c>
      <c r="BJ20" s="605" t="s">
        <v>362</v>
      </c>
      <c r="BK20" s="605" t="s">
        <v>363</v>
      </c>
      <c r="BL20" s="605" t="s">
        <v>364</v>
      </c>
      <c r="BM20" s="605" t="s">
        <v>365</v>
      </c>
      <c r="BN20" s="606" t="str">
        <f>BM20</f>
        <v>485-505</v>
      </c>
      <c r="BO20" s="605" t="s">
        <v>366</v>
      </c>
      <c r="BP20" s="605" t="s">
        <v>1182</v>
      </c>
      <c r="BQ20" s="605" t="s">
        <v>1182</v>
      </c>
      <c r="BR20" s="605" t="s">
        <v>1292</v>
      </c>
      <c r="BS20" s="606" t="str">
        <f>BR20</f>
        <v>575-595</v>
      </c>
      <c r="BT20" s="590"/>
      <c r="BU20" s="605"/>
      <c r="BV20" s="605"/>
      <c r="BW20" s="605"/>
      <c r="BX20" s="606"/>
      <c r="BY20" s="590"/>
      <c r="BZ20" s="605"/>
      <c r="CA20" s="605"/>
      <c r="CB20" s="605"/>
      <c r="CC20" s="606"/>
    </row>
    <row r="21" spans="1:81 16349:16349" s="611" customFormat="1">
      <c r="A21" s="586"/>
      <c r="B21" s="587"/>
      <c r="C21" s="587"/>
      <c r="D21" s="587"/>
      <c r="E21" s="587"/>
      <c r="F21" s="588"/>
      <c r="G21" s="587"/>
      <c r="H21" s="589"/>
      <c r="I21" s="587"/>
      <c r="J21" s="587"/>
      <c r="K21" s="588"/>
      <c r="L21" s="587"/>
      <c r="M21" s="605"/>
      <c r="N21" s="605"/>
      <c r="O21" s="587"/>
      <c r="P21" s="588"/>
      <c r="Q21" s="587"/>
      <c r="R21" s="605"/>
      <c r="S21" s="605"/>
      <c r="T21" s="587"/>
      <c r="U21" s="588"/>
      <c r="V21" s="587"/>
      <c r="W21" s="605"/>
      <c r="X21" s="605"/>
      <c r="Y21" s="587"/>
      <c r="Z21" s="588"/>
      <c r="AA21" s="587"/>
      <c r="AB21" s="605"/>
      <c r="AC21" s="605"/>
      <c r="AD21" s="587"/>
      <c r="AE21" s="588"/>
      <c r="AF21" s="587"/>
      <c r="AG21" s="605"/>
      <c r="AH21" s="605"/>
      <c r="AI21" s="605"/>
      <c r="AJ21" s="606"/>
      <c r="AK21" s="605"/>
      <c r="AL21" s="605"/>
      <c r="AM21" s="605"/>
      <c r="AN21" s="605"/>
      <c r="AO21" s="606"/>
      <c r="AP21" s="607"/>
      <c r="AQ21" s="608"/>
      <c r="AR21" s="608"/>
      <c r="AS21" s="608"/>
      <c r="AT21" s="609"/>
      <c r="AU21" s="608"/>
      <c r="AV21" s="565"/>
      <c r="AW21" s="605"/>
      <c r="AX21" s="605"/>
      <c r="AY21" s="609"/>
      <c r="AZ21" s="608"/>
      <c r="BA21" s="605"/>
      <c r="BB21" s="605"/>
      <c r="BC21" s="605"/>
      <c r="BD21" s="609"/>
      <c r="BE21" s="608"/>
      <c r="BF21" s="605"/>
      <c r="BG21" s="605"/>
      <c r="BH21" s="605"/>
      <c r="BI21" s="609"/>
      <c r="BJ21" s="608"/>
      <c r="BK21" s="605"/>
      <c r="BL21" s="605"/>
      <c r="BM21" s="605"/>
      <c r="BN21" s="609"/>
      <c r="BO21" s="608"/>
      <c r="BP21" s="605"/>
      <c r="BQ21" s="605"/>
      <c r="BR21" s="605"/>
      <c r="BS21" s="609"/>
      <c r="BT21" s="574"/>
      <c r="BU21" s="605"/>
      <c r="BV21" s="605"/>
      <c r="BW21" s="605"/>
      <c r="BX21" s="606"/>
      <c r="BY21" s="574"/>
      <c r="BZ21" s="605"/>
      <c r="CA21" s="605"/>
      <c r="CB21" s="605"/>
      <c r="CC21" s="606"/>
    </row>
    <row r="22" spans="1:81 16349:16349" s="611" customFormat="1">
      <c r="A22" s="543" t="s">
        <v>367</v>
      </c>
      <c r="B22" s="587"/>
      <c r="C22" s="587"/>
      <c r="D22" s="587"/>
      <c r="E22" s="587"/>
      <c r="F22" s="588"/>
      <c r="G22" s="587"/>
      <c r="H22" s="589"/>
      <c r="I22" s="587"/>
      <c r="J22" s="587"/>
      <c r="K22" s="588"/>
      <c r="L22" s="587"/>
      <c r="M22" s="605"/>
      <c r="N22" s="605"/>
      <c r="O22" s="587"/>
      <c r="P22" s="588"/>
      <c r="Q22" s="587"/>
      <c r="R22" s="605"/>
      <c r="S22" s="605"/>
      <c r="T22" s="587"/>
      <c r="U22" s="588"/>
      <c r="V22" s="587"/>
      <c r="W22" s="605"/>
      <c r="X22" s="605"/>
      <c r="Y22" s="587"/>
      <c r="Z22" s="588"/>
      <c r="AA22" s="587"/>
      <c r="AB22" s="605"/>
      <c r="AC22" s="605"/>
      <c r="AD22" s="587"/>
      <c r="AE22" s="588"/>
      <c r="AF22" s="587"/>
      <c r="AG22" s="605"/>
      <c r="AH22" s="605"/>
      <c r="AI22" s="605"/>
      <c r="AJ22" s="606"/>
      <c r="AK22" s="605"/>
      <c r="AL22" s="605"/>
      <c r="AM22" s="605"/>
      <c r="AN22" s="605"/>
      <c r="AO22" s="606"/>
      <c r="AP22" s="607"/>
      <c r="AQ22" s="608"/>
      <c r="AR22" s="608"/>
      <c r="AS22" s="608"/>
      <c r="AT22" s="998">
        <f>-AT17/CW_IS!AP91</f>
        <v>2.0426672721689972E-2</v>
      </c>
      <c r="AU22" s="608"/>
      <c r="AV22" s="565"/>
      <c r="AW22" s="605"/>
      <c r="AX22" s="605"/>
      <c r="AY22" s="998">
        <f>-AY17/CW_IS!AU91</f>
        <v>1.6653169826439679E-2</v>
      </c>
      <c r="AZ22" s="608"/>
      <c r="BA22" s="605"/>
      <c r="BB22" s="605"/>
      <c r="BC22" s="605"/>
      <c r="BD22" s="998">
        <f>-BD17/CW_IS!AZ91</f>
        <v>1.4945878532326226E-2</v>
      </c>
      <c r="BE22" s="608"/>
      <c r="BF22" s="605"/>
      <c r="BG22" s="605"/>
      <c r="BH22" s="605"/>
      <c r="BI22" s="998">
        <f>-BI17/CW_IS!BE91</f>
        <v>1.566191849012414E-2</v>
      </c>
      <c r="BJ22" s="608"/>
      <c r="BK22" s="605"/>
      <c r="BL22" s="605"/>
      <c r="BM22" s="605"/>
      <c r="BN22" s="998">
        <f>-BN17/CW_IS!BJ91</f>
        <v>1.9448678051857803E-2</v>
      </c>
      <c r="BO22" s="608"/>
      <c r="BP22" s="605"/>
      <c r="BQ22" s="605"/>
      <c r="BR22" s="605"/>
      <c r="BS22" s="998">
        <f>-BS17/CW_IS!BO91</f>
        <v>2.5638211145069759E-2</v>
      </c>
      <c r="BT22" s="1035"/>
      <c r="BU22" s="1036"/>
      <c r="BV22" s="1036"/>
      <c r="BW22" s="1036"/>
      <c r="BX22" s="1034">
        <f>-BX17/CW_IS!BT91</f>
        <v>3.0756212435983518E-2</v>
      </c>
      <c r="BY22" s="1035"/>
      <c r="BZ22" s="1036"/>
      <c r="CA22" s="1036"/>
      <c r="CB22" s="1036"/>
      <c r="CC22" s="1034">
        <f>-CC17/CW_IS!BY91</f>
        <v>2.9999999999999995E-2</v>
      </c>
    </row>
    <row r="23" spans="1:81 16349:16349" s="611" customFormat="1">
      <c r="A23" s="543" t="s">
        <v>368</v>
      </c>
      <c r="B23" s="587"/>
      <c r="C23" s="587"/>
      <c r="D23" s="587"/>
      <c r="E23" s="587"/>
      <c r="F23" s="588"/>
      <c r="G23" s="587"/>
      <c r="H23" s="589"/>
      <c r="I23" s="587"/>
      <c r="J23" s="587"/>
      <c r="K23" s="588"/>
      <c r="L23" s="587"/>
      <c r="M23" s="605"/>
      <c r="N23" s="605"/>
      <c r="O23" s="587"/>
      <c r="P23" s="588"/>
      <c r="Q23" s="587"/>
      <c r="R23" s="605"/>
      <c r="S23" s="605"/>
      <c r="T23" s="587"/>
      <c r="U23" s="588"/>
      <c r="V23" s="587"/>
      <c r="W23" s="605"/>
      <c r="X23" s="605"/>
      <c r="Y23" s="587"/>
      <c r="Z23" s="588"/>
      <c r="AA23" s="587"/>
      <c r="AB23" s="605"/>
      <c r="AC23" s="605"/>
      <c r="AD23" s="587"/>
      <c r="AE23" s="588"/>
      <c r="AF23" s="587"/>
      <c r="AG23" s="605"/>
      <c r="AH23" s="605"/>
      <c r="AI23" s="605"/>
      <c r="AJ23" s="606"/>
      <c r="AK23" s="605"/>
      <c r="AL23" s="605"/>
      <c r="AM23" s="605"/>
      <c r="AN23" s="605"/>
      <c r="AO23" s="606"/>
      <c r="AP23" s="607"/>
      <c r="AQ23" s="608"/>
      <c r="AR23" s="608"/>
      <c r="AS23" s="608"/>
      <c r="AT23" s="942">
        <f>AT18/CW_IS!AP128</f>
        <v>0.77126790124095446</v>
      </c>
      <c r="AU23" s="608"/>
      <c r="AV23" s="565"/>
      <c r="AW23" s="605"/>
      <c r="AX23" s="605"/>
      <c r="AY23" s="942">
        <f>AY18/CW_IS!AU128</f>
        <v>1.1636416773362923</v>
      </c>
      <c r="AZ23" s="608"/>
      <c r="BA23" s="605"/>
      <c r="BB23" s="605"/>
      <c r="BC23" s="605"/>
      <c r="BD23" s="942">
        <f>BD18/CW_IS!AZ128</f>
        <v>0.8163555107235152</v>
      </c>
      <c r="BE23" s="608"/>
      <c r="BF23" s="605"/>
      <c r="BG23" s="605"/>
      <c r="BH23" s="941"/>
      <c r="BI23" s="942">
        <f>BI18/CW_IS!BE128</f>
        <v>1.1113607365202278</v>
      </c>
      <c r="BJ23" s="608"/>
      <c r="BK23" s="605"/>
      <c r="BL23" s="605"/>
      <c r="BM23" s="941"/>
      <c r="BN23" s="942">
        <f>BN18/CW_IS!BJ128</f>
        <v>1.1521670199095477</v>
      </c>
      <c r="BO23" s="608"/>
      <c r="BP23" s="605"/>
      <c r="BQ23" s="605"/>
      <c r="BR23" s="941"/>
      <c r="BS23" s="942">
        <f>BS18/CW_IS!BO128</f>
        <v>1.1036631307030871</v>
      </c>
      <c r="BT23" s="944"/>
      <c r="BU23" s="944"/>
      <c r="BV23" s="944"/>
      <c r="BW23" s="944"/>
      <c r="BX23" s="943">
        <f>BX18/CW_IS!BT128</f>
        <v>1.0489167347710624</v>
      </c>
      <c r="BY23" s="944"/>
      <c r="BZ23" s="944"/>
      <c r="CA23" s="944"/>
      <c r="CB23" s="944"/>
      <c r="CC23" s="943">
        <f>CC18/CW_IS!BY128</f>
        <v>0.98505970355166217</v>
      </c>
    </row>
    <row r="24" spans="1:81 16349:16349" s="611" customFormat="1">
      <c r="A24" s="586"/>
      <c r="B24" s="587"/>
      <c r="C24" s="587"/>
      <c r="D24" s="587"/>
      <c r="E24" s="587"/>
      <c r="F24" s="588"/>
      <c r="G24" s="587"/>
      <c r="H24" s="589"/>
      <c r="I24" s="587"/>
      <c r="J24" s="587"/>
      <c r="K24" s="588"/>
      <c r="L24" s="587"/>
      <c r="M24" s="605"/>
      <c r="N24" s="605"/>
      <c r="O24" s="587"/>
      <c r="P24" s="588"/>
      <c r="Q24" s="587"/>
      <c r="R24" s="605"/>
      <c r="S24" s="605"/>
      <c r="T24" s="587"/>
      <c r="U24" s="588"/>
      <c r="V24" s="587"/>
      <c r="W24" s="605"/>
      <c r="X24" s="605"/>
      <c r="Y24" s="587"/>
      <c r="Z24" s="588"/>
      <c r="AA24" s="587"/>
      <c r="AB24" s="605"/>
      <c r="AC24" s="605"/>
      <c r="AD24" s="587"/>
      <c r="AE24" s="588"/>
      <c r="AF24" s="587"/>
      <c r="AG24" s="605"/>
      <c r="AH24" s="605"/>
      <c r="AI24" s="605"/>
      <c r="AJ24" s="606"/>
      <c r="AK24" s="605"/>
      <c r="AL24" s="605"/>
      <c r="AM24" s="605"/>
      <c r="AN24" s="605"/>
      <c r="AO24" s="606"/>
      <c r="AP24" s="607"/>
      <c r="AQ24" s="608"/>
      <c r="AR24" s="608"/>
      <c r="AS24" s="608"/>
      <c r="AT24" s="609"/>
      <c r="AU24" s="608"/>
      <c r="AV24" s="565"/>
      <c r="AW24" s="605"/>
      <c r="AX24" s="605"/>
      <c r="AY24" s="609"/>
      <c r="AZ24" s="608"/>
      <c r="BA24" s="605"/>
      <c r="BB24" s="605"/>
      <c r="BC24" s="605"/>
      <c r="BD24" s="609"/>
      <c r="BE24" s="608"/>
      <c r="BF24" s="605"/>
      <c r="BG24" s="605"/>
      <c r="BH24" s="605"/>
      <c r="BI24" s="609"/>
      <c r="BJ24" s="608"/>
      <c r="BK24" s="605"/>
      <c r="BL24" s="605"/>
      <c r="BM24" s="605"/>
      <c r="BN24" s="609"/>
      <c r="BO24" s="608"/>
      <c r="BP24" s="605"/>
      <c r="BQ24" s="605"/>
      <c r="BR24" s="605"/>
      <c r="BS24" s="609"/>
      <c r="BT24" s="574"/>
      <c r="BU24" s="605"/>
      <c r="BV24" s="605"/>
      <c r="BW24" s="605"/>
      <c r="BX24" s="606"/>
      <c r="BY24" s="574"/>
      <c r="BZ24" s="605"/>
      <c r="CA24" s="605"/>
      <c r="CB24" s="605"/>
      <c r="CC24" s="606"/>
    </row>
    <row r="25" spans="1:81 16349:16349" s="619" customFormat="1">
      <c r="A25" s="543" t="s">
        <v>369</v>
      </c>
      <c r="B25" s="612"/>
      <c r="C25" s="612"/>
      <c r="D25" s="612"/>
      <c r="E25" s="612"/>
      <c r="F25" s="613"/>
      <c r="G25" s="612"/>
      <c r="H25" s="614"/>
      <c r="I25" s="612"/>
      <c r="J25" s="612"/>
      <c r="K25" s="613"/>
      <c r="L25" s="612"/>
      <c r="M25" s="573"/>
      <c r="N25" s="573"/>
      <c r="O25" s="612"/>
      <c r="P25" s="588"/>
      <c r="Q25" s="612"/>
      <c r="R25" s="573"/>
      <c r="S25" s="573"/>
      <c r="T25" s="612"/>
      <c r="U25" s="588"/>
      <c r="V25" s="612"/>
      <c r="W25" s="573"/>
      <c r="X25" s="573"/>
      <c r="Y25" s="612"/>
      <c r="Z25" s="588"/>
      <c r="AA25" s="612"/>
      <c r="AB25" s="573"/>
      <c r="AC25" s="573"/>
      <c r="AD25" s="612"/>
      <c r="AE25" s="588"/>
      <c r="AF25" s="612"/>
      <c r="AG25" s="573"/>
      <c r="AH25" s="573"/>
      <c r="AI25" s="615"/>
      <c r="AJ25" s="569"/>
      <c r="AK25" s="581"/>
      <c r="AL25" s="581"/>
      <c r="AM25" s="581"/>
      <c r="AN25" s="581"/>
      <c r="AO25" s="616">
        <f>SUM(AK25:AN25)</f>
        <v>0</v>
      </c>
      <c r="AP25" s="581"/>
      <c r="AQ25" s="581"/>
      <c r="AR25" s="581"/>
      <c r="AS25" s="581"/>
      <c r="AT25" s="616">
        <v>-28.175000000000001</v>
      </c>
      <c r="AU25" s="581">
        <v>0</v>
      </c>
      <c r="AV25" s="581">
        <v>-6.9610000000000003</v>
      </c>
      <c r="AW25" s="581">
        <f>-14.32-AV25-AU25</f>
        <v>-7.359</v>
      </c>
      <c r="AX25" s="581">
        <f>-28.66-AW25-AV25-AU25</f>
        <v>-14.340000000000002</v>
      </c>
      <c r="AY25" s="616">
        <f>SUM(AU25:AX25)</f>
        <v>-28.660000000000004</v>
      </c>
      <c r="AZ25" s="581">
        <v>0</v>
      </c>
      <c r="BA25" s="581">
        <v>-14.22</v>
      </c>
      <c r="BB25" s="581">
        <f>-14.22-BA25-AZ25</f>
        <v>0</v>
      </c>
      <c r="BC25" s="581">
        <f>-28.779-BB25-BA25-AZ25</f>
        <v>-14.558999999999999</v>
      </c>
      <c r="BD25" s="616">
        <f>SUM(AZ25:BC25)</f>
        <v>-28.779</v>
      </c>
      <c r="BE25" s="581">
        <v>0</v>
      </c>
      <c r="BF25" s="581">
        <f>-7.29-BE25</f>
        <v>-7.29</v>
      </c>
      <c r="BG25" s="581">
        <f>-0.2*CW_IS!BC140</f>
        <v>-7.7116000000000007</v>
      </c>
      <c r="BH25" s="581">
        <f>-0.2*CW_IS!BD140</f>
        <v>-7.7010000000000005</v>
      </c>
      <c r="BI25" s="616">
        <f>SUM(BE25:BH25)</f>
        <v>-22.7026</v>
      </c>
      <c r="BJ25" s="581">
        <v>0</v>
      </c>
      <c r="BK25" s="581">
        <f>-7.665-BJ25</f>
        <v>-7.665</v>
      </c>
      <c r="BL25" s="581">
        <f>-15.707-BK25-BJ25</f>
        <v>-8.0420000000000016</v>
      </c>
      <c r="BM25" s="581">
        <f>-0.21*CW_IS!BI140</f>
        <v>-8.0087700000000002</v>
      </c>
      <c r="BN25" s="616">
        <f>SUM(BJ25:BM25)</f>
        <v>-23.715769999999999</v>
      </c>
      <c r="BO25" s="581">
        <v>0</v>
      </c>
      <c r="BP25" s="581">
        <f>-7.923-BO25</f>
        <v>-7.923</v>
      </c>
      <c r="BQ25" s="581">
        <f>-16.967-BP25-BO25</f>
        <v>-9.0439999999999987</v>
      </c>
      <c r="BR25" s="581">
        <f>-34.727-BQ25-BP25-BO25</f>
        <v>-17.759999999999998</v>
      </c>
      <c r="BS25" s="616">
        <f>SUM(BO25:BR25)</f>
        <v>-34.726999999999997</v>
      </c>
      <c r="BT25" s="617">
        <f>-0.24*CW_IS!BP140</f>
        <v>-8.9164799999999982</v>
      </c>
      <c r="BU25" s="617">
        <f>-0.24*CW_IS!BQ140</f>
        <v>-8.9116799999999969</v>
      </c>
      <c r="BV25" s="617">
        <f>-0.24*CW_IS!BR140</f>
        <v>-8.9068799999999975</v>
      </c>
      <c r="BW25" s="617">
        <f>-0.24*CW_IS!BS140</f>
        <v>-8.9020799999999962</v>
      </c>
      <c r="BX25" s="618">
        <f>SUM(BT25:BW25)</f>
        <v>-35.637119999999989</v>
      </c>
      <c r="BY25" s="617">
        <f>-0.24*CW_IS!BU140</f>
        <v>-8.897279999999995</v>
      </c>
      <c r="BZ25" s="617">
        <f>-0.24*CW_IS!BV140</f>
        <v>-8.8924799999999937</v>
      </c>
      <c r="CA25" s="617">
        <f>-0.24*CW_IS!BW140</f>
        <v>-8.8876799999999943</v>
      </c>
      <c r="CB25" s="617">
        <f>-0.24*CW_IS!BX140</f>
        <v>-8.882879999999993</v>
      </c>
      <c r="CC25" s="618">
        <f>SUM(BY25:CB25)</f>
        <v>-35.560319999999976</v>
      </c>
    </row>
    <row r="26" spans="1:81 16349:16349" s="558" customFormat="1">
      <c r="A26" s="543" t="s">
        <v>370</v>
      </c>
      <c r="B26" s="560"/>
      <c r="C26" s="560"/>
      <c r="D26" s="560"/>
      <c r="E26" s="560"/>
      <c r="F26" s="561"/>
      <c r="G26" s="560"/>
      <c r="H26" s="562"/>
      <c r="I26" s="560"/>
      <c r="J26" s="560"/>
      <c r="K26" s="561"/>
      <c r="L26" s="560"/>
      <c r="M26" s="565"/>
      <c r="N26" s="565"/>
      <c r="O26" s="560"/>
      <c r="P26" s="588"/>
      <c r="Q26" s="560"/>
      <c r="R26" s="565"/>
      <c r="S26" s="565"/>
      <c r="T26" s="560"/>
      <c r="U26" s="588"/>
      <c r="V26" s="560"/>
      <c r="W26" s="565"/>
      <c r="X26" s="565"/>
      <c r="Y26" s="560"/>
      <c r="Z26" s="588"/>
      <c r="AA26" s="560"/>
      <c r="AB26" s="565"/>
      <c r="AC26" s="565"/>
      <c r="AD26" s="560"/>
      <c r="AE26" s="588"/>
      <c r="AF26" s="560"/>
      <c r="AG26" s="565"/>
      <c r="AH26" s="565"/>
      <c r="AI26" s="573"/>
      <c r="AJ26" s="569"/>
      <c r="AK26" s="581"/>
      <c r="AL26" s="581"/>
      <c r="AM26" s="581"/>
      <c r="AN26" s="581"/>
      <c r="AO26" s="616">
        <f>SUM(AK26:AN26)</f>
        <v>0</v>
      </c>
      <c r="AP26" s="581"/>
      <c r="AQ26" s="581"/>
      <c r="AR26" s="581"/>
      <c r="AS26" s="581"/>
      <c r="AT26" s="616">
        <v>300</v>
      </c>
      <c r="AU26" s="581">
        <v>0</v>
      </c>
      <c r="AV26" s="581">
        <v>0</v>
      </c>
      <c r="AW26" s="581">
        <v>0</v>
      </c>
      <c r="AX26" s="581">
        <f>(455.95-362.05-100)-AW26-AV26-AU26</f>
        <v>-6.1000000000000227</v>
      </c>
      <c r="AY26" s="616">
        <f>SUM(AU26:AX26)</f>
        <v>-6.1000000000000227</v>
      </c>
      <c r="AZ26" s="581">
        <f>241.198-121.198</f>
        <v>120.00000000000001</v>
      </c>
      <c r="BA26" s="581">
        <f>(653.547-494.347)-AZ26</f>
        <v>39.200000000000031</v>
      </c>
      <c r="BB26" s="581">
        <f>(1332.219-1038.019)-BA26-AZ26</f>
        <v>135</v>
      </c>
      <c r="BC26" s="581">
        <f>(1697.647-1791.547+300)-BB26-BA26-AZ26</f>
        <v>-88.100000000000136</v>
      </c>
      <c r="BD26" s="616">
        <f>SUM(AZ26:BC26)</f>
        <v>206.09999999999991</v>
      </c>
      <c r="BE26" s="581">
        <f>BE32-BC32</f>
        <v>-24.781000000000176</v>
      </c>
      <c r="BF26" s="581">
        <f>BF32-BE32</f>
        <v>-53.552999999999884</v>
      </c>
      <c r="BG26" s="581">
        <f>BG32-BF32</f>
        <v>-125.35300000000007</v>
      </c>
      <c r="BH26" s="581">
        <f>BH32-BG32</f>
        <v>-0.3509999999998854</v>
      </c>
      <c r="BI26" s="616">
        <f>SUM(BE26:BH26)</f>
        <v>-204.03800000000001</v>
      </c>
      <c r="BJ26" s="581">
        <f>BJ32-BH32</f>
        <v>-0.35300000000006548</v>
      </c>
      <c r="BK26" s="581">
        <f>BK32-BJ32</f>
        <v>-0.35400000000004184</v>
      </c>
      <c r="BL26" s="581">
        <f>BL32-BK32</f>
        <v>-0.35299999999983811</v>
      </c>
      <c r="BM26" s="581">
        <f>BM32-BL32</f>
        <v>-0.35300000000006548</v>
      </c>
      <c r="BN26" s="616">
        <f>SUM(BJ26:BM26)</f>
        <v>-1.4130000000000109</v>
      </c>
      <c r="BO26" s="581">
        <f>BO32-BM32</f>
        <v>-90.32000000000005</v>
      </c>
      <c r="BP26" s="581">
        <f>BP32-BO32</f>
        <v>-0.24800000000004729</v>
      </c>
      <c r="BQ26" s="581">
        <f>BQ32-BP32</f>
        <v>10.250999999999976</v>
      </c>
      <c r="BR26" s="581">
        <f>BR32-BQ32</f>
        <v>-10.747999999999934</v>
      </c>
      <c r="BS26" s="616">
        <f>SUM(BO26:BR26)</f>
        <v>-91.065000000000055</v>
      </c>
      <c r="BT26" s="617">
        <v>0</v>
      </c>
      <c r="BU26" s="617">
        <v>0</v>
      </c>
      <c r="BV26" s="617">
        <v>0</v>
      </c>
      <c r="BW26" s="617">
        <v>0</v>
      </c>
      <c r="BX26" s="618">
        <f>SUM(BT26:BW26)</f>
        <v>0</v>
      </c>
      <c r="BY26" s="617">
        <v>0</v>
      </c>
      <c r="BZ26" s="617">
        <v>0</v>
      </c>
      <c r="CA26" s="617">
        <v>0</v>
      </c>
      <c r="CB26" s="617">
        <v>0</v>
      </c>
      <c r="CC26" s="618">
        <f>SUM(BY26:CB26)</f>
        <v>0</v>
      </c>
    </row>
    <row r="27" spans="1:81 16349:16349" s="558" customFormat="1">
      <c r="A27" s="543" t="s">
        <v>371</v>
      </c>
      <c r="B27" s="560"/>
      <c r="C27" s="560"/>
      <c r="D27" s="560"/>
      <c r="E27" s="560"/>
      <c r="F27" s="561"/>
      <c r="G27" s="560"/>
      <c r="H27" s="562"/>
      <c r="I27" s="560"/>
      <c r="J27" s="560"/>
      <c r="K27" s="561"/>
      <c r="L27" s="560"/>
      <c r="M27" s="573"/>
      <c r="N27" s="573"/>
      <c r="O27" s="560"/>
      <c r="P27" s="588"/>
      <c r="Q27" s="560"/>
      <c r="R27" s="573"/>
      <c r="S27" s="573"/>
      <c r="T27" s="560"/>
      <c r="U27" s="588"/>
      <c r="V27" s="560"/>
      <c r="W27" s="573"/>
      <c r="X27" s="573"/>
      <c r="Y27" s="560"/>
      <c r="Z27" s="588"/>
      <c r="AA27" s="560"/>
      <c r="AB27" s="573"/>
      <c r="AC27" s="573"/>
      <c r="AD27" s="560"/>
      <c r="AE27" s="588"/>
      <c r="AF27" s="560"/>
      <c r="AG27" s="573"/>
      <c r="AH27" s="573"/>
      <c r="AI27" s="573"/>
      <c r="AJ27" s="569"/>
      <c r="AK27" s="581"/>
      <c r="AL27" s="581"/>
      <c r="AM27" s="620"/>
      <c r="AN27" s="581"/>
      <c r="AO27" s="616">
        <f>SUM(AK27:AN27)</f>
        <v>0</v>
      </c>
      <c r="AP27" s="581"/>
      <c r="AQ27" s="581"/>
      <c r="AR27" s="620"/>
      <c r="AS27" s="581"/>
      <c r="AT27" s="616">
        <f>-487.944+2.93</f>
        <v>-485.01400000000001</v>
      </c>
      <c r="AU27" s="581">
        <f>1.022-5.34</f>
        <v>-4.3179999999999996</v>
      </c>
      <c r="AV27" s="581">
        <f>(2.982-5.34)-AU27</f>
        <v>1.96</v>
      </c>
      <c r="AW27" s="620">
        <f>(3.389-AV27-AU27)</f>
        <v>5.7469999999999999</v>
      </c>
      <c r="AX27" s="581">
        <f>(4.045-5.34)-AW27-AV27-AU27</f>
        <v>-4.6839999999999993</v>
      </c>
      <c r="AY27" s="616">
        <f>SUM(AU27:AX27)</f>
        <v>-1.294999999999999</v>
      </c>
      <c r="AZ27" s="581">
        <f>5.567-5.062</f>
        <v>0.50499999999999989</v>
      </c>
      <c r="BA27" s="581">
        <f>(6.319-5.062)-AZ27</f>
        <v>0.75199999999999978</v>
      </c>
      <c r="BB27" s="620">
        <f>(9.11-247.215)-BA27-AZ27</f>
        <v>-239.36200000000002</v>
      </c>
      <c r="BC27" s="581">
        <f>(9.841-282.429)-BB27-BA27-AZ27</f>
        <v>-34.482999999999947</v>
      </c>
      <c r="BD27" s="616">
        <f>SUM(AZ27:BC27)</f>
        <v>-272.58799999999997</v>
      </c>
      <c r="BE27" s="581">
        <v>0</v>
      </c>
      <c r="BF27" s="581">
        <f>0.473</f>
        <v>0.47299999999999998</v>
      </c>
      <c r="BG27" s="581">
        <v>0</v>
      </c>
      <c r="BH27" s="581">
        <v>0</v>
      </c>
      <c r="BI27" s="616">
        <f>SUM(BE27:BH27)</f>
        <v>0.47299999999999998</v>
      </c>
      <c r="BJ27" s="581">
        <v>0</v>
      </c>
      <c r="BK27" s="581">
        <f>-33.756-BJ27</f>
        <v>-33.756</v>
      </c>
      <c r="BL27" s="581">
        <f>-33.756-BK27-BJ27</f>
        <v>0</v>
      </c>
      <c r="BM27" s="581">
        <v>-200</v>
      </c>
      <c r="BN27" s="616">
        <f>SUM(BJ27:BM27)</f>
        <v>-233.756</v>
      </c>
      <c r="BO27" s="581">
        <v>-9.6189999999999998</v>
      </c>
      <c r="BP27" s="581">
        <f>-9.619-BO27</f>
        <v>0</v>
      </c>
      <c r="BQ27" s="581">
        <f>-9.619-BP27-BO27</f>
        <v>0</v>
      </c>
      <c r="BR27" s="581">
        <f>-9.619</f>
        <v>-9.6189999999999998</v>
      </c>
      <c r="BS27" s="616">
        <f>SUM(BO27:BR27)</f>
        <v>-19.238</v>
      </c>
      <c r="BT27" s="617">
        <v>0</v>
      </c>
      <c r="BU27" s="617">
        <v>0</v>
      </c>
      <c r="BV27" s="617">
        <v>0</v>
      </c>
      <c r="BW27" s="617">
        <v>0</v>
      </c>
      <c r="BX27" s="618">
        <f>SUM(BT27:BW27)</f>
        <v>0</v>
      </c>
      <c r="BY27" s="617">
        <v>0</v>
      </c>
      <c r="BZ27" s="617">
        <v>0</v>
      </c>
      <c r="CA27" s="617">
        <v>0</v>
      </c>
      <c r="CB27" s="617">
        <v>0</v>
      </c>
      <c r="CC27" s="618">
        <f>SUM(BY27:CB27)</f>
        <v>0</v>
      </c>
    </row>
    <row r="28" spans="1:81 16349:16349" s="558" customFormat="1">
      <c r="A28" s="543" t="s">
        <v>372</v>
      </c>
      <c r="B28" s="560"/>
      <c r="C28" s="560"/>
      <c r="D28" s="560"/>
      <c r="E28" s="560"/>
      <c r="F28" s="561"/>
      <c r="G28" s="560"/>
      <c r="H28" s="562"/>
      <c r="I28" s="560"/>
      <c r="J28" s="560"/>
      <c r="K28" s="561"/>
      <c r="L28" s="560"/>
      <c r="M28" s="573"/>
      <c r="N28" s="573"/>
      <c r="O28" s="560"/>
      <c r="P28" s="588"/>
      <c r="Q28" s="560"/>
      <c r="R28" s="573"/>
      <c r="S28" s="573"/>
      <c r="T28" s="560"/>
      <c r="U28" s="588"/>
      <c r="V28" s="560"/>
      <c r="W28" s="573"/>
      <c r="X28" s="573"/>
      <c r="Y28" s="560"/>
      <c r="Z28" s="588"/>
      <c r="AA28" s="560"/>
      <c r="AB28" s="573"/>
      <c r="AC28" s="573"/>
      <c r="AD28" s="560"/>
      <c r="AE28" s="588"/>
      <c r="AF28" s="560"/>
      <c r="AG28" s="573"/>
      <c r="AH28" s="573"/>
      <c r="AI28" s="583"/>
      <c r="AJ28" s="569"/>
      <c r="AK28" s="620"/>
      <c r="AL28" s="620"/>
      <c r="AM28" s="620"/>
      <c r="AN28" s="581"/>
      <c r="AO28" s="616">
        <f>SUM(AK28:AN28)</f>
        <v>0</v>
      </c>
      <c r="AP28" s="620"/>
      <c r="AQ28" s="620"/>
      <c r="AR28" s="620"/>
      <c r="AS28" s="581"/>
      <c r="AT28" s="616">
        <v>-200.018</v>
      </c>
      <c r="AU28" s="620">
        <v>-11.797000000000001</v>
      </c>
      <c r="AV28" s="573">
        <f>-24.395-AU28</f>
        <v>-12.597999999999999</v>
      </c>
      <c r="AW28" s="620">
        <f>-79.092-AV28-AU28</f>
        <v>-54.697000000000003</v>
      </c>
      <c r="AX28" s="581">
        <f>-343.129-AW28-AV28-AU28</f>
        <v>-264.03699999999998</v>
      </c>
      <c r="AY28" s="616">
        <f>SUM(AU28:AX28)</f>
        <v>-343.12899999999996</v>
      </c>
      <c r="AZ28" s="620">
        <v>-18.856999999999999</v>
      </c>
      <c r="BA28" s="620">
        <f>-31.645-AZ28</f>
        <v>-12.788</v>
      </c>
      <c r="BB28" s="620">
        <f>-44.434-BA28-AZ28</f>
        <v>-12.788999999999998</v>
      </c>
      <c r="BC28" s="581">
        <f>-56.87-BB28-BA28-AZ28</f>
        <v>-12.436000000000003</v>
      </c>
      <c r="BD28" s="616">
        <f>SUM(AZ28:BC28)</f>
        <v>-56.870000000000005</v>
      </c>
      <c r="BE28" s="620">
        <v>-12</v>
      </c>
      <c r="BF28" s="620">
        <f>-24.365-BE28</f>
        <v>-12.364999999999998</v>
      </c>
      <c r="BG28" s="620">
        <v>-13</v>
      </c>
      <c r="BH28" s="620">
        <v>-13</v>
      </c>
      <c r="BI28" s="616">
        <f>SUM(BE28:BH28)</f>
        <v>-50.364999999999995</v>
      </c>
      <c r="BJ28" s="620">
        <v>-12.19</v>
      </c>
      <c r="BK28" s="620">
        <f>-24.796-BJ28</f>
        <v>-12.606</v>
      </c>
      <c r="BL28" s="620">
        <f>-137.58-BK28-BJ28</f>
        <v>-112.78400000000002</v>
      </c>
      <c r="BM28" s="620">
        <v>-112</v>
      </c>
      <c r="BN28" s="616">
        <f>SUM(BJ28:BM28)</f>
        <v>-249.58</v>
      </c>
      <c r="BO28" s="620">
        <v>-14</v>
      </c>
      <c r="BP28" s="620">
        <f>-35.075-BO28</f>
        <v>-21.075000000000003</v>
      </c>
      <c r="BQ28" s="620">
        <f>-325.112-BP28-BO28</f>
        <v>-290.03700000000003</v>
      </c>
      <c r="BR28" s="620">
        <f>-464.95-BQ28-BP28-BO28</f>
        <v>-139.83799999999997</v>
      </c>
      <c r="BS28" s="616">
        <f>SUM(BO28:BR28)</f>
        <v>-464.95</v>
      </c>
      <c r="BT28" s="617">
        <f>-15</f>
        <v>-15</v>
      </c>
      <c r="BU28" s="617">
        <f>-15</f>
        <v>-15</v>
      </c>
      <c r="BV28" s="617">
        <f>-15</f>
        <v>-15</v>
      </c>
      <c r="BW28" s="617">
        <f>-15</f>
        <v>-15</v>
      </c>
      <c r="BX28" s="618">
        <f>SUM(BT28:BW28)</f>
        <v>-60</v>
      </c>
      <c r="BY28" s="617">
        <f>-15</f>
        <v>-15</v>
      </c>
      <c r="BZ28" s="617">
        <f>-15</f>
        <v>-15</v>
      </c>
      <c r="CA28" s="617">
        <f>-15</f>
        <v>-15</v>
      </c>
      <c r="CB28" s="617">
        <f>-15</f>
        <v>-15</v>
      </c>
      <c r="CC28" s="618">
        <f>SUM(BY28:CB28)</f>
        <v>-60</v>
      </c>
    </row>
    <row r="29" spans="1:81 16349:16349" s="558" customFormat="1">
      <c r="A29" s="543" t="s">
        <v>373</v>
      </c>
      <c r="B29" s="560"/>
      <c r="C29" s="560"/>
      <c r="D29" s="560"/>
      <c r="E29" s="560"/>
      <c r="F29" s="561"/>
      <c r="G29" s="560"/>
      <c r="H29" s="562"/>
      <c r="I29" s="560"/>
      <c r="J29" s="560"/>
      <c r="K29" s="561"/>
      <c r="L29" s="560"/>
      <c r="M29" s="565"/>
      <c r="N29" s="565"/>
      <c r="O29" s="560"/>
      <c r="P29" s="588"/>
      <c r="Q29" s="560"/>
      <c r="R29" s="565"/>
      <c r="S29" s="565"/>
      <c r="T29" s="560"/>
      <c r="U29" s="588"/>
      <c r="V29" s="560"/>
      <c r="W29" s="565"/>
      <c r="X29" s="565"/>
      <c r="Y29" s="560"/>
      <c r="Z29" s="588"/>
      <c r="AA29" s="560"/>
      <c r="AB29" s="565"/>
      <c r="AC29" s="565"/>
      <c r="AD29" s="560"/>
      <c r="AE29" s="588"/>
      <c r="AF29" s="560"/>
      <c r="AG29" s="565"/>
      <c r="AH29" s="565"/>
      <c r="AI29" s="581"/>
      <c r="AJ29" s="616"/>
      <c r="AK29" s="581"/>
      <c r="AL29" s="581"/>
      <c r="AM29" s="581"/>
      <c r="AN29" s="581"/>
      <c r="AO29" s="616">
        <v>391.03300000000002</v>
      </c>
      <c r="AP29" s="581"/>
      <c r="AQ29" s="581"/>
      <c r="AR29" s="581"/>
      <c r="AS29" s="581"/>
      <c r="AT29" s="616">
        <v>198.24799999999999</v>
      </c>
      <c r="AU29" s="581">
        <v>147.06899999999999</v>
      </c>
      <c r="AV29" s="581">
        <f>197.508</f>
        <v>197.50800000000001</v>
      </c>
      <c r="AW29" s="581">
        <v>234.416</v>
      </c>
      <c r="AX29" s="581">
        <v>171.00399999999999</v>
      </c>
      <c r="AY29" s="616">
        <f>+AX29</f>
        <v>171.00399999999999</v>
      </c>
      <c r="AZ29" s="581">
        <v>136.68199999999999</v>
      </c>
      <c r="BA29" s="581">
        <v>171.41399999999999</v>
      </c>
      <c r="BB29" s="581">
        <v>113.55200000000001</v>
      </c>
      <c r="BC29" s="581">
        <v>256.97399999999999</v>
      </c>
      <c r="BD29" s="616">
        <f>+BC29</f>
        <v>256.97399999999999</v>
      </c>
      <c r="BE29" s="581">
        <v>130.65899999999999</v>
      </c>
      <c r="BF29" s="581">
        <v>158.73699999999999</v>
      </c>
      <c r="BG29" s="581">
        <v>148.809</v>
      </c>
      <c r="BH29" s="581">
        <v>406.86700000000002</v>
      </c>
      <c r="BI29" s="616">
        <f>+BH29</f>
        <v>406.86700000000002</v>
      </c>
      <c r="BJ29" s="581">
        <v>338.03399999999999</v>
      </c>
      <c r="BK29" s="581">
        <v>382.56400000000002</v>
      </c>
      <c r="BL29" s="581">
        <v>443.85</v>
      </c>
      <c r="BM29" s="581">
        <v>385.04199999999997</v>
      </c>
      <c r="BN29" s="616">
        <f>+BM29</f>
        <v>385.04199999999997</v>
      </c>
      <c r="BO29" s="581">
        <v>226.459</v>
      </c>
      <c r="BP29" s="581">
        <v>331.66399999999999</v>
      </c>
      <c r="BQ29" s="581">
        <v>225.42699999999999</v>
      </c>
      <c r="BR29" s="581">
        <v>371.34500000000003</v>
      </c>
      <c r="BS29" s="616">
        <f>+BR29</f>
        <v>371.34500000000003</v>
      </c>
      <c r="BT29" s="617">
        <f>+BT18+BT9+SUM(BT25:BT28)</f>
        <v>295.13765175600008</v>
      </c>
      <c r="BU29" s="617">
        <f>+BU18+BU9+SUM(BU25:BU28)</f>
        <v>251.74069152300007</v>
      </c>
      <c r="BV29" s="617">
        <f>+BV18+BV9+SUM(BV25:BV28)</f>
        <v>544.93353156300009</v>
      </c>
      <c r="BW29" s="617">
        <f>+BW18+BW9+SUM(BW25:BW28)</f>
        <v>856.72474423620008</v>
      </c>
      <c r="BX29" s="618">
        <f>+BW29</f>
        <v>856.72474423620008</v>
      </c>
      <c r="BY29" s="617">
        <f>+BY18+BY9+SUM(BY25:BY28)</f>
        <v>973.27679504184005</v>
      </c>
      <c r="BZ29" s="617">
        <f>+BZ18+BZ9+SUM(BZ25:BZ28)</f>
        <v>1086.7073558950642</v>
      </c>
      <c r="CA29" s="617">
        <f>+CA18+CA9+SUM(CA25:CA28)</f>
        <v>1212.2765392659962</v>
      </c>
      <c r="CB29" s="617">
        <f>+CB18+CB9+SUM(CB25:CB28)</f>
        <v>1355.6106717197563</v>
      </c>
      <c r="CC29" s="618">
        <f>+CB29</f>
        <v>1355.6106717197563</v>
      </c>
      <c r="XDU29" s="574"/>
    </row>
    <row r="30" spans="1:81 16349:16349" s="558" customFormat="1">
      <c r="A30" s="543"/>
      <c r="B30" s="560"/>
      <c r="C30" s="560"/>
      <c r="D30" s="560"/>
      <c r="E30" s="560"/>
      <c r="F30" s="561"/>
      <c r="G30" s="560"/>
      <c r="H30" s="562"/>
      <c r="I30" s="560"/>
      <c r="J30" s="560"/>
      <c r="K30" s="561"/>
      <c r="L30" s="560"/>
      <c r="M30" s="565"/>
      <c r="N30" s="565"/>
      <c r="O30" s="560"/>
      <c r="P30" s="588"/>
      <c r="Q30" s="560"/>
      <c r="R30" s="565"/>
      <c r="S30" s="565"/>
      <c r="T30" s="560"/>
      <c r="U30" s="588"/>
      <c r="V30" s="560"/>
      <c r="W30" s="565"/>
      <c r="X30" s="565"/>
      <c r="Y30" s="560"/>
      <c r="Z30" s="588"/>
      <c r="AA30" s="560"/>
      <c r="AB30" s="565"/>
      <c r="AC30" s="565"/>
      <c r="AD30" s="560"/>
      <c r="AE30" s="588"/>
      <c r="AF30" s="560"/>
      <c r="AG30" s="565"/>
      <c r="AH30" s="565"/>
      <c r="AI30" s="581"/>
      <c r="AJ30" s="616"/>
      <c r="AK30" s="573"/>
      <c r="AL30" s="573"/>
      <c r="AM30" s="573"/>
      <c r="AN30" s="573"/>
      <c r="AO30" s="569"/>
      <c r="AP30" s="573"/>
      <c r="AQ30" s="573"/>
      <c r="AR30" s="573"/>
      <c r="AS30" s="573"/>
      <c r="AT30" s="569"/>
      <c r="AU30" s="573"/>
      <c r="AV30" s="573"/>
      <c r="AW30" s="573"/>
      <c r="AX30" s="573"/>
      <c r="AY30" s="569"/>
      <c r="AZ30" s="573"/>
      <c r="BA30" s="581"/>
      <c r="BB30" s="573"/>
      <c r="BC30" s="573"/>
      <c r="BD30" s="569"/>
      <c r="BE30" s="573"/>
      <c r="BF30" s="581"/>
      <c r="BG30" s="573"/>
      <c r="BH30" s="573"/>
      <c r="BI30" s="569"/>
      <c r="BJ30" s="573"/>
      <c r="BK30" s="581"/>
      <c r="BL30" s="573"/>
      <c r="BM30" s="573"/>
      <c r="BN30" s="569"/>
      <c r="BO30" s="573"/>
      <c r="BP30" s="581"/>
      <c r="BQ30" s="573"/>
      <c r="BR30" s="573"/>
      <c r="BS30" s="569"/>
      <c r="BT30" s="574"/>
      <c r="BU30" s="574"/>
      <c r="BV30" s="574"/>
      <c r="BW30" s="574"/>
      <c r="BX30" s="577"/>
      <c r="BY30" s="574"/>
      <c r="BZ30" s="574"/>
      <c r="CA30" s="574"/>
      <c r="CB30" s="574"/>
      <c r="CC30" s="577"/>
      <c r="XDU30" s="574"/>
    </row>
    <row r="31" spans="1:81 16349:16349">
      <c r="A31" s="621" t="s">
        <v>374</v>
      </c>
      <c r="B31" s="622"/>
      <c r="C31" s="622"/>
      <c r="D31" s="622"/>
      <c r="E31" s="622"/>
      <c r="F31" s="622"/>
      <c r="G31" s="622"/>
      <c r="H31" s="622"/>
      <c r="I31" s="622"/>
      <c r="J31" s="622"/>
      <c r="K31" s="622"/>
      <c r="L31" s="622"/>
      <c r="M31" s="622"/>
      <c r="N31" s="622"/>
      <c r="O31" s="622"/>
      <c r="P31" s="588"/>
      <c r="Q31" s="622"/>
      <c r="R31" s="622"/>
      <c r="S31" s="622"/>
      <c r="T31" s="622"/>
      <c r="U31" s="588"/>
      <c r="V31" s="622"/>
      <c r="W31" s="622"/>
      <c r="X31" s="622"/>
      <c r="Y31" s="622"/>
      <c r="Z31" s="588"/>
      <c r="AA31" s="622"/>
      <c r="AB31" s="622"/>
      <c r="AC31" s="622"/>
      <c r="AD31" s="622"/>
      <c r="AE31" s="588"/>
      <c r="AF31" s="622"/>
      <c r="AG31" s="622"/>
      <c r="AH31" s="622"/>
      <c r="AI31" s="543"/>
      <c r="AJ31" s="623"/>
      <c r="AK31" s="543"/>
      <c r="AL31" s="543"/>
      <c r="AM31" s="624"/>
      <c r="AO31" s="623"/>
      <c r="AP31" s="624"/>
      <c r="AQ31" s="543"/>
      <c r="AR31" s="543"/>
      <c r="AS31" s="543"/>
      <c r="AT31" s="623"/>
      <c r="AU31" s="543"/>
      <c r="AV31" s="543"/>
      <c r="AW31" s="573">
        <f>CW_IS!AS136</f>
        <v>0</v>
      </c>
      <c r="AX31" s="624"/>
      <c r="AY31" s="623"/>
      <c r="AZ31" s="543"/>
      <c r="BA31" s="624"/>
      <c r="BB31" s="624"/>
      <c r="BC31" s="624"/>
      <c r="BD31" s="623"/>
      <c r="BE31" s="543"/>
      <c r="BF31" s="624"/>
      <c r="BG31" s="624"/>
      <c r="BH31" s="624"/>
      <c r="BI31" s="623"/>
      <c r="BJ31" s="543"/>
      <c r="BK31" s="624"/>
      <c r="BL31" s="624"/>
      <c r="BM31" s="624"/>
      <c r="BN31" s="623"/>
      <c r="BO31" s="543"/>
      <c r="BP31" s="624"/>
      <c r="BQ31" s="624"/>
      <c r="BR31" s="624"/>
      <c r="BS31" s="623"/>
      <c r="BT31" s="624"/>
      <c r="BU31" s="624"/>
      <c r="BV31" s="624"/>
      <c r="BW31" s="624"/>
      <c r="BX31" s="625"/>
      <c r="BY31" s="624"/>
      <c r="BZ31" s="624"/>
      <c r="CA31" s="624"/>
      <c r="CB31" s="624"/>
      <c r="CC31" s="625"/>
    </row>
    <row r="32" spans="1:81 16349:16349">
      <c r="A32" s="626" t="s">
        <v>375</v>
      </c>
      <c r="B32" s="627"/>
      <c r="C32" s="622"/>
      <c r="D32" s="627"/>
      <c r="E32" s="627"/>
      <c r="F32" s="627"/>
      <c r="G32" s="627"/>
      <c r="H32" s="628"/>
      <c r="I32" s="627"/>
      <c r="J32" s="627"/>
      <c r="K32" s="627"/>
      <c r="L32" s="627"/>
      <c r="M32" s="628"/>
      <c r="N32" s="627"/>
      <c r="O32" s="627"/>
      <c r="P32" s="588"/>
      <c r="Q32" s="627"/>
      <c r="R32" s="628"/>
      <c r="S32" s="627"/>
      <c r="T32" s="627"/>
      <c r="U32" s="588"/>
      <c r="V32" s="627"/>
      <c r="W32" s="628"/>
      <c r="X32" s="627"/>
      <c r="Y32" s="627"/>
      <c r="Z32" s="588"/>
      <c r="AA32" s="627"/>
      <c r="AB32" s="628"/>
      <c r="AC32" s="627"/>
      <c r="AD32" s="627"/>
      <c r="AE32" s="588"/>
      <c r="AF32" s="627"/>
      <c r="AG32" s="628"/>
      <c r="AH32" s="627"/>
      <c r="AI32" s="629"/>
      <c r="AJ32" s="630"/>
      <c r="AK32" s="631"/>
      <c r="AL32" s="631"/>
      <c r="AM32" s="631"/>
      <c r="AN32" s="631"/>
      <c r="AO32" s="630">
        <f>AN32</f>
        <v>0</v>
      </c>
      <c r="AP32" s="631"/>
      <c r="AQ32" s="631"/>
      <c r="AR32" s="631"/>
      <c r="AS32" s="631"/>
      <c r="AT32" s="630">
        <f>100+958.292</f>
        <v>1058.2919999999999</v>
      </c>
      <c r="AU32" s="631">
        <v>1050.6099999999999</v>
      </c>
      <c r="AV32" s="631">
        <v>1050.6099999999999</v>
      </c>
      <c r="AW32" s="631">
        <v>1050.6099999999999</v>
      </c>
      <c r="AX32" s="631">
        <v>1050.6099999999999</v>
      </c>
      <c r="AY32" s="630">
        <f>AX32</f>
        <v>1050.6099999999999</v>
      </c>
      <c r="AZ32" s="631">
        <f>202.5+967.744</f>
        <v>1170.2440000000001</v>
      </c>
      <c r="BA32" s="631">
        <f>202.5+1006.577</f>
        <v>1209.077</v>
      </c>
      <c r="BB32" s="631">
        <f>202.5+1141.211</f>
        <v>1343.711</v>
      </c>
      <c r="BC32" s="631">
        <f>202.5+1051.9</f>
        <v>1254.4000000000001</v>
      </c>
      <c r="BD32" s="630">
        <f t="shared" ref="BD32" si="5">BC32</f>
        <v>1254.4000000000001</v>
      </c>
      <c r="BE32" s="631">
        <v>1229.6189999999999</v>
      </c>
      <c r="BF32" s="631">
        <v>1176.066</v>
      </c>
      <c r="BG32" s="631">
        <v>1050.713</v>
      </c>
      <c r="BH32" s="631">
        <v>1050.3620000000001</v>
      </c>
      <c r="BI32" s="630">
        <f>BH32</f>
        <v>1050.3620000000001</v>
      </c>
      <c r="BJ32" s="631">
        <f>90+960.009</f>
        <v>1050.009</v>
      </c>
      <c r="BK32" s="631">
        <f>90+959.655</f>
        <v>1049.655</v>
      </c>
      <c r="BL32" s="631">
        <f>90+959.302</f>
        <v>1049.3020000000001</v>
      </c>
      <c r="BM32" s="631">
        <f>90+958.949</f>
        <v>1048.9490000000001</v>
      </c>
      <c r="BN32" s="630">
        <f>BM32</f>
        <v>1048.9490000000001</v>
      </c>
      <c r="BO32" s="631">
        <f>958.629</f>
        <v>958.62900000000002</v>
      </c>
      <c r="BP32" s="631">
        <v>958.38099999999997</v>
      </c>
      <c r="BQ32" s="631">
        <v>968.63199999999995</v>
      </c>
      <c r="BR32" s="631">
        <f>200+757.884</f>
        <v>957.88400000000001</v>
      </c>
      <c r="BS32" s="630">
        <f>BR32</f>
        <v>957.88400000000001</v>
      </c>
      <c r="BT32" s="634">
        <f>BS32</f>
        <v>957.88400000000001</v>
      </c>
      <c r="BU32" s="634">
        <f>BT32</f>
        <v>957.88400000000001</v>
      </c>
      <c r="BV32" s="634">
        <f>BU32</f>
        <v>957.88400000000001</v>
      </c>
      <c r="BW32" s="634">
        <f>BV32+BW26</f>
        <v>957.88400000000001</v>
      </c>
      <c r="BX32" s="633">
        <f>BW32</f>
        <v>957.88400000000001</v>
      </c>
      <c r="BY32" s="634">
        <f>BX32</f>
        <v>957.88400000000001</v>
      </c>
      <c r="BZ32" s="634">
        <f>BY32</f>
        <v>957.88400000000001</v>
      </c>
      <c r="CA32" s="634">
        <f>BZ32</f>
        <v>957.88400000000001</v>
      </c>
      <c r="CB32" s="634">
        <f>CA32</f>
        <v>957.88400000000001</v>
      </c>
      <c r="CC32" s="633">
        <f>CB32</f>
        <v>957.88400000000001</v>
      </c>
    </row>
    <row r="33" spans="1:81">
      <c r="A33" s="622" t="s">
        <v>376</v>
      </c>
      <c r="B33" s="635"/>
      <c r="C33" s="622"/>
      <c r="D33" s="635"/>
      <c r="E33" s="635"/>
      <c r="F33" s="635"/>
      <c r="G33" s="635"/>
      <c r="H33" s="636"/>
      <c r="I33" s="635"/>
      <c r="J33" s="635"/>
      <c r="K33" s="635"/>
      <c r="L33" s="635"/>
      <c r="M33" s="637"/>
      <c r="N33" s="635"/>
      <c r="O33" s="627"/>
      <c r="P33" s="588"/>
      <c r="Q33" s="635"/>
      <c r="R33" s="637"/>
      <c r="S33" s="635"/>
      <c r="T33" s="627"/>
      <c r="U33" s="588"/>
      <c r="V33" s="635"/>
      <c r="W33" s="637"/>
      <c r="X33" s="635"/>
      <c r="Y33" s="627"/>
      <c r="Z33" s="588"/>
      <c r="AA33" s="635"/>
      <c r="AB33" s="637"/>
      <c r="AC33" s="635"/>
      <c r="AD33" s="627"/>
      <c r="AE33" s="588"/>
      <c r="AF33" s="635"/>
      <c r="AG33" s="637"/>
      <c r="AH33" s="635"/>
      <c r="AI33" s="638"/>
      <c r="AJ33" s="630"/>
      <c r="AK33" s="632"/>
      <c r="AL33" s="632"/>
      <c r="AM33" s="632"/>
      <c r="AN33" s="632"/>
      <c r="AO33" s="630"/>
      <c r="AP33" s="632"/>
      <c r="AQ33" s="632"/>
      <c r="AR33" s="632"/>
      <c r="AS33" s="632"/>
      <c r="AT33" s="630">
        <f>AT32-AT29</f>
        <v>860.04399999999987</v>
      </c>
      <c r="AU33" s="632">
        <f t="shared" ref="AU33:AV33" si="6">AU32-AU29</f>
        <v>903.54099999999994</v>
      </c>
      <c r="AV33" s="632">
        <f t="shared" si="6"/>
        <v>853.10199999999986</v>
      </c>
      <c r="AW33" s="632">
        <f>AW32-AW29</f>
        <v>816.19399999999996</v>
      </c>
      <c r="AX33" s="632">
        <f>AX32-AX29</f>
        <v>879.60599999999988</v>
      </c>
      <c r="AY33" s="630">
        <f>AY32-AY29</f>
        <v>879.60599999999988</v>
      </c>
      <c r="AZ33" s="632">
        <f t="shared" ref="AZ33:BB33" si="7">AZ32-AZ29</f>
        <v>1033.5620000000001</v>
      </c>
      <c r="BA33" s="632">
        <f t="shared" si="7"/>
        <v>1037.663</v>
      </c>
      <c r="BB33" s="632">
        <f t="shared" si="7"/>
        <v>1230.1590000000001</v>
      </c>
      <c r="BC33" s="632">
        <f>BC32-BC29</f>
        <v>997.42600000000016</v>
      </c>
      <c r="BD33" s="630">
        <f>BD32-BD29</f>
        <v>997.42600000000016</v>
      </c>
      <c r="BE33" s="632">
        <f t="shared" ref="BE33:BG33" si="8">BE32-BE29</f>
        <v>1098.96</v>
      </c>
      <c r="BF33" s="632">
        <f t="shared" si="8"/>
        <v>1017.3290000000001</v>
      </c>
      <c r="BG33" s="632">
        <f t="shared" si="8"/>
        <v>901.904</v>
      </c>
      <c r="BH33" s="632">
        <f>BH32-BH29</f>
        <v>643.49500000000012</v>
      </c>
      <c r="BI33" s="630">
        <f>BI32-BI29</f>
        <v>643.49500000000012</v>
      </c>
      <c r="BJ33" s="632">
        <f t="shared" ref="BJ33:BL33" si="9">BJ32-BJ29</f>
        <v>711.97500000000002</v>
      </c>
      <c r="BK33" s="632">
        <f t="shared" si="9"/>
        <v>667.09099999999989</v>
      </c>
      <c r="BL33" s="632">
        <f t="shared" si="9"/>
        <v>605.45200000000011</v>
      </c>
      <c r="BM33" s="632">
        <f t="shared" ref="BM33:CC33" si="10">BM32-BM29</f>
        <v>663.90700000000015</v>
      </c>
      <c r="BN33" s="630">
        <f t="shared" si="10"/>
        <v>663.90700000000015</v>
      </c>
      <c r="BO33" s="632">
        <f t="shared" si="10"/>
        <v>732.17000000000007</v>
      </c>
      <c r="BP33" s="632">
        <f t="shared" si="10"/>
        <v>626.71699999999998</v>
      </c>
      <c r="BQ33" s="632">
        <f t="shared" si="10"/>
        <v>743.20499999999993</v>
      </c>
      <c r="BR33" s="632">
        <f t="shared" ref="BR33:BS33" si="11">BR32-BR29</f>
        <v>586.53899999999999</v>
      </c>
      <c r="BS33" s="630">
        <f t="shared" si="11"/>
        <v>586.53899999999999</v>
      </c>
      <c r="BT33" s="634">
        <f t="shared" si="10"/>
        <v>662.74634824399993</v>
      </c>
      <c r="BU33" s="634">
        <f t="shared" si="10"/>
        <v>706.14330847699989</v>
      </c>
      <c r="BV33" s="634">
        <f t="shared" si="10"/>
        <v>412.95046843699993</v>
      </c>
      <c r="BW33" s="634">
        <f t="shared" si="10"/>
        <v>101.15925576379993</v>
      </c>
      <c r="BX33" s="633">
        <f t="shared" si="10"/>
        <v>101.15925576379993</v>
      </c>
      <c r="BY33" s="634">
        <f t="shared" si="10"/>
        <v>-15.392795041840031</v>
      </c>
      <c r="BZ33" s="634">
        <f t="shared" si="10"/>
        <v>-128.8233558950642</v>
      </c>
      <c r="CA33" s="634">
        <f t="shared" si="10"/>
        <v>-254.39253926599622</v>
      </c>
      <c r="CB33" s="634">
        <f t="shared" si="10"/>
        <v>-397.72667171975627</v>
      </c>
      <c r="CC33" s="633">
        <f t="shared" si="10"/>
        <v>-397.72667171975627</v>
      </c>
    </row>
    <row r="34" spans="1:81">
      <c r="A34" s="639" t="s">
        <v>377</v>
      </c>
      <c r="B34" s="640"/>
      <c r="C34" s="639"/>
      <c r="D34" s="640"/>
      <c r="E34" s="640"/>
      <c r="F34" s="640"/>
      <c r="G34" s="640"/>
      <c r="H34" s="641"/>
      <c r="I34" s="640"/>
      <c r="J34" s="640"/>
      <c r="K34" s="640"/>
      <c r="L34" s="640"/>
      <c r="M34" s="640"/>
      <c r="N34" s="640"/>
      <c r="O34" s="642"/>
      <c r="P34" s="588"/>
      <c r="Q34" s="640"/>
      <c r="R34" s="640"/>
      <c r="S34" s="640"/>
      <c r="T34" s="642"/>
      <c r="U34" s="588"/>
      <c r="V34" s="640"/>
      <c r="W34" s="640"/>
      <c r="X34" s="640"/>
      <c r="Y34" s="642"/>
      <c r="Z34" s="588"/>
      <c r="AA34" s="640"/>
      <c r="AB34" s="640"/>
      <c r="AC34" s="640"/>
      <c r="AD34" s="642"/>
      <c r="AE34" s="588"/>
      <c r="AF34" s="640"/>
      <c r="AG34" s="640"/>
      <c r="AH34" s="640"/>
      <c r="AI34" s="643"/>
      <c r="AJ34" s="644"/>
      <c r="AK34" s="643"/>
      <c r="AL34" s="643"/>
      <c r="AM34" s="645"/>
      <c r="AN34" s="643"/>
      <c r="AO34" s="644"/>
      <c r="AP34" s="645"/>
      <c r="AQ34" s="643"/>
      <c r="AR34" s="643"/>
      <c r="AS34" s="643"/>
      <c r="AT34" s="644">
        <f>AT33/AT10</f>
        <v>1.7002488431497937</v>
      </c>
      <c r="AU34" s="643"/>
      <c r="AV34" s="643"/>
      <c r="AW34" s="645"/>
      <c r="AX34" s="645"/>
      <c r="AY34" s="644">
        <f>AY33/AY10</f>
        <v>1.6044909387740209</v>
      </c>
      <c r="AZ34" s="643"/>
      <c r="BA34" s="645"/>
      <c r="BB34" s="643"/>
      <c r="BC34" s="645"/>
      <c r="BD34" s="644">
        <f>BD33/BD10</f>
        <v>1.7483702577963818</v>
      </c>
      <c r="BE34" s="643"/>
      <c r="BF34" s="645"/>
      <c r="BG34" s="643"/>
      <c r="BH34" s="645"/>
      <c r="BI34" s="644">
        <f>BI33/BI10</f>
        <v>1.02589494817875</v>
      </c>
      <c r="BJ34" s="643"/>
      <c r="BK34" s="645"/>
      <c r="BL34" s="643"/>
      <c r="BM34" s="645"/>
      <c r="BN34" s="644">
        <f>BN33/BN10</f>
        <v>0.98923951989335412</v>
      </c>
      <c r="BO34" s="643"/>
      <c r="BP34" s="645"/>
      <c r="BQ34" s="643"/>
      <c r="BR34" s="645"/>
      <c r="BS34" s="644">
        <f>BS33/BS10</f>
        <v>0.73562706626599705</v>
      </c>
      <c r="BT34" s="645"/>
      <c r="BU34" s="645"/>
      <c r="BV34" s="645"/>
      <c r="BW34" s="645"/>
      <c r="BX34" s="646">
        <f>BX33/BX10</f>
        <v>0.11845075816581066</v>
      </c>
      <c r="BY34" s="645"/>
      <c r="BZ34" s="645"/>
      <c r="CA34" s="645"/>
      <c r="CB34" s="645"/>
      <c r="CC34" s="646">
        <f>CC33/CC10</f>
        <v>-0.43242278681562485</v>
      </c>
    </row>
    <row r="35" spans="1:81">
      <c r="A35" s="622"/>
      <c r="B35" s="636"/>
      <c r="C35" s="622"/>
      <c r="D35" s="636"/>
      <c r="E35" s="636"/>
      <c r="F35" s="636"/>
      <c r="G35" s="636"/>
      <c r="H35" s="622"/>
      <c r="I35" s="636"/>
      <c r="J35" s="636"/>
      <c r="K35" s="636"/>
      <c r="L35" s="636"/>
      <c r="M35" s="622"/>
      <c r="N35" s="636"/>
      <c r="O35" s="636"/>
      <c r="P35" s="588"/>
      <c r="Q35" s="636"/>
      <c r="R35" s="622"/>
      <c r="S35" s="636"/>
      <c r="T35" s="636"/>
      <c r="U35" s="588"/>
      <c r="V35" s="636"/>
      <c r="W35" s="622"/>
      <c r="X35" s="636"/>
      <c r="Y35" s="636"/>
      <c r="Z35" s="588"/>
      <c r="AA35" s="636"/>
      <c r="AB35" s="622"/>
      <c r="AC35" s="636"/>
      <c r="AD35" s="636"/>
      <c r="AE35" s="588"/>
      <c r="AF35" s="636"/>
      <c r="AG35" s="622"/>
      <c r="AH35" s="636"/>
      <c r="AI35" s="647"/>
      <c r="AJ35" s="648"/>
      <c r="AK35" s="647"/>
      <c r="AL35" s="543"/>
      <c r="AM35" s="649"/>
      <c r="AN35" s="647"/>
      <c r="AO35" s="648"/>
      <c r="AP35" s="624"/>
      <c r="AQ35" s="543"/>
      <c r="AR35" s="543"/>
      <c r="AS35" s="543"/>
      <c r="AT35" s="648"/>
      <c r="AU35" s="543"/>
      <c r="AV35" s="543"/>
      <c r="AW35" s="624"/>
      <c r="AX35" s="624"/>
      <c r="AY35" s="648"/>
      <c r="AZ35" s="543"/>
      <c r="BA35" s="624"/>
      <c r="BB35" s="624"/>
      <c r="BC35" s="624"/>
      <c r="BD35" s="648"/>
      <c r="BE35" s="543"/>
      <c r="BF35" s="624"/>
      <c r="BG35" s="624"/>
      <c r="BH35" s="624"/>
      <c r="BI35" s="648"/>
      <c r="BJ35" s="543"/>
      <c r="BK35" s="624"/>
      <c r="BL35" s="624"/>
      <c r="BM35" s="624"/>
      <c r="BN35" s="648"/>
      <c r="BO35" s="543"/>
      <c r="BP35" s="624"/>
      <c r="BQ35" s="624"/>
      <c r="BR35" s="624"/>
      <c r="BS35" s="648"/>
      <c r="BT35" s="624"/>
      <c r="BU35" s="624"/>
      <c r="BV35" s="624"/>
      <c r="BW35" s="624"/>
      <c r="BX35" s="650"/>
      <c r="BY35" s="624"/>
      <c r="BZ35" s="624"/>
      <c r="CA35" s="624"/>
      <c r="CB35" s="624"/>
      <c r="CC35" s="650"/>
    </row>
    <row r="36" spans="1:81">
      <c r="A36" s="621" t="s">
        <v>378</v>
      </c>
      <c r="B36" s="636"/>
      <c r="C36" s="622"/>
      <c r="D36" s="636"/>
      <c r="E36" s="636"/>
      <c r="F36" s="636"/>
      <c r="G36" s="636"/>
      <c r="H36" s="622"/>
      <c r="I36" s="636"/>
      <c r="J36" s="636"/>
      <c r="K36" s="636"/>
      <c r="L36" s="636"/>
      <c r="M36" s="622"/>
      <c r="N36" s="636"/>
      <c r="O36" s="636"/>
      <c r="P36" s="588"/>
      <c r="Q36" s="636"/>
      <c r="R36" s="622"/>
      <c r="S36" s="636"/>
      <c r="T36" s="636"/>
      <c r="U36" s="588"/>
      <c r="V36" s="636"/>
      <c r="W36" s="622"/>
      <c r="X36" s="636"/>
      <c r="Y36" s="636"/>
      <c r="Z36" s="588"/>
      <c r="AA36" s="636"/>
      <c r="AB36" s="622"/>
      <c r="AC36" s="636"/>
      <c r="AD36" s="636"/>
      <c r="AE36" s="588"/>
      <c r="AF36" s="636"/>
      <c r="AG36" s="622"/>
      <c r="AH36" s="636"/>
      <c r="AI36" s="647"/>
      <c r="AJ36" s="648"/>
      <c r="AK36" s="647"/>
      <c r="AL36" s="543"/>
      <c r="AM36" s="649"/>
      <c r="AN36" s="647"/>
      <c r="AO36" s="648"/>
      <c r="AP36" s="624"/>
      <c r="AQ36" s="543"/>
      <c r="AR36" s="543"/>
      <c r="AS36" s="543"/>
      <c r="AT36" s="648"/>
      <c r="AU36" s="543"/>
      <c r="AV36" s="543"/>
      <c r="AW36" s="624"/>
      <c r="AX36" s="624"/>
      <c r="AY36" s="648"/>
      <c r="AZ36" s="543"/>
      <c r="BA36" s="624"/>
      <c r="BB36" s="624"/>
      <c r="BC36" s="624"/>
      <c r="BD36" s="648"/>
      <c r="BE36" s="543"/>
      <c r="BF36" s="624"/>
      <c r="BG36" s="624"/>
      <c r="BH36" s="624"/>
      <c r="BI36" s="648"/>
      <c r="BJ36" s="543"/>
      <c r="BK36" s="624"/>
      <c r="BL36" s="624"/>
      <c r="BM36" s="624"/>
      <c r="BN36" s="648"/>
      <c r="BO36" s="543"/>
      <c r="BP36" s="624"/>
      <c r="BQ36" s="624"/>
      <c r="BR36" s="624"/>
      <c r="BS36" s="648"/>
      <c r="BT36" s="624"/>
      <c r="BU36" s="624"/>
      <c r="BV36" s="624"/>
      <c r="BW36" s="624"/>
      <c r="BX36" s="650"/>
      <c r="BY36" s="624"/>
      <c r="BZ36" s="624"/>
      <c r="CA36" s="624"/>
      <c r="CB36" s="624"/>
      <c r="CC36" s="650"/>
    </row>
    <row r="37" spans="1:81">
      <c r="A37" s="622" t="s">
        <v>379</v>
      </c>
      <c r="B37" s="636"/>
      <c r="C37" s="622"/>
      <c r="D37" s="651"/>
      <c r="E37" s="651"/>
      <c r="F37" s="651"/>
      <c r="G37" s="651"/>
      <c r="H37" s="622"/>
      <c r="I37" s="651"/>
      <c r="J37" s="651"/>
      <c r="K37" s="651"/>
      <c r="L37" s="651"/>
      <c r="M37" s="622"/>
      <c r="N37" s="636"/>
      <c r="O37" s="636"/>
      <c r="P37" s="588"/>
      <c r="Q37" s="651"/>
      <c r="R37" s="622"/>
      <c r="S37" s="636"/>
      <c r="T37" s="636"/>
      <c r="U37" s="588"/>
      <c r="V37" s="651"/>
      <c r="W37" s="622"/>
      <c r="X37" s="636"/>
      <c r="Y37" s="636"/>
      <c r="Z37" s="588"/>
      <c r="AA37" s="651"/>
      <c r="AB37" s="622"/>
      <c r="AC37" s="636"/>
      <c r="AD37" s="636"/>
      <c r="AE37" s="588"/>
      <c r="AF37" s="651"/>
      <c r="AG37" s="622"/>
      <c r="AH37" s="636"/>
      <c r="AI37" s="638"/>
      <c r="AJ37" s="652"/>
      <c r="AK37" s="632"/>
      <c r="AL37" s="632"/>
      <c r="AM37" s="632"/>
      <c r="AN37" s="632"/>
      <c r="AO37" s="630">
        <f>AO29</f>
        <v>391.03300000000002</v>
      </c>
      <c r="AP37" s="632"/>
      <c r="AQ37" s="632"/>
      <c r="AR37" s="632"/>
      <c r="AS37" s="632"/>
      <c r="AT37" s="630">
        <f t="shared" ref="AT37:BD37" si="12">AT29</f>
        <v>198.24799999999999</v>
      </c>
      <c r="AU37" s="632">
        <f t="shared" si="12"/>
        <v>147.06899999999999</v>
      </c>
      <c r="AV37" s="632">
        <f t="shared" si="12"/>
        <v>197.50800000000001</v>
      </c>
      <c r="AW37" s="632">
        <f t="shared" si="12"/>
        <v>234.416</v>
      </c>
      <c r="AX37" s="632">
        <f t="shared" si="12"/>
        <v>171.00399999999999</v>
      </c>
      <c r="AY37" s="630">
        <f t="shared" si="12"/>
        <v>171.00399999999999</v>
      </c>
      <c r="AZ37" s="632">
        <f t="shared" si="12"/>
        <v>136.68199999999999</v>
      </c>
      <c r="BA37" s="632">
        <f t="shared" si="12"/>
        <v>171.41399999999999</v>
      </c>
      <c r="BB37" s="632">
        <f t="shared" si="12"/>
        <v>113.55200000000001</v>
      </c>
      <c r="BC37" s="632">
        <f t="shared" si="12"/>
        <v>256.97399999999999</v>
      </c>
      <c r="BD37" s="630">
        <f t="shared" si="12"/>
        <v>256.97399999999999</v>
      </c>
      <c r="BE37" s="632">
        <f t="shared" ref="BE37" si="13">BE29</f>
        <v>130.65899999999999</v>
      </c>
      <c r="BF37" s="632">
        <f>BF29</f>
        <v>158.73699999999999</v>
      </c>
      <c r="BG37" s="632">
        <f t="shared" ref="BG37" si="14">BG29</f>
        <v>148.809</v>
      </c>
      <c r="BH37" s="632">
        <f>BH29</f>
        <v>406.86700000000002</v>
      </c>
      <c r="BI37" s="630">
        <f>BI29</f>
        <v>406.86700000000002</v>
      </c>
      <c r="BJ37" s="632">
        <f t="shared" ref="BJ37" si="15">BJ29</f>
        <v>338.03399999999999</v>
      </c>
      <c r="BK37" s="632">
        <f>BK29</f>
        <v>382.56400000000002</v>
      </c>
      <c r="BL37" s="632">
        <f t="shared" ref="BL37" si="16">BL29</f>
        <v>443.85</v>
      </c>
      <c r="BM37" s="632">
        <f>BM29</f>
        <v>385.04199999999997</v>
      </c>
      <c r="BN37" s="630">
        <f>BN29</f>
        <v>385.04199999999997</v>
      </c>
      <c r="BO37" s="632">
        <f t="shared" ref="BO37" si="17">BO29</f>
        <v>226.459</v>
      </c>
      <c r="BP37" s="632">
        <f>BP29</f>
        <v>331.66399999999999</v>
      </c>
      <c r="BQ37" s="632">
        <f t="shared" ref="BQ37" si="18">BQ29</f>
        <v>225.42699999999999</v>
      </c>
      <c r="BR37" s="632">
        <f>BR29</f>
        <v>371.34500000000003</v>
      </c>
      <c r="BS37" s="630">
        <f>BS29</f>
        <v>371.34500000000003</v>
      </c>
      <c r="BT37" s="634">
        <f t="shared" ref="BT37:CC37" si="19">BT29</f>
        <v>295.13765175600008</v>
      </c>
      <c r="BU37" s="634">
        <f t="shared" si="19"/>
        <v>251.74069152300007</v>
      </c>
      <c r="BV37" s="634">
        <f t="shared" si="19"/>
        <v>544.93353156300009</v>
      </c>
      <c r="BW37" s="634">
        <f t="shared" si="19"/>
        <v>856.72474423620008</v>
      </c>
      <c r="BX37" s="633">
        <f t="shared" si="19"/>
        <v>856.72474423620008</v>
      </c>
      <c r="BY37" s="634">
        <f t="shared" si="19"/>
        <v>973.27679504184005</v>
      </c>
      <c r="BZ37" s="634">
        <f t="shared" si="19"/>
        <v>1086.7073558950642</v>
      </c>
      <c r="CA37" s="634">
        <f t="shared" si="19"/>
        <v>1212.2765392659962</v>
      </c>
      <c r="CB37" s="634">
        <f t="shared" si="19"/>
        <v>1355.6106717197563</v>
      </c>
      <c r="CC37" s="633">
        <f t="shared" si="19"/>
        <v>1355.6106717197563</v>
      </c>
    </row>
    <row r="38" spans="1:81">
      <c r="A38" s="622" t="s">
        <v>380</v>
      </c>
      <c r="B38" s="636"/>
      <c r="C38" s="622"/>
      <c r="D38" s="651"/>
      <c r="E38" s="651"/>
      <c r="F38" s="651"/>
      <c r="G38" s="651"/>
      <c r="H38" s="622"/>
      <c r="I38" s="651"/>
      <c r="J38" s="651"/>
      <c r="K38" s="651"/>
      <c r="L38" s="651"/>
      <c r="M38" s="622"/>
      <c r="N38" s="636"/>
      <c r="O38" s="636"/>
      <c r="P38" s="588"/>
      <c r="Q38" s="651"/>
      <c r="R38" s="622"/>
      <c r="S38" s="636"/>
      <c r="T38" s="636"/>
      <c r="U38" s="588"/>
      <c r="V38" s="651"/>
      <c r="W38" s="622"/>
      <c r="X38" s="636"/>
      <c r="Y38" s="636"/>
      <c r="Z38" s="588"/>
      <c r="AA38" s="651"/>
      <c r="AB38" s="622"/>
      <c r="AC38" s="636"/>
      <c r="AD38" s="636"/>
      <c r="AE38" s="588"/>
      <c r="AF38" s="651"/>
      <c r="AG38" s="622"/>
      <c r="AH38" s="636"/>
      <c r="AI38" s="638"/>
      <c r="AJ38" s="652"/>
      <c r="AK38" s="632"/>
      <c r="AL38" s="632"/>
      <c r="AM38" s="632"/>
      <c r="AN38" s="632"/>
      <c r="AO38" s="630"/>
      <c r="AP38" s="632"/>
      <c r="AQ38" s="632"/>
      <c r="AR38" s="632"/>
      <c r="AS38" s="632"/>
      <c r="AT38" s="630">
        <v>479</v>
      </c>
      <c r="AU38" s="632">
        <v>480</v>
      </c>
      <c r="AV38" s="632">
        <v>477</v>
      </c>
      <c r="AW38" s="632">
        <v>478</v>
      </c>
      <c r="AX38" s="632">
        <v>385</v>
      </c>
      <c r="AY38" s="630">
        <f>AX38</f>
        <v>385</v>
      </c>
      <c r="AZ38" s="632">
        <v>267</v>
      </c>
      <c r="BA38" s="632">
        <v>480</v>
      </c>
      <c r="BB38" s="632">
        <v>347</v>
      </c>
      <c r="BC38" s="632">
        <v>733</v>
      </c>
      <c r="BD38" s="630">
        <f>BC38</f>
        <v>733</v>
      </c>
      <c r="BE38" s="632">
        <v>553</v>
      </c>
      <c r="BF38" s="632">
        <v>604</v>
      </c>
      <c r="BG38" s="632">
        <f>BF38</f>
        <v>604</v>
      </c>
      <c r="BH38" s="632">
        <f>BG38</f>
        <v>604</v>
      </c>
      <c r="BI38" s="630">
        <f>BH38</f>
        <v>604</v>
      </c>
      <c r="BJ38" s="632">
        <v>731</v>
      </c>
      <c r="BK38" s="632">
        <v>732</v>
      </c>
      <c r="BL38" s="632">
        <f t="shared" ref="BL38:BQ38" si="20">BK38</f>
        <v>732</v>
      </c>
      <c r="BM38" s="632">
        <f t="shared" si="20"/>
        <v>732</v>
      </c>
      <c r="BN38" s="630">
        <f t="shared" si="20"/>
        <v>732</v>
      </c>
      <c r="BO38" s="632">
        <f t="shared" si="20"/>
        <v>732</v>
      </c>
      <c r="BP38" s="632">
        <f t="shared" si="20"/>
        <v>732</v>
      </c>
      <c r="BQ38" s="632">
        <f t="shared" si="20"/>
        <v>732</v>
      </c>
      <c r="BR38" s="632">
        <f t="shared" ref="BR38" si="21">BQ38</f>
        <v>732</v>
      </c>
      <c r="BS38" s="630">
        <f t="shared" ref="BS38" si="22">BR38</f>
        <v>732</v>
      </c>
      <c r="BT38" s="634">
        <f t="shared" ref="BT38:CC38" si="23">BS38</f>
        <v>732</v>
      </c>
      <c r="BU38" s="634">
        <f t="shared" si="23"/>
        <v>732</v>
      </c>
      <c r="BV38" s="634">
        <f t="shared" si="23"/>
        <v>732</v>
      </c>
      <c r="BW38" s="634">
        <f t="shared" si="23"/>
        <v>732</v>
      </c>
      <c r="BX38" s="633">
        <f t="shared" si="23"/>
        <v>732</v>
      </c>
      <c r="BY38" s="634">
        <f t="shared" si="23"/>
        <v>732</v>
      </c>
      <c r="BZ38" s="634">
        <f t="shared" si="23"/>
        <v>732</v>
      </c>
      <c r="CA38" s="634">
        <f t="shared" si="23"/>
        <v>732</v>
      </c>
      <c r="CB38" s="634">
        <f t="shared" si="23"/>
        <v>732</v>
      </c>
      <c r="CC38" s="633">
        <f t="shared" si="23"/>
        <v>732</v>
      </c>
    </row>
    <row r="39" spans="1:81" ht="13.35" customHeight="1">
      <c r="A39" s="622" t="s">
        <v>381</v>
      </c>
      <c r="B39" s="622"/>
      <c r="C39" s="622"/>
      <c r="D39" s="653"/>
      <c r="E39" s="653"/>
      <c r="F39" s="653"/>
      <c r="G39" s="653"/>
      <c r="H39" s="622"/>
      <c r="I39" s="653"/>
      <c r="J39" s="653"/>
      <c r="K39" s="653"/>
      <c r="L39" s="653"/>
      <c r="M39" s="622"/>
      <c r="N39" s="622"/>
      <c r="O39" s="622"/>
      <c r="P39" s="588"/>
      <c r="Q39" s="653"/>
      <c r="R39" s="622"/>
      <c r="S39" s="622"/>
      <c r="T39" s="622"/>
      <c r="U39" s="588"/>
      <c r="V39" s="653"/>
      <c r="W39" s="622"/>
      <c r="X39" s="622"/>
      <c r="Y39" s="622"/>
      <c r="Z39" s="588"/>
      <c r="AA39" s="653"/>
      <c r="AB39" s="622"/>
      <c r="AC39" s="622"/>
      <c r="AD39" s="622"/>
      <c r="AE39" s="588"/>
      <c r="AF39" s="653"/>
      <c r="AG39" s="622"/>
      <c r="AH39" s="622"/>
      <c r="AI39" s="654"/>
      <c r="AJ39" s="655"/>
      <c r="AK39" s="656"/>
      <c r="AL39" s="656"/>
      <c r="AM39" s="656"/>
      <c r="AN39" s="656"/>
      <c r="AO39" s="657"/>
      <c r="AP39" s="656"/>
      <c r="AQ39" s="656"/>
      <c r="AR39" s="656"/>
      <c r="AS39" s="656"/>
      <c r="AT39" s="657">
        <f t="shared" ref="AT39" si="24">SUM(AT37:AT38)</f>
        <v>677.24800000000005</v>
      </c>
      <c r="AU39" s="656">
        <f>SUM(AU37:AU38)</f>
        <v>627.06899999999996</v>
      </c>
      <c r="AV39" s="656">
        <f>SUM(AV37:AV38)</f>
        <v>674.50800000000004</v>
      </c>
      <c r="AW39" s="656">
        <f t="shared" ref="AW39:BB39" si="25">SUM(AW37:AW38)</f>
        <v>712.41599999999994</v>
      </c>
      <c r="AX39" s="656">
        <f t="shared" si="25"/>
        <v>556.00400000000002</v>
      </c>
      <c r="AY39" s="657">
        <f t="shared" si="25"/>
        <v>556.00400000000002</v>
      </c>
      <c r="AZ39" s="656">
        <f t="shared" si="25"/>
        <v>403.68200000000002</v>
      </c>
      <c r="BA39" s="656">
        <f t="shared" si="25"/>
        <v>651.41399999999999</v>
      </c>
      <c r="BB39" s="656">
        <f t="shared" si="25"/>
        <v>460.55200000000002</v>
      </c>
      <c r="BC39" s="656">
        <f>SUM(BC37:BC38)</f>
        <v>989.97399999999993</v>
      </c>
      <c r="BD39" s="657">
        <f>SUM(BD37:BD38)</f>
        <v>989.97399999999993</v>
      </c>
      <c r="BE39" s="656">
        <f t="shared" ref="BE39:BG39" si="26">SUM(BE37:BE38)</f>
        <v>683.65899999999999</v>
      </c>
      <c r="BF39" s="656">
        <f t="shared" si="26"/>
        <v>762.73699999999997</v>
      </c>
      <c r="BG39" s="656">
        <f t="shared" si="26"/>
        <v>752.80899999999997</v>
      </c>
      <c r="BH39" s="656">
        <f>SUM(BH37:BH38)</f>
        <v>1010.867</v>
      </c>
      <c r="BI39" s="657">
        <f>SUM(BI37:BI38)</f>
        <v>1010.867</v>
      </c>
      <c r="BJ39" s="656">
        <f t="shared" ref="BJ39:BL39" si="27">SUM(BJ37:BJ38)</f>
        <v>1069.0340000000001</v>
      </c>
      <c r="BK39" s="656">
        <f t="shared" si="27"/>
        <v>1114.5640000000001</v>
      </c>
      <c r="BL39" s="656">
        <f t="shared" si="27"/>
        <v>1175.8499999999999</v>
      </c>
      <c r="BM39" s="656">
        <f>SUM(BM37:BM38)</f>
        <v>1117.0419999999999</v>
      </c>
      <c r="BN39" s="657">
        <f>SUM(BN37:BN38)</f>
        <v>1117.0419999999999</v>
      </c>
      <c r="BO39" s="656">
        <f t="shared" ref="BO39:BQ39" si="28">SUM(BO37:BO38)</f>
        <v>958.45900000000006</v>
      </c>
      <c r="BP39" s="656">
        <f t="shared" si="28"/>
        <v>1063.664</v>
      </c>
      <c r="BQ39" s="656">
        <f t="shared" si="28"/>
        <v>957.42700000000002</v>
      </c>
      <c r="BR39" s="656">
        <f>SUM(BR37:BR38)</f>
        <v>1103.345</v>
      </c>
      <c r="BS39" s="657">
        <f>SUM(BS37:BS38)</f>
        <v>1103.345</v>
      </c>
      <c r="BT39" s="658">
        <f t="shared" ref="BT39:CC39" si="29">SUM(BT37:BT38)</f>
        <v>1027.1376517560002</v>
      </c>
      <c r="BU39" s="658">
        <f t="shared" si="29"/>
        <v>983.74069152300012</v>
      </c>
      <c r="BV39" s="658">
        <f t="shared" si="29"/>
        <v>1276.9335315630001</v>
      </c>
      <c r="BW39" s="658">
        <f t="shared" si="29"/>
        <v>1588.7247442362</v>
      </c>
      <c r="BX39" s="659">
        <f t="shared" si="29"/>
        <v>1588.7247442362</v>
      </c>
      <c r="BY39" s="658">
        <f t="shared" si="29"/>
        <v>1705.2767950418402</v>
      </c>
      <c r="BZ39" s="658">
        <f t="shared" si="29"/>
        <v>1818.7073558950642</v>
      </c>
      <c r="CA39" s="658">
        <f t="shared" si="29"/>
        <v>1944.2765392659962</v>
      </c>
      <c r="CB39" s="658">
        <f t="shared" si="29"/>
        <v>2087.6106717197563</v>
      </c>
      <c r="CC39" s="659">
        <f t="shared" si="29"/>
        <v>2087.6106717197563</v>
      </c>
    </row>
    <row r="40" spans="1:81" s="558" customFormat="1">
      <c r="A40" s="543"/>
      <c r="B40" s="560"/>
      <c r="C40" s="560"/>
      <c r="D40" s="560"/>
      <c r="E40" s="560"/>
      <c r="F40" s="561"/>
      <c r="G40" s="560"/>
      <c r="H40" s="562"/>
      <c r="I40" s="560"/>
      <c r="J40" s="560"/>
      <c r="K40" s="561"/>
      <c r="L40" s="560"/>
      <c r="M40" s="565"/>
      <c r="N40" s="565"/>
      <c r="O40" s="560"/>
      <c r="P40" s="588"/>
      <c r="Q40" s="560"/>
      <c r="R40" s="565"/>
      <c r="S40" s="565"/>
      <c r="T40" s="560"/>
      <c r="U40" s="588"/>
      <c r="V40" s="560"/>
      <c r="W40" s="565"/>
      <c r="X40" s="565"/>
      <c r="Y40" s="560"/>
      <c r="Z40" s="588"/>
      <c r="AA40" s="560"/>
      <c r="AB40" s="565"/>
      <c r="AC40" s="565"/>
      <c r="AD40" s="560"/>
      <c r="AE40" s="588"/>
      <c r="AF40" s="560"/>
      <c r="AG40" s="565"/>
      <c r="AH40" s="565"/>
      <c r="AI40" s="565"/>
      <c r="AJ40" s="609"/>
      <c r="AK40" s="565"/>
      <c r="AL40" s="565"/>
      <c r="AM40" s="563"/>
      <c r="AN40" s="565"/>
      <c r="AO40" s="609"/>
      <c r="AP40" s="660"/>
      <c r="AQ40" s="567"/>
      <c r="AR40" s="567"/>
      <c r="AS40" s="567"/>
      <c r="AT40" s="609"/>
      <c r="AU40" s="567"/>
      <c r="AV40" s="567"/>
      <c r="AW40" s="660"/>
      <c r="AX40" s="660"/>
      <c r="AY40" s="609"/>
      <c r="AZ40" s="567"/>
      <c r="BA40" s="660"/>
      <c r="BB40" s="660"/>
      <c r="BC40" s="660"/>
      <c r="BD40" s="609"/>
      <c r="BE40" s="567"/>
      <c r="BF40" s="660"/>
      <c r="BG40" s="660"/>
      <c r="BH40" s="660"/>
      <c r="BI40" s="609"/>
      <c r="BJ40" s="567"/>
      <c r="BK40" s="660"/>
      <c r="BL40" s="660"/>
      <c r="BM40" s="660"/>
      <c r="BN40" s="609"/>
      <c r="BO40" s="567"/>
      <c r="BP40" s="660"/>
      <c r="BQ40" s="660"/>
      <c r="BR40" s="660"/>
      <c r="BS40" s="609"/>
      <c r="BT40" s="660"/>
      <c r="BU40" s="660"/>
      <c r="BV40" s="660"/>
      <c r="BW40" s="660"/>
      <c r="BX40" s="661"/>
      <c r="BY40" s="660"/>
      <c r="BZ40" s="660"/>
      <c r="CA40" s="660"/>
      <c r="CB40" s="660"/>
      <c r="CC40" s="661"/>
    </row>
    <row r="41" spans="1:81" s="558" customFormat="1">
      <c r="A41" s="621" t="s">
        <v>382</v>
      </c>
      <c r="B41" s="579"/>
      <c r="C41" s="579"/>
      <c r="D41" s="579"/>
      <c r="E41" s="579"/>
      <c r="F41" s="662"/>
      <c r="G41" s="579"/>
      <c r="H41" s="581"/>
      <c r="I41" s="579"/>
      <c r="J41" s="579"/>
      <c r="K41" s="662"/>
      <c r="L41" s="579"/>
      <c r="M41" s="663"/>
      <c r="N41" s="663"/>
      <c r="O41" s="663"/>
      <c r="P41" s="588"/>
      <c r="Q41" s="579"/>
      <c r="R41" s="663"/>
      <c r="S41" s="663"/>
      <c r="T41" s="663"/>
      <c r="U41" s="588"/>
      <c r="V41" s="579"/>
      <c r="W41" s="663"/>
      <c r="X41" s="663"/>
      <c r="Y41" s="663"/>
      <c r="Z41" s="588"/>
      <c r="AA41" s="579"/>
      <c r="AB41" s="663"/>
      <c r="AC41" s="663"/>
      <c r="AD41" s="663"/>
      <c r="AE41" s="588"/>
      <c r="AF41" s="579"/>
      <c r="AG41" s="663"/>
      <c r="AH41" s="663"/>
      <c r="AI41" s="664"/>
      <c r="AJ41" s="566"/>
      <c r="AK41" s="664"/>
      <c r="AL41" s="664"/>
      <c r="AM41" s="665"/>
      <c r="AN41" s="664"/>
      <c r="AO41" s="566"/>
      <c r="AP41" s="660"/>
      <c r="AQ41" s="567"/>
      <c r="AR41" s="567"/>
      <c r="AS41" s="567"/>
      <c r="AT41" s="566"/>
      <c r="AU41" s="567"/>
      <c r="AV41" s="567"/>
      <c r="AW41" s="660"/>
      <c r="AX41" s="660"/>
      <c r="AY41" s="566"/>
      <c r="AZ41" s="567"/>
      <c r="BA41" s="660"/>
      <c r="BB41" s="660"/>
      <c r="BC41" s="660"/>
      <c r="BD41" s="566"/>
      <c r="BE41" s="567"/>
      <c r="BF41" s="660"/>
      <c r="BG41" s="660"/>
      <c r="BH41" s="660"/>
      <c r="BI41" s="566"/>
      <c r="BJ41" s="567"/>
      <c r="BK41" s="660"/>
      <c r="BL41" s="660"/>
      <c r="BM41" s="660"/>
      <c r="BN41" s="566"/>
      <c r="BO41" s="567"/>
      <c r="BP41" s="660"/>
      <c r="BQ41" s="660"/>
      <c r="BR41" s="660"/>
      <c r="BS41" s="566"/>
      <c r="BT41" s="660"/>
      <c r="BU41" s="660"/>
      <c r="BV41" s="660"/>
      <c r="BW41" s="660"/>
      <c r="BX41" s="564"/>
      <c r="BY41" s="660"/>
      <c r="BZ41" s="660"/>
      <c r="CA41" s="660"/>
      <c r="CB41" s="660"/>
      <c r="CC41" s="564"/>
    </row>
    <row r="42" spans="1:81" s="558" customFormat="1">
      <c r="A42" s="543" t="s">
        <v>383</v>
      </c>
      <c r="B42" s="579"/>
      <c r="C42" s="579"/>
      <c r="D42" s="579"/>
      <c r="E42" s="579"/>
      <c r="F42" s="662"/>
      <c r="G42" s="579"/>
      <c r="H42" s="581"/>
      <c r="I42" s="579"/>
      <c r="J42" s="579"/>
      <c r="K42" s="662"/>
      <c r="L42" s="579"/>
      <c r="M42" s="666"/>
      <c r="N42" s="666"/>
      <c r="O42" s="666"/>
      <c r="P42" s="588"/>
      <c r="Q42" s="579"/>
      <c r="R42" s="666"/>
      <c r="S42" s="666"/>
      <c r="T42" s="666"/>
      <c r="U42" s="588"/>
      <c r="V42" s="579"/>
      <c r="W42" s="666"/>
      <c r="X42" s="666"/>
      <c r="Y42" s="666"/>
      <c r="Z42" s="588"/>
      <c r="AA42" s="579"/>
      <c r="AB42" s="666"/>
      <c r="AC42" s="666"/>
      <c r="AD42" s="666"/>
      <c r="AE42" s="588"/>
      <c r="AF42" s="579"/>
      <c r="AG42" s="666"/>
      <c r="AH42" s="666"/>
      <c r="AI42" s="571"/>
      <c r="AJ42" s="569"/>
      <c r="AK42" s="664"/>
      <c r="AL42" s="664"/>
      <c r="AM42" s="664"/>
      <c r="AN42" s="664"/>
      <c r="AO42" s="616"/>
      <c r="AP42" s="664"/>
      <c r="AQ42" s="664"/>
      <c r="AR42" s="664"/>
      <c r="AS42" s="664"/>
      <c r="AT42" s="616">
        <f>AT12*-1</f>
        <v>35.545000000000002</v>
      </c>
      <c r="AU42" s="664">
        <f>AU12*-1</f>
        <v>9.9589999999999996</v>
      </c>
      <c r="AV42" s="664">
        <f t="shared" ref="AV42:AX42" si="30">AV12*-1</f>
        <v>10.18</v>
      </c>
      <c r="AW42" s="664">
        <f t="shared" si="30"/>
        <v>9.9550000000000001</v>
      </c>
      <c r="AX42" s="664">
        <f t="shared" si="30"/>
        <v>10.146000000000001</v>
      </c>
      <c r="AY42" s="616">
        <f>SUM(AU42:AX42)</f>
        <v>40.24</v>
      </c>
      <c r="AZ42" s="664">
        <f>AZ12*-1</f>
        <v>9.5299999999999994</v>
      </c>
      <c r="BA42" s="664">
        <f t="shared" ref="BA42:BC42" si="31">BA12*-1</f>
        <v>9.7880000000000003</v>
      </c>
      <c r="BB42" s="664">
        <f t="shared" si="31"/>
        <v>13.997</v>
      </c>
      <c r="BC42" s="664">
        <f t="shared" si="31"/>
        <v>13.664999999999999</v>
      </c>
      <c r="BD42" s="616">
        <f>SUM(AZ42:BC42)</f>
        <v>46.98</v>
      </c>
      <c r="BE42" s="664">
        <f>BE12*-1</f>
        <v>12.944000000000001</v>
      </c>
      <c r="BF42" s="664">
        <f t="shared" ref="BF42:BG42" si="32">BF12*-1</f>
        <v>14.992000000000001</v>
      </c>
      <c r="BG42" s="664">
        <f t="shared" si="32"/>
        <v>12.496</v>
      </c>
      <c r="BH42" s="664">
        <f>BH12*-1</f>
        <v>10.961</v>
      </c>
      <c r="BI42" s="616">
        <f>SUM(BE42:BH42)</f>
        <v>51.393000000000001</v>
      </c>
      <c r="BJ42" s="664">
        <f>BJ12*-1</f>
        <v>10.57</v>
      </c>
      <c r="BK42" s="664">
        <f t="shared" ref="BK42:BL42" si="33">BK12*-1</f>
        <v>11.215999999999999</v>
      </c>
      <c r="BL42" s="664">
        <f t="shared" si="33"/>
        <v>11.407999999999999</v>
      </c>
      <c r="BM42" s="664">
        <f>BM12*-1</f>
        <v>11.675000000000001</v>
      </c>
      <c r="BN42" s="616">
        <f>SUM(BJ42:BM42)</f>
        <v>44.869</v>
      </c>
      <c r="BO42" s="664">
        <f>BO12*-1</f>
        <v>10.143000000000001</v>
      </c>
      <c r="BP42" s="664">
        <f t="shared" ref="BP42:BQ42" si="34">BP12*-1</f>
        <v>10.523999999999999</v>
      </c>
      <c r="BQ42" s="664">
        <f t="shared" si="34"/>
        <v>10.484</v>
      </c>
      <c r="BR42" s="664">
        <f>BR12*-1</f>
        <v>11.997</v>
      </c>
      <c r="BS42" s="616">
        <f>SUM(BO42:BR42)</f>
        <v>43.148000000000003</v>
      </c>
      <c r="BT42" s="665">
        <f>BT12*-1</f>
        <v>10.375</v>
      </c>
      <c r="BU42" s="665">
        <f>BU12*-1</f>
        <v>10.375</v>
      </c>
      <c r="BV42" s="665">
        <f>BV12*-1</f>
        <v>10.375</v>
      </c>
      <c r="BW42" s="665">
        <f>BW12*-1</f>
        <v>10.375</v>
      </c>
      <c r="BX42" s="618">
        <f>SUM(BT42:BW42)</f>
        <v>41.5</v>
      </c>
      <c r="BY42" s="665">
        <f>BY12*-1</f>
        <v>10.375</v>
      </c>
      <c r="BZ42" s="665">
        <f>BZ12*-1</f>
        <v>10.375</v>
      </c>
      <c r="CA42" s="665">
        <f>CA12*-1</f>
        <v>10.375</v>
      </c>
      <c r="CB42" s="665">
        <f>CB12*-1</f>
        <v>10.375</v>
      </c>
      <c r="CC42" s="618">
        <f>SUM(BY42:CB42)</f>
        <v>41.5</v>
      </c>
    </row>
    <row r="43" spans="1:81" s="558" customFormat="1" ht="13.5" thickBot="1">
      <c r="A43" s="567" t="s">
        <v>384</v>
      </c>
      <c r="B43" s="667"/>
      <c r="C43" s="667"/>
      <c r="D43" s="667"/>
      <c r="E43" s="667"/>
      <c r="F43" s="667"/>
      <c r="G43" s="667"/>
      <c r="H43" s="668"/>
      <c r="I43" s="667"/>
      <c r="J43" s="667"/>
      <c r="K43" s="667"/>
      <c r="L43" s="667"/>
      <c r="M43" s="669"/>
      <c r="N43" s="669"/>
      <c r="O43" s="669"/>
      <c r="P43" s="588"/>
      <c r="Q43" s="667"/>
      <c r="R43" s="669"/>
      <c r="S43" s="669"/>
      <c r="T43" s="669"/>
      <c r="U43" s="588"/>
      <c r="V43" s="667"/>
      <c r="W43" s="669"/>
      <c r="X43" s="669"/>
      <c r="Y43" s="669"/>
      <c r="Z43" s="588"/>
      <c r="AA43" s="667"/>
      <c r="AB43" s="669"/>
      <c r="AC43" s="669"/>
      <c r="AD43" s="669"/>
      <c r="AE43" s="588"/>
      <c r="AF43" s="667"/>
      <c r="AG43" s="669"/>
      <c r="AH43" s="669"/>
      <c r="AI43" s="670"/>
      <c r="AJ43" s="671"/>
      <c r="AK43" s="672"/>
      <c r="AL43" s="672"/>
      <c r="AM43" s="672"/>
      <c r="AN43" s="672"/>
      <c r="AO43" s="673"/>
      <c r="AP43" s="672"/>
      <c r="AQ43" s="672"/>
      <c r="AR43" s="672"/>
      <c r="AS43" s="672"/>
      <c r="AT43" s="674">
        <f>(AT42/AT32)</f>
        <v>3.3587138521315479E-2</v>
      </c>
      <c r="AU43" s="672">
        <f>AU42/AU32*4</f>
        <v>3.7917019636211344E-2</v>
      </c>
      <c r="AV43" s="672">
        <f>AV42/AV32*4</f>
        <v>3.8758435575522797E-2</v>
      </c>
      <c r="AW43" s="672">
        <f>AW42/AW32*4</f>
        <v>3.7901790388441006E-2</v>
      </c>
      <c r="AX43" s="672">
        <f>AX42/AX32*4</f>
        <v>3.8628986969474886E-2</v>
      </c>
      <c r="AY43" s="674">
        <f>(AY42/AY32)</f>
        <v>3.8301558142412512E-2</v>
      </c>
      <c r="AZ43" s="672">
        <f>AZ42/AZ32*4</f>
        <v>3.2574403286835904E-2</v>
      </c>
      <c r="BA43" s="672">
        <f>BA42/BA32*4</f>
        <v>3.2381725895042249E-2</v>
      </c>
      <c r="BB43" s="672">
        <f>BB42/BB32*4</f>
        <v>4.1666697675318574E-2</v>
      </c>
      <c r="BC43" s="672">
        <f>BC42/BC32*4</f>
        <v>4.3574617346938772E-2</v>
      </c>
      <c r="BD43" s="674">
        <f>(BD42/BD32)</f>
        <v>3.7452168367346932E-2</v>
      </c>
      <c r="BE43" s="672">
        <f>BE42/BE32*4</f>
        <v>4.2107351952108747E-2</v>
      </c>
      <c r="BF43" s="672">
        <f>BF42/BF32*4</f>
        <v>5.0990335576404727E-2</v>
      </c>
      <c r="BG43" s="672">
        <f>BG42/BG32*4</f>
        <v>4.7571506205785978E-2</v>
      </c>
      <c r="BH43" s="935">
        <f>BH42/BH32*4</f>
        <v>4.1741799493888773E-2</v>
      </c>
      <c r="BI43" s="936">
        <f>(BI42/BI32)</f>
        <v>4.8928845483747506E-2</v>
      </c>
      <c r="BJ43" s="672">
        <f>BJ42/BJ32*4</f>
        <v>4.0266321526767866E-2</v>
      </c>
      <c r="BK43" s="672">
        <f>BK42/BK32*4</f>
        <v>4.2741662736803993E-2</v>
      </c>
      <c r="BL43" s="672">
        <f>BL42/BL32*4</f>
        <v>4.3487956756014946E-2</v>
      </c>
      <c r="BM43" s="935">
        <f>BM42/BM32*4</f>
        <v>4.4520753630538756E-2</v>
      </c>
      <c r="BN43" s="936">
        <f>(BN42/BN32)</f>
        <v>4.2775196887551249E-2</v>
      </c>
      <c r="BO43" s="672">
        <f>BO42/BO32*4</f>
        <v>4.2322942452189538E-2</v>
      </c>
      <c r="BP43" s="672">
        <f>BP42/BP32*4</f>
        <v>4.3924076124213646E-2</v>
      </c>
      <c r="BQ43" s="672">
        <f>BQ42/BQ32*4</f>
        <v>4.3294047687873212E-2</v>
      </c>
      <c r="BR43" s="935">
        <f>BR42/BR32*4</f>
        <v>5.0097924174534701E-2</v>
      </c>
      <c r="BS43" s="936">
        <f>(BS42/BS32)</f>
        <v>4.504512028596365E-2</v>
      </c>
      <c r="BT43" s="933">
        <f>BT42/BT32*4</f>
        <v>4.3324661441260112E-2</v>
      </c>
      <c r="BU43" s="933">
        <f>BU42/BU32*4</f>
        <v>4.3324661441260112E-2</v>
      </c>
      <c r="BV43" s="933">
        <f>BV42/BV32*4</f>
        <v>4.3324661441260112E-2</v>
      </c>
      <c r="BW43" s="933">
        <f>BW42/BW32*4</f>
        <v>4.3324661441260112E-2</v>
      </c>
      <c r="BX43" s="934">
        <f>(BX42/BX32)</f>
        <v>4.3324661441260112E-2</v>
      </c>
      <c r="BY43" s="933">
        <f>BY42/BY32*4</f>
        <v>4.3324661441260112E-2</v>
      </c>
      <c r="BZ43" s="933">
        <f>BZ42/BZ32*4</f>
        <v>4.3324661441260112E-2</v>
      </c>
      <c r="CA43" s="933">
        <f>CA42/CA32*4</f>
        <v>4.3324661441260112E-2</v>
      </c>
      <c r="CB43" s="933">
        <f>CB42/CB32*4</f>
        <v>4.3324661441260112E-2</v>
      </c>
      <c r="CC43" s="934">
        <f>(CC42/CC32)</f>
        <v>4.3324661441260112E-2</v>
      </c>
    </row>
    <row r="44" spans="1:81">
      <c r="H44" s="675"/>
      <c r="P44" s="588"/>
      <c r="Q44" s="541"/>
      <c r="R44" s="541"/>
      <c r="S44" s="541"/>
      <c r="T44" s="541"/>
      <c r="U44" s="588"/>
      <c r="V44" s="541"/>
      <c r="W44" s="541"/>
      <c r="X44" s="541"/>
      <c r="Y44" s="541"/>
      <c r="Z44" s="588"/>
      <c r="AA44" s="541"/>
      <c r="AB44" s="541"/>
      <c r="AC44" s="541"/>
      <c r="AD44" s="541"/>
      <c r="AE44" s="588"/>
      <c r="AF44" s="541"/>
      <c r="AG44" s="541"/>
      <c r="AH44" s="541"/>
      <c r="AQ44" s="543"/>
      <c r="AR44" s="543"/>
      <c r="AS44" s="543"/>
      <c r="AT44" s="543"/>
      <c r="BC44" s="543"/>
    </row>
    <row r="45" spans="1:81">
      <c r="A45" s="676" t="s">
        <v>385</v>
      </c>
      <c r="H45" s="675"/>
      <c r="Q45" s="541"/>
      <c r="R45" s="541"/>
      <c r="S45" s="541"/>
      <c r="T45" s="541"/>
      <c r="U45" s="541"/>
    </row>
    <row r="46" spans="1:81" ht="14.1" customHeight="1">
      <c r="H46" s="675"/>
      <c r="Q46" s="541"/>
      <c r="R46" s="541"/>
      <c r="S46" s="541"/>
      <c r="T46" s="541"/>
      <c r="U46" s="541"/>
      <c r="AR46" s="677"/>
      <c r="BE46" s="678"/>
    </row>
    <row r="47" spans="1:81">
      <c r="H47" s="675"/>
      <c r="Q47" s="541"/>
      <c r="R47" s="541"/>
      <c r="S47" s="541"/>
      <c r="T47" s="541"/>
      <c r="U47" s="541"/>
      <c r="AR47" s="679"/>
    </row>
    <row r="48" spans="1:81">
      <c r="H48" s="675"/>
      <c r="Q48" s="541"/>
      <c r="R48" s="541"/>
      <c r="S48" s="541"/>
      <c r="T48" s="541"/>
      <c r="U48" s="541"/>
      <c r="AR48" s="677"/>
    </row>
    <row r="49" spans="1:56">
      <c r="H49" s="675"/>
      <c r="Q49" s="541"/>
      <c r="R49" s="541"/>
      <c r="S49" s="541"/>
      <c r="T49" s="541"/>
      <c r="U49" s="541"/>
      <c r="AO49" s="680"/>
      <c r="AR49" s="677"/>
    </row>
    <row r="50" spans="1:56">
      <c r="H50" s="675"/>
      <c r="Q50" s="541"/>
      <c r="R50" s="541"/>
      <c r="S50" s="541"/>
      <c r="T50" s="541"/>
      <c r="U50" s="541"/>
      <c r="AR50" s="677"/>
    </row>
    <row r="51" spans="1:56">
      <c r="H51" s="675"/>
      <c r="Q51" s="541"/>
      <c r="R51" s="541"/>
      <c r="S51" s="541"/>
      <c r="T51" s="541"/>
      <c r="U51" s="541"/>
      <c r="AR51" s="681"/>
      <c r="BD51" s="678"/>
    </row>
    <row r="52" spans="1:56">
      <c r="H52" s="675"/>
      <c r="Q52" s="541"/>
      <c r="R52" s="541"/>
      <c r="S52" s="541"/>
      <c r="T52" s="541"/>
      <c r="U52" s="541"/>
      <c r="AR52" s="677"/>
    </row>
    <row r="53" spans="1:56">
      <c r="H53" s="675"/>
      <c r="Q53" s="541"/>
      <c r="R53" s="541"/>
      <c r="S53" s="541"/>
      <c r="T53" s="541"/>
      <c r="U53" s="541"/>
    </row>
    <row r="54" spans="1:56">
      <c r="H54" s="675"/>
      <c r="Q54" s="541"/>
      <c r="R54" s="541"/>
      <c r="S54" s="541"/>
      <c r="T54" s="541"/>
      <c r="U54" s="541"/>
    </row>
    <row r="55" spans="1:56">
      <c r="H55" s="675"/>
      <c r="Q55" s="541"/>
      <c r="R55" s="541"/>
      <c r="S55" s="541"/>
      <c r="T55" s="541"/>
      <c r="U55" s="541"/>
    </row>
    <row r="56" spans="1:56">
      <c r="A56" s="682"/>
    </row>
    <row r="58" spans="1:56">
      <c r="B58" s="683"/>
      <c r="C58" s="683"/>
      <c r="D58" s="683"/>
      <c r="E58" s="683"/>
      <c r="F58" s="683"/>
      <c r="G58" s="683"/>
    </row>
  </sheetData>
  <mergeCells count="3">
    <mergeCell ref="A1:AO1"/>
    <mergeCell ref="A2:AO2"/>
    <mergeCell ref="A3:AY3"/>
  </mergeCells>
  <pageMargins left="0.7" right="0.7" top="0.75" bottom="0.75" header="0.3" footer="0.3"/>
  <pageSetup scale="68"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2:Z146"/>
  <sheetViews>
    <sheetView showGridLines="0" showOutlineSymbols="0" zoomScale="85" zoomScaleNormal="85" zoomScaleSheetLayoutView="80" workbookViewId="0">
      <pane xSplit="2" ySplit="6" topLeftCell="O7" activePane="bottomRight" state="frozen"/>
      <selection pane="topRight" activeCell="B4" sqref="B4:AK4"/>
      <selection pane="bottomLeft" activeCell="B4" sqref="B4:AK4"/>
      <selection pane="bottomRight" activeCell="W30" sqref="W30"/>
    </sheetView>
  </sheetViews>
  <sheetFormatPr defaultColWidth="9.33203125" defaultRowHeight="12.75" outlineLevelRow="2" outlineLevelCol="7"/>
  <cols>
    <col min="1" max="1" width="3" style="12" customWidth="1"/>
    <col min="2" max="2" width="46" style="12" customWidth="1"/>
    <col min="3" max="4" width="11.6640625" style="12" hidden="1" customWidth="1" outlineLevel="3"/>
    <col min="5" max="5" width="11.6640625" style="12" hidden="1" customWidth="1" collapsed="1"/>
    <col min="6" max="6" width="11.6640625" style="12" hidden="1" customWidth="1"/>
    <col min="7" max="10" width="11.6640625" style="12" hidden="1" customWidth="1" outlineLevel="7"/>
    <col min="11" max="12" width="11.6640625" style="12" customWidth="1" outlineLevel="7"/>
    <col min="13" max="26" width="11.6640625" style="12" customWidth="1"/>
    <col min="27" max="16384" width="9.33203125" style="12"/>
  </cols>
  <sheetData>
    <row r="2" spans="2:26">
      <c r="B2" s="1074" t="s">
        <v>149</v>
      </c>
      <c r="C2" s="1074"/>
      <c r="D2" s="1074"/>
      <c r="E2" s="1074"/>
      <c r="F2" s="1074"/>
      <c r="G2" s="1074"/>
      <c r="H2" s="1074"/>
      <c r="I2" s="1074"/>
      <c r="J2" s="1074"/>
      <c r="K2" s="1074"/>
      <c r="L2" s="1074"/>
      <c r="M2" s="1074"/>
      <c r="N2" s="1074"/>
      <c r="O2" s="1074"/>
      <c r="P2" s="1074"/>
      <c r="Q2" s="1074"/>
      <c r="R2" s="1074"/>
      <c r="S2" s="1074"/>
      <c r="T2" s="1074"/>
      <c r="U2" s="1074"/>
      <c r="V2" s="1074"/>
      <c r="W2" s="1074"/>
      <c r="X2" s="1074"/>
      <c r="Y2" s="1074"/>
      <c r="Z2" s="1074"/>
    </row>
    <row r="3" spans="2:26" ht="12.75" customHeight="1">
      <c r="B3" s="1074" t="s">
        <v>386</v>
      </c>
      <c r="C3" s="1074"/>
      <c r="D3" s="1074"/>
      <c r="E3" s="1074"/>
      <c r="F3" s="1074"/>
      <c r="G3" s="1074"/>
      <c r="H3" s="1074"/>
      <c r="I3" s="1074"/>
      <c r="J3" s="1074"/>
      <c r="K3" s="1074"/>
      <c r="L3" s="1074"/>
      <c r="M3" s="1074"/>
      <c r="N3" s="1074"/>
      <c r="O3" s="1074"/>
      <c r="P3" s="1074"/>
      <c r="Q3" s="1074"/>
      <c r="R3" s="1074"/>
      <c r="S3" s="1074"/>
      <c r="T3" s="1074"/>
      <c r="U3" s="1074"/>
      <c r="V3" s="1074"/>
      <c r="W3" s="1074"/>
      <c r="X3" s="1074"/>
      <c r="Y3" s="1074"/>
      <c r="Z3" s="1074"/>
    </row>
    <row r="4" spans="2:26" ht="12.75" customHeight="1">
      <c r="B4" s="1073" t="s">
        <v>387</v>
      </c>
      <c r="C4" s="1073"/>
      <c r="D4" s="1073"/>
      <c r="E4" s="1073"/>
      <c r="F4" s="1073"/>
      <c r="G4" s="1073"/>
      <c r="H4" s="1073"/>
      <c r="I4" s="1073"/>
      <c r="J4" s="1073"/>
      <c r="K4" s="1073"/>
      <c r="L4" s="1073"/>
      <c r="M4" s="1073"/>
      <c r="N4" s="1073"/>
      <c r="O4" s="1073"/>
      <c r="P4" s="1073"/>
      <c r="Q4" s="1073"/>
      <c r="R4" s="1073"/>
      <c r="S4" s="1073"/>
      <c r="T4" s="1073"/>
      <c r="U4" s="1073"/>
      <c r="V4" s="1073"/>
      <c r="W4" s="1073"/>
      <c r="X4" s="1073"/>
      <c r="Y4" s="1073"/>
      <c r="Z4" s="1073"/>
    </row>
    <row r="5" spans="2:26" ht="3" customHeight="1">
      <c r="B5" s="14"/>
    </row>
    <row r="6" spans="2:26">
      <c r="B6" s="94" t="s">
        <v>388</v>
      </c>
      <c r="C6" s="95" t="s">
        <v>153</v>
      </c>
      <c r="D6" s="95"/>
      <c r="E6" s="95" t="s">
        <v>154</v>
      </c>
      <c r="F6" s="95"/>
      <c r="G6" s="95" t="s">
        <v>155</v>
      </c>
      <c r="H6" s="95"/>
      <c r="I6" s="95" t="s">
        <v>160</v>
      </c>
      <c r="J6" s="95"/>
      <c r="K6" s="95" t="s">
        <v>165</v>
      </c>
      <c r="L6" s="95"/>
      <c r="M6" s="95" t="s">
        <v>166</v>
      </c>
      <c r="N6" s="95"/>
      <c r="O6" s="95" t="s">
        <v>171</v>
      </c>
      <c r="P6" s="95"/>
      <c r="Q6" s="95" t="s">
        <v>172</v>
      </c>
      <c r="R6" s="95"/>
      <c r="S6" s="95" t="s">
        <v>173</v>
      </c>
      <c r="T6" s="95"/>
      <c r="U6" s="95" t="s">
        <v>174</v>
      </c>
      <c r="V6" s="95"/>
      <c r="W6" s="95" t="s">
        <v>389</v>
      </c>
      <c r="X6" s="95"/>
      <c r="Y6" s="95" t="s">
        <v>390</v>
      </c>
      <c r="Z6" s="95"/>
    </row>
    <row r="7" spans="2:26" ht="13.5" customHeight="1">
      <c r="B7" s="15"/>
      <c r="C7" s="16" t="s">
        <v>391</v>
      </c>
      <c r="D7" s="16" t="s">
        <v>392</v>
      </c>
      <c r="E7" s="16" t="s">
        <v>391</v>
      </c>
      <c r="F7" s="16" t="s">
        <v>392</v>
      </c>
      <c r="G7" s="16" t="s">
        <v>391</v>
      </c>
      <c r="H7" s="16" t="s">
        <v>392</v>
      </c>
      <c r="I7" s="16" t="s">
        <v>391</v>
      </c>
      <c r="J7" s="16" t="s">
        <v>392</v>
      </c>
      <c r="K7" s="16" t="s">
        <v>391</v>
      </c>
      <c r="L7" s="16" t="s">
        <v>392</v>
      </c>
      <c r="M7" s="16" t="s">
        <v>391</v>
      </c>
      <c r="N7" s="16" t="s">
        <v>392</v>
      </c>
      <c r="O7" s="16" t="s">
        <v>391</v>
      </c>
      <c r="P7" s="16" t="s">
        <v>392</v>
      </c>
      <c r="Q7" s="16" t="s">
        <v>391</v>
      </c>
      <c r="R7" s="16" t="s">
        <v>392</v>
      </c>
      <c r="S7" s="16" t="s">
        <v>391</v>
      </c>
      <c r="T7" s="16" t="s">
        <v>392</v>
      </c>
      <c r="U7" s="16" t="s">
        <v>391</v>
      </c>
      <c r="V7" s="16" t="s">
        <v>392</v>
      </c>
      <c r="W7" s="16" t="s">
        <v>391</v>
      </c>
      <c r="X7" s="16" t="s">
        <v>392</v>
      </c>
      <c r="Y7" s="16" t="s">
        <v>391</v>
      </c>
      <c r="Z7" s="16" t="s">
        <v>392</v>
      </c>
    </row>
    <row r="8" spans="2:26" ht="14.25" customHeight="1">
      <c r="B8" s="15" t="s">
        <v>391</v>
      </c>
      <c r="C8" s="16"/>
      <c r="D8" s="16" t="s">
        <v>393</v>
      </c>
      <c r="E8" s="16"/>
      <c r="F8" s="16" t="s">
        <v>393</v>
      </c>
      <c r="G8" s="16"/>
      <c r="H8" s="16" t="s">
        <v>393</v>
      </c>
      <c r="I8" s="16"/>
      <c r="J8" s="16" t="s">
        <v>393</v>
      </c>
      <c r="K8" s="16"/>
      <c r="L8" s="16" t="s">
        <v>393</v>
      </c>
      <c r="M8" s="16"/>
      <c r="N8" s="16" t="s">
        <v>393</v>
      </c>
      <c r="O8" s="16"/>
      <c r="P8" s="16" t="s">
        <v>393</v>
      </c>
      <c r="Q8" s="16"/>
      <c r="R8" s="16" t="s">
        <v>393</v>
      </c>
      <c r="S8" s="16"/>
      <c r="T8" s="16" t="s">
        <v>393</v>
      </c>
      <c r="U8" s="16"/>
      <c r="V8" s="16" t="s">
        <v>393</v>
      </c>
      <c r="W8" s="16"/>
      <c r="X8" s="16" t="s">
        <v>393</v>
      </c>
      <c r="Y8" s="16"/>
      <c r="Z8" s="16" t="s">
        <v>393</v>
      </c>
    </row>
    <row r="9" spans="2:26" ht="14.25" customHeight="1">
      <c r="B9" s="48" t="str">
        <f>CW_IS!B8</f>
        <v xml:space="preserve">Aerospace &amp; Industrial </v>
      </c>
      <c r="C9" s="18">
        <f>INDEX(CW_IS!$B$7:$BJ$64,MATCH('WB FIN STATEMENT'!$B9,CW_IS!$B$7:$B$64,0),MATCH('WB FIN STATEMENT'!C$6,CW_IS!$B$5:$BJ$5,0))</f>
        <v>1076.0999999999999</v>
      </c>
      <c r="D9" s="18" t="e">
        <f>INDEX(CW_IS!$B$77:$L$142,MATCH('WB FIN STATEMENT'!$B9,CW_IS!$B$77:$B$142,0),MATCH('WB FIN STATEMENT'!C$6,CW_IS!$B$5:$BJ$5,0))</f>
        <v>#N/A</v>
      </c>
      <c r="E9" s="18">
        <f>INDEX(CW_IS!$B$7:$BJ$64,MATCH('WB FIN STATEMENT'!$B9,CW_IS!$B$7:$B$64,0),MATCH('WB FIN STATEMENT'!E$6,CW_IS!$B$5:$BJ$5,0))</f>
        <v>0</v>
      </c>
      <c r="F9" s="18" t="e">
        <f>INDEX(CW_IS!$B$77:$L$142,MATCH('WB FIN STATEMENT'!$B9,CW_IS!$B$77:$B$142,0),MATCH('WB FIN STATEMENT'!E$6,CW_IS!$B$5:$BJ$5,0))</f>
        <v>#N/A</v>
      </c>
      <c r="G9" s="18">
        <f>INDEX(CW_IS!$B$7:$BJ$64,MATCH('WB FIN STATEMENT'!$B9,CW_IS!$B$7:$B$64,0),MATCH('WB FIN STATEMENT'!G$6,CW_IS!$B$5:$BJ$5,0))</f>
        <v>0</v>
      </c>
      <c r="H9" s="18" t="e">
        <f>INDEX(CW_IS!$B$77:$BJ$142,MATCH('WB FIN STATEMENT'!$B9,CW_IS!$B$77:$B$142,0),MATCH('WB FIN STATEMENT'!G$6,CW_IS!$B$5:$BJ$5,0))</f>
        <v>#N/A</v>
      </c>
      <c r="I9" s="18">
        <f>INDEX(CW_IS!$B$7:$BJ$64,MATCH('WB FIN STATEMENT'!$B9,CW_IS!$B$7:$B$64,0),MATCH('WB FIN STATEMENT'!I$6,CW_IS!$B$5:$BJ$5,0))</f>
        <v>0</v>
      </c>
      <c r="J9" s="18" t="e">
        <f>INDEX(CW_IS!$B$77:$BJ$142,MATCH('WB FIN STATEMENT'!$B9,CW_IS!$B$77:$B$142,0),MATCH('WB FIN STATEMENT'!I$6,CW_IS!$B$5:$BJ$5,0))</f>
        <v>#N/A</v>
      </c>
      <c r="K9" s="18">
        <f>INDEX(CW_IS!$B$7:$BJ$64,MATCH('WB FIN STATEMENT'!$B9,CW_IS!$B$7:$B$64,0),MATCH('WB FIN STATEMENT'!K$6,CW_IS!$B$5:$BJ$5,0))</f>
        <v>0</v>
      </c>
      <c r="L9" s="18" t="e">
        <f>INDEX(CW_IS!$B$77:$BJ$142,MATCH('WB FIN STATEMENT'!$B9,CW_IS!$B$77:$B$142,0),MATCH('WB FIN STATEMENT'!K$6,CW_IS!$B$5:$BJ$5,0))</f>
        <v>#N/A</v>
      </c>
      <c r="M9" s="18">
        <f>INDEX(CW_IS!$B$7:$BJ$64,MATCH('WB FIN STATEMENT'!$B9,CW_IS!$B$7:$B$64,0),MATCH('WB FIN STATEMENT'!M$6,CW_IS!$B$5:$BJ$5,0))</f>
        <v>0</v>
      </c>
      <c r="N9" s="18" t="e">
        <f>INDEX(CW_IS!$B$77:$BJ$142,MATCH('WB FIN STATEMENT'!$B9,CW_IS!$B$77:$B$142,0),MATCH('WB FIN STATEMENT'!M$6,CW_IS!$B$5:$BJ$5,0))</f>
        <v>#N/A</v>
      </c>
      <c r="O9" s="18">
        <f>INDEX(CW_IS!$B$7:$BJ$64,MATCH('WB FIN STATEMENT'!$B9,CW_IS!$B$7:$B$64,0),MATCH('WB FIN STATEMENT'!O$6,CW_IS!$B$5:$BJ$5,0))</f>
        <v>892.47665509131411</v>
      </c>
      <c r="P9" s="18" t="e">
        <f>INDEX(CW_IS!$B$77:$BJ$142,MATCH('WB FIN STATEMENT'!$B9,CW_IS!$B$77:$B$142,0),MATCH('WB FIN STATEMENT'!O$6,CW_IS!$B$5:$BJ$5,0))</f>
        <v>#N/A</v>
      </c>
      <c r="Q9" s="18">
        <f>INDEX(CW_IS!$B$7:$BJ$64,MATCH('WB FIN STATEMENT'!$B9,CW_IS!$B$7:$B$64,0),MATCH('WB FIN STATEMENT'!Q$6,CW_IS!$B$5:$BJ$5,0))</f>
        <v>738.1907073299999</v>
      </c>
      <c r="R9" s="18" t="e">
        <f>INDEX(CW_IS!$B$77:$BJ$142,MATCH('WB FIN STATEMENT'!$B9,CW_IS!$B$77:$B$142,0),MATCH('WB FIN STATEMENT'!Q$6,CW_IS!$B$5:$BJ$5,0))</f>
        <v>#N/A</v>
      </c>
      <c r="S9" s="18">
        <f>INDEX(CW_IS!$B$7:$BJ$64,MATCH('WB FIN STATEMENT'!$B9,CW_IS!$B$7:$B$64,0),MATCH('WB FIN STATEMENT'!S$6,CW_IS!$B$5:$BJ$5,0))</f>
        <v>775.07600000000002</v>
      </c>
      <c r="T9" s="18" t="e">
        <f>INDEX(CW_IS!$B$77:$BJ$142,MATCH('WB FIN STATEMENT'!$B9,CW_IS!$B$77:$B$142,0),MATCH('WB FIN STATEMENT'!S$6,CW_IS!$B$5:$BJ$5,0))</f>
        <v>#N/A</v>
      </c>
      <c r="U9" s="18">
        <f>INDEX(CW_IS!$B$7:$BJ$64,MATCH('WB FIN STATEMENT'!$B9,CW_IS!$B$7:$B$64,0),MATCH('WB FIN STATEMENT'!U$6,CW_IS!$B$5:$BJ$5,0))</f>
        <v>836.03499999999997</v>
      </c>
      <c r="V9" s="18" t="e">
        <f>INDEX(CW_IS!$B$77:$BJ$142,MATCH('WB FIN STATEMENT'!$B9,CW_IS!$B$77:$B$142,0),MATCH('WB FIN STATEMENT'!U$6,CW_IS!$B$5:$BJ$5,0))</f>
        <v>#N/A</v>
      </c>
      <c r="W9" s="18" t="e">
        <f>INDEX(CW_IS!$B$7:$BJ$64,MATCH('WB FIN STATEMENT'!$B9,CW_IS!$B$7:$B$64,0),MATCH('WB FIN STATEMENT'!W$6,CW_IS!$B$5:$BJ$5,0))</f>
        <v>#N/A</v>
      </c>
      <c r="X9" s="18" t="e">
        <f>INDEX(CW_IS!$B$77:$BJ$142,MATCH('WB FIN STATEMENT'!$B9,CW_IS!$B$77:$B$142,0),MATCH('WB FIN STATEMENT'!W$6,CW_IS!$B$5:$BJ$5,0))</f>
        <v>#N/A</v>
      </c>
      <c r="Y9" s="18" t="e">
        <f>INDEX(CW_IS!$B$7:$BJ$64,MATCH('WB FIN STATEMENT'!$B9,CW_IS!$B$7:$B$64,0),MATCH('WB FIN STATEMENT'!Y$6,CW_IS!$B$5:$BJ$5,0))</f>
        <v>#N/A</v>
      </c>
      <c r="Z9" s="18" t="e">
        <f>INDEX(CW_IS!$B$77:$BJ$142,MATCH('WB FIN STATEMENT'!$B9,CW_IS!$B$77:$B$142,0),MATCH('WB FIN STATEMENT'!Y$6,CW_IS!$B$5:$BJ$5,0))</f>
        <v>#N/A</v>
      </c>
    </row>
    <row r="10" spans="2:26" ht="14.25" customHeight="1">
      <c r="B10" s="48" t="str">
        <f>CW_IS!B23</f>
        <v>Defense Electronics</v>
      </c>
      <c r="C10" s="18">
        <f>INDEX(CW_IS!$B$7:$BJ$64,MATCH('WB FIN STATEMENT'!$B10,CW_IS!$B$7:$B$64,0),MATCH('WB FIN STATEMENT'!C$6,CW_IS!$B$5:$BJ$5,0))</f>
        <v>480.3</v>
      </c>
      <c r="D10" s="18">
        <f>INDEX(CW_IS!$B$77:$L$142,MATCH('WB FIN STATEMENT'!$B10,CW_IS!$B$77:$B$142,0),MATCH('WB FIN STATEMENT'!C$6,CW_IS!$B$5:$BJ$5,0))</f>
        <v>74.400000000000006</v>
      </c>
      <c r="E10" s="18">
        <f>INDEX(CW_IS!$B$7:$BJ$64,MATCH('WB FIN STATEMENT'!$B10,CW_IS!$B$7:$B$64,0),MATCH('WB FIN STATEMENT'!E$6,CW_IS!$B$5:$BJ$5,0))</f>
        <v>0</v>
      </c>
      <c r="F10" s="18">
        <f>INDEX(CW_IS!$B$77:$L$142,MATCH('WB FIN STATEMENT'!$B10,CW_IS!$B$77:$B$142,0),MATCH('WB FIN STATEMENT'!E$6,CW_IS!$B$5:$BJ$5,0))</f>
        <v>0</v>
      </c>
      <c r="G10" s="18">
        <f>INDEX(CW_IS!$B$7:$BJ$64,MATCH('WB FIN STATEMENT'!$B10,CW_IS!$B$7:$B$64,0),MATCH('WB FIN STATEMENT'!G$6,CW_IS!$B$5:$BJ$5,0))</f>
        <v>0</v>
      </c>
      <c r="H10" s="18">
        <f>INDEX(CW_IS!$B$77:$BJ$142,MATCH('WB FIN STATEMENT'!$B10,CW_IS!$B$77:$B$142,0),MATCH('WB FIN STATEMENT'!G$6,CW_IS!$B$5:$BJ$5,0))</f>
        <v>0</v>
      </c>
      <c r="I10" s="18">
        <f>INDEX(CW_IS!$B$7:$BJ$64,MATCH('WB FIN STATEMENT'!$B10,CW_IS!$B$7:$B$64,0),MATCH('WB FIN STATEMENT'!I$6,CW_IS!$B$5:$BJ$5,0))</f>
        <v>0</v>
      </c>
      <c r="J10" s="18">
        <f>INDEX(CW_IS!$B$77:$BJ$142,MATCH('WB FIN STATEMENT'!$B10,CW_IS!$B$77:$B$142,0),MATCH('WB FIN STATEMENT'!I$6,CW_IS!$B$5:$BJ$5,0))</f>
        <v>0</v>
      </c>
      <c r="K10" s="18">
        <f>INDEX(CW_IS!$B$7:$BJ$64,MATCH('WB FIN STATEMENT'!$B10,CW_IS!$B$7:$B$64,0),MATCH('WB FIN STATEMENT'!K$6,CW_IS!$B$5:$BJ$5,0))</f>
        <v>0</v>
      </c>
      <c r="L10" s="18">
        <f>INDEX(CW_IS!$B$77:$BJ$142,MATCH('WB FIN STATEMENT'!$B10,CW_IS!$B$77:$B$142,0),MATCH('WB FIN STATEMENT'!K$6,CW_IS!$B$5:$BJ$5,0))</f>
        <v>0</v>
      </c>
      <c r="M10" s="18">
        <f>INDEX(CW_IS!$B$7:$BJ$64,MATCH('WB FIN STATEMENT'!$B10,CW_IS!$B$7:$B$64,0),MATCH('WB FIN STATEMENT'!M$6,CW_IS!$B$5:$BJ$5,0))</f>
        <v>0</v>
      </c>
      <c r="N10" s="18">
        <f>INDEX(CW_IS!$B$77:$BJ$142,MATCH('WB FIN STATEMENT'!$B10,CW_IS!$B$77:$B$142,0),MATCH('WB FIN STATEMENT'!M$6,CW_IS!$B$5:$BJ$5,0))</f>
        <v>0</v>
      </c>
      <c r="O10" s="18">
        <f>INDEX(CW_IS!$B$7:$BJ$64,MATCH('WB FIN STATEMENT'!$B10,CW_IS!$B$7:$B$64,0),MATCH('WB FIN STATEMENT'!O$6,CW_IS!$B$5:$BJ$5,0))</f>
        <v>525.44245448219999</v>
      </c>
      <c r="P10" s="18">
        <f>INDEX(CW_IS!$B$77:$BJ$142,MATCH('WB FIN STATEMENT'!$B10,CW_IS!$B$77:$B$142,0),MATCH('WB FIN STATEMENT'!O$6,CW_IS!$B$5:$BJ$5,0))</f>
        <v>121.13559482311103</v>
      </c>
      <c r="Q10" s="18">
        <f>INDEX(CW_IS!$B$7:$BJ$64,MATCH('WB FIN STATEMENT'!$B10,CW_IS!$B$7:$B$64,0),MATCH('WB FIN STATEMENT'!Q$6,CW_IS!$B$5:$BJ$5,0))</f>
        <v>610.63900000000001</v>
      </c>
      <c r="R10" s="18">
        <f>INDEX(CW_IS!$B$77:$BJ$142,MATCH('WB FIN STATEMENT'!$B10,CW_IS!$B$77:$B$142,0),MATCH('WB FIN STATEMENT'!Q$6,CW_IS!$B$5:$BJ$5,0))</f>
        <v>144.3721279068879</v>
      </c>
      <c r="S10" s="18">
        <f>INDEX(CW_IS!$B$7:$BJ$64,MATCH('WB FIN STATEMENT'!$B10,CW_IS!$B$7:$B$64,0),MATCH('WB FIN STATEMENT'!S$6,CW_IS!$B$5:$BJ$5,0))</f>
        <v>727.9190000000001</v>
      </c>
      <c r="T10" s="18">
        <f>INDEX(CW_IS!$B$77:$BJ$142,MATCH('WB FIN STATEMENT'!$B10,CW_IS!$B$77:$B$142,0),MATCH('WB FIN STATEMENT'!S$6,CW_IS!$B$5:$BJ$5,0))</f>
        <v>164.17500000000001</v>
      </c>
      <c r="U10" s="18">
        <f>INDEX(CW_IS!$B$7:$BJ$64,MATCH('WB FIN STATEMENT'!$B10,CW_IS!$B$7:$B$64,0),MATCH('WB FIN STATEMENT'!U$6,CW_IS!$B$5:$BJ$5,0))</f>
        <v>690.26199999999994</v>
      </c>
      <c r="V10" s="18">
        <f>INDEX(CW_IS!$B$77:$BJ$142,MATCH('WB FIN STATEMENT'!$B10,CW_IS!$B$77:$B$142,0),MATCH('WB FIN STATEMENT'!U$6,CW_IS!$B$5:$BJ$5,0))</f>
        <v>154.56799999999998</v>
      </c>
      <c r="W10" s="18" t="e">
        <f>INDEX(CW_IS!$B$7:$BJ$64,MATCH('WB FIN STATEMENT'!$B10,CW_IS!$B$7:$B$64,0),MATCH('WB FIN STATEMENT'!W$6,CW_IS!$B$5:$BJ$5,0))</f>
        <v>#N/A</v>
      </c>
      <c r="X10" s="18" t="e">
        <f>INDEX(CW_IS!$B$77:$BJ$142,MATCH('WB FIN STATEMENT'!$B10,CW_IS!$B$77:$B$142,0),MATCH('WB FIN STATEMENT'!W$6,CW_IS!$B$5:$BJ$5,0))</f>
        <v>#N/A</v>
      </c>
      <c r="Y10" s="18" t="e">
        <f>INDEX(CW_IS!$B$7:$BJ$64,MATCH('WB FIN STATEMENT'!$B10,CW_IS!$B$7:$B$64,0),MATCH('WB FIN STATEMENT'!Y$6,CW_IS!$B$5:$BJ$5,0))</f>
        <v>#N/A</v>
      </c>
      <c r="Z10" s="18" t="e">
        <f>INDEX(CW_IS!$B$77:$BJ$142,MATCH('WB FIN STATEMENT'!$B10,CW_IS!$B$77:$B$142,0),MATCH('WB FIN STATEMENT'!Y$6,CW_IS!$B$5:$BJ$5,0))</f>
        <v>#N/A</v>
      </c>
    </row>
    <row r="11" spans="2:26" ht="14.25" customHeight="1">
      <c r="B11" s="48" t="str">
        <f>CW_IS!B40</f>
        <v>Naval &amp; Power</v>
      </c>
      <c r="C11" s="18">
        <f>INDEX(CW_IS!$B$7:$BJ$64,MATCH('WB FIN STATEMENT'!$B11,CW_IS!$B$7:$B$64,0),MATCH('WB FIN STATEMENT'!C$6,CW_IS!$B$5:$BJ$5,0))</f>
        <v>561.70000000000005</v>
      </c>
      <c r="D11" s="18">
        <f>INDEX(CW_IS!$B$77:$L$142,MATCH('WB FIN STATEMENT'!$B11,CW_IS!$B$77:$B$142,0),MATCH('WB FIN STATEMENT'!C$6,CW_IS!$B$5:$BJ$5,0))</f>
        <v>73.3</v>
      </c>
      <c r="E11" s="18">
        <f>INDEX(CW_IS!$B$7:$BJ$64,MATCH('WB FIN STATEMENT'!$B11,CW_IS!$B$7:$B$64,0),MATCH('WB FIN STATEMENT'!E$6,CW_IS!$B$5:$BJ$5,0))</f>
        <v>0</v>
      </c>
      <c r="F11" s="18">
        <f>INDEX(CW_IS!$B$77:$L$142,MATCH('WB FIN STATEMENT'!$B11,CW_IS!$B$77:$B$142,0),MATCH('WB FIN STATEMENT'!E$6,CW_IS!$B$5:$BJ$5,0))</f>
        <v>0</v>
      </c>
      <c r="G11" s="18">
        <f>INDEX(CW_IS!$B$7:$BJ$64,MATCH('WB FIN STATEMENT'!$B11,CW_IS!$B$7:$B$64,0),MATCH('WB FIN STATEMENT'!G$6,CW_IS!$B$5:$BJ$5,0))</f>
        <v>0</v>
      </c>
      <c r="H11" s="18">
        <f>INDEX(CW_IS!$B$77:$BJ$142,MATCH('WB FIN STATEMENT'!$B11,CW_IS!$B$77:$B$142,0),MATCH('WB FIN STATEMENT'!G$6,CW_IS!$B$5:$BJ$5,0))</f>
        <v>0</v>
      </c>
      <c r="I11" s="18">
        <f>INDEX(CW_IS!$B$7:$BJ$64,MATCH('WB FIN STATEMENT'!$B11,CW_IS!$B$7:$B$64,0),MATCH('WB FIN STATEMENT'!I$6,CW_IS!$B$5:$BJ$5,0))</f>
        <v>0</v>
      </c>
      <c r="J11" s="18">
        <f>INDEX(CW_IS!$B$77:$BJ$142,MATCH('WB FIN STATEMENT'!$B11,CW_IS!$B$77:$B$142,0),MATCH('WB FIN STATEMENT'!I$6,CW_IS!$B$5:$BJ$5,0))</f>
        <v>0</v>
      </c>
      <c r="K11" s="18">
        <f>INDEX(CW_IS!$B$7:$BJ$64,MATCH('WB FIN STATEMENT'!$B11,CW_IS!$B$7:$B$64,0),MATCH('WB FIN STATEMENT'!K$6,CW_IS!$B$5:$BJ$5,0))</f>
        <v>0</v>
      </c>
      <c r="L11" s="18">
        <f>INDEX(CW_IS!$B$77:$BJ$142,MATCH('WB FIN STATEMENT'!$B11,CW_IS!$B$77:$B$142,0),MATCH('WB FIN STATEMENT'!K$6,CW_IS!$B$5:$BJ$5,0))</f>
        <v>0</v>
      </c>
      <c r="M11" s="18">
        <f>INDEX(CW_IS!$B$7:$BJ$64,MATCH('WB FIN STATEMENT'!$B11,CW_IS!$B$7:$B$64,0),MATCH('WB FIN STATEMENT'!M$6,CW_IS!$B$5:$BJ$5,0))</f>
        <v>0</v>
      </c>
      <c r="N11" s="18">
        <f>INDEX(CW_IS!$B$77:$BJ$142,MATCH('WB FIN STATEMENT'!$B11,CW_IS!$B$77:$B$142,0),MATCH('WB FIN STATEMENT'!M$6,CW_IS!$B$5:$BJ$5,0))</f>
        <v>0</v>
      </c>
      <c r="O11" s="18">
        <f>INDEX(CW_IS!$B$7:$BJ$64,MATCH('WB FIN STATEMENT'!$B11,CW_IS!$B$7:$B$64,0),MATCH('WB FIN STATEMENT'!O$6,CW_IS!$B$5:$BJ$5,0))</f>
        <v>960.88812794220598</v>
      </c>
      <c r="P11" s="18">
        <f>INDEX(CW_IS!$B$77:$BJ$142,MATCH('WB FIN STATEMENT'!$B11,CW_IS!$B$77:$B$142,0),MATCH('WB FIN STATEMENT'!O$6,CW_IS!$B$5:$BJ$5,0))</f>
        <v>174.05656171388893</v>
      </c>
      <c r="Q11" s="18">
        <f>INDEX(CW_IS!$B$7:$BJ$64,MATCH('WB FIN STATEMENT'!$B11,CW_IS!$B$7:$B$64,0),MATCH('WB FIN STATEMENT'!Q$6,CW_IS!$B$5:$BJ$5,0))</f>
        <v>950.942678</v>
      </c>
      <c r="R11" s="18">
        <f>INDEX(CW_IS!$B$77:$BJ$142,MATCH('WB FIN STATEMENT'!$B11,CW_IS!$B$77:$B$142,0),MATCH('WB FIN STATEMENT'!Q$6,CW_IS!$B$5:$BJ$5,0))</f>
        <v>170.86615726706455</v>
      </c>
      <c r="S11" s="18">
        <f>INDEX(CW_IS!$B$7:$BJ$64,MATCH('WB FIN STATEMENT'!$B11,CW_IS!$B$7:$B$64,0),MATCH('WB FIN STATEMENT'!S$6,CW_IS!$B$5:$BJ$5,0))</f>
        <v>965.30400000000009</v>
      </c>
      <c r="T11" s="18">
        <f>INDEX(CW_IS!$B$77:$BJ$142,MATCH('WB FIN STATEMENT'!$B11,CW_IS!$B$77:$B$142,0),MATCH('WB FIN STATEMENT'!S$6,CW_IS!$B$5:$BJ$5,0))</f>
        <v>175.827</v>
      </c>
      <c r="U11" s="18">
        <f>INDEX(CW_IS!$B$7:$BJ$64,MATCH('WB FIN STATEMENT'!$B11,CW_IS!$B$7:$B$64,0),MATCH('WB FIN STATEMENT'!U$6,CW_IS!$B$5:$BJ$5,0))</f>
        <v>1030.7280000000001</v>
      </c>
      <c r="V11" s="18">
        <f>INDEX(CW_IS!$B$77:$BJ$142,MATCH('WB FIN STATEMENT'!$B11,CW_IS!$B$77:$B$142,0),MATCH('WB FIN STATEMENT'!U$6,CW_IS!$B$5:$BJ$5,0))</f>
        <v>191.63800000000001</v>
      </c>
      <c r="W11" s="18" t="e">
        <f>INDEX(CW_IS!$B$7:$BJ$64,MATCH('WB FIN STATEMENT'!$B11,CW_IS!$B$7:$B$64,0),MATCH('WB FIN STATEMENT'!W$6,CW_IS!$B$5:$BJ$5,0))</f>
        <v>#N/A</v>
      </c>
      <c r="X11" s="18" t="e">
        <f>INDEX(CW_IS!$B$77:$BJ$142,MATCH('WB FIN STATEMENT'!$B11,CW_IS!$B$77:$B$142,0),MATCH('WB FIN STATEMENT'!W$6,CW_IS!$B$5:$BJ$5,0))</f>
        <v>#N/A</v>
      </c>
      <c r="Y11" s="18" t="e">
        <f>INDEX(CW_IS!$B$7:$BJ$64,MATCH('WB FIN STATEMENT'!$B11,CW_IS!$B$7:$B$64,0),MATCH('WB FIN STATEMENT'!Y$6,CW_IS!$B$5:$BJ$5,0))</f>
        <v>#N/A</v>
      </c>
      <c r="Z11" s="18" t="e">
        <f>INDEX(CW_IS!$B$77:$BJ$142,MATCH('WB FIN STATEMENT'!$B11,CW_IS!$B$77:$B$142,0),MATCH('WB FIN STATEMENT'!Y$6,CW_IS!$B$5:$BJ$5,0))</f>
        <v>#N/A</v>
      </c>
    </row>
    <row r="12" spans="2:26">
      <c r="B12" s="152" t="s">
        <v>394</v>
      </c>
      <c r="C12" s="153">
        <f t="shared" ref="C12:N12" si="0">SUM(C9:C11)</f>
        <v>2118.1</v>
      </c>
      <c r="D12" s="153" t="e">
        <f t="shared" si="0"/>
        <v>#N/A</v>
      </c>
      <c r="E12" s="153">
        <f t="shared" si="0"/>
        <v>0</v>
      </c>
      <c r="F12" s="153" t="e">
        <f t="shared" si="0"/>
        <v>#N/A</v>
      </c>
      <c r="G12" s="153">
        <f t="shared" si="0"/>
        <v>0</v>
      </c>
      <c r="H12" s="153" t="e">
        <f t="shared" si="0"/>
        <v>#N/A</v>
      </c>
      <c r="I12" s="153">
        <f t="shared" si="0"/>
        <v>0</v>
      </c>
      <c r="J12" s="153" t="e">
        <f t="shared" si="0"/>
        <v>#N/A</v>
      </c>
      <c r="K12" s="153">
        <f t="shared" si="0"/>
        <v>0</v>
      </c>
      <c r="L12" s="153" t="e">
        <f t="shared" si="0"/>
        <v>#N/A</v>
      </c>
      <c r="M12" s="153">
        <f t="shared" si="0"/>
        <v>0</v>
      </c>
      <c r="N12" s="153" t="e">
        <f t="shared" si="0"/>
        <v>#N/A</v>
      </c>
      <c r="O12" s="153">
        <f t="shared" ref="O12:T12" si="1">SUM(O9:O11)</f>
        <v>2378.8072375157199</v>
      </c>
      <c r="P12" s="153" t="e">
        <f t="shared" si="1"/>
        <v>#N/A</v>
      </c>
      <c r="Q12" s="153">
        <f t="shared" si="1"/>
        <v>2299.7723853299999</v>
      </c>
      <c r="R12" s="153" t="e">
        <f t="shared" si="1"/>
        <v>#N/A</v>
      </c>
      <c r="S12" s="153">
        <f t="shared" si="1"/>
        <v>2468.299</v>
      </c>
      <c r="T12" s="153" t="e">
        <f t="shared" si="1"/>
        <v>#N/A</v>
      </c>
      <c r="U12" s="153">
        <f t="shared" ref="U12:X12" si="2">SUM(U9:U11)</f>
        <v>2557.0250000000001</v>
      </c>
      <c r="V12" s="153" t="e">
        <f t="shared" si="2"/>
        <v>#N/A</v>
      </c>
      <c r="W12" s="153" t="e">
        <f t="shared" si="2"/>
        <v>#N/A</v>
      </c>
      <c r="X12" s="153" t="e">
        <f t="shared" si="2"/>
        <v>#N/A</v>
      </c>
      <c r="Y12" s="153" t="e">
        <f t="shared" ref="Y12:Z12" si="3">SUM(Y9:Y11)</f>
        <v>#N/A</v>
      </c>
      <c r="Z12" s="153" t="e">
        <f t="shared" si="3"/>
        <v>#N/A</v>
      </c>
    </row>
    <row r="13" spans="2:26" ht="4.5" customHeight="1">
      <c r="B13" s="15"/>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2:26">
      <c r="B14" s="15" t="s">
        <v>395</v>
      </c>
      <c r="C14" s="83">
        <f>INDEX(CW_IS!$B$77:$L$142,MATCH('WB FIN STATEMENT'!$B14,CW_IS!$B$77:$B$142,0),MATCH('WB FIN STATEMENT'!C$6,CW_IS!$B$5:$BJ$5,0))</f>
        <v>237.1</v>
      </c>
      <c r="D14" s="83"/>
      <c r="E14" s="83">
        <f>INDEX(CW_IS!$B$77:$L$142,MATCH('WB FIN STATEMENT'!$B14,CW_IS!$B$77:$B$142,0),MATCH('WB FIN STATEMENT'!E$6,CW_IS!$B$5:$BJ$5,0))</f>
        <v>282.37299999999999</v>
      </c>
      <c r="F14" s="83"/>
      <c r="G14" s="83">
        <f>INDEX(CW_IS!$B$77:$BJ$142,MATCH('WB FIN STATEMENT'!$B14,CW_IS!$B$77:$B$142,0),MATCH('WB FIN STATEMENT'!G$6,CW_IS!$B$5:$BJ$5,0))</f>
        <v>310.6169999999999</v>
      </c>
      <c r="H14" s="83"/>
      <c r="I14" s="83">
        <f>INDEX(CW_IS!$B$77:$BJ$142,MATCH('WB FIN STATEMENT'!$B14,CW_IS!$B$77:$B$142,0),MATCH('WB FIN STATEMENT'!I$6,CW_IS!$B$5:$BJ$5,0))</f>
        <v>308.09800000000001</v>
      </c>
      <c r="J14" s="83"/>
      <c r="K14" s="83">
        <f>INDEX(CW_IS!$B$77:$BJ$142,MATCH('WB FIN STATEMENT'!$B14,CW_IS!$B$77:$B$142,0),MATCH('WB FIN STATEMENT'!K$6,CW_IS!$B$5:$BJ$5,0))</f>
        <v>334.59100000000001</v>
      </c>
      <c r="L14" s="83"/>
      <c r="M14" s="83">
        <f>INDEX(CW_IS!$B$77:$BJ$142,MATCH('WB FIN STATEMENT'!$B14,CW_IS!$B$77:$B$142,0),MATCH('WB FIN STATEMENT'!M$6,CW_IS!$B$5:$BJ$5,0))</f>
        <v>382.27500000000003</v>
      </c>
      <c r="N14" s="83"/>
      <c r="O14" s="83">
        <f>INDEX(CW_IS!$B$77:$BJ$142,MATCH('WB FIN STATEMENT'!$B14,CW_IS!$B$77:$B$142,0),MATCH('WB FIN STATEMENT'!O$6,CW_IS!$B$5:$BJ$5,0))</f>
        <v>389.3887193067473</v>
      </c>
      <c r="P14" s="83"/>
      <c r="Q14" s="83">
        <f>INDEX(CW_IS!$B$77:$BJ$142,MATCH('WB FIN STATEMENT'!$B14,CW_IS!$B$77:$B$142,0),MATCH('WB FIN STATEMENT'!Q$6,CW_IS!$B$5:$BJ$5,0))</f>
        <v>375.49419213315065</v>
      </c>
      <c r="R14" s="83"/>
      <c r="S14" s="83">
        <f>INDEX(CW_IS!$B$77:$BJ$142,MATCH('WB FIN STATEMENT'!$B14,CW_IS!$B$77:$B$142,0),MATCH('WB FIN STATEMENT'!S$6,CW_IS!$B$5:$BJ$5,0))</f>
        <v>420.38099999999997</v>
      </c>
      <c r="T14" s="83"/>
      <c r="U14" s="83">
        <f>INDEX(CW_IS!$B$77:$BJ$142,MATCH('WB FIN STATEMENT'!$B14,CW_IS!$B$77:$B$142,0),MATCH('WB FIN STATEMENT'!U$6,CW_IS!$B$5:$BJ$5,0))</f>
        <v>443.07799999999997</v>
      </c>
      <c r="V14" s="83"/>
      <c r="W14" s="83" t="e">
        <f>INDEX(CW_IS!$B$77:$BJ$142,MATCH('WB FIN STATEMENT'!$B14,CW_IS!$B$77:$B$142,0),MATCH('WB FIN STATEMENT'!W$6,CW_IS!$B$5:$BJ$5,0))</f>
        <v>#N/A</v>
      </c>
      <c r="X14" s="83"/>
      <c r="Y14" s="83" t="e">
        <f>INDEX(CW_IS!$B$77:$BJ$142,MATCH('WB FIN STATEMENT'!$B14,CW_IS!$B$77:$B$142,0),MATCH('WB FIN STATEMENT'!Y$6,CW_IS!$B$5:$BJ$5,0))</f>
        <v>#N/A</v>
      </c>
      <c r="Z14" s="83"/>
    </row>
    <row r="15" spans="2:26">
      <c r="B15" s="48" t="s">
        <v>270</v>
      </c>
      <c r="C15" s="84">
        <f>INDEX(CW_IS!$B$77:$L$142,MATCH('WB FIN STATEMENT'!$B15,CW_IS!$B$77:$B$142,0),MATCH('WB FIN STATEMENT'!C$6,CW_IS!$B$5:$BJ$5,0))</f>
        <v>-41.9</v>
      </c>
      <c r="D15" s="84"/>
      <c r="E15" s="84">
        <f>INDEX(CW_IS!$B$77:$L$142,MATCH('WB FIN STATEMENT'!$B15,CW_IS!$B$77:$B$142,0),MATCH('WB FIN STATEMENT'!E$6,CW_IS!$B$5:$BJ$5,0))</f>
        <v>0</v>
      </c>
      <c r="F15" s="84"/>
      <c r="G15" s="84">
        <f>INDEX(CW_IS!$B$77:$BJ$142,MATCH('WB FIN STATEMENT'!$B15,CW_IS!$B$77:$B$142,0),MATCH('WB FIN STATEMENT'!G$6,CW_IS!$B$5:$BJ$5,0))</f>
        <v>0</v>
      </c>
      <c r="H15" s="84"/>
      <c r="I15" s="84">
        <f>INDEX(CW_IS!$B$77:$BJ$142,MATCH('WB FIN STATEMENT'!$B15,CW_IS!$B$77:$B$142,0),MATCH('WB FIN STATEMENT'!I$6,CW_IS!$B$5:$BJ$5,0))</f>
        <v>0</v>
      </c>
      <c r="J15" s="84"/>
      <c r="K15" s="84">
        <f>INDEX(CW_IS!$B$77:$BJ$142,MATCH('WB FIN STATEMENT'!$B15,CW_IS!$B$77:$B$142,0),MATCH('WB FIN STATEMENT'!K$6,CW_IS!$B$5:$BJ$5,0))</f>
        <v>0</v>
      </c>
      <c r="L15" s="84"/>
      <c r="M15" s="84">
        <f>INDEX(CW_IS!$B$77:$BJ$142,MATCH('WB FIN STATEMENT'!$B15,CW_IS!$B$77:$B$142,0),MATCH('WB FIN STATEMENT'!M$6,CW_IS!$B$5:$BJ$5,0))</f>
        <v>0</v>
      </c>
      <c r="N15" s="84"/>
      <c r="O15" s="84">
        <f>INDEX(CW_IS!$B$77:$BJ$142,MATCH('WB FIN STATEMENT'!$B15,CW_IS!$B$77:$B$142,0),MATCH('WB FIN STATEMENT'!O$6,CW_IS!$B$5:$BJ$5,0))</f>
        <v>-34.786975099216001</v>
      </c>
      <c r="P15" s="84"/>
      <c r="Q15" s="84">
        <f>INDEX(CW_IS!$B$77:$BJ$142,MATCH('WB FIN STATEMENT'!$B15,CW_IS!$B$77:$B$142,0),MATCH('WB FIN STATEMENT'!Q$6,CW_IS!$B$5:$BJ$5,0))</f>
        <v>-37.578855364688998</v>
      </c>
      <c r="R15" s="84"/>
      <c r="S15" s="84">
        <f>INDEX(CW_IS!$B$77:$BJ$142,MATCH('WB FIN STATEMENT'!$B15,CW_IS!$B$77:$B$142,0),MATCH('WB FIN STATEMENT'!S$6,CW_IS!$B$5:$BJ$5,0))</f>
        <v>-39.856999999999999</v>
      </c>
      <c r="T15" s="84"/>
      <c r="U15" s="84">
        <f>INDEX(CW_IS!$B$77:$BJ$142,MATCH('WB FIN STATEMENT'!$B15,CW_IS!$B$77:$B$142,0),MATCH('WB FIN STATEMENT'!U$6,CW_IS!$B$5:$BJ$5,0))</f>
        <v>-40.827000000000005</v>
      </c>
      <c r="V15" s="84"/>
      <c r="W15" s="84" t="e">
        <f>INDEX(CW_IS!$B$77:$BJ$142,MATCH('WB FIN STATEMENT'!$B15,CW_IS!$B$77:$B$142,0),MATCH('WB FIN STATEMENT'!W$6,CW_IS!$B$5:$BJ$5,0))</f>
        <v>#N/A</v>
      </c>
      <c r="X15" s="84"/>
      <c r="Y15" s="84" t="e">
        <f>INDEX(CW_IS!$B$77:$BJ$142,MATCH('WB FIN STATEMENT'!$B15,CW_IS!$B$77:$B$142,0),MATCH('WB FIN STATEMENT'!Y$6,CW_IS!$B$5:$BJ$5,0))</f>
        <v>#N/A</v>
      </c>
      <c r="Z15" s="84"/>
    </row>
    <row r="16" spans="2:26">
      <c r="B16" s="48" t="s">
        <v>396</v>
      </c>
      <c r="C16" s="84">
        <f>INDEX(CW_IS!$B$77:$L$142,MATCH('WB FIN STATEMENT'!$B16,CW_IS!$B$77:$B$142,0),MATCH('WB FIN STATEMENT'!C$6,CW_IS!$B$5:$BJ$5,0))</f>
        <v>-37.052999999999997</v>
      </c>
      <c r="D16" s="84"/>
      <c r="E16" s="84">
        <f>INDEX(CW_IS!$B$77:$L$142,MATCH('WB FIN STATEMENT'!$B16,CW_IS!$B$77:$B$142,0),MATCH('WB FIN STATEMENT'!E$6,CW_IS!$B$5:$BJ$5,0))</f>
        <v>-35.794000000000004</v>
      </c>
      <c r="F16" s="84"/>
      <c r="G16" s="84">
        <f>INDEX(CW_IS!$B$77:$BJ$142,MATCH('WB FIN STATEMENT'!$B16,CW_IS!$B$77:$B$142,0),MATCH('WB FIN STATEMENT'!G$6,CW_IS!$B$5:$BJ$5,0))</f>
        <v>-36.038000000000004</v>
      </c>
      <c r="H16" s="84"/>
      <c r="I16" s="84">
        <f>INDEX(CW_IS!$B$77:$BJ$142,MATCH('WB FIN STATEMENT'!$B16,CW_IS!$B$77:$B$142,0),MATCH('WB FIN STATEMENT'!I$6,CW_IS!$B$5:$BJ$5,0))</f>
        <v>-41.247999999999998</v>
      </c>
      <c r="J16" s="84"/>
      <c r="K16" s="84">
        <f>INDEX(CW_IS!$B$77:$BJ$142,MATCH('WB FIN STATEMENT'!$B16,CW_IS!$B$77:$B$142,0),MATCH('WB FIN STATEMENT'!K$6,CW_IS!$B$5:$BJ$5,0))</f>
        <v>-40.783999999999999</v>
      </c>
      <c r="L16" s="84"/>
      <c r="M16" s="84">
        <f>INDEX(CW_IS!$B$77:$BJ$142,MATCH('WB FIN STATEMENT'!$B16,CW_IS!$B$77:$B$142,0),MATCH('WB FIN STATEMENT'!M$6,CW_IS!$B$5:$BJ$5,0))</f>
        <v>-33.983000000000004</v>
      </c>
      <c r="N16" s="84"/>
      <c r="O16" s="84">
        <f>INDEX(CW_IS!$B$77:$BJ$142,MATCH('WB FIN STATEMENT'!$B16,CW_IS!$B$77:$B$142,0),MATCH('WB FIN STATEMENT'!O$6,CW_IS!$B$5:$BJ$5,0))</f>
        <v>-31.347000000000001</v>
      </c>
      <c r="P16" s="84"/>
      <c r="Q16" s="84">
        <f>INDEX(CW_IS!$B$77:$BJ$142,MATCH('WB FIN STATEMENT'!$B16,CW_IS!$B$77:$B$142,0),MATCH('WB FIN STATEMENT'!Q$6,CW_IS!$B$5:$BJ$5,0))</f>
        <v>-35.545000000000002</v>
      </c>
      <c r="R16" s="84"/>
      <c r="S16" s="84">
        <f>INDEX(CW_IS!$B$77:$BJ$142,MATCH('WB FIN STATEMENT'!$B16,CW_IS!$B$77:$B$142,0),MATCH('WB FIN STATEMENT'!S$6,CW_IS!$B$5:$BJ$5,0))</f>
        <v>-40.24</v>
      </c>
      <c r="T16" s="84"/>
      <c r="U16" s="84">
        <f>INDEX(CW_IS!$B$77:$BJ$142,MATCH('WB FIN STATEMENT'!$B16,CW_IS!$B$77:$B$142,0),MATCH('WB FIN STATEMENT'!U$6,CW_IS!$B$5:$BJ$5,0))</f>
        <v>-46.98</v>
      </c>
      <c r="V16" s="84"/>
      <c r="W16" s="84" t="e">
        <f>INDEX(CW_IS!$B$77:$BJ$142,MATCH('WB FIN STATEMENT'!$B16,CW_IS!$B$77:$B$142,0),MATCH('WB FIN STATEMENT'!W$6,CW_IS!$B$5:$BJ$5,0))</f>
        <v>#N/A</v>
      </c>
      <c r="X16" s="84"/>
      <c r="Y16" s="84" t="e">
        <f>INDEX(CW_IS!$B$77:$BJ$142,MATCH('WB FIN STATEMENT'!$B16,CW_IS!$B$77:$B$142,0),MATCH('WB FIN STATEMENT'!Y$6,CW_IS!$B$5:$BJ$5,0))</f>
        <v>#N/A</v>
      </c>
      <c r="Z16" s="84"/>
    </row>
    <row r="17" spans="2:26" ht="4.5" customHeight="1">
      <c r="B17" s="15"/>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2:26" s="19" customFormat="1">
      <c r="B18" s="96" t="s">
        <v>305</v>
      </c>
      <c r="C18" s="97">
        <f>INDEX(CW_IS!$B$77:$L$142,MATCH('WB FIN STATEMENT'!$B18,CW_IS!$B$77:$B$142,0),MATCH('WB FIN STATEMENT'!C$6,CW_IS!$B$5:$BJ$5,0))</f>
        <v>201.02699999999999</v>
      </c>
      <c r="D18" s="98"/>
      <c r="E18" s="97">
        <f>INDEX(CW_IS!$B$77:$L$142,MATCH('WB FIN STATEMENT'!$B18,CW_IS!$B$77:$B$142,0),MATCH('WB FIN STATEMENT'!E$6,CW_IS!$B$5:$BJ$5,0))</f>
        <v>246.94399999999999</v>
      </c>
      <c r="F18" s="98"/>
      <c r="G18" s="97">
        <f>INDEX(CW_IS!$B$77:$BJ$142,MATCH('WB FIN STATEMENT'!$B18,CW_IS!$B$77:$B$142,0),MATCH('WB FIN STATEMENT'!G$6,CW_IS!$B$5:$BJ$5,0))</f>
        <v>275.1939999999999</v>
      </c>
      <c r="H18" s="98"/>
      <c r="I18" s="97">
        <f>INDEX(CW_IS!$B$77:$BJ$142,MATCH('WB FIN STATEMENT'!$B18,CW_IS!$B$77:$B$142,0),MATCH('WB FIN STATEMENT'!I$6,CW_IS!$B$5:$BJ$5,0))</f>
        <v>267.96100000000001</v>
      </c>
      <c r="J18" s="98"/>
      <c r="K18" s="97">
        <f>INDEX(CW_IS!$B$77:$BJ$142,MATCH('WB FIN STATEMENT'!$B18,CW_IS!$B$77:$B$142,0),MATCH('WB FIN STATEMENT'!K$6,CW_IS!$B$5:$BJ$5,0))</f>
        <v>309.84000000000003</v>
      </c>
      <c r="L18" s="98"/>
      <c r="M18" s="97">
        <f>INDEX(CW_IS!$B$77:$BJ$142,MATCH('WB FIN STATEMENT'!$B18,CW_IS!$B$77:$B$142,0),MATCH('WB FIN STATEMENT'!M$6,CW_IS!$B$5:$BJ$5,0))</f>
        <v>364.88800000000003</v>
      </c>
      <c r="N18" s="98"/>
      <c r="O18" s="97">
        <f>INDEX(CW_IS!$B$77:$BJ$142,MATCH('WB FIN STATEMENT'!$B18,CW_IS!$B$77:$B$142,0),MATCH('WB FIN STATEMENT'!O$6,CW_IS!$B$5:$BJ$5,0))</f>
        <v>381.89771930674726</v>
      </c>
      <c r="P18" s="98"/>
      <c r="Q18" s="97">
        <f>INDEX(CW_IS!$B$77:$BJ$142,MATCH('WB FIN STATEMENT'!$B18,CW_IS!$B$77:$B$142,0),MATCH('WB FIN STATEMENT'!Q$6,CW_IS!$B$5:$BJ$5,0))</f>
        <v>359.69719213315062</v>
      </c>
      <c r="R18" s="98"/>
      <c r="S18" s="97">
        <f>INDEX(CW_IS!$B$77:$BJ$142,MATCH('WB FIN STATEMENT'!$B18,CW_IS!$B$77:$B$142,0),MATCH('WB FIN STATEMENT'!S$6,CW_IS!$B$5:$BJ$5,0))</f>
        <v>392.20799999999997</v>
      </c>
      <c r="T18" s="98"/>
      <c r="U18" s="97">
        <f>INDEX(CW_IS!$B$77:$BJ$142,MATCH('WB FIN STATEMENT'!$B18,CW_IS!$B$77:$B$142,0),MATCH('WB FIN STATEMENT'!U$6,CW_IS!$B$5:$BJ$5,0))</f>
        <v>408.83000000000004</v>
      </c>
      <c r="V18" s="98"/>
      <c r="W18" s="97" t="e">
        <f>INDEX(CW_IS!$B$77:$BJ$142,MATCH('WB FIN STATEMENT'!$B18,CW_IS!$B$77:$B$142,0),MATCH('WB FIN STATEMENT'!W$6,CW_IS!$B$5:$BJ$5,0))</f>
        <v>#N/A</v>
      </c>
      <c r="X18" s="98"/>
      <c r="Y18" s="97" t="e">
        <f>INDEX(CW_IS!$B$77:$BJ$142,MATCH('WB FIN STATEMENT'!$B18,CW_IS!$B$77:$B$142,0),MATCH('WB FIN STATEMENT'!Y$6,CW_IS!$B$5:$BJ$5,0))</f>
        <v>#N/A</v>
      </c>
      <c r="Z18" s="98"/>
    </row>
    <row r="19" spans="2:26">
      <c r="B19" s="48" t="s">
        <v>306</v>
      </c>
      <c r="C19" s="84">
        <f>INDEX(CW_IS!$B$77:$L$142,MATCH('WB FIN STATEMENT'!$B19,CW_IS!$B$77:$B$142,0),MATCH('WB FIN STATEMENT'!C$6,CW_IS!$B$5:$BJ$5,0))</f>
        <v>61.646000000000001</v>
      </c>
      <c r="D19" s="84"/>
      <c r="E19" s="84">
        <f>INDEX(CW_IS!$B$77:$L$142,MATCH('WB FIN STATEMENT'!$B19,CW_IS!$B$77:$B$142,0),MATCH('WB FIN STATEMENT'!E$6,CW_IS!$B$5:$BJ$5,0))</f>
        <v>76.995000000000005</v>
      </c>
      <c r="F19" s="84"/>
      <c r="G19" s="84">
        <f>INDEX(CW_IS!$B$77:$BJ$142,MATCH('WB FIN STATEMENT'!$B19,CW_IS!$B$77:$B$142,0),MATCH('WB FIN STATEMENT'!G$6,CW_IS!$B$5:$BJ$5,0))</f>
        <v>82.945999999999998</v>
      </c>
      <c r="H19" s="84"/>
      <c r="I19" s="84">
        <f>INDEX(CW_IS!$B$77:$BJ$142,MATCH('WB FIN STATEMENT'!$B19,CW_IS!$B$77:$B$142,0),MATCH('WB FIN STATEMENT'!I$6,CW_IS!$B$5:$BJ$5,0))</f>
        <v>78.578999999999994</v>
      </c>
      <c r="J19" s="84"/>
      <c r="K19" s="84">
        <f>INDEX(CW_IS!$B$77:$BJ$142,MATCH('WB FIN STATEMENT'!$B19,CW_IS!$B$77:$B$142,0),MATCH('WB FIN STATEMENT'!K$6,CW_IS!$B$5:$BJ$5,0))</f>
        <v>87.712999999999994</v>
      </c>
      <c r="L19" s="84"/>
      <c r="M19" s="84">
        <f>INDEX(CW_IS!$B$77:$BJ$142,MATCH('WB FIN STATEMENT'!$B19,CW_IS!$B$77:$B$142,0),MATCH('WB FIN STATEMENT'!M$6,CW_IS!$B$5:$BJ$5,0))</f>
        <v>82.54</v>
      </c>
      <c r="N19" s="84"/>
      <c r="O19" s="84">
        <f>INDEX(CW_IS!$B$77:$BJ$142,MATCH('WB FIN STATEMENT'!$B19,CW_IS!$B$77:$B$142,0),MATCH('WB FIN STATEMENT'!O$6,CW_IS!$B$5:$BJ$5,0))</f>
        <v>90.379000000000005</v>
      </c>
      <c r="P19" s="84"/>
      <c r="Q19" s="84">
        <f>INDEX(CW_IS!$B$77:$BJ$142,MATCH('WB FIN STATEMENT'!$B19,CW_IS!$B$77:$B$142,0),MATCH('WB FIN STATEMENT'!Q$6,CW_IS!$B$5:$BJ$5,0))</f>
        <v>82.645600000000002</v>
      </c>
      <c r="R19" s="84"/>
      <c r="S19" s="84">
        <f>INDEX(CW_IS!$B$77:$BJ$142,MATCH('WB FIN STATEMENT'!$B19,CW_IS!$B$77:$B$142,0),MATCH('WB FIN STATEMENT'!S$6,CW_IS!$B$5:$BJ$5,0))</f>
        <v>94.384360000000015</v>
      </c>
      <c r="T19" s="84"/>
      <c r="U19" s="84">
        <f>INDEX(CW_IS!$B$77:$BJ$142,MATCH('WB FIN STATEMENT'!$B19,CW_IS!$B$77:$B$142,0),MATCH('WB FIN STATEMENT'!U$6,CW_IS!$B$5:$BJ$5,0))</f>
        <v>94.610280000000003</v>
      </c>
      <c r="V19" s="84"/>
      <c r="W19" s="84" t="e">
        <f>INDEX(CW_IS!$B$77:$BJ$142,MATCH('WB FIN STATEMENT'!$B19,CW_IS!$B$77:$B$142,0),MATCH('WB FIN STATEMENT'!W$6,CW_IS!$B$5:$BJ$5,0))</f>
        <v>#N/A</v>
      </c>
      <c r="X19" s="84"/>
      <c r="Y19" s="84" t="e">
        <f>INDEX(CW_IS!$B$77:$BJ$142,MATCH('WB FIN STATEMENT'!$B19,CW_IS!$B$77:$B$142,0),MATCH('WB FIN STATEMENT'!Y$6,CW_IS!$B$5:$BJ$5,0))</f>
        <v>#N/A</v>
      </c>
      <c r="Z19" s="84"/>
    </row>
    <row r="20" spans="2:26" ht="4.5" customHeight="1">
      <c r="B20" s="15"/>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2:26">
      <c r="B21" s="96" t="s">
        <v>397</v>
      </c>
      <c r="C21" s="97">
        <f>C18-C19</f>
        <v>139.38099999999997</v>
      </c>
      <c r="D21" s="98"/>
      <c r="E21" s="97">
        <f>E18-E19</f>
        <v>169.94899999999998</v>
      </c>
      <c r="F21" s="98"/>
      <c r="G21" s="97">
        <f>G18-G19</f>
        <v>192.24799999999991</v>
      </c>
      <c r="H21" s="98"/>
      <c r="I21" s="97">
        <f>I18-I19</f>
        <v>189.38200000000001</v>
      </c>
      <c r="J21" s="98"/>
      <c r="K21" s="97">
        <f>K18-K19+K23</f>
        <v>222.12700000000004</v>
      </c>
      <c r="L21" s="98"/>
      <c r="M21" s="97">
        <f>M18-M19</f>
        <v>282.34800000000001</v>
      </c>
      <c r="N21" s="98"/>
      <c r="O21" s="97">
        <f>O18-O19</f>
        <v>291.51871930674724</v>
      </c>
      <c r="P21" s="98"/>
      <c r="Q21" s="97">
        <f>Q18-Q19</f>
        <v>277.05159213315062</v>
      </c>
      <c r="R21" s="98"/>
      <c r="S21" s="97">
        <f>S18-S19</f>
        <v>297.82363999999995</v>
      </c>
      <c r="T21" s="98"/>
      <c r="U21" s="97">
        <f>U18-U19</f>
        <v>314.21972000000005</v>
      </c>
      <c r="V21" s="98"/>
      <c r="W21" s="97" t="e">
        <f>W18-W19</f>
        <v>#N/A</v>
      </c>
      <c r="X21" s="98"/>
      <c r="Y21" s="97" t="e">
        <f>Y18-Y19</f>
        <v>#N/A</v>
      </c>
      <c r="Z21" s="98"/>
    </row>
    <row r="22" spans="2:26" ht="4.5" customHeight="1">
      <c r="B22" s="15"/>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2:26">
      <c r="B23" s="48" t="s">
        <v>310</v>
      </c>
      <c r="C23" s="84">
        <f>INDEX(CW_IS!$B$77:$L$142,MATCH('WB FIN STATEMENT'!$B23,CW_IS!$B$77:$B$142,0),MATCH('WB FIN STATEMENT'!C$6,CW_IS!$B$5:$BJ$5,0))</f>
        <v>-1.423</v>
      </c>
      <c r="D23" s="84"/>
      <c r="E23" s="84">
        <f>INDEX(CW_IS!$B$77:$L$142,MATCH('WB FIN STATEMENT'!$B23,CW_IS!$B$77:$B$142,0),MATCH('WB FIN STATEMENT'!E$6,CW_IS!$B$5:$BJ$5,0))</f>
        <v>56.611000000000004</v>
      </c>
      <c r="F23" s="84"/>
      <c r="G23" s="84">
        <f>INDEX(CW_IS!$B$77:$BJ$142,MATCH('WB FIN STATEMENT'!$B23,CW_IS!$B$77:$B$142,0),MATCH('WB FIN STATEMENT'!G$6,CW_IS!$B$5:$BJ$5,0))</f>
        <v>46.786999999999999</v>
      </c>
      <c r="H23" s="84"/>
      <c r="I23" s="84">
        <f>INDEX(CW_IS!$B$77:$BJ$142,MATCH('WB FIN STATEMENT'!$B23,CW_IS!$B$77:$B$142,0),MATCH('WB FIN STATEMENT'!I$6,CW_IS!$B$5:$BJ$5,0))</f>
        <v>2.0529999999999999</v>
      </c>
      <c r="J23" s="84"/>
      <c r="K23" s="84">
        <f>INDEX(CW_IS!$B$77:$BJ$142,MATCH('WB FIN STATEMENT'!$B23,CW_IS!$B$77:$B$142,0),MATCH('WB FIN STATEMENT'!K$6,CW_IS!$B$5:$BJ$5,0))</f>
        <v>0</v>
      </c>
      <c r="L23" s="84"/>
      <c r="M23" s="84">
        <f>INDEX(CW_IS!$B$77:$BJ$142,MATCH('WB FIN STATEMENT'!$B23,CW_IS!$B$77:$B$142,0),MATCH('WB FIN STATEMENT'!M$6,CW_IS!$B$5:$BJ$5,0))</f>
        <v>0</v>
      </c>
      <c r="N23" s="84"/>
      <c r="O23" s="84">
        <f>INDEX(CW_IS!$B$77:$BJ$142,MATCH('WB FIN STATEMENT'!$B23,CW_IS!$B$77:$B$142,0),MATCH('WB FIN STATEMENT'!O$6,CW_IS!$B$5:$BJ$5,0))</f>
        <v>0</v>
      </c>
      <c r="P23" s="84"/>
      <c r="Q23" s="84">
        <f>INDEX(CW_IS!$B$77:$BJ$142,MATCH('WB FIN STATEMENT'!$B23,CW_IS!$B$77:$B$142,0),MATCH('WB FIN STATEMENT'!Q$6,CW_IS!$B$5:$BJ$5,0))</f>
        <v>0</v>
      </c>
      <c r="R23" s="84"/>
      <c r="S23" s="84">
        <f>INDEX(CW_IS!$B$77:$BJ$142,MATCH('WB FIN STATEMENT'!$B23,CW_IS!$B$77:$B$142,0),MATCH('WB FIN STATEMENT'!S$6,CW_IS!$B$5:$BJ$5,0))</f>
        <v>0</v>
      </c>
      <c r="T23" s="84"/>
      <c r="U23" s="84">
        <f>INDEX(CW_IS!$B$77:$BJ$142,MATCH('WB FIN STATEMENT'!$B23,CW_IS!$B$77:$B$142,0),MATCH('WB FIN STATEMENT'!U$6,CW_IS!$B$5:$BJ$5,0))</f>
        <v>0</v>
      </c>
      <c r="V23" s="84"/>
      <c r="W23" s="84" t="e">
        <f>INDEX(CW_IS!$B$77:$BJ$142,MATCH('WB FIN STATEMENT'!$B23,CW_IS!$B$77:$B$142,0),MATCH('WB FIN STATEMENT'!W$6,CW_IS!$B$5:$BJ$5,0))</f>
        <v>#N/A</v>
      </c>
      <c r="X23" s="84"/>
      <c r="Y23" s="84" t="e">
        <f>INDEX(CW_IS!$B$77:$BJ$142,MATCH('WB FIN STATEMENT'!$B23,CW_IS!$B$77:$B$142,0),MATCH('WB FIN STATEMENT'!Y$6,CW_IS!$B$5:$BJ$5,0))</f>
        <v>#N/A</v>
      </c>
      <c r="Z23" s="84"/>
    </row>
    <row r="24" spans="2:26">
      <c r="B24" s="48" t="s">
        <v>311</v>
      </c>
      <c r="C24" s="84">
        <f>INDEX(CW_IS!$B$77:$L$142,MATCH('WB FIN STATEMENT'!$B24,CW_IS!$B$77:$B$142,0),MATCH('WB FIN STATEMENT'!C$6,CW_IS!$B$5:$BJ$5,0))</f>
        <v>0</v>
      </c>
      <c r="D24" s="84"/>
      <c r="E24" s="84">
        <f>INDEX(CW_IS!$B$77:$L$142,MATCH('WB FIN STATEMENT'!$B24,CW_IS!$B$77:$B$142,0),MATCH('WB FIN STATEMENT'!E$6,CW_IS!$B$5:$BJ$5,0))</f>
        <v>0</v>
      </c>
      <c r="F24" s="84"/>
      <c r="G24" s="84">
        <f>INDEX(CW_IS!$B$77:$BJ$142,MATCH('WB FIN STATEMENT'!$B24,CW_IS!$B$77:$B$142,0),MATCH('WB FIN STATEMENT'!G$6,CW_IS!$B$5:$BJ$5,0))</f>
        <v>0</v>
      </c>
      <c r="H24" s="84"/>
      <c r="I24" s="84">
        <f>INDEX(CW_IS!$B$77:$BJ$142,MATCH('WB FIN STATEMENT'!$B24,CW_IS!$B$77:$B$142,0),MATCH('WB FIN STATEMENT'!I$6,CW_IS!$B$5:$BJ$5,0))</f>
        <v>0</v>
      </c>
      <c r="J24" s="84"/>
      <c r="K24" s="84">
        <f>INDEX(CW_IS!$B$77:$BJ$142,MATCH('WB FIN STATEMENT'!$B24,CW_IS!$B$77:$B$142,0),MATCH('WB FIN STATEMENT'!K$6,CW_IS!$B$5:$BJ$5,0))</f>
        <v>7.2</v>
      </c>
      <c r="L24" s="84"/>
      <c r="M24" s="84">
        <f>INDEX(CW_IS!$B$77:$BJ$142,MATCH('WB FIN STATEMENT'!$B24,CW_IS!$B$77:$B$142,0),MATCH('WB FIN STATEMENT'!M$6,CW_IS!$B$5:$BJ$5,0))</f>
        <v>6.75</v>
      </c>
      <c r="N24" s="84"/>
      <c r="O24" s="84">
        <f>INDEX(CW_IS!$B$77:$BJ$142,MATCH('WB FIN STATEMENT'!$B24,CW_IS!$B$77:$B$142,0),MATCH('WB FIN STATEMENT'!O$6,CW_IS!$B$5:$BJ$5,0))</f>
        <v>5.0999999999999996</v>
      </c>
      <c r="P24" s="84"/>
      <c r="Q24" s="84">
        <f>INDEX(CW_IS!$B$77:$BJ$142,MATCH('WB FIN STATEMENT'!$B24,CW_IS!$B$77:$B$142,0),MATCH('WB FIN STATEMENT'!Q$6,CW_IS!$B$5:$BJ$5,0))</f>
        <v>77.766199999999998</v>
      </c>
      <c r="R24" s="84"/>
      <c r="S24" s="84">
        <f>INDEX(CW_IS!$B$77:$BJ$142,MATCH('WB FIN STATEMENT'!$B24,CW_IS!$B$77:$B$142,0),MATCH('WB FIN STATEMENT'!S$6,CW_IS!$B$5:$BJ$5,0))</f>
        <v>30.681039999999999</v>
      </c>
      <c r="T24" s="84"/>
      <c r="U24" s="84">
        <f>INDEX(CW_IS!$B$77:$BJ$142,MATCH('WB FIN STATEMENT'!$B24,CW_IS!$B$77:$B$142,0),MATCH('WB FIN STATEMENT'!U$6,CW_IS!$B$5:$BJ$5,0))</f>
        <v>20.100500000000004</v>
      </c>
      <c r="V24" s="84"/>
      <c r="W24" s="84" t="e">
        <f>INDEX(CW_IS!$B$77:$BJ$142,MATCH('WB FIN STATEMENT'!$B24,CW_IS!$B$77:$B$142,0),MATCH('WB FIN STATEMENT'!W$6,CW_IS!$B$5:$BJ$5,0))</f>
        <v>#N/A</v>
      </c>
      <c r="X24" s="84"/>
      <c r="Y24" s="84" t="e">
        <f>INDEX(CW_IS!$B$77:$BJ$142,MATCH('WB FIN STATEMENT'!$B24,CW_IS!$B$77:$B$142,0),MATCH('WB FIN STATEMENT'!Y$6,CW_IS!$B$5:$BJ$5,0))</f>
        <v>#N/A</v>
      </c>
      <c r="Z24" s="84"/>
    </row>
    <row r="25" spans="2:26" ht="12" customHeight="1">
      <c r="B25" s="48" t="s">
        <v>312</v>
      </c>
      <c r="C25" s="84">
        <f>INDEX(CW_IS!$B$77:$L$142,MATCH('WB FIN STATEMENT'!$B25,CW_IS!$B$77:$B$142,0),MATCH('WB FIN STATEMENT'!C$6,CW_IS!$B$5:$BJ$5,0))</f>
        <v>0</v>
      </c>
      <c r="D25" s="84"/>
      <c r="E25" s="84">
        <f>INDEX(CW_IS!$B$77:$L$142,MATCH('WB FIN STATEMENT'!$B25,CW_IS!$B$77:$B$142,0),MATCH('WB FIN STATEMENT'!E$6,CW_IS!$B$5:$BJ$5,0))</f>
        <v>0</v>
      </c>
      <c r="F25" s="84"/>
      <c r="G25" s="84">
        <f>INDEX(CW_IS!$B$77:$BJ$142,MATCH('WB FIN STATEMENT'!$B25,CW_IS!$B$77:$B$142,0),MATCH('WB FIN STATEMENT'!G$6,CW_IS!$B$5:$BJ$5,0))</f>
        <v>0</v>
      </c>
      <c r="H25" s="84"/>
      <c r="I25" s="84">
        <f>INDEX(CW_IS!$B$77:$BJ$142,MATCH('WB FIN STATEMENT'!$B25,CW_IS!$B$77:$B$142,0),MATCH('WB FIN STATEMENT'!I$6,CW_IS!$B$5:$BJ$5,0))</f>
        <v>0</v>
      </c>
      <c r="J25" s="84"/>
      <c r="K25" s="84">
        <f>INDEX(CW_IS!$B$77:$BJ$142,MATCH('WB FIN STATEMENT'!$B25,CW_IS!$B$77:$B$142,0),MATCH('WB FIN STATEMENT'!K$6,CW_IS!$B$5:$BJ$5,0))</f>
        <v>0</v>
      </c>
      <c r="L25" s="84"/>
      <c r="M25" s="84">
        <f>INDEX(CW_IS!$B$77:$BJ$142,MATCH('WB FIN STATEMENT'!$B25,CW_IS!$B$77:$B$142,0),MATCH('WB FIN STATEMENT'!M$6,CW_IS!$B$5:$BJ$5,0))</f>
        <v>0</v>
      </c>
      <c r="N25" s="84"/>
      <c r="O25" s="84">
        <f>INDEX(CW_IS!$B$77:$BJ$142,MATCH('WB FIN STATEMENT'!$B25,CW_IS!$B$77:$B$142,0),MATCH('WB FIN STATEMENT'!O$6,CW_IS!$B$5:$BJ$5,0))</f>
        <v>0</v>
      </c>
      <c r="P25" s="84"/>
      <c r="Q25" s="84">
        <f>INDEX(CW_IS!$B$77:$BJ$142,MATCH('WB FIN STATEMENT'!$B25,CW_IS!$B$77:$B$142,0),MATCH('WB FIN STATEMENT'!Q$6,CW_IS!$B$5:$BJ$5,0))</f>
        <v>0</v>
      </c>
      <c r="R25" s="84"/>
      <c r="S25" s="84">
        <f>INDEX(CW_IS!$B$77:$BJ$142,MATCH('WB FIN STATEMENT'!$B25,CW_IS!$B$77:$B$142,0),MATCH('WB FIN STATEMENT'!S$6,CW_IS!$B$5:$BJ$5,0))</f>
        <v>0</v>
      </c>
      <c r="T25" s="84"/>
      <c r="U25" s="84">
        <f>INDEX(CW_IS!$B$77:$BJ$142,MATCH('WB FIN STATEMENT'!$B25,CW_IS!$B$77:$B$142,0),MATCH('WB FIN STATEMENT'!U$6,CW_IS!$B$5:$BJ$5,0))</f>
        <v>0</v>
      </c>
      <c r="V25" s="84"/>
      <c r="W25" s="84" t="e">
        <f>INDEX(CW_IS!$B$77:$BJ$142,MATCH('WB FIN STATEMENT'!$B25,CW_IS!$B$77:$B$142,0),MATCH('WB FIN STATEMENT'!W$6,CW_IS!$B$5:$BJ$5,0))</f>
        <v>#N/A</v>
      </c>
      <c r="X25" s="84"/>
      <c r="Y25" s="84" t="e">
        <f>INDEX(CW_IS!$B$77:$BJ$142,MATCH('WB FIN STATEMENT'!$B25,CW_IS!$B$77:$B$142,0),MATCH('WB FIN STATEMENT'!Y$6,CW_IS!$B$5:$BJ$5,0))</f>
        <v>#N/A</v>
      </c>
      <c r="Z25" s="84"/>
    </row>
    <row r="26" spans="2:26" ht="3.75" customHeight="1">
      <c r="B26" s="15"/>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2:26" s="19" customFormat="1">
      <c r="B27" s="96" t="s">
        <v>398</v>
      </c>
      <c r="C27" s="97">
        <f>C21-C23-C24-C25</f>
        <v>140.80399999999997</v>
      </c>
      <c r="D27" s="98"/>
      <c r="E27" s="97">
        <f>E21-E23-E24-E25</f>
        <v>113.33799999999998</v>
      </c>
      <c r="F27" s="98"/>
      <c r="G27" s="97">
        <f>G21-G23-G24-G25</f>
        <v>145.4609999999999</v>
      </c>
      <c r="H27" s="98"/>
      <c r="I27" s="97">
        <f>I21-I23-I24-I25</f>
        <v>187.32900000000001</v>
      </c>
      <c r="J27" s="98"/>
      <c r="K27" s="97">
        <f>K21-K23-K24-K25</f>
        <v>214.92700000000005</v>
      </c>
      <c r="L27" s="98"/>
      <c r="M27" s="97">
        <f>M21-M23-M24-M25</f>
        <v>275.59800000000001</v>
      </c>
      <c r="N27" s="98"/>
      <c r="O27" s="97">
        <f>O21-O23-O24-O25</f>
        <v>286.41871930674722</v>
      </c>
      <c r="P27" s="98"/>
      <c r="Q27" s="97">
        <f>Q21-Q23-Q24-Q25</f>
        <v>199.28539213315062</v>
      </c>
      <c r="R27" s="98"/>
      <c r="S27" s="97">
        <f>S21-S23-S24-S25</f>
        <v>267.14259999999996</v>
      </c>
      <c r="T27" s="98"/>
      <c r="U27" s="97">
        <f>U21-U23-U24-U25</f>
        <v>294.11922000000004</v>
      </c>
      <c r="V27" s="98"/>
      <c r="W27" s="97" t="e">
        <f>W21-W23-W24-W25</f>
        <v>#N/A</v>
      </c>
      <c r="X27" s="98"/>
      <c r="Y27" s="97" t="e">
        <f>Y21-Y23-Y24-Y25</f>
        <v>#N/A</v>
      </c>
      <c r="Z27" s="98"/>
    </row>
    <row r="28" spans="2:26">
      <c r="B28" s="15"/>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2:26">
      <c r="B29" s="99" t="s">
        <v>399</v>
      </c>
      <c r="C29" s="100">
        <f>C27/C33</f>
        <v>2.9121820062047563</v>
      </c>
      <c r="D29" s="101"/>
      <c r="E29" s="100">
        <f>E27/E33</f>
        <v>2.3094854814060106</v>
      </c>
      <c r="F29" s="101"/>
      <c r="G29" s="100">
        <f>G27/G33</f>
        <v>3.0548765120967722</v>
      </c>
      <c r="H29" s="101"/>
      <c r="I29" s="100">
        <f>I27/I33</f>
        <v>4.158707958707959</v>
      </c>
      <c r="J29" s="101"/>
      <c r="K29" s="100">
        <f>K27/K33</f>
        <v>4.8016576930810313</v>
      </c>
      <c r="L29" s="101"/>
      <c r="M29" s="100">
        <f>M27/M33</f>
        <v>6.216963681479811</v>
      </c>
      <c r="N29" s="101"/>
      <c r="O29" s="100">
        <f>O27/O33</f>
        <v>6.658461593875435</v>
      </c>
      <c r="P29" s="101"/>
      <c r="Q29" s="100">
        <f>Q27/Q33</f>
        <v>4.7482253519293458</v>
      </c>
      <c r="R29" s="101"/>
      <c r="S29" s="100">
        <f>S27/S33</f>
        <v>6.5798669950738899</v>
      </c>
      <c r="T29" s="101"/>
      <c r="U29" s="100">
        <f>U27/U33</f>
        <v>7.6097131990530533</v>
      </c>
      <c r="V29" s="101"/>
      <c r="W29" s="100" t="e">
        <f>W27/W33</f>
        <v>#N/A</v>
      </c>
      <c r="X29" s="101"/>
      <c r="Y29" s="100" t="e">
        <f>Y27/Y33</f>
        <v>#N/A</v>
      </c>
      <c r="Z29" s="101"/>
    </row>
    <row r="30" spans="2:26" ht="4.5" customHeight="1">
      <c r="B30" s="91"/>
      <c r="C30" s="93"/>
      <c r="D30" s="92"/>
      <c r="E30" s="93"/>
      <c r="F30" s="92"/>
      <c r="G30" s="93"/>
      <c r="H30" s="92"/>
      <c r="I30" s="93"/>
      <c r="J30" s="92"/>
      <c r="K30" s="93"/>
      <c r="L30" s="92"/>
      <c r="M30" s="93"/>
      <c r="N30" s="92"/>
      <c r="O30" s="93"/>
      <c r="P30" s="92"/>
      <c r="Q30" s="93"/>
      <c r="R30" s="92"/>
      <c r="S30" s="93"/>
      <c r="T30" s="92"/>
      <c r="U30" s="93"/>
      <c r="V30" s="92"/>
      <c r="W30" s="93"/>
      <c r="X30" s="92"/>
      <c r="Y30" s="93"/>
      <c r="Z30" s="92"/>
    </row>
    <row r="31" spans="2:26">
      <c r="B31" s="99" t="s">
        <v>400</v>
      </c>
      <c r="C31" s="100">
        <f>C21/C33</f>
        <v>2.882750775594622</v>
      </c>
      <c r="D31" s="101"/>
      <c r="E31" s="100">
        <f>E21/E33</f>
        <v>3.4630463576158936</v>
      </c>
      <c r="F31" s="101"/>
      <c r="G31" s="100">
        <f>G21/G33</f>
        <v>4.0374663978494603</v>
      </c>
      <c r="H31" s="101"/>
      <c r="I31" s="100">
        <f>I21/I33</f>
        <v>4.204284604284604</v>
      </c>
      <c r="J31" s="101"/>
      <c r="K31" s="100">
        <f>K21/K33</f>
        <v>4.9625120082214433</v>
      </c>
      <c r="L31" s="101"/>
      <c r="M31" s="100">
        <f>M21/M33</f>
        <v>6.3692307692307697</v>
      </c>
      <c r="N31" s="101"/>
      <c r="O31" s="100">
        <f>O21/O33</f>
        <v>6.777022818543144</v>
      </c>
      <c r="P31" s="101"/>
      <c r="Q31" s="100">
        <f>Q21/Q33</f>
        <v>6.6011029683504034</v>
      </c>
      <c r="R31" s="101"/>
      <c r="S31" s="100">
        <f>S21/S33</f>
        <v>7.3355576354679792</v>
      </c>
      <c r="T31" s="101"/>
      <c r="U31" s="100">
        <f>U21/U33</f>
        <v>8.1297711543188331</v>
      </c>
      <c r="V31" s="101"/>
      <c r="W31" s="100" t="e">
        <f>W21/W33</f>
        <v>#N/A</v>
      </c>
      <c r="X31" s="101"/>
      <c r="Y31" s="100" t="e">
        <f>Y21/Y33</f>
        <v>#N/A</v>
      </c>
      <c r="Z31" s="101"/>
    </row>
    <row r="32" spans="2:26" ht="6" customHeight="1">
      <c r="B32" s="15"/>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2:26">
      <c r="B33" s="48" t="s">
        <v>333</v>
      </c>
      <c r="C33" s="85">
        <f>INDEX(CW_IS!$B$77:$L$142,MATCH('WB FIN STATEMENT'!$B33,CW_IS!$B$77:$B$142,0),MATCH('WB FIN STATEMENT'!C$6,CW_IS!$B$5:$BJ$5,0))</f>
        <v>48.35</v>
      </c>
      <c r="D33" s="85"/>
      <c r="E33" s="85">
        <f>INDEX(CW_IS!$B$77:$L$142,MATCH('WB FIN STATEMENT'!$B33,CW_IS!$B$77:$B$142,0),MATCH('WB FIN STATEMENT'!E$6,CW_IS!$B$5:$BJ$5,0))</f>
        <v>49.075000000000003</v>
      </c>
      <c r="F33" s="85"/>
      <c r="G33" s="85">
        <f>INDEX(CW_IS!$B$77:$BJ$142,MATCH('WB FIN STATEMENT'!$B33,CW_IS!$B$77:$B$142,0),MATCH('WB FIN STATEMENT'!G$6,CW_IS!$B$5:$BJ$5,0))</f>
        <v>47.616</v>
      </c>
      <c r="H33" s="85"/>
      <c r="I33" s="85">
        <f>INDEX(CW_IS!$B$77:$BJ$142,MATCH('WB FIN STATEMENT'!$B33,CW_IS!$B$77:$B$142,0),MATCH('WB FIN STATEMENT'!I$6,CW_IS!$B$5:$BJ$5,0))</f>
        <v>45.045000000000002</v>
      </c>
      <c r="J33" s="85"/>
      <c r="K33" s="85">
        <f>INDEX(CW_IS!$B$77:$BJ$142,MATCH('WB FIN STATEMENT'!$B33,CW_IS!$B$77:$B$142,0),MATCH('WB FIN STATEMENT'!K$6,CW_IS!$B$5:$BJ$5,0))</f>
        <v>44.761000000000003</v>
      </c>
      <c r="L33" s="85"/>
      <c r="M33" s="85">
        <f>INDEX(CW_IS!$B$77:$BJ$142,MATCH('WB FIN STATEMENT'!$B33,CW_IS!$B$77:$B$142,0),MATCH('WB FIN STATEMENT'!M$6,CW_IS!$B$5:$BJ$5,0))</f>
        <v>44.33</v>
      </c>
      <c r="N33" s="85"/>
      <c r="O33" s="85">
        <f>INDEX(CW_IS!$B$77:$BJ$142,MATCH('WB FIN STATEMENT'!$B33,CW_IS!$B$77:$B$142,0),MATCH('WB FIN STATEMENT'!O$6,CW_IS!$B$5:$BJ$5,0))</f>
        <v>43.015749999999997</v>
      </c>
      <c r="P33" s="85"/>
      <c r="Q33" s="85">
        <f>INDEX(CW_IS!$B$77:$BJ$142,MATCH('WB FIN STATEMENT'!$B33,CW_IS!$B$77:$B$142,0),MATCH('WB FIN STATEMENT'!Q$6,CW_IS!$B$5:$BJ$5,0))</f>
        <v>41.970500000000001</v>
      </c>
      <c r="R33" s="85"/>
      <c r="S33" s="85">
        <f>INDEX(CW_IS!$B$77:$BJ$142,MATCH('WB FIN STATEMENT'!$B33,CW_IS!$B$77:$B$142,0),MATCH('WB FIN STATEMENT'!S$6,CW_IS!$B$5:$BJ$5,0))</f>
        <v>40.6</v>
      </c>
      <c r="T33" s="85"/>
      <c r="U33" s="85">
        <f>INDEX(CW_IS!$B$77:$BJ$142,MATCH('WB FIN STATEMENT'!$B33,CW_IS!$B$77:$B$142,0),MATCH('WB FIN STATEMENT'!U$6,CW_IS!$B$5:$BJ$5,0))</f>
        <v>38.650500000000001</v>
      </c>
      <c r="V33" s="85"/>
      <c r="W33" s="85" t="e">
        <f>INDEX(CW_IS!$B$77:$BJ$142,MATCH('WB FIN STATEMENT'!$B33,CW_IS!$B$77:$B$142,0),MATCH('WB FIN STATEMENT'!W$6,CW_IS!$B$5:$BJ$5,0))</f>
        <v>#N/A</v>
      </c>
      <c r="X33" s="85"/>
      <c r="Y33" s="85" t="e">
        <f>INDEX(CW_IS!$B$77:$BJ$142,MATCH('WB FIN STATEMENT'!$B33,CW_IS!$B$77:$B$142,0),MATCH('WB FIN STATEMENT'!Y$6,CW_IS!$B$5:$BJ$5,0))</f>
        <v>#N/A</v>
      </c>
      <c r="Z33" s="85"/>
    </row>
    <row r="34" spans="2:26" ht="6" customHeight="1">
      <c r="B34" s="15"/>
      <c r="C34" s="21"/>
      <c r="E34" s="21"/>
      <c r="G34" s="21"/>
      <c r="I34" s="21"/>
      <c r="K34" s="21"/>
      <c r="M34" s="21"/>
      <c r="O34" s="21"/>
      <c r="Q34" s="21"/>
      <c r="S34" s="21"/>
      <c r="U34" s="21"/>
      <c r="W34" s="21"/>
      <c r="Y34" s="21"/>
    </row>
    <row r="35" spans="2:26">
      <c r="B35" s="91" t="s">
        <v>401</v>
      </c>
      <c r="S35" s="216"/>
    </row>
    <row r="36" spans="2:26">
      <c r="B36" s="16" t="s">
        <v>402</v>
      </c>
      <c r="C36" s="80">
        <f>CW_IS!C135</f>
        <v>0</v>
      </c>
      <c r="D36" s="30"/>
      <c r="E36" s="80">
        <f>CW_IS!H135</f>
        <v>0.74195519348268846</v>
      </c>
      <c r="F36" s="30"/>
      <c r="G36" s="80">
        <f>CW_IS!M135</f>
        <v>0.88695313141262433</v>
      </c>
      <c r="H36" s="30"/>
      <c r="I36" s="80">
        <f>CW_IS!R135</f>
        <v>0.72544208664898324</v>
      </c>
      <c r="J36" s="30"/>
      <c r="K36" s="80">
        <f>CW_IS!W135</f>
        <v>0.8093123049487293</v>
      </c>
      <c r="L36" s="30"/>
      <c r="M36" s="80">
        <f>CW_IS!AB135</f>
        <v>0.97683423608935049</v>
      </c>
      <c r="N36" s="30"/>
      <c r="O36" s="80">
        <f>CW_IS!AG135</f>
        <v>1.2266041591493986</v>
      </c>
      <c r="P36" s="30"/>
      <c r="Q36" s="80">
        <f>+CW_IS!AL135</f>
        <v>1.2884840129787747</v>
      </c>
      <c r="R36" s="30"/>
      <c r="S36" s="80">
        <f>CW_IS!AQ135</f>
        <v>1.5148286013186387</v>
      </c>
      <c r="T36" s="30"/>
      <c r="U36" s="80">
        <f>CW_IS!AV135</f>
        <v>1.3121702699906901</v>
      </c>
      <c r="V36" s="30"/>
      <c r="W36" s="80">
        <f>+CW_IS!BA135</f>
        <v>1.53</v>
      </c>
      <c r="X36" s="30" t="s">
        <v>403</v>
      </c>
      <c r="Y36" s="80"/>
      <c r="Z36" s="30"/>
    </row>
    <row r="37" spans="2:26">
      <c r="B37" s="16" t="s">
        <v>404</v>
      </c>
      <c r="C37" s="81">
        <f>CW_IS!D135</f>
        <v>0</v>
      </c>
      <c r="D37" s="30"/>
      <c r="E37" s="81">
        <f>CW_IS!I135</f>
        <v>0.87347427851906001</v>
      </c>
      <c r="F37" s="30"/>
      <c r="G37" s="81">
        <f>CW_IS!N135</f>
        <v>0.83138546976667071</v>
      </c>
      <c r="H37" s="30"/>
      <c r="I37" s="81">
        <f>CW_IS!S135</f>
        <v>0.88484190948543118</v>
      </c>
      <c r="J37" s="30"/>
      <c r="K37" s="81">
        <f>CW_IS!X135</f>
        <v>1.2098053875510519</v>
      </c>
      <c r="L37" s="30"/>
      <c r="M37" s="81">
        <f>CW_IS!AC135</f>
        <v>1.79981146050771</v>
      </c>
      <c r="N37" s="30"/>
      <c r="O37" s="81">
        <f>CW_IS!AH135</f>
        <v>1.7761575900460718</v>
      </c>
      <c r="P37" s="30"/>
      <c r="Q37" s="81">
        <f>+CW_IS!AM135</f>
        <v>1.2811642848516926</v>
      </c>
      <c r="R37" s="30"/>
      <c r="S37" s="81">
        <f>CW_IS!AR135</f>
        <v>1.5567805685358256</v>
      </c>
      <c r="T37" s="30"/>
      <c r="U37" s="81">
        <f>CW_IS!AW135</f>
        <v>1.8334971801107254</v>
      </c>
      <c r="V37" s="30"/>
      <c r="W37" s="81">
        <f>+CW_IS!BB135</f>
        <v>2.15</v>
      </c>
      <c r="X37" s="30" t="s">
        <v>403</v>
      </c>
      <c r="Y37" s="81"/>
      <c r="Z37" s="30"/>
    </row>
    <row r="38" spans="2:26">
      <c r="B38" s="16" t="s">
        <v>405</v>
      </c>
      <c r="C38" s="81">
        <f>CW_IS!E135</f>
        <v>0.79185031185031196</v>
      </c>
      <c r="D38" s="30"/>
      <c r="E38" s="81">
        <f>CW_IS!J135</f>
        <v>0.9038105130241747</v>
      </c>
      <c r="F38" s="30"/>
      <c r="G38" s="81">
        <f>CW_IS!O135</f>
        <v>0.80476843548897559</v>
      </c>
      <c r="H38" s="30"/>
      <c r="I38" s="81">
        <f>CW_IS!T135</f>
        <v>1.0207791630553149</v>
      </c>
      <c r="J38" s="30"/>
      <c r="K38" s="81">
        <f>CW_IS!Y135</f>
        <v>1.4284059884527591</v>
      </c>
      <c r="L38" s="30"/>
      <c r="M38" s="81">
        <f>CW_IS!AD135</f>
        <v>1.7003428519871882</v>
      </c>
      <c r="N38" s="30"/>
      <c r="O38" s="81">
        <f>CW_IS!AI135</f>
        <v>1.8114664736391555</v>
      </c>
      <c r="P38" s="30"/>
      <c r="Q38" s="81">
        <f>+CW_IS!AN135</f>
        <v>1.7717925365112768</v>
      </c>
      <c r="R38" s="30"/>
      <c r="S38" s="81">
        <f>CW_IS!AS135</f>
        <v>1.8762881562881562</v>
      </c>
      <c r="T38" s="30"/>
      <c r="U38" s="81">
        <f>CW_IS!AX135</f>
        <v>2.0693197402126944</v>
      </c>
      <c r="V38" s="30"/>
      <c r="W38" s="81">
        <f>+CW_IS!BC135</f>
        <v>2.5445043830074172</v>
      </c>
      <c r="X38" s="30" t="s">
        <v>403</v>
      </c>
      <c r="Y38" s="81"/>
      <c r="Z38" s="30"/>
    </row>
    <row r="39" spans="2:26">
      <c r="B39" s="16" t="s">
        <v>406</v>
      </c>
      <c r="C39" s="82">
        <f>CW_IS!F135</f>
        <v>0.91860082304526747</v>
      </c>
      <c r="D39" s="30"/>
      <c r="E39" s="82">
        <f>CW_IS!K135</f>
        <v>0.94329823126469692</v>
      </c>
      <c r="F39" s="30"/>
      <c r="G39" s="82">
        <f>CW_IS!P135</f>
        <v>1.5335370478729164</v>
      </c>
      <c r="H39" s="30"/>
      <c r="I39" s="82">
        <f>CW_IS!U135</f>
        <v>1.5780095125382401</v>
      </c>
      <c r="J39" s="30"/>
      <c r="K39" s="82">
        <f>CW_IS!Z135</f>
        <v>1.516686431576121</v>
      </c>
      <c r="L39" s="30"/>
      <c r="M39" s="82">
        <f>CW_IS!AE135</f>
        <v>1.8988397058151754</v>
      </c>
      <c r="N39" s="30"/>
      <c r="O39" s="82">
        <f>CW_IS!AJ135</f>
        <v>1.9634809527249524</v>
      </c>
      <c r="P39" s="30"/>
      <c r="Q39" s="82">
        <f>+CW_IS!AO135</f>
        <v>2.2736224579599376</v>
      </c>
      <c r="R39" s="30"/>
      <c r="S39" s="82">
        <f>CW_IS!AT135</f>
        <v>2.3975468070033394</v>
      </c>
      <c r="T39" s="30"/>
      <c r="U39" s="82">
        <f>CW_IS!AY135</f>
        <v>2.9155312815468646</v>
      </c>
      <c r="V39" s="30"/>
      <c r="W39" s="82">
        <f>+CW_IS!BD135</f>
        <v>3.1635436956239449</v>
      </c>
      <c r="X39" s="30" t="s">
        <v>403</v>
      </c>
      <c r="Y39" s="82"/>
      <c r="Z39" s="30"/>
    </row>
    <row r="40" spans="2:26" ht="6" customHeight="1">
      <c r="B40" s="15"/>
      <c r="C40" s="21"/>
      <c r="E40" s="21"/>
      <c r="G40" s="21"/>
      <c r="I40" s="21"/>
      <c r="K40" s="21"/>
      <c r="M40" s="21"/>
      <c r="O40" s="21"/>
      <c r="Q40" s="21"/>
      <c r="S40" s="21"/>
      <c r="U40" s="21"/>
      <c r="W40" s="21"/>
      <c r="Y40" s="21"/>
    </row>
    <row r="41" spans="2:26">
      <c r="B41" s="94" t="s">
        <v>407</v>
      </c>
      <c r="C41" s="95" t="str">
        <f>C6</f>
        <v>FY13</v>
      </c>
      <c r="D41" s="95"/>
      <c r="E41" s="95" t="str">
        <f>E6</f>
        <v>FY14</v>
      </c>
      <c r="F41" s="95"/>
      <c r="G41" s="95" t="str">
        <f>G6</f>
        <v>FY15</v>
      </c>
      <c r="H41" s="95"/>
      <c r="I41" s="95" t="s">
        <v>160</v>
      </c>
      <c r="J41" s="95"/>
      <c r="K41" s="95" t="s">
        <v>165</v>
      </c>
      <c r="L41" s="95"/>
      <c r="M41" s="95" t="str">
        <f>M6</f>
        <v>FY18</v>
      </c>
      <c r="N41" s="95"/>
      <c r="O41" s="95" t="str">
        <f>O6</f>
        <v>FY19</v>
      </c>
      <c r="P41" s="95"/>
      <c r="Q41" s="95" t="str">
        <f>Q6</f>
        <v>FY20</v>
      </c>
      <c r="R41" s="95"/>
      <c r="S41" s="95" t="str">
        <f>S6</f>
        <v>FY21</v>
      </c>
      <c r="T41" s="95"/>
      <c r="U41" s="95" t="str">
        <f>U6</f>
        <v>FY22</v>
      </c>
      <c r="V41" s="95"/>
      <c r="W41" s="95" t="str">
        <f>W6</f>
        <v>FY23E</v>
      </c>
      <c r="X41" s="95"/>
      <c r="Y41" s="95" t="str">
        <f>Y6</f>
        <v>FY24E</v>
      </c>
      <c r="Z41" s="95"/>
    </row>
    <row r="42" spans="2:26" ht="6" customHeight="1">
      <c r="B42" s="13"/>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2:26">
      <c r="B43" s="15" t="s">
        <v>408</v>
      </c>
      <c r="C43" s="22"/>
      <c r="D43" s="22"/>
      <c r="E43" s="22"/>
      <c r="F43" s="22"/>
      <c r="G43" s="22"/>
      <c r="H43" s="22"/>
      <c r="I43" s="22"/>
      <c r="J43" s="22"/>
      <c r="K43" s="22"/>
      <c r="L43" s="22"/>
      <c r="M43" s="11"/>
      <c r="N43" s="22"/>
      <c r="O43" s="22"/>
      <c r="P43" s="188"/>
      <c r="Q43" s="188"/>
      <c r="R43" s="188"/>
      <c r="S43" s="188"/>
      <c r="T43" s="188"/>
      <c r="U43" s="188"/>
      <c r="V43" s="188"/>
      <c r="W43" s="188"/>
      <c r="X43" s="188"/>
      <c r="Y43" s="188"/>
      <c r="Z43" s="188"/>
    </row>
    <row r="44" spans="2:26">
      <c r="B44" s="14" t="s">
        <v>409</v>
      </c>
      <c r="C44" s="118">
        <v>137.98099999999999</v>
      </c>
      <c r="D44" s="118"/>
      <c r="E44" s="118">
        <v>113.33799999999999</v>
      </c>
      <c r="F44" s="118"/>
      <c r="G44" s="118">
        <v>145.46100000000001</v>
      </c>
      <c r="H44" s="118"/>
      <c r="I44" s="118">
        <v>187.32900000000001</v>
      </c>
      <c r="J44" s="118"/>
      <c r="K44" s="118">
        <v>214.89099999999999</v>
      </c>
      <c r="L44" s="118"/>
      <c r="M44" s="117">
        <v>275.74900000000002</v>
      </c>
      <c r="N44" s="118"/>
      <c r="O44" s="118">
        <v>307.58300000000003</v>
      </c>
      <c r="P44" s="118"/>
      <c r="Q44" s="118">
        <v>201.392</v>
      </c>
      <c r="R44" s="118"/>
      <c r="S44" s="118">
        <v>267.15899999999999</v>
      </c>
      <c r="T44" s="118"/>
      <c r="U44" s="118">
        <v>294.34800000000001</v>
      </c>
      <c r="V44" s="118"/>
      <c r="W44" s="118" t="e">
        <f>W27</f>
        <v>#N/A</v>
      </c>
      <c r="X44" s="118"/>
      <c r="Y44" s="118" t="e">
        <f>Y27</f>
        <v>#N/A</v>
      </c>
      <c r="Z44" s="118"/>
    </row>
    <row r="45" spans="2:26">
      <c r="B45" s="17" t="s">
        <v>410</v>
      </c>
      <c r="C45" s="117">
        <v>121.497</v>
      </c>
      <c r="D45" s="117"/>
      <c r="E45" s="117">
        <v>118.931</v>
      </c>
      <c r="F45" s="117"/>
      <c r="G45" s="117">
        <v>100.81</v>
      </c>
      <c r="H45" s="117"/>
      <c r="I45" s="117">
        <v>96.007999999999996</v>
      </c>
      <c r="J45" s="139"/>
      <c r="K45" s="117">
        <v>99.995000000000005</v>
      </c>
      <c r="L45" s="139"/>
      <c r="M45" s="117">
        <v>102.949</v>
      </c>
      <c r="N45" s="139"/>
      <c r="O45" s="117">
        <v>102.41200000000001</v>
      </c>
      <c r="P45" s="139"/>
      <c r="Q45" s="117">
        <v>115.90300000000001</v>
      </c>
      <c r="R45" s="139"/>
      <c r="S45" s="117">
        <v>114.384</v>
      </c>
      <c r="T45" s="139"/>
      <c r="U45" s="117">
        <v>112.027</v>
      </c>
      <c r="V45" s="139"/>
      <c r="W45" s="139">
        <v>112.5</v>
      </c>
      <c r="X45" s="139"/>
      <c r="Y45" s="139">
        <v>115</v>
      </c>
      <c r="Z45" s="139"/>
    </row>
    <row r="46" spans="2:26">
      <c r="B46" s="17" t="s">
        <v>411</v>
      </c>
      <c r="C46" s="117">
        <v>7.3490000000000002</v>
      </c>
      <c r="D46" s="117"/>
      <c r="E46" s="117">
        <v>8.5</v>
      </c>
      <c r="F46" s="117"/>
      <c r="G46" s="117">
        <v>9.4730000000000008</v>
      </c>
      <c r="H46" s="117"/>
      <c r="I46" s="117">
        <v>9.4779999999999998</v>
      </c>
      <c r="J46" s="139"/>
      <c r="K46" s="117">
        <v>11.571999999999999</v>
      </c>
      <c r="L46" s="139"/>
      <c r="M46" s="117">
        <v>14.093999999999999</v>
      </c>
      <c r="N46" s="139"/>
      <c r="O46" s="117">
        <v>13.669</v>
      </c>
      <c r="P46" s="139"/>
      <c r="Q46" s="117">
        <v>14.436999999999999</v>
      </c>
      <c r="R46" s="139"/>
      <c r="S46" s="117">
        <v>13.45</v>
      </c>
      <c r="T46" s="139"/>
      <c r="U46" s="117">
        <v>15.384</v>
      </c>
      <c r="V46" s="139"/>
      <c r="W46" s="139">
        <v>15</v>
      </c>
      <c r="X46" s="139"/>
      <c r="Y46" s="139">
        <v>15</v>
      </c>
      <c r="Z46" s="139"/>
    </row>
    <row r="47" spans="2:26">
      <c r="B47" s="17" t="s">
        <v>412</v>
      </c>
      <c r="C47" s="116">
        <v>7.6999999999999999E-2</v>
      </c>
      <c r="D47" s="116"/>
      <c r="E47" s="116">
        <f>29.184+0.632</f>
        <v>29.816000000000003</v>
      </c>
      <c r="F47" s="116"/>
      <c r="G47" s="116">
        <f>16.991-0.945</f>
        <v>16.045999999999999</v>
      </c>
      <c r="H47" s="116"/>
      <c r="I47" s="117">
        <f>-0.845-2.069</f>
        <v>-2.9139999999999997</v>
      </c>
      <c r="J47" s="139"/>
      <c r="K47" s="117">
        <f>-0.875+0.029</f>
        <v>-0.84599999999999997</v>
      </c>
      <c r="L47" s="139"/>
      <c r="M47" s="117">
        <f>-1.735-1.12</f>
        <v>-2.8550000000000004</v>
      </c>
      <c r="N47" s="139"/>
      <c r="O47" s="117">
        <f>0-11.054</f>
        <v>-11.054</v>
      </c>
      <c r="P47" s="139"/>
      <c r="Q47" s="117">
        <v>0</v>
      </c>
      <c r="R47" s="139"/>
      <c r="S47" s="117">
        <v>-0.56799999999999995</v>
      </c>
      <c r="T47" s="139"/>
      <c r="U47" s="117">
        <f>-4.671+4.651</f>
        <v>-2.0000000000000462E-2</v>
      </c>
      <c r="V47" s="139"/>
      <c r="W47" s="139">
        <v>0</v>
      </c>
      <c r="X47" s="139"/>
      <c r="Y47" s="139">
        <v>0</v>
      </c>
      <c r="Z47" s="139"/>
    </row>
    <row r="48" spans="2:26">
      <c r="B48" s="17" t="s">
        <v>413</v>
      </c>
      <c r="C48" s="118">
        <v>5.9279999999999999</v>
      </c>
      <c r="D48" s="118"/>
      <c r="E48" s="118">
        <v>-27.241</v>
      </c>
      <c r="F48" s="118"/>
      <c r="G48" s="118">
        <v>63.534999999999997</v>
      </c>
      <c r="H48" s="118"/>
      <c r="I48" s="117">
        <v>1.224</v>
      </c>
      <c r="J48" s="139"/>
      <c r="K48" s="117">
        <v>-5.782</v>
      </c>
      <c r="L48" s="139"/>
      <c r="M48" s="117">
        <v>8.5619999999999994</v>
      </c>
      <c r="N48" s="139"/>
      <c r="O48" s="117">
        <v>40.786999999999999</v>
      </c>
      <c r="P48" s="139"/>
      <c r="Q48" s="117">
        <v>-7.048</v>
      </c>
      <c r="R48" s="139"/>
      <c r="S48" s="117">
        <v>-10.199999999999999</v>
      </c>
      <c r="T48" s="117"/>
      <c r="U48" s="117">
        <v>-23.635000000000002</v>
      </c>
      <c r="V48" s="139"/>
      <c r="W48" s="139">
        <v>-10</v>
      </c>
      <c r="X48" s="139"/>
      <c r="Y48" s="139">
        <v>-10</v>
      </c>
      <c r="Z48" s="139"/>
    </row>
    <row r="49" spans="2:26">
      <c r="B49" s="17" t="s">
        <v>414</v>
      </c>
      <c r="C49" s="116">
        <v>0.88700000000000001</v>
      </c>
      <c r="D49" s="116"/>
      <c r="E49" s="116">
        <f>41.369+3.202</f>
        <v>44.570999999999998</v>
      </c>
      <c r="F49" s="116"/>
      <c r="G49" s="116">
        <v>40.813000000000002</v>
      </c>
      <c r="H49" s="116"/>
      <c r="I49" s="117">
        <v>0</v>
      </c>
      <c r="J49" s="139"/>
      <c r="K49" s="117">
        <v>0</v>
      </c>
      <c r="L49" s="139"/>
      <c r="M49" s="117">
        <v>0</v>
      </c>
      <c r="N49" s="117"/>
      <c r="O49" s="117">
        <v>0</v>
      </c>
      <c r="P49" s="139"/>
      <c r="Q49" s="117">
        <f>33.043+9.351+15.628</f>
        <v>58.021999999999998</v>
      </c>
      <c r="R49" s="139"/>
      <c r="S49" s="117">
        <v>19.088000000000001</v>
      </c>
      <c r="T49" s="117"/>
      <c r="U49" s="117">
        <v>0</v>
      </c>
      <c r="V49" s="139"/>
      <c r="W49" s="139">
        <v>0</v>
      </c>
      <c r="X49" s="139"/>
      <c r="Y49" s="139">
        <v>0</v>
      </c>
      <c r="Z49" s="139"/>
    </row>
    <row r="50" spans="2:26">
      <c r="B50" s="17" t="s">
        <v>415</v>
      </c>
      <c r="C50" s="117">
        <f>6.599-25.499-6.131+8.567-7.281-16.811-1.63+6.294</f>
        <v>-35.892000000000003</v>
      </c>
      <c r="D50" s="117"/>
      <c r="E50" s="117">
        <f>12.845-19.375-6.971+16.147+24.471+38.946-26.431+4.219</f>
        <v>43.850999999999992</v>
      </c>
      <c r="F50" s="117"/>
      <c r="G50" s="129">
        <f>-77.106-4.039+3.68-0.447+4.839-7.436-139.61+6.46</f>
        <v>-213.65899999999999</v>
      </c>
      <c r="H50" s="117"/>
      <c r="I50" s="129">
        <f>91.692+4.391+2.583+4.125-11.084+11.797+3.405+20.405+4.758</f>
        <v>132.072</v>
      </c>
      <c r="J50" s="117"/>
      <c r="K50" s="129">
        <f>-16.388+19.711-0.774+4.323+36.898-5.479+3.481+25.686+1.424</f>
        <v>68.882000000000005</v>
      </c>
      <c r="L50" s="117"/>
      <c r="M50" s="117">
        <f>-57.492-41.197-11.121+48.93+23.082-8.847-43.759+23.357+4.821</f>
        <v>-62.225999999999999</v>
      </c>
      <c r="N50" s="117"/>
      <c r="O50" s="129">
        <f>-12.613-3.485-4.834-18.629+36.134-15.625-1.31-11.631</f>
        <v>-31.992999999999999</v>
      </c>
      <c r="P50" s="117"/>
      <c r="Q50" s="129">
        <f>71.147+15.535-7.689-55.513-33.179+15.171-153.375+26.377</f>
        <v>-121.52600000000002</v>
      </c>
      <c r="R50" s="117"/>
      <c r="S50" s="129">
        <f>-59.372+15.321-3.672+17.713+9.584-12.988-1.236+19.005</f>
        <v>-15.645</v>
      </c>
      <c r="T50" s="117"/>
      <c r="U50" s="129">
        <f>-74.798-60.62-3.099+42.493-17.646+55.847-15.049-30.456</f>
        <v>-103.328</v>
      </c>
      <c r="V50" s="117"/>
      <c r="W50" s="129" t="e">
        <f>+(W12-U12)*-0.14+20</f>
        <v>#N/A</v>
      </c>
      <c r="X50" s="117"/>
      <c r="Y50" s="129" t="e">
        <f>+(Y12-W12)*-0.1</f>
        <v>#N/A</v>
      </c>
      <c r="Z50" s="117"/>
    </row>
    <row r="51" spans="2:26" s="19" customFormat="1">
      <c r="B51" s="15" t="s">
        <v>416</v>
      </c>
      <c r="C51" s="88">
        <f>SUM(C44:D50)</f>
        <v>237.827</v>
      </c>
      <c r="D51" s="88"/>
      <c r="E51" s="88">
        <f>SUM(E44:F50)</f>
        <v>331.76600000000008</v>
      </c>
      <c r="F51" s="88"/>
      <c r="G51" s="88">
        <f>SUM(G44:H50)</f>
        <v>162.47900000000004</v>
      </c>
      <c r="H51" s="88"/>
      <c r="I51" s="88">
        <f>SUM(I44:J50)</f>
        <v>423.197</v>
      </c>
      <c r="J51" s="88"/>
      <c r="K51" s="88">
        <f>SUM(K44:L50)</f>
        <v>388.71199999999999</v>
      </c>
      <c r="L51" s="88"/>
      <c r="M51" s="88">
        <f>SUM(M44:N50)</f>
        <v>336.27300000000002</v>
      </c>
      <c r="N51" s="88"/>
      <c r="O51" s="88">
        <f>SUM(O44:P50)</f>
        <v>421.404</v>
      </c>
      <c r="P51" s="88"/>
      <c r="Q51" s="88">
        <f>SUM(Q44:R50)</f>
        <v>261.18</v>
      </c>
      <c r="R51" s="88"/>
      <c r="S51" s="88">
        <f>SUM(S44:T50)</f>
        <v>387.66800000000006</v>
      </c>
      <c r="T51" s="88"/>
      <c r="U51" s="88">
        <f>SUM(U44:V50)</f>
        <v>294.77600000000007</v>
      </c>
      <c r="V51" s="88"/>
      <c r="W51" s="88" t="e">
        <f>SUM(W44:X50)</f>
        <v>#N/A</v>
      </c>
      <c r="X51" s="88"/>
      <c r="Y51" s="88" t="e">
        <f>SUM(Y44:Z50)</f>
        <v>#N/A</v>
      </c>
      <c r="Z51" s="88"/>
    </row>
    <row r="52" spans="2:26" ht="6" customHeight="1">
      <c r="B52" s="13"/>
      <c r="C52" s="119"/>
      <c r="D52" s="119"/>
      <c r="E52" s="119"/>
      <c r="F52" s="119"/>
      <c r="G52" s="119"/>
      <c r="H52" s="119"/>
      <c r="I52" s="23"/>
      <c r="J52" s="23"/>
      <c r="K52" s="119"/>
      <c r="L52" s="119"/>
      <c r="M52" s="23"/>
      <c r="N52" s="120"/>
      <c r="O52" s="120"/>
      <c r="P52" s="120"/>
      <c r="Q52" s="120"/>
      <c r="R52" s="120"/>
      <c r="S52" s="23"/>
      <c r="T52" s="23"/>
      <c r="U52" s="120"/>
      <c r="V52" s="120"/>
      <c r="W52" s="120"/>
      <c r="X52" s="120"/>
      <c r="Y52" s="120"/>
      <c r="Z52" s="120"/>
    </row>
    <row r="53" spans="2:26">
      <c r="B53" s="17" t="s">
        <v>417</v>
      </c>
      <c r="C53" s="118">
        <v>0</v>
      </c>
      <c r="D53" s="118"/>
      <c r="E53" s="118">
        <v>2.3570000000000002</v>
      </c>
      <c r="F53" s="118"/>
      <c r="G53" s="118">
        <v>0</v>
      </c>
      <c r="H53" s="118"/>
      <c r="I53" s="117">
        <v>0</v>
      </c>
      <c r="J53" s="117"/>
      <c r="K53" s="117">
        <v>0</v>
      </c>
      <c r="L53" s="139"/>
      <c r="M53" s="117">
        <v>0</v>
      </c>
      <c r="N53" s="139"/>
      <c r="O53" s="117">
        <v>0</v>
      </c>
      <c r="P53" s="139"/>
      <c r="Q53" s="117">
        <v>0</v>
      </c>
      <c r="R53" s="139"/>
      <c r="S53" s="117">
        <v>0</v>
      </c>
      <c r="T53" s="117"/>
      <c r="U53" s="117">
        <v>-10</v>
      </c>
      <c r="V53" s="139"/>
      <c r="W53" s="139">
        <v>0</v>
      </c>
      <c r="X53" s="139"/>
      <c r="Y53" s="139">
        <v>0</v>
      </c>
      <c r="Z53" s="139"/>
    </row>
    <row r="54" spans="2:26">
      <c r="B54" s="17" t="s">
        <v>418</v>
      </c>
      <c r="C54" s="121">
        <v>1.3480000000000001</v>
      </c>
      <c r="D54" s="121"/>
      <c r="E54" s="121">
        <f>0.594+152.965</f>
        <v>153.559</v>
      </c>
      <c r="F54" s="121"/>
      <c r="G54" s="121">
        <f>2.277+31.344</f>
        <v>33.621000000000002</v>
      </c>
      <c r="H54" s="121"/>
      <c r="I54" s="117">
        <f>3.674+1.027</f>
        <v>4.7009999999999996</v>
      </c>
      <c r="J54" s="117"/>
      <c r="K54" s="117">
        <f>6.769+6.973</f>
        <v>13.742000000000001</v>
      </c>
      <c r="L54" s="139"/>
      <c r="M54" s="117">
        <f>9.117+0.958</f>
        <v>10.075000000000001</v>
      </c>
      <c r="N54" s="139"/>
      <c r="O54" s="117">
        <v>15.093</v>
      </c>
      <c r="P54" s="139"/>
      <c r="Q54" s="117">
        <v>2.93</v>
      </c>
      <c r="R54" s="139"/>
      <c r="S54" s="117">
        <v>4.0449999999999999</v>
      </c>
      <c r="T54" s="117"/>
      <c r="U54" s="117">
        <v>9.8409999999999993</v>
      </c>
      <c r="V54" s="139"/>
      <c r="W54" s="139">
        <v>0</v>
      </c>
      <c r="X54" s="139"/>
      <c r="Y54" s="139">
        <v>0</v>
      </c>
      <c r="Z54" s="139"/>
    </row>
    <row r="55" spans="2:26">
      <c r="B55" s="17" t="s">
        <v>419</v>
      </c>
      <c r="C55" s="121">
        <f>500+983.109-1229.148-125.033</f>
        <v>128.928</v>
      </c>
      <c r="D55" s="121"/>
      <c r="E55" s="121">
        <f>364.557-414.77-0.08</f>
        <v>-50.292999999999964</v>
      </c>
      <c r="F55" s="121"/>
      <c r="G55" s="121">
        <f>70.324-70.134-8.4</f>
        <v>-8.2100000000000026</v>
      </c>
      <c r="H55" s="121"/>
      <c r="I55" s="117">
        <f>7.839-8.43</f>
        <v>-0.5909999999999993</v>
      </c>
      <c r="J55" s="117"/>
      <c r="K55" s="117">
        <f>7.658-8.176-150</f>
        <v>-150.518</v>
      </c>
      <c r="L55" s="139"/>
      <c r="M55" s="117">
        <f>372.98-372.887-50</f>
        <v>-49.906999999999982</v>
      </c>
      <c r="N55" s="139"/>
      <c r="O55" s="117">
        <f>37.692-37.934</f>
        <v>-0.24199999999999733</v>
      </c>
      <c r="P55" s="139"/>
      <c r="Q55" s="117">
        <f>570.675-570.675+300</f>
        <v>300</v>
      </c>
      <c r="R55" s="139"/>
      <c r="S55" s="117">
        <f>455.95-362.05-100</f>
        <v>-6.1000000000000227</v>
      </c>
      <c r="T55" s="117"/>
      <c r="U55" s="117">
        <f>1697.647-1791.547+300</f>
        <v>206.09999999999991</v>
      </c>
      <c r="V55" s="139"/>
      <c r="W55" s="139">
        <f>-202.5+150</f>
        <v>-52.5</v>
      </c>
      <c r="X55" s="139"/>
      <c r="Y55" s="139">
        <v>0</v>
      </c>
      <c r="Z55" s="139"/>
    </row>
    <row r="56" spans="2:26">
      <c r="B56" s="17" t="s">
        <v>420</v>
      </c>
      <c r="C56" s="116">
        <v>-1.002</v>
      </c>
      <c r="D56" s="116"/>
      <c r="E56" s="116">
        <v>-17.954000000000001</v>
      </c>
      <c r="F56" s="116"/>
      <c r="G56" s="116">
        <v>-19.103999999999999</v>
      </c>
      <c r="H56" s="116"/>
      <c r="I56" s="117">
        <v>-18.971</v>
      </c>
      <c r="J56" s="117"/>
      <c r="K56" s="117">
        <v>18.786000000000001</v>
      </c>
      <c r="L56" s="139"/>
      <c r="M56" s="117">
        <v>-16.172000000000001</v>
      </c>
      <c r="N56" s="139"/>
      <c r="O56" s="117">
        <v>1.748</v>
      </c>
      <c r="P56" s="139"/>
      <c r="Q56" s="117">
        <v>-3.516</v>
      </c>
      <c r="R56" s="139"/>
      <c r="S56" s="117">
        <v>-3.38</v>
      </c>
      <c r="T56" s="117"/>
      <c r="U56" s="117">
        <v>-12.367000000000001</v>
      </c>
      <c r="V56" s="139"/>
      <c r="W56" s="139">
        <v>2</v>
      </c>
      <c r="X56" s="139"/>
      <c r="Y56" s="139">
        <v>2</v>
      </c>
      <c r="Z56" s="139"/>
    </row>
    <row r="57" spans="2:26">
      <c r="B57" s="17" t="s">
        <v>421</v>
      </c>
      <c r="C57" s="117">
        <v>0</v>
      </c>
      <c r="D57" s="117"/>
      <c r="E57" s="117">
        <v>0</v>
      </c>
      <c r="F57" s="117"/>
      <c r="G57" s="117">
        <v>0</v>
      </c>
      <c r="H57" s="117"/>
      <c r="I57" s="117">
        <f>22.3+11.101</f>
        <v>33.401000000000003</v>
      </c>
      <c r="J57" s="117"/>
      <c r="K57" s="117">
        <v>14.179</v>
      </c>
      <c r="L57" s="139"/>
      <c r="M57" s="117">
        <f>11.94-1.547</f>
        <v>10.392999999999999</v>
      </c>
      <c r="N57" s="139"/>
      <c r="O57" s="117">
        <v>-0.17199999999999999</v>
      </c>
      <c r="P57" s="139"/>
      <c r="Q57" s="117">
        <v>-1.7000000000000001E-2</v>
      </c>
      <c r="R57" s="139"/>
      <c r="S57" s="117">
        <v>0</v>
      </c>
      <c r="T57" s="117"/>
      <c r="U57" s="117">
        <v>0</v>
      </c>
      <c r="V57" s="139"/>
      <c r="W57" s="139">
        <v>10</v>
      </c>
      <c r="X57" s="139"/>
      <c r="Y57" s="139">
        <v>10</v>
      </c>
      <c r="Z57" s="139"/>
    </row>
    <row r="58" spans="2:26" s="19" customFormat="1">
      <c r="B58" s="15" t="s">
        <v>422</v>
      </c>
      <c r="C58" s="88">
        <f>SUM(C51:D57)</f>
        <v>367.101</v>
      </c>
      <c r="D58" s="88"/>
      <c r="E58" s="88">
        <f>SUM(E51:F57)</f>
        <v>419.43500000000017</v>
      </c>
      <c r="F58" s="88"/>
      <c r="G58" s="88">
        <f>SUM(G51:H57)</f>
        <v>168.78600000000006</v>
      </c>
      <c r="H58" s="88"/>
      <c r="I58" s="88">
        <f>SUM(I51:J57)</f>
        <v>441.73700000000002</v>
      </c>
      <c r="J58" s="88"/>
      <c r="K58" s="88">
        <f>SUM(K51:L57)</f>
        <v>284.90099999999995</v>
      </c>
      <c r="L58" s="88"/>
      <c r="M58" s="88">
        <f>SUM(M51:N57)</f>
        <v>290.66199999999998</v>
      </c>
      <c r="N58" s="88"/>
      <c r="O58" s="88">
        <f>SUM(O51:P57)</f>
        <v>437.83099999999996</v>
      </c>
      <c r="P58" s="88"/>
      <c r="Q58" s="88">
        <f>SUM(Q51:R57)</f>
        <v>560.577</v>
      </c>
      <c r="R58" s="88"/>
      <c r="S58" s="88">
        <f>SUM(S51:T57)</f>
        <v>382.23300000000006</v>
      </c>
      <c r="T58" s="88"/>
      <c r="U58" s="88">
        <f>SUM(U51:V57)</f>
        <v>488.34999999999997</v>
      </c>
      <c r="V58" s="88"/>
      <c r="W58" s="88" t="e">
        <f>SUM(W51:X57)</f>
        <v>#N/A</v>
      </c>
      <c r="X58" s="88"/>
      <c r="Y58" s="88" t="e">
        <f>SUM(Y51:Z57)</f>
        <v>#N/A</v>
      </c>
      <c r="Z58" s="88"/>
    </row>
    <row r="59" spans="2:26" ht="6" customHeight="1">
      <c r="B59" s="13"/>
      <c r="C59" s="119"/>
      <c r="D59" s="119"/>
      <c r="E59" s="119"/>
      <c r="F59" s="119"/>
      <c r="G59" s="119"/>
      <c r="H59" s="119"/>
      <c r="I59" s="23"/>
      <c r="J59" s="23"/>
      <c r="K59" s="119"/>
      <c r="L59" s="119"/>
      <c r="M59" s="183"/>
      <c r="N59" s="120"/>
      <c r="O59" s="120"/>
      <c r="P59" s="120"/>
      <c r="Q59" s="120"/>
      <c r="R59" s="120"/>
      <c r="S59" s="23"/>
      <c r="T59" s="23"/>
      <c r="U59" s="120"/>
      <c r="V59" s="120"/>
      <c r="W59" s="120"/>
      <c r="X59" s="120"/>
      <c r="Y59" s="120"/>
      <c r="Z59" s="120"/>
    </row>
    <row r="60" spans="2:26" ht="13.5" customHeight="1">
      <c r="B60" s="15" t="s">
        <v>423</v>
      </c>
      <c r="C60" s="120"/>
      <c r="D60" s="120"/>
      <c r="E60" s="120"/>
      <c r="F60" s="120"/>
      <c r="G60" s="120"/>
      <c r="H60" s="120"/>
      <c r="I60" s="23"/>
      <c r="J60" s="23"/>
      <c r="K60" s="120"/>
      <c r="L60" s="120"/>
      <c r="M60" s="183"/>
      <c r="N60" s="120"/>
      <c r="O60" s="120"/>
      <c r="P60" s="120"/>
      <c r="Q60" s="23"/>
      <c r="R60" s="120"/>
      <c r="S60" s="23"/>
      <c r="T60" s="23"/>
      <c r="U60" s="23"/>
      <c r="V60" s="120"/>
      <c r="W60" s="23"/>
      <c r="X60" s="120"/>
      <c r="Y60" s="23"/>
      <c r="Z60" s="120"/>
    </row>
    <row r="61" spans="2:26">
      <c r="B61" s="17" t="s">
        <v>424</v>
      </c>
      <c r="C61" s="118">
        <v>72.242000000000004</v>
      </c>
      <c r="D61" s="118"/>
      <c r="E61" s="118">
        <v>67.114999999999995</v>
      </c>
      <c r="F61" s="118"/>
      <c r="G61" s="118">
        <v>35.512</v>
      </c>
      <c r="H61" s="118"/>
      <c r="I61" s="117">
        <v>46.776000000000003</v>
      </c>
      <c r="J61" s="117"/>
      <c r="K61" s="118">
        <v>52.704999999999998</v>
      </c>
      <c r="L61" s="118"/>
      <c r="M61" s="117">
        <v>53.417000000000002</v>
      </c>
      <c r="N61" s="118"/>
      <c r="O61" s="116">
        <f>69.752</f>
        <v>69.751999999999995</v>
      </c>
      <c r="P61" s="118"/>
      <c r="Q61" s="121">
        <v>47.499000000000002</v>
      </c>
      <c r="R61" s="190"/>
      <c r="S61" s="116">
        <v>41.107999999999997</v>
      </c>
      <c r="T61" s="217"/>
      <c r="U61" s="116">
        <v>38.216999999999999</v>
      </c>
      <c r="V61" s="190"/>
      <c r="W61" s="140">
        <v>55</v>
      </c>
      <c r="X61" s="118"/>
      <c r="Y61" s="140">
        <v>55</v>
      </c>
      <c r="Z61" s="190"/>
    </row>
    <row r="62" spans="2:26" ht="12.75" customHeight="1">
      <c r="B62" s="17" t="s">
        <v>425</v>
      </c>
      <c r="C62" s="116"/>
      <c r="D62" s="116"/>
      <c r="E62" s="116"/>
      <c r="F62" s="116"/>
      <c r="G62" s="116"/>
      <c r="H62" s="116"/>
      <c r="I62" s="116">
        <v>0</v>
      </c>
      <c r="J62" s="116"/>
      <c r="K62" s="116">
        <v>0</v>
      </c>
      <c r="L62" s="116"/>
      <c r="M62" s="116">
        <v>0</v>
      </c>
      <c r="N62" s="116"/>
      <c r="O62" s="116">
        <v>0</v>
      </c>
      <c r="P62" s="116"/>
      <c r="Q62" s="116">
        <v>0</v>
      </c>
      <c r="R62" s="116"/>
      <c r="S62" s="116">
        <v>0</v>
      </c>
      <c r="T62" s="116"/>
      <c r="U62" s="116">
        <v>0</v>
      </c>
      <c r="V62" s="116"/>
      <c r="W62" s="116">
        <v>0</v>
      </c>
      <c r="X62" s="116"/>
      <c r="Y62" s="116">
        <v>0</v>
      </c>
      <c r="Z62" s="116"/>
    </row>
    <row r="63" spans="2:26">
      <c r="B63" s="17" t="s">
        <v>426</v>
      </c>
      <c r="C63" s="116">
        <v>18.376999999999999</v>
      </c>
      <c r="D63" s="116"/>
      <c r="E63" s="116">
        <v>25.013000000000002</v>
      </c>
      <c r="F63" s="116"/>
      <c r="G63" s="116">
        <v>24.122</v>
      </c>
      <c r="H63" s="116"/>
      <c r="I63" s="116">
        <v>23.067</v>
      </c>
      <c r="J63" s="116"/>
      <c r="K63" s="116">
        <v>24.74</v>
      </c>
      <c r="L63" s="140"/>
      <c r="M63" s="116">
        <v>26.327999999999999</v>
      </c>
      <c r="N63" s="116"/>
      <c r="O63" s="116">
        <v>28.2</v>
      </c>
      <c r="P63" s="116"/>
      <c r="Q63" s="116">
        <v>28.175000000000001</v>
      </c>
      <c r="R63" s="116"/>
      <c r="S63" s="116">
        <v>28.66</v>
      </c>
      <c r="T63" s="116"/>
      <c r="U63" s="116">
        <v>28.779</v>
      </c>
      <c r="V63" s="116"/>
      <c r="W63" s="140">
        <f>+U63*1.1</f>
        <v>31.656900000000004</v>
      </c>
      <c r="X63" s="116"/>
      <c r="Y63" s="140">
        <f>+W63*1.1</f>
        <v>34.822590000000005</v>
      </c>
      <c r="Z63" s="116"/>
    </row>
    <row r="64" spans="2:26">
      <c r="B64" s="17" t="s">
        <v>427</v>
      </c>
      <c r="C64" s="116">
        <f>236.135+6.663</f>
        <v>242.798</v>
      </c>
      <c r="D64" s="116"/>
      <c r="E64" s="116">
        <f>34.364+0.989</f>
        <v>35.352999999999994</v>
      </c>
      <c r="F64" s="116"/>
      <c r="G64" s="116">
        <f>13.228+0.457</f>
        <v>13.685</v>
      </c>
      <c r="H64" s="116"/>
      <c r="I64" s="116">
        <f>0.295+0.564</f>
        <v>0.85899999999999999</v>
      </c>
      <c r="J64" s="116"/>
      <c r="K64" s="116">
        <f>232.63+0.735</f>
        <v>233.36500000000001</v>
      </c>
      <c r="L64" s="116"/>
      <c r="M64" s="116">
        <f>210.167+0.46</f>
        <v>210.62700000000001</v>
      </c>
      <c r="N64" s="140"/>
      <c r="O64" s="116">
        <v>185.209</v>
      </c>
      <c r="P64" s="140"/>
      <c r="Q64" s="116">
        <v>487.94400000000002</v>
      </c>
      <c r="R64" s="140"/>
      <c r="S64" s="116">
        <v>5.34</v>
      </c>
      <c r="T64" s="116"/>
      <c r="U64" s="116">
        <f>282.429+5.062</f>
        <v>287.49099999999999</v>
      </c>
      <c r="V64" s="140"/>
      <c r="W64" s="140">
        <v>0</v>
      </c>
      <c r="X64" s="140"/>
      <c r="Y64" s="140">
        <v>0</v>
      </c>
      <c r="Z64" s="140"/>
    </row>
    <row r="65" spans="2:26">
      <c r="B65" s="17" t="s">
        <v>428</v>
      </c>
      <c r="C65" s="117">
        <v>0</v>
      </c>
      <c r="D65" s="117"/>
      <c r="E65" s="117">
        <v>65.22</v>
      </c>
      <c r="F65" s="117"/>
      <c r="G65" s="117">
        <v>294.13</v>
      </c>
      <c r="H65" s="117"/>
      <c r="I65" s="117">
        <v>105.249</v>
      </c>
      <c r="J65" s="117"/>
      <c r="K65" s="117">
        <v>52.127000000000002</v>
      </c>
      <c r="L65" s="139"/>
      <c r="M65" s="117">
        <v>198.59200000000001</v>
      </c>
      <c r="N65" s="139"/>
      <c r="O65" s="117">
        <v>50.661000000000001</v>
      </c>
      <c r="P65" s="139"/>
      <c r="Q65" s="117">
        <v>200.018</v>
      </c>
      <c r="R65" s="139"/>
      <c r="S65" s="117">
        <f>343.129-9.705</f>
        <v>333.42400000000004</v>
      </c>
      <c r="T65" s="117"/>
      <c r="U65" s="117">
        <f>56.87-9.997</f>
        <v>46.872999999999998</v>
      </c>
      <c r="V65" s="139"/>
      <c r="W65" s="139">
        <v>150</v>
      </c>
      <c r="X65" s="139"/>
      <c r="Y65" s="139">
        <v>100</v>
      </c>
      <c r="Z65" s="139"/>
    </row>
    <row r="66" spans="2:26">
      <c r="B66" s="17" t="s">
        <v>414</v>
      </c>
      <c r="C66" s="116">
        <v>-27.45</v>
      </c>
      <c r="D66" s="116"/>
      <c r="E66" s="116">
        <v>-38.182000000000002</v>
      </c>
      <c r="F66" s="116"/>
      <c r="G66" s="116">
        <v>-28.706</v>
      </c>
      <c r="H66" s="116"/>
      <c r="I66" s="116">
        <v>0.63500000000000001</v>
      </c>
      <c r="J66" s="116"/>
      <c r="K66" s="116">
        <v>0.69199999999999995</v>
      </c>
      <c r="L66" s="140"/>
      <c r="M66" s="116">
        <v>0.752</v>
      </c>
      <c r="N66" s="140"/>
      <c r="O66" s="116">
        <f>-11.77</f>
        <v>-11.77</v>
      </c>
      <c r="P66" s="140"/>
      <c r="Q66" s="116">
        <v>-11.148</v>
      </c>
      <c r="R66" s="140"/>
      <c r="S66" s="116">
        <v>0</v>
      </c>
      <c r="T66" s="116"/>
      <c r="U66" s="116">
        <v>0</v>
      </c>
      <c r="V66" s="140"/>
      <c r="W66" s="140">
        <v>0</v>
      </c>
      <c r="X66" s="140"/>
      <c r="Y66" s="140">
        <v>0</v>
      </c>
      <c r="Z66" s="140"/>
    </row>
    <row r="67" spans="2:26">
      <c r="B67" s="17" t="s">
        <v>429</v>
      </c>
      <c r="C67" s="117">
        <v>-2.137</v>
      </c>
      <c r="D67" s="117"/>
      <c r="E67" s="117">
        <f>-0.296-9.61</f>
        <v>-9.9059999999999988</v>
      </c>
      <c r="F67" s="117"/>
      <c r="G67" s="117">
        <f>0.581-9.119</f>
        <v>-8.5380000000000003</v>
      </c>
      <c r="H67" s="117"/>
      <c r="I67" s="117">
        <v>0</v>
      </c>
      <c r="J67" s="117"/>
      <c r="K67" s="117">
        <v>0</v>
      </c>
      <c r="L67" s="139"/>
      <c r="M67" s="117">
        <v>0</v>
      </c>
      <c r="N67" s="139"/>
      <c r="O67" s="117">
        <v>0.81200000000000006</v>
      </c>
      <c r="P67" s="139"/>
      <c r="Q67" s="117">
        <v>0.874</v>
      </c>
      <c r="R67" s="139"/>
      <c r="S67" s="117">
        <v>0.94499999999999995</v>
      </c>
      <c r="T67" s="117"/>
      <c r="U67" s="117">
        <v>1.02</v>
      </c>
      <c r="V67" s="139"/>
      <c r="W67" s="139">
        <v>0</v>
      </c>
      <c r="X67" s="139"/>
      <c r="Y67" s="139">
        <v>0</v>
      </c>
      <c r="Z67" s="139"/>
    </row>
    <row r="68" spans="2:26" s="19" customFormat="1">
      <c r="B68" s="15" t="s">
        <v>430</v>
      </c>
      <c r="C68" s="88">
        <f>SUM(C61:D67)</f>
        <v>303.83000000000004</v>
      </c>
      <c r="D68" s="88"/>
      <c r="E68" s="88">
        <f>SUM(E61:F67)</f>
        <v>144.613</v>
      </c>
      <c r="F68" s="88"/>
      <c r="G68" s="88">
        <f>SUM(G61:H67)</f>
        <v>330.20499999999998</v>
      </c>
      <c r="H68" s="88"/>
      <c r="I68" s="88">
        <f>SUM(I61:J67)</f>
        <v>176.58599999999998</v>
      </c>
      <c r="J68" s="88"/>
      <c r="K68" s="88">
        <f>SUM(K61:L67)</f>
        <v>363.62900000000002</v>
      </c>
      <c r="L68" s="88"/>
      <c r="M68" s="88">
        <f>SUM(M61:N67)</f>
        <v>489.71600000000007</v>
      </c>
      <c r="N68" s="88"/>
      <c r="O68" s="88">
        <f>SUM(O61:P67)</f>
        <v>322.86400000000003</v>
      </c>
      <c r="P68" s="88"/>
      <c r="Q68" s="88">
        <f>SUM(Q61:R67)</f>
        <v>753.36200000000008</v>
      </c>
      <c r="R68" s="88"/>
      <c r="S68" s="88">
        <f>SUM(S61:T67)</f>
        <v>409.47700000000003</v>
      </c>
      <c r="T68" s="88"/>
      <c r="U68" s="88">
        <f>SUM(U61:V67)</f>
        <v>402.37999999999994</v>
      </c>
      <c r="V68" s="88"/>
      <c r="W68" s="88">
        <f>SUM(W61:X67)</f>
        <v>236.65690000000001</v>
      </c>
      <c r="X68" s="88"/>
      <c r="Y68" s="88">
        <f>SUM(Y61:Z67)</f>
        <v>189.82258999999999</v>
      </c>
      <c r="Z68" s="88"/>
    </row>
    <row r="69" spans="2:26" ht="6" customHeight="1">
      <c r="B69" s="15"/>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2:26" s="19" customFormat="1">
      <c r="B70" s="15" t="s">
        <v>431</v>
      </c>
      <c r="C70" s="156">
        <f>C58-C68</f>
        <v>63.270999999999958</v>
      </c>
      <c r="D70" s="88"/>
      <c r="E70" s="88">
        <f>E58-E68</f>
        <v>274.82200000000017</v>
      </c>
      <c r="F70" s="88"/>
      <c r="G70" s="88">
        <f>G58-G68</f>
        <v>-161.41899999999993</v>
      </c>
      <c r="H70" s="88"/>
      <c r="I70" s="88">
        <f>I58-I68</f>
        <v>265.15100000000007</v>
      </c>
      <c r="J70" s="88"/>
      <c r="K70" s="88">
        <f>K58-K68</f>
        <v>-78.728000000000065</v>
      </c>
      <c r="L70" s="88"/>
      <c r="M70" s="88">
        <f>M58-M68</f>
        <v>-199.05400000000009</v>
      </c>
      <c r="N70" s="88"/>
      <c r="O70" s="88">
        <f>O58-O68</f>
        <v>114.96699999999993</v>
      </c>
      <c r="P70" s="88"/>
      <c r="Q70" s="88">
        <f>Q58-Q68</f>
        <v>-192.78500000000008</v>
      </c>
      <c r="R70" s="88"/>
      <c r="S70" s="88">
        <f>S58-S68</f>
        <v>-27.243999999999971</v>
      </c>
      <c r="T70" s="88"/>
      <c r="U70" s="88">
        <f>U58-U68</f>
        <v>85.970000000000027</v>
      </c>
      <c r="V70" s="88"/>
      <c r="W70" s="88" t="e">
        <f>W58-W68</f>
        <v>#N/A</v>
      </c>
      <c r="X70" s="88"/>
      <c r="Y70" s="88" t="e">
        <f>Y58-Y68</f>
        <v>#N/A</v>
      </c>
      <c r="Z70" s="88"/>
    </row>
    <row r="71" spans="2:26" ht="6" customHeight="1">
      <c r="B71" s="14"/>
      <c r="C71" s="24"/>
      <c r="D71" s="24"/>
      <c r="E71" s="24"/>
      <c r="F71" s="24"/>
      <c r="G71" s="24"/>
      <c r="H71" s="24"/>
      <c r="I71" s="24"/>
      <c r="J71" s="24"/>
      <c r="K71" s="24"/>
      <c r="L71" s="24"/>
      <c r="M71" s="24"/>
      <c r="N71" s="24"/>
      <c r="O71" s="24"/>
      <c r="P71" s="24"/>
      <c r="Q71" s="24"/>
      <c r="R71" s="24"/>
      <c r="S71" s="24"/>
      <c r="T71" s="24"/>
      <c r="U71" s="24"/>
      <c r="V71" s="24"/>
      <c r="W71" s="24"/>
      <c r="X71" s="24"/>
      <c r="Y71" s="24"/>
      <c r="Z71" s="24"/>
    </row>
    <row r="72" spans="2:26" ht="6.75" hidden="1" customHeight="1">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2:26" ht="6.75" hidden="1" customHeight="1">
      <c r="B73" s="13"/>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2:26">
      <c r="B74" s="94" t="s">
        <v>432</v>
      </c>
      <c r="C74" s="95" t="str">
        <f>C41</f>
        <v>FY13</v>
      </c>
      <c r="D74" s="95"/>
      <c r="E74" s="95" t="str">
        <f>E41</f>
        <v>FY14</v>
      </c>
      <c r="F74" s="95"/>
      <c r="G74" s="95" t="str">
        <f>G41</f>
        <v>FY15</v>
      </c>
      <c r="H74" s="95"/>
      <c r="I74" s="95" t="str">
        <f>I41</f>
        <v>FY16</v>
      </c>
      <c r="J74" s="95"/>
      <c r="K74" s="95" t="str">
        <f>K41</f>
        <v>FY17</v>
      </c>
      <c r="L74" s="95"/>
      <c r="M74" s="95" t="str">
        <f>M41</f>
        <v>FY18</v>
      </c>
      <c r="N74" s="95"/>
      <c r="O74" s="95" t="str">
        <f>O41</f>
        <v>FY19</v>
      </c>
      <c r="P74" s="95"/>
      <c r="Q74" s="95" t="str">
        <f>Q41</f>
        <v>FY20</v>
      </c>
      <c r="R74" s="95"/>
      <c r="S74" s="95" t="str">
        <f>S41</f>
        <v>FY21</v>
      </c>
      <c r="T74" s="95"/>
      <c r="U74" s="95" t="str">
        <f>U41</f>
        <v>FY22</v>
      </c>
      <c r="V74" s="95"/>
      <c r="W74" s="95" t="str">
        <f>W41</f>
        <v>FY23E</v>
      </c>
      <c r="X74" s="95"/>
      <c r="Y74" s="95" t="str">
        <f>Y41</f>
        <v>FY24E</v>
      </c>
      <c r="Z74" s="95"/>
    </row>
    <row r="75" spans="2:26" ht="6" customHeight="1">
      <c r="B75" s="13"/>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2:26">
      <c r="B76" s="17" t="s">
        <v>433</v>
      </c>
      <c r="C76" s="116">
        <v>1.3340000000000001</v>
      </c>
      <c r="D76" s="116"/>
      <c r="E76" s="116">
        <v>1.069</v>
      </c>
      <c r="F76" s="116"/>
      <c r="G76" s="116">
        <v>1.2589999999999999</v>
      </c>
      <c r="H76" s="116"/>
      <c r="I76" s="116">
        <v>150.66800000000001</v>
      </c>
      <c r="J76" s="116"/>
      <c r="K76" s="116">
        <v>0.15</v>
      </c>
      <c r="L76" s="140"/>
      <c r="M76" s="116">
        <v>0.24299999999999999</v>
      </c>
      <c r="N76" s="116"/>
      <c r="O76" s="116">
        <v>0</v>
      </c>
      <c r="P76" s="116"/>
      <c r="Q76" s="116">
        <v>100</v>
      </c>
      <c r="R76" s="116"/>
      <c r="S76" s="116">
        <v>0</v>
      </c>
      <c r="T76" s="116"/>
      <c r="U76" s="116">
        <v>202.5</v>
      </c>
      <c r="V76" s="116"/>
      <c r="W76" s="140">
        <v>0</v>
      </c>
      <c r="X76" s="116"/>
      <c r="Y76" s="140">
        <v>0</v>
      </c>
      <c r="Z76" s="116"/>
    </row>
    <row r="77" spans="2:26">
      <c r="B77" s="17" t="s">
        <v>434</v>
      </c>
      <c r="C77" s="117">
        <v>958.60400000000004</v>
      </c>
      <c r="D77" s="117"/>
      <c r="E77" s="117">
        <v>953.279</v>
      </c>
      <c r="F77" s="117"/>
      <c r="G77" s="117">
        <v>953.08299999999997</v>
      </c>
      <c r="H77" s="117"/>
      <c r="I77" s="117">
        <v>815.63</v>
      </c>
      <c r="J77" s="117"/>
      <c r="K77" s="117">
        <v>813.98900000000003</v>
      </c>
      <c r="L77" s="117"/>
      <c r="M77" s="117">
        <v>762.31299999999999</v>
      </c>
      <c r="N77" s="117"/>
      <c r="O77" s="117">
        <v>760.63900000000001</v>
      </c>
      <c r="P77" s="117"/>
      <c r="Q77" s="117">
        <v>958.29200000000003</v>
      </c>
      <c r="R77" s="117"/>
      <c r="S77" s="117">
        <v>1050.6099999999999</v>
      </c>
      <c r="T77" s="117"/>
      <c r="U77" s="117">
        <v>1051.9000000000001</v>
      </c>
      <c r="V77" s="117"/>
      <c r="W77" s="117">
        <f>+S77+W55</f>
        <v>998.1099999999999</v>
      </c>
      <c r="X77" s="117"/>
      <c r="Y77" s="117">
        <f>+U77+Y55</f>
        <v>1051.9000000000001</v>
      </c>
      <c r="Z77" s="117"/>
    </row>
    <row r="78" spans="2:26">
      <c r="B78" s="17" t="s">
        <v>435</v>
      </c>
      <c r="C78" s="116">
        <v>1552.7049999999999</v>
      </c>
      <c r="D78" s="116"/>
      <c r="E78" s="116">
        <v>1478.433</v>
      </c>
      <c r="F78" s="116"/>
      <c r="G78" s="116">
        <v>1225.423</v>
      </c>
      <c r="H78" s="116"/>
      <c r="I78" s="116">
        <v>1291.191</v>
      </c>
      <c r="J78" s="116"/>
      <c r="K78" s="116">
        <v>1527.8</v>
      </c>
      <c r="L78" s="116"/>
      <c r="M78" s="116">
        <v>1530.7809999999999</v>
      </c>
      <c r="N78" s="116"/>
      <c r="O78" s="116">
        <v>1774.3720000000001</v>
      </c>
      <c r="P78" s="116"/>
      <c r="Q78" s="116">
        <v>1787.5740000000001</v>
      </c>
      <c r="R78" s="116"/>
      <c r="S78" s="116">
        <v>1826.49</v>
      </c>
      <c r="T78" s="116"/>
      <c r="U78" s="116">
        <v>1992.1189999999999</v>
      </c>
      <c r="V78" s="116"/>
      <c r="W78" s="116" t="e">
        <f>S78+W44-W63-W65</f>
        <v>#N/A</v>
      </c>
      <c r="X78" s="116"/>
      <c r="Y78" s="116" t="e">
        <f>U78+Y44-Y63-Y65</f>
        <v>#N/A</v>
      </c>
      <c r="Z78" s="116"/>
    </row>
    <row r="79" spans="2:26">
      <c r="B79" s="15" t="s">
        <v>436</v>
      </c>
      <c r="C79" s="88">
        <f>C76+C77+C78</f>
        <v>2512.643</v>
      </c>
      <c r="D79" s="88"/>
      <c r="E79" s="88">
        <f>E76+E77+E78</f>
        <v>2432.7809999999999</v>
      </c>
      <c r="F79" s="88"/>
      <c r="G79" s="88">
        <f>G76+G77+G78</f>
        <v>2179.7649999999999</v>
      </c>
      <c r="H79" s="88"/>
      <c r="I79" s="88">
        <f>I76+I77+I78</f>
        <v>2257.489</v>
      </c>
      <c r="J79" s="88"/>
      <c r="K79" s="88">
        <f>K76+K77+K78</f>
        <v>2341.9389999999999</v>
      </c>
      <c r="L79" s="88"/>
      <c r="M79" s="88">
        <f>M76+M77+M78</f>
        <v>2293.337</v>
      </c>
      <c r="N79" s="88"/>
      <c r="O79" s="88">
        <f>O76+O77+O78</f>
        <v>2535.011</v>
      </c>
      <c r="P79" s="88"/>
      <c r="Q79" s="88">
        <f>Q76+Q77+Q78</f>
        <v>2845.866</v>
      </c>
      <c r="R79" s="88"/>
      <c r="S79" s="88">
        <f>S76+S77+S78</f>
        <v>2877.1</v>
      </c>
      <c r="T79" s="88"/>
      <c r="U79" s="88">
        <f>U76+U77+U78</f>
        <v>3246.5190000000002</v>
      </c>
      <c r="V79" s="88"/>
      <c r="W79" s="88" t="e">
        <f>W76+W77+W78</f>
        <v>#N/A</v>
      </c>
      <c r="X79" s="88"/>
      <c r="Y79" s="88" t="e">
        <f>Y76+Y77+Y78</f>
        <v>#N/A</v>
      </c>
      <c r="Z79" s="88"/>
    </row>
    <row r="80" spans="2:26" ht="6" customHeight="1">
      <c r="B80" s="24"/>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2:26" s="19" customFormat="1">
      <c r="B81" s="15" t="s">
        <v>437</v>
      </c>
      <c r="C81" s="88">
        <v>175.29400000000001</v>
      </c>
      <c r="D81" s="88"/>
      <c r="E81" s="88">
        <v>450.11599999999999</v>
      </c>
      <c r="F81" s="88"/>
      <c r="G81" s="88">
        <v>288.697</v>
      </c>
      <c r="H81" s="88"/>
      <c r="I81" s="88">
        <v>553.84799999999996</v>
      </c>
      <c r="J81" s="88"/>
      <c r="K81" s="88">
        <v>475.12</v>
      </c>
      <c r="L81" s="88"/>
      <c r="M81" s="88">
        <f>K81+M70</f>
        <v>276.06599999999992</v>
      </c>
      <c r="N81" s="88"/>
      <c r="O81" s="88">
        <f>M81+O70</f>
        <v>391.03299999999984</v>
      </c>
      <c r="P81" s="88"/>
      <c r="Q81" s="88">
        <v>198.24799999999999</v>
      </c>
      <c r="R81" s="88"/>
      <c r="S81" s="88">
        <v>171.00399999999999</v>
      </c>
      <c r="T81" s="88"/>
      <c r="U81" s="88">
        <v>256.97399999999999</v>
      </c>
      <c r="V81" s="88"/>
      <c r="W81" s="88" t="e">
        <f>S81+W70</f>
        <v>#N/A</v>
      </c>
      <c r="X81" s="88"/>
      <c r="Y81" s="88" t="e">
        <f>U81+Y70</f>
        <v>#N/A</v>
      </c>
      <c r="Z81" s="88"/>
    </row>
    <row r="82" spans="2:26" s="19" customFormat="1">
      <c r="B82" s="24" t="s">
        <v>438</v>
      </c>
      <c r="C82" s="102">
        <f>(C63+C65)/C44</f>
        <v>0.13318500373239794</v>
      </c>
      <c r="D82" s="87"/>
      <c r="E82" s="102">
        <f>(E63+E65)/E44</f>
        <v>0.79614074714570582</v>
      </c>
      <c r="F82" s="87"/>
      <c r="G82" s="102">
        <f>(G63+G65)/G44</f>
        <v>2.1878854125848166</v>
      </c>
      <c r="H82" s="87"/>
      <c r="I82" s="102">
        <f>(I63+I65)/I44</f>
        <v>0.68497669874925926</v>
      </c>
      <c r="J82" s="87"/>
      <c r="K82" s="102">
        <f>(K63+K65)/K44</f>
        <v>0.35770227696832352</v>
      </c>
      <c r="L82" s="87"/>
      <c r="M82" s="102">
        <f>(M63+M65)/M44</f>
        <v>0.81566932246354473</v>
      </c>
      <c r="N82" s="87"/>
      <c r="O82" s="102">
        <f>(O63+O65)/O44</f>
        <v>0.25638933231030325</v>
      </c>
      <c r="P82" s="87"/>
      <c r="Q82" s="102">
        <f>(Q63+Q65)/Q44</f>
        <v>1.1330787717486297</v>
      </c>
      <c r="R82" s="87"/>
      <c r="S82" s="102">
        <f>(S63+S65)/S44</f>
        <v>1.3553127538282448</v>
      </c>
      <c r="T82" s="87"/>
      <c r="U82" s="102">
        <f>(U63+U65)/U44</f>
        <v>0.25701550545612678</v>
      </c>
      <c r="V82" s="87"/>
      <c r="W82" s="102" t="e">
        <f>(W63+W65)/W44</f>
        <v>#N/A</v>
      </c>
      <c r="X82" s="87"/>
      <c r="Y82" s="102" t="e">
        <f>(Y63+Y65)/Y44</f>
        <v>#N/A</v>
      </c>
      <c r="Z82" s="87"/>
    </row>
    <row r="83" spans="2:26" s="19" customFormat="1">
      <c r="B83" s="25" t="s">
        <v>439</v>
      </c>
      <c r="C83" s="103" t="s">
        <v>226</v>
      </c>
      <c r="D83" s="88"/>
      <c r="E83" s="103" t="s">
        <v>226</v>
      </c>
      <c r="F83" s="88"/>
      <c r="G83" s="103">
        <f>(G82+E82+C82)/3</f>
        <v>1.0390703878209735</v>
      </c>
      <c r="H83" s="88"/>
      <c r="I83" s="103">
        <f>(I82+G82+E82)/3</f>
        <v>1.2230009528265937</v>
      </c>
      <c r="J83" s="88"/>
      <c r="K83" s="103">
        <f>(K82+I82+G82)/3</f>
        <v>1.0768547961007997</v>
      </c>
      <c r="L83" s="88"/>
      <c r="M83" s="103">
        <f>(M82+K82+I82)/3</f>
        <v>0.61944943272704256</v>
      </c>
      <c r="N83" s="88"/>
      <c r="O83" s="103">
        <f>(O82+M82+K82)/3</f>
        <v>0.47658697724739052</v>
      </c>
      <c r="P83" s="88"/>
      <c r="Q83" s="103">
        <f>(Q82+O82+M82)/3</f>
        <v>0.73504580884082582</v>
      </c>
      <c r="R83" s="88"/>
      <c r="S83" s="103">
        <f>(S82+Q82+O82)/3</f>
        <v>0.91492695262905921</v>
      </c>
      <c r="T83" s="88"/>
      <c r="U83" s="103">
        <f>(U82+S82+Q82)/3</f>
        <v>0.9151356770110004</v>
      </c>
      <c r="V83" s="88"/>
      <c r="W83" s="103" t="e">
        <f>(W82+S82+Q82)/3</f>
        <v>#N/A</v>
      </c>
      <c r="X83" s="88"/>
      <c r="Y83" s="103" t="e">
        <f>(Y82+U82+S82)/3</f>
        <v>#N/A</v>
      </c>
      <c r="Z83" s="88"/>
    </row>
    <row r="84" spans="2:26" s="19" customFormat="1" ht="12.75" hidden="1" customHeight="1">
      <c r="B84" s="24" t="s">
        <v>440</v>
      </c>
      <c r="C84" s="86" t="e">
        <f>#REF!/#REF!</f>
        <v>#REF!</v>
      </c>
      <c r="D84" s="86"/>
      <c r="E84" s="86" t="e">
        <f>#REF!/#REF!</f>
        <v>#REF!</v>
      </c>
      <c r="F84" s="86"/>
      <c r="G84" s="86" t="e">
        <f>#REF!/#REF!</f>
        <v>#REF!</v>
      </c>
      <c r="H84" s="86"/>
      <c r="I84" s="86" t="e">
        <f>#REF!/#REF!</f>
        <v>#REF!</v>
      </c>
      <c r="J84" s="86"/>
      <c r="K84" s="86" t="e">
        <f>#REF!/#REF!</f>
        <v>#REF!</v>
      </c>
      <c r="L84" s="86"/>
      <c r="M84" s="86" t="e">
        <f>#REF!/#REF!</f>
        <v>#REF!</v>
      </c>
      <c r="N84" s="86"/>
      <c r="O84" s="86" t="e">
        <f>#REF!/#REF!</f>
        <v>#REF!</v>
      </c>
      <c r="P84" s="86"/>
      <c r="Q84" s="86" t="e">
        <f>#REF!/#REF!</f>
        <v>#REF!</v>
      </c>
      <c r="R84" s="86"/>
      <c r="S84" s="86" t="e">
        <f>#REF!/#REF!</f>
        <v>#REF!</v>
      </c>
      <c r="T84" s="86"/>
      <c r="U84" s="86" t="e">
        <f>#REF!/#REF!</f>
        <v>#REF!</v>
      </c>
      <c r="V84" s="86"/>
      <c r="W84" s="86" t="e">
        <f>#REF!/#REF!</f>
        <v>#REF!</v>
      </c>
      <c r="X84" s="86"/>
      <c r="Y84" s="86" t="e">
        <f>#REF!/#REF!</f>
        <v>#REF!</v>
      </c>
      <c r="Z84" s="86"/>
    </row>
    <row r="85" spans="2:26" s="19" customFormat="1" ht="12.75" hidden="1" customHeight="1">
      <c r="B85" s="25" t="s">
        <v>441</v>
      </c>
      <c r="C85" s="86" t="e">
        <f>AVERAGE(C84:D84)</f>
        <v>#REF!</v>
      </c>
      <c r="D85" s="86"/>
      <c r="E85" s="86" t="e">
        <f>AVERAGE(C84:F84)</f>
        <v>#REF!</v>
      </c>
      <c r="F85" s="86"/>
      <c r="G85" s="86" t="e">
        <f>AVERAGE(E84:H84)</f>
        <v>#REF!</v>
      </c>
      <c r="H85" s="86"/>
      <c r="I85" s="86" t="e">
        <f>AVERAGE(G84:J84)</f>
        <v>#REF!</v>
      </c>
      <c r="J85" s="86"/>
      <c r="K85" s="86" t="e">
        <f>AVERAGE(I84:L84)</f>
        <v>#REF!</v>
      </c>
      <c r="L85" s="86"/>
      <c r="M85" s="86" t="e">
        <f>AVERAGE(K84:N84)</f>
        <v>#REF!</v>
      </c>
      <c r="N85" s="86"/>
      <c r="O85" s="86" t="e">
        <f>AVERAGE(M84:P84)</f>
        <v>#REF!</v>
      </c>
      <c r="P85" s="86"/>
      <c r="Q85" s="86" t="e">
        <f>AVERAGE(O84:R84)</f>
        <v>#REF!</v>
      </c>
      <c r="R85" s="86"/>
      <c r="S85" s="86" t="e">
        <f>AVERAGE(Q84:T84)</f>
        <v>#REF!</v>
      </c>
      <c r="T85" s="86"/>
      <c r="U85" s="86" t="e">
        <f>AVERAGE(S84:V84)</f>
        <v>#REF!</v>
      </c>
      <c r="V85" s="86"/>
      <c r="W85" s="86" t="e">
        <f>AVERAGE(S84:X84)</f>
        <v>#REF!</v>
      </c>
      <c r="X85" s="86"/>
      <c r="Y85" s="86" t="e">
        <f>AVERAGE(U84:Z84)</f>
        <v>#REF!</v>
      </c>
      <c r="Z85" s="86"/>
    </row>
    <row r="86" spans="2:26" s="19" customFormat="1" ht="6" customHeight="1">
      <c r="B86" s="1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2:26" s="19" customFormat="1">
      <c r="B87" s="17" t="s">
        <v>442</v>
      </c>
      <c r="C87" s="102">
        <f>(C77+C76)/(C79)</f>
        <v>0.38204313147550206</v>
      </c>
      <c r="D87" s="87"/>
      <c r="E87" s="102">
        <f>(E77+E76)/(E79)</f>
        <v>0.39228685196078067</v>
      </c>
      <c r="F87" s="87"/>
      <c r="G87" s="102">
        <f>(G77+G76)/(G79)</f>
        <v>0.43781875569155393</v>
      </c>
      <c r="H87" s="87"/>
      <c r="I87" s="102">
        <f>(I77+I76)/(I79)</f>
        <v>0.42804106686677101</v>
      </c>
      <c r="J87" s="87"/>
      <c r="K87" s="102">
        <f>(K77+K76)/(K79)</f>
        <v>0.34763458826211957</v>
      </c>
      <c r="L87" s="87"/>
      <c r="M87" s="102">
        <f>(M77+M76)/(M79)</f>
        <v>0.33250935209260568</v>
      </c>
      <c r="N87" s="87"/>
      <c r="O87" s="102">
        <f>(O77+O76)/(O79)</f>
        <v>0.30005353033971055</v>
      </c>
      <c r="P87" s="87"/>
      <c r="Q87" s="102">
        <f>(Q77+Q76)/(Q79)</f>
        <v>0.37186993344029545</v>
      </c>
      <c r="R87" s="87"/>
      <c r="S87" s="102">
        <f>(S77+S76)/(S79)</f>
        <v>0.36516283757950713</v>
      </c>
      <c r="T87" s="87"/>
      <c r="U87" s="102">
        <f>(U77+U76)/(U79)</f>
        <v>0.38638307676622252</v>
      </c>
      <c r="V87" s="87"/>
      <c r="W87" s="102" t="e">
        <f>(W77+W76)/(W79)</f>
        <v>#N/A</v>
      </c>
      <c r="X87" s="87"/>
      <c r="Y87" s="102" t="e">
        <f>(Y77+Y76)/(Y79)</f>
        <v>#N/A</v>
      </c>
      <c r="Z87" s="87"/>
    </row>
    <row r="88" spans="2:26">
      <c r="B88" s="24" t="s">
        <v>443</v>
      </c>
      <c r="C88" s="116">
        <f>C79-C81</f>
        <v>2337.3490000000002</v>
      </c>
      <c r="D88" s="116"/>
      <c r="E88" s="116">
        <f>E79-E81</f>
        <v>1982.665</v>
      </c>
      <c r="F88" s="116"/>
      <c r="G88" s="116">
        <f>G79-G81</f>
        <v>1891.0679999999998</v>
      </c>
      <c r="H88" s="116"/>
      <c r="I88" s="116">
        <f>I79-I81</f>
        <v>1703.6410000000001</v>
      </c>
      <c r="J88" s="116"/>
      <c r="K88" s="116">
        <f>K79-K81</f>
        <v>1866.819</v>
      </c>
      <c r="L88" s="116"/>
      <c r="M88" s="116">
        <f>M79-M81</f>
        <v>2017.2710000000002</v>
      </c>
      <c r="N88" s="116"/>
      <c r="O88" s="116">
        <f>O79-O81</f>
        <v>2143.9780000000001</v>
      </c>
      <c r="P88" s="116"/>
      <c r="Q88" s="116">
        <f>Q79-Q81</f>
        <v>2647.6179999999999</v>
      </c>
      <c r="R88" s="116"/>
      <c r="S88" s="116">
        <f>S79-S81</f>
        <v>2706.096</v>
      </c>
      <c r="T88" s="116"/>
      <c r="U88" s="116">
        <f>U79-U81</f>
        <v>2989.5450000000001</v>
      </c>
      <c r="V88" s="116"/>
      <c r="W88" s="116" t="e">
        <f>W79-W81</f>
        <v>#N/A</v>
      </c>
      <c r="X88" s="116"/>
      <c r="Y88" s="116" t="e">
        <f>Y79-Y81</f>
        <v>#N/A</v>
      </c>
      <c r="Z88" s="116"/>
    </row>
    <row r="89" spans="2:26">
      <c r="B89" s="24" t="s">
        <v>444</v>
      </c>
      <c r="C89" s="116">
        <f>C76+C77-C81</f>
        <v>784.64400000000001</v>
      </c>
      <c r="D89" s="116"/>
      <c r="E89" s="116">
        <f>E76+E77-E81</f>
        <v>504.23199999999997</v>
      </c>
      <c r="F89" s="116"/>
      <c r="G89" s="116">
        <f>G76+G77-G81</f>
        <v>665.64499999999998</v>
      </c>
      <c r="H89" s="116"/>
      <c r="I89" s="116">
        <f>I76+I77-I81</f>
        <v>412.45000000000005</v>
      </c>
      <c r="J89" s="116"/>
      <c r="K89" s="116">
        <f>K76+K77-K81</f>
        <v>339.01900000000001</v>
      </c>
      <c r="L89" s="116"/>
      <c r="M89" s="116">
        <f>M76+M77-M81</f>
        <v>486.49000000000012</v>
      </c>
      <c r="N89" s="116"/>
      <c r="O89" s="116">
        <f>O76+O77-O81</f>
        <v>369.60600000000017</v>
      </c>
      <c r="P89" s="116"/>
      <c r="Q89" s="116">
        <f>Q76+Q77-Q81</f>
        <v>860.04399999999987</v>
      </c>
      <c r="R89" s="116"/>
      <c r="S89" s="116">
        <f>S76+S77-S81</f>
        <v>879.60599999999988</v>
      </c>
      <c r="T89" s="116"/>
      <c r="U89" s="116">
        <f>U76+U77-U81</f>
        <v>997.42600000000016</v>
      </c>
      <c r="V89" s="116"/>
      <c r="W89" s="116" t="e">
        <f>W76+W77-W81</f>
        <v>#N/A</v>
      </c>
      <c r="X89" s="116"/>
      <c r="Y89" s="116" t="e">
        <f>Y76+Y77-Y81</f>
        <v>#N/A</v>
      </c>
      <c r="Z89" s="116"/>
    </row>
    <row r="90" spans="2:26">
      <c r="B90" s="24" t="s">
        <v>445</v>
      </c>
      <c r="C90" s="131" t="e">
        <f>(C77+C76-C81)/(D12+C45)</f>
        <v>#N/A</v>
      </c>
      <c r="D90" s="132"/>
      <c r="E90" s="131" t="e">
        <f>(E77+E76-E81)/(F12+E45)</f>
        <v>#N/A</v>
      </c>
      <c r="F90" s="132"/>
      <c r="G90" s="131" t="e">
        <f>(G77+G76-G81)/(H12+G45)</f>
        <v>#N/A</v>
      </c>
      <c r="H90" s="132"/>
      <c r="I90" s="131" t="e">
        <f>(I77+I76-I81)/(J12+I45)</f>
        <v>#N/A</v>
      </c>
      <c r="J90" s="116"/>
      <c r="K90" s="131" t="e">
        <f>(K77+K76-K81)/(L12+K45)</f>
        <v>#N/A</v>
      </c>
      <c r="L90" s="116"/>
      <c r="M90" s="131" t="e">
        <f>(M77+M76-M81)/(N12+M45)</f>
        <v>#N/A</v>
      </c>
      <c r="N90" s="116"/>
      <c r="O90" s="131" t="e">
        <f>(O77+O76-O81)/(P12+O45)</f>
        <v>#N/A</v>
      </c>
      <c r="P90" s="116"/>
      <c r="Q90" s="131" t="e">
        <f>(Q77+Q76-Q81)/(R12+Q45)</f>
        <v>#N/A</v>
      </c>
      <c r="R90" s="116"/>
      <c r="S90" s="131" t="e">
        <f>(S77+S76-S81)/(T12+S45)</f>
        <v>#N/A</v>
      </c>
      <c r="T90" s="116"/>
      <c r="U90" s="131" t="e">
        <f>(U77+U76-U81)/(V12+U45)</f>
        <v>#N/A</v>
      </c>
      <c r="V90" s="116"/>
      <c r="W90" s="131" t="e">
        <f>(W77+W76-W81)/(X12+W45)</f>
        <v>#N/A</v>
      </c>
      <c r="X90" s="116"/>
      <c r="Y90" s="131" t="e">
        <f>(Y77+Y76-Y81)/(Z12+Y45)</f>
        <v>#N/A</v>
      </c>
      <c r="Z90" s="116"/>
    </row>
    <row r="91" spans="2:26">
      <c r="B91" s="17" t="s">
        <v>446</v>
      </c>
      <c r="C91" s="89">
        <f>(C77+C76-C81)/(C79)</f>
        <v>0.31227834594886739</v>
      </c>
      <c r="D91" s="89"/>
      <c r="E91" s="89">
        <f>(E77+E76-E81)/(E79)</f>
        <v>0.20726567660632009</v>
      </c>
      <c r="F91" s="89"/>
      <c r="G91" s="89">
        <f>(G77+G76-G81)/(G79)</f>
        <v>0.30537466194750351</v>
      </c>
      <c r="H91" s="89"/>
      <c r="I91" s="89">
        <f>(I77+I76-I81)/(I79)</f>
        <v>0.18270299434460147</v>
      </c>
      <c r="J91" s="89"/>
      <c r="K91" s="89">
        <f>(K77+K76-K81)/(K79)</f>
        <v>0.14475996172402442</v>
      </c>
      <c r="L91" s="89"/>
      <c r="M91" s="89">
        <f>(M77+M76-M81)/(M79)</f>
        <v>0.21213192827744032</v>
      </c>
      <c r="N91" s="89"/>
      <c r="O91" s="1075">
        <f>(O77+O76-O81)/(O79)</f>
        <v>0.14580055076684093</v>
      </c>
      <c r="P91" s="1075"/>
      <c r="Q91" s="1075">
        <f>(Q77+Q76-Q81)/(Q79)</f>
        <v>0.30220818548729977</v>
      </c>
      <c r="R91" s="1075"/>
      <c r="S91" s="1075">
        <f>(S77+S76-S81)/(S79)</f>
        <v>0.30572659970108784</v>
      </c>
      <c r="T91" s="1075"/>
      <c r="U91" s="1075">
        <f>(U77+U76-U81)/(U79)</f>
        <v>0.30722937398487427</v>
      </c>
      <c r="V91" s="1075"/>
      <c r="W91" s="1075" t="e">
        <f>(W77+W76-W81)/(W79)</f>
        <v>#N/A</v>
      </c>
      <c r="X91" s="1075"/>
      <c r="Y91" s="1075" t="e">
        <f>(Y77+Y76-Y81)/(Y79)</f>
        <v>#N/A</v>
      </c>
      <c r="Z91" s="1075"/>
    </row>
    <row r="92" spans="2:26" ht="6" customHeight="1">
      <c r="B92" s="17"/>
      <c r="C92" s="24"/>
      <c r="D92" s="24"/>
      <c r="E92" s="24"/>
      <c r="F92" s="24"/>
      <c r="G92" s="24"/>
      <c r="H92" s="24"/>
      <c r="I92" s="24"/>
      <c r="J92" s="24"/>
      <c r="K92" s="24"/>
      <c r="L92" s="24"/>
      <c r="M92" s="24"/>
      <c r="N92" s="24"/>
      <c r="O92" s="24"/>
      <c r="P92" s="24"/>
      <c r="Q92" s="24"/>
      <c r="R92" s="24"/>
      <c r="S92" s="24"/>
      <c r="T92" s="24"/>
      <c r="U92" s="24"/>
      <c r="V92" s="24"/>
      <c r="W92" s="24"/>
      <c r="X92" s="24"/>
      <c r="Y92" s="24"/>
      <c r="Z92" s="24"/>
    </row>
    <row r="93" spans="2:26">
      <c r="B93" s="17" t="s">
        <v>447</v>
      </c>
      <c r="C93" s="89" t="s">
        <v>226</v>
      </c>
      <c r="D93" s="89"/>
      <c r="E93" s="89">
        <f>E44/((E78+C78)/2)</f>
        <v>7.4782474436993623E-2</v>
      </c>
      <c r="F93" s="89"/>
      <c r="G93" s="89">
        <f>G44/((G78+E78)/2)</f>
        <v>0.10759522696474962</v>
      </c>
      <c r="H93" s="89"/>
      <c r="I93" s="89">
        <f>I44/((I78+G78)/2)</f>
        <v>0.14887384398243036</v>
      </c>
      <c r="J93" s="89"/>
      <c r="K93" s="89">
        <f>K44/((K78+I78)/2)</f>
        <v>0.15245951476964631</v>
      </c>
      <c r="L93" s="89"/>
      <c r="M93" s="89">
        <f>M44/((M78+K78)/2)</f>
        <v>0.1803117197157767</v>
      </c>
      <c r="N93" s="89"/>
      <c r="O93" s="89">
        <f>O44/((O78+M78)/2)</f>
        <v>0.18612330503308017</v>
      </c>
      <c r="P93" s="89"/>
      <c r="Q93" s="89">
        <f>Q44/((Q78+O78)/2)</f>
        <v>0.11307976033325604</v>
      </c>
      <c r="R93" s="89"/>
      <c r="S93" s="89">
        <f>S44/((S78+Q78)/2)</f>
        <v>0.14784408909194743</v>
      </c>
      <c r="T93" s="89"/>
      <c r="U93" s="89">
        <f>U44/((U78+S78)/2)</f>
        <v>0.15416503758305708</v>
      </c>
      <c r="V93" s="89"/>
      <c r="W93" s="89" t="e">
        <f>W44/((W78+S78)/2)</f>
        <v>#N/A</v>
      </c>
      <c r="X93" s="89"/>
      <c r="Y93" s="89" t="e">
        <f>Y44/((Y78+U78)/2)</f>
        <v>#N/A</v>
      </c>
      <c r="Z93" s="89"/>
    </row>
    <row r="94" spans="2:26">
      <c r="B94" s="17" t="s">
        <v>448</v>
      </c>
      <c r="C94" s="89" t="s">
        <v>226</v>
      </c>
      <c r="D94" s="89"/>
      <c r="E94" s="89">
        <f>E44/((E79+C79)/2)</f>
        <v>4.5835503689875733E-2</v>
      </c>
      <c r="F94" s="89"/>
      <c r="G94" s="89">
        <f>G44/((G79+E79)/2)</f>
        <v>6.3071891315555448E-2</v>
      </c>
      <c r="H94" s="89"/>
      <c r="I94" s="89">
        <f>I44/((I79+G79)/2)</f>
        <v>8.4434652602713309E-2</v>
      </c>
      <c r="J94" s="89"/>
      <c r="K94" s="89">
        <f>K44/((K79+I79)/2)</f>
        <v>9.3442488935580686E-2</v>
      </c>
      <c r="L94" s="89"/>
      <c r="M94" s="89">
        <f>M44/((M79+K79)/2)</f>
        <v>0.11897845996656943</v>
      </c>
      <c r="N94" s="89"/>
      <c r="O94" s="89">
        <f>O44/((O79+M79)/2)</f>
        <v>0.12740713801076478</v>
      </c>
      <c r="P94" s="89"/>
      <c r="Q94" s="89">
        <f>Q44/((Q79+O79)/2)</f>
        <v>7.4854712345218066E-2</v>
      </c>
      <c r="R94" s="89"/>
      <c r="S94" s="89">
        <f>S44/((S79+Q79)/2)</f>
        <v>9.336382568059988E-2</v>
      </c>
      <c r="T94" s="89"/>
      <c r="U94" s="89">
        <f>U44/((U79+S79)/2)</f>
        <v>9.613530822214772E-2</v>
      </c>
      <c r="V94" s="89"/>
      <c r="W94" s="89" t="e">
        <f>W44/((W79+S79)/2)</f>
        <v>#N/A</v>
      </c>
      <c r="X94" s="89"/>
      <c r="Y94" s="89" t="e">
        <f>Y44/((Y79+U79)/2)</f>
        <v>#N/A</v>
      </c>
      <c r="Z94" s="89"/>
    </row>
    <row r="95" spans="2:26">
      <c r="B95" s="17" t="s">
        <v>449</v>
      </c>
      <c r="C95" s="87" t="s">
        <v>226</v>
      </c>
      <c r="D95" s="87"/>
      <c r="E95" s="87">
        <f>(E88+C88)/2</f>
        <v>2160.0070000000001</v>
      </c>
      <c r="F95" s="87"/>
      <c r="G95" s="87">
        <f>(G88+E88)/2</f>
        <v>1936.8664999999999</v>
      </c>
      <c r="H95" s="87"/>
      <c r="I95" s="87">
        <f>(I88+G88)/2</f>
        <v>1797.3544999999999</v>
      </c>
      <c r="J95" s="87"/>
      <c r="K95" s="87">
        <f>(K88+I88)/2</f>
        <v>1785.23</v>
      </c>
      <c r="L95" s="87"/>
      <c r="M95" s="87">
        <f>(M88+K88)/2</f>
        <v>1942.0450000000001</v>
      </c>
      <c r="N95" s="87"/>
      <c r="O95" s="87">
        <f>(O88+M88)/2</f>
        <v>2080.6244999999999</v>
      </c>
      <c r="P95" s="87"/>
      <c r="Q95" s="87">
        <f>(Q88+O88)/2</f>
        <v>2395.7979999999998</v>
      </c>
      <c r="R95" s="87"/>
      <c r="S95" s="87">
        <f>(S88+Q88)/2</f>
        <v>2676.857</v>
      </c>
      <c r="T95" s="87"/>
      <c r="U95" s="87">
        <f>(U88+S88)/2</f>
        <v>2847.8204999999998</v>
      </c>
      <c r="V95" s="87"/>
      <c r="W95" s="87" t="e">
        <f>(W88+S88)/2</f>
        <v>#N/A</v>
      </c>
      <c r="X95" s="87"/>
      <c r="Y95" s="87" t="e">
        <f>(Y88+U88)/2</f>
        <v>#N/A</v>
      </c>
      <c r="Z95" s="87"/>
    </row>
    <row r="96" spans="2:26" s="19" customFormat="1">
      <c r="B96" s="15" t="s">
        <v>450</v>
      </c>
      <c r="C96" s="90" t="s">
        <v>226</v>
      </c>
      <c r="D96" s="90"/>
      <c r="E96" s="90">
        <f>E44/E95</f>
        <v>5.2471126250979737E-2</v>
      </c>
      <c r="F96" s="90"/>
      <c r="G96" s="90">
        <f>G44/G95</f>
        <v>7.5101200831342807E-2</v>
      </c>
      <c r="H96" s="90"/>
      <c r="I96" s="90">
        <f>I44/I95</f>
        <v>0.10422484824223603</v>
      </c>
      <c r="J96" s="90"/>
      <c r="K96" s="90">
        <f>K44/K95</f>
        <v>0.12037160477921612</v>
      </c>
      <c r="L96" s="90"/>
      <c r="M96" s="90">
        <f>M44/M95</f>
        <v>0.14198898583709441</v>
      </c>
      <c r="N96" s="90"/>
      <c r="O96" s="90">
        <f>O44/O95</f>
        <v>0.14783205715399392</v>
      </c>
      <c r="P96" s="90"/>
      <c r="Q96" s="90">
        <f>Q44/Q95</f>
        <v>8.4060509274988968E-2</v>
      </c>
      <c r="R96" s="90"/>
      <c r="S96" s="90">
        <f>S44/S95</f>
        <v>9.9803239396052901E-2</v>
      </c>
      <c r="T96" s="90"/>
      <c r="U96" s="90">
        <f>U44/U95</f>
        <v>0.10335904246773982</v>
      </c>
      <c r="V96" s="90"/>
      <c r="W96" s="90" t="e">
        <f>W44/W95</f>
        <v>#N/A</v>
      </c>
      <c r="X96" s="90"/>
      <c r="Y96" s="90" t="e">
        <f>Y44/Y95</f>
        <v>#N/A</v>
      </c>
      <c r="Z96" s="90"/>
    </row>
    <row r="97" spans="1:26" s="19" customFormat="1" ht="6" customHeight="1">
      <c r="B97" s="15"/>
      <c r="C97" s="79"/>
      <c r="D97" s="79"/>
      <c r="E97" s="79"/>
      <c r="F97" s="79"/>
      <c r="G97" s="79"/>
      <c r="H97" s="79"/>
      <c r="I97" s="148"/>
      <c r="J97" s="148"/>
      <c r="K97" s="148"/>
      <c r="L97" s="148"/>
      <c r="M97" s="148"/>
      <c r="N97" s="148"/>
      <c r="O97" s="148"/>
      <c r="P97" s="148"/>
      <c r="Q97" s="148"/>
      <c r="R97" s="148"/>
      <c r="S97" s="148"/>
      <c r="T97" s="148"/>
      <c r="U97" s="148"/>
      <c r="V97" s="148"/>
      <c r="W97" s="148"/>
      <c r="X97" s="148"/>
      <c r="Y97" s="148"/>
      <c r="Z97" s="148"/>
    </row>
    <row r="98" spans="1:26">
      <c r="B98" s="94" t="s">
        <v>451</v>
      </c>
      <c r="C98" s="95" t="str">
        <f>C74</f>
        <v>FY13</v>
      </c>
      <c r="D98" s="95"/>
      <c r="E98" s="95" t="str">
        <f>E74</f>
        <v>FY14</v>
      </c>
      <c r="F98" s="95"/>
      <c r="G98" s="95" t="str">
        <f>G74</f>
        <v>FY15</v>
      </c>
      <c r="H98" s="95"/>
      <c r="I98" s="95" t="str">
        <f>I74</f>
        <v>FY16</v>
      </c>
      <c r="J98" s="95"/>
      <c r="K98" s="95" t="str">
        <f>K74</f>
        <v>FY17</v>
      </c>
      <c r="L98" s="95"/>
      <c r="M98" s="95" t="str">
        <f>M74</f>
        <v>FY18</v>
      </c>
      <c r="N98" s="95"/>
      <c r="O98" s="95" t="str">
        <f>O74</f>
        <v>FY19</v>
      </c>
      <c r="P98" s="95"/>
      <c r="Q98" s="95" t="str">
        <f>Q74</f>
        <v>FY20</v>
      </c>
      <c r="R98" s="95"/>
      <c r="S98" s="95" t="str">
        <f>S74</f>
        <v>FY21</v>
      </c>
      <c r="T98" s="95"/>
      <c r="U98" s="95" t="str">
        <f>U74</f>
        <v>FY22</v>
      </c>
      <c r="V98" s="95"/>
      <c r="W98" s="95" t="str">
        <f>W74</f>
        <v>FY23E</v>
      </c>
      <c r="X98" s="95"/>
      <c r="Y98" s="95" t="str">
        <f>Y74</f>
        <v>FY24E</v>
      </c>
      <c r="Z98" s="95"/>
    </row>
    <row r="99" spans="1:26" ht="6" customHeight="1"/>
    <row r="100" spans="1:26" s="26" customFormat="1">
      <c r="B100" s="26" t="s">
        <v>452</v>
      </c>
      <c r="C100" s="111">
        <f>C51</f>
        <v>237.827</v>
      </c>
      <c r="D100" s="111"/>
      <c r="E100" s="111">
        <f>E51</f>
        <v>331.76600000000008</v>
      </c>
      <c r="F100" s="111"/>
      <c r="G100" s="111">
        <f>G51</f>
        <v>162.47900000000004</v>
      </c>
      <c r="H100" s="111"/>
      <c r="I100" s="111">
        <f>I51</f>
        <v>423.197</v>
      </c>
      <c r="J100" s="111"/>
      <c r="K100" s="111">
        <f>K51</f>
        <v>388.71199999999999</v>
      </c>
      <c r="L100" s="111"/>
      <c r="M100" s="111">
        <f>M51</f>
        <v>336.27300000000002</v>
      </c>
      <c r="N100" s="111"/>
      <c r="O100" s="111">
        <f>O51</f>
        <v>421.404</v>
      </c>
      <c r="P100" s="111"/>
      <c r="Q100" s="111">
        <f>Q51</f>
        <v>261.18</v>
      </c>
      <c r="R100" s="111"/>
      <c r="S100" s="111">
        <f>S51</f>
        <v>387.66800000000006</v>
      </c>
      <c r="T100" s="111"/>
      <c r="U100" s="111">
        <f>U51</f>
        <v>294.77600000000007</v>
      </c>
      <c r="V100" s="111"/>
      <c r="W100" s="111" t="e">
        <f>W51</f>
        <v>#N/A</v>
      </c>
      <c r="X100" s="111"/>
      <c r="Y100" s="111" t="e">
        <f>Y51</f>
        <v>#N/A</v>
      </c>
      <c r="Z100" s="111"/>
    </row>
    <row r="101" spans="1:26">
      <c r="B101" s="12" t="s">
        <v>354</v>
      </c>
      <c r="C101" s="111">
        <f>C61</f>
        <v>72.242000000000004</v>
      </c>
      <c r="D101" s="111"/>
      <c r="E101" s="111">
        <f>E61</f>
        <v>67.114999999999995</v>
      </c>
      <c r="F101" s="111"/>
      <c r="G101" s="111">
        <f>G61</f>
        <v>35.512</v>
      </c>
      <c r="H101" s="111"/>
      <c r="I101" s="111">
        <f>I61</f>
        <v>46.776000000000003</v>
      </c>
      <c r="J101" s="111"/>
      <c r="K101" s="111">
        <f>K61</f>
        <v>52.704999999999998</v>
      </c>
      <c r="L101" s="111"/>
      <c r="M101" s="111">
        <f>M61</f>
        <v>53.417000000000002</v>
      </c>
      <c r="N101" s="111"/>
      <c r="O101" s="111">
        <f>O61-19.284</f>
        <v>50.467999999999996</v>
      </c>
      <c r="P101" s="111"/>
      <c r="Q101" s="111">
        <f>Q61</f>
        <v>47.499000000000002</v>
      </c>
      <c r="R101" s="111"/>
      <c r="S101" s="111">
        <f>S61</f>
        <v>41.107999999999997</v>
      </c>
      <c r="T101" s="111"/>
      <c r="U101" s="111">
        <f>U61</f>
        <v>38.216999999999999</v>
      </c>
      <c r="V101" s="111"/>
      <c r="W101" s="111">
        <f>W61</f>
        <v>55</v>
      </c>
      <c r="X101" s="111"/>
      <c r="Y101" s="111">
        <f>Y61</f>
        <v>55</v>
      </c>
      <c r="Z101" s="111"/>
    </row>
    <row r="102" spans="1:26">
      <c r="B102" s="12" t="s">
        <v>369</v>
      </c>
      <c r="C102" s="111">
        <f>C63</f>
        <v>18.376999999999999</v>
      </c>
      <c r="D102" s="111"/>
      <c r="E102" s="111">
        <f>E63</f>
        <v>25.013000000000002</v>
      </c>
      <c r="F102" s="111"/>
      <c r="G102" s="111">
        <f>G63</f>
        <v>24.122</v>
      </c>
      <c r="H102" s="111"/>
      <c r="I102" s="111">
        <f>I63</f>
        <v>23.067</v>
      </c>
      <c r="J102" s="111"/>
      <c r="K102" s="111">
        <f>K63</f>
        <v>24.74</v>
      </c>
      <c r="L102" s="111"/>
      <c r="M102" s="111">
        <f>M63</f>
        <v>26.327999999999999</v>
      </c>
      <c r="N102" s="111"/>
      <c r="O102" s="111">
        <f>O63</f>
        <v>28.2</v>
      </c>
      <c r="P102" s="111"/>
      <c r="Q102" s="111">
        <f>Q63</f>
        <v>28.175000000000001</v>
      </c>
      <c r="R102" s="111"/>
      <c r="S102" s="111">
        <f>S63</f>
        <v>28.66</v>
      </c>
      <c r="T102" s="111"/>
      <c r="U102" s="111">
        <f>U63</f>
        <v>28.779</v>
      </c>
      <c r="V102" s="111"/>
      <c r="W102" s="111">
        <f>W63</f>
        <v>31.656900000000004</v>
      </c>
      <c r="X102" s="111"/>
      <c r="Y102" s="111">
        <f>Y63</f>
        <v>34.822590000000005</v>
      </c>
      <c r="Z102" s="111"/>
    </row>
    <row r="103" spans="1:26">
      <c r="B103" s="12" t="s">
        <v>453</v>
      </c>
      <c r="C103" s="111">
        <f>C100-C101</f>
        <v>165.58499999999998</v>
      </c>
      <c r="D103" s="111"/>
      <c r="E103" s="111">
        <f>E100-E101</f>
        <v>264.65100000000007</v>
      </c>
      <c r="F103" s="111"/>
      <c r="G103" s="111">
        <f>G100-G101</f>
        <v>126.96700000000004</v>
      </c>
      <c r="H103" s="111"/>
      <c r="I103" s="111">
        <f>I100-I101</f>
        <v>376.42099999999999</v>
      </c>
      <c r="J103" s="111"/>
      <c r="K103" s="111">
        <f>K100-K101</f>
        <v>336.00700000000001</v>
      </c>
      <c r="L103" s="111"/>
      <c r="M103" s="111">
        <f>M100-M101</f>
        <v>282.85599999999999</v>
      </c>
      <c r="N103" s="111"/>
      <c r="O103" s="111">
        <f>O100-O101</f>
        <v>370.93599999999998</v>
      </c>
      <c r="P103" s="111"/>
      <c r="Q103" s="111">
        <f>Q100-Q101</f>
        <v>213.68100000000001</v>
      </c>
      <c r="R103" s="111"/>
      <c r="S103" s="111">
        <f>S100-S101</f>
        <v>346.56000000000006</v>
      </c>
      <c r="T103" s="111"/>
      <c r="U103" s="111">
        <f>U100-U101</f>
        <v>256.55900000000008</v>
      </c>
      <c r="V103" s="111"/>
      <c r="W103" s="111" t="e">
        <f>W100-W101</f>
        <v>#N/A</v>
      </c>
      <c r="X103" s="111"/>
      <c r="Y103" s="111" t="e">
        <f>Y100-Y101</f>
        <v>#N/A</v>
      </c>
      <c r="Z103" s="111"/>
    </row>
    <row r="104" spans="1:26">
      <c r="B104" s="12" t="s">
        <v>454</v>
      </c>
      <c r="C104" s="125">
        <f>C103/C33</f>
        <v>3.4247156153050669</v>
      </c>
      <c r="D104" s="125"/>
      <c r="E104" s="125">
        <f>E103/E33</f>
        <v>5.3927865511971484</v>
      </c>
      <c r="F104" s="125"/>
      <c r="G104" s="125">
        <f>G103/G33</f>
        <v>2.6664776545698934</v>
      </c>
      <c r="H104" s="125"/>
      <c r="I104" s="125">
        <f>I103/I33</f>
        <v>8.3565545565545563</v>
      </c>
      <c r="J104" s="111"/>
      <c r="K104" s="125">
        <f>K103/K33</f>
        <v>7.5066910926922992</v>
      </c>
      <c r="L104" s="111"/>
      <c r="M104" s="125">
        <f>M103/M33</f>
        <v>6.3806902774644714</v>
      </c>
      <c r="N104" s="111"/>
      <c r="O104" s="125">
        <f>O103/O33</f>
        <v>8.6232600849688783</v>
      </c>
      <c r="P104" s="111"/>
      <c r="Q104" s="125">
        <f>Q103/Q33</f>
        <v>5.0912188322750502</v>
      </c>
      <c r="R104" s="111"/>
      <c r="S104" s="125">
        <f>S103/S33</f>
        <v>8.5359605911330068</v>
      </c>
      <c r="T104" s="111"/>
      <c r="U104" s="125">
        <f>U103/U33</f>
        <v>6.6379218897556322</v>
      </c>
      <c r="V104" s="111"/>
      <c r="W104" s="125" t="e">
        <f>W103/W33</f>
        <v>#N/A</v>
      </c>
      <c r="X104" s="111"/>
      <c r="Y104" s="125" t="e">
        <f>Y103/Y33</f>
        <v>#N/A</v>
      </c>
      <c r="Z104" s="111"/>
    </row>
    <row r="105" spans="1:26">
      <c r="B105" s="12" t="s">
        <v>455</v>
      </c>
      <c r="C105" s="89">
        <f>(C103)/C21</f>
        <v>1.1880026689433998</v>
      </c>
      <c r="D105" s="89"/>
      <c r="E105" s="89">
        <f>(E103)/E21</f>
        <v>1.5572377595631637</v>
      </c>
      <c r="F105" s="89"/>
      <c r="G105" s="89">
        <f>(G103)/G21</f>
        <v>0.6604333985269033</v>
      </c>
      <c r="H105" s="89"/>
      <c r="I105" s="89">
        <f>(I103)/I21</f>
        <v>1.9876281800804723</v>
      </c>
      <c r="J105" s="89"/>
      <c r="K105" s="89">
        <f>(K103)/K21</f>
        <v>1.5126796832442699</v>
      </c>
      <c r="L105" s="89"/>
      <c r="M105" s="89">
        <f>(M103)/M21</f>
        <v>1.0017991981526342</v>
      </c>
      <c r="N105" s="89"/>
      <c r="O105" s="89">
        <f>(O103)/O21</f>
        <v>1.2724260070918012</v>
      </c>
      <c r="P105" s="89"/>
      <c r="Q105" s="89">
        <f>(Q103)/Q21</f>
        <v>0.77126790124095446</v>
      </c>
      <c r="R105" s="89"/>
      <c r="S105" s="89">
        <f>(S103)/S21</f>
        <v>1.1636416773362923</v>
      </c>
      <c r="T105" s="89"/>
      <c r="U105" s="89">
        <f>(U103)/U21</f>
        <v>0.81649554012714431</v>
      </c>
      <c r="V105" s="89"/>
      <c r="W105" s="89" t="e">
        <f>(W103)/W21</f>
        <v>#N/A</v>
      </c>
      <c r="X105" s="89"/>
      <c r="Y105" s="89" t="e">
        <f>(Y103)/Y21</f>
        <v>#N/A</v>
      </c>
      <c r="Z105" s="89"/>
    </row>
    <row r="106" spans="1:26">
      <c r="B106" s="19" t="s">
        <v>456</v>
      </c>
      <c r="C106" s="112">
        <f>C14+C45</f>
        <v>358.59699999999998</v>
      </c>
      <c r="D106" s="112"/>
      <c r="E106" s="112">
        <f>E14+E45</f>
        <v>401.30399999999997</v>
      </c>
      <c r="F106" s="112"/>
      <c r="G106" s="112">
        <f>G14+G45</f>
        <v>411.42699999999991</v>
      </c>
      <c r="H106" s="112"/>
      <c r="I106" s="112">
        <f>I14+I45</f>
        <v>404.10599999999999</v>
      </c>
      <c r="J106" s="112"/>
      <c r="K106" s="112">
        <f>K14+K45</f>
        <v>434.58600000000001</v>
      </c>
      <c r="L106" s="112"/>
      <c r="M106" s="112">
        <f>M14+M45</f>
        <v>485.22400000000005</v>
      </c>
      <c r="N106" s="112"/>
      <c r="O106" s="112">
        <f>O14+O45</f>
        <v>491.80071930674728</v>
      </c>
      <c r="P106" s="112"/>
      <c r="Q106" s="112">
        <f>Q14+Q45</f>
        <v>491.39719213315067</v>
      </c>
      <c r="R106" s="112"/>
      <c r="S106" s="112">
        <f>S14+S45</f>
        <v>534.76499999999999</v>
      </c>
      <c r="T106" s="112"/>
      <c r="U106" s="112">
        <f>U14+U45</f>
        <v>555.10500000000002</v>
      </c>
      <c r="V106" s="112"/>
      <c r="W106" s="112" t="e">
        <f>W14+W45</f>
        <v>#N/A</v>
      </c>
      <c r="X106" s="112"/>
      <c r="Y106" s="112" t="e">
        <f>Y14+Y45</f>
        <v>#N/A</v>
      </c>
      <c r="Z106" s="112"/>
    </row>
    <row r="107" spans="1:26" ht="12.75" hidden="1" customHeight="1" outlineLevel="2">
      <c r="B107" s="12" t="s">
        <v>457</v>
      </c>
      <c r="C107" s="113"/>
      <c r="D107" s="113"/>
      <c r="E107" s="113"/>
      <c r="F107" s="113"/>
      <c r="G107" s="113"/>
      <c r="H107" s="113"/>
      <c r="I107" s="113"/>
      <c r="J107" s="113"/>
      <c r="K107" s="113"/>
      <c r="L107" s="113"/>
      <c r="M107" s="113"/>
      <c r="N107" s="113"/>
      <c r="O107" s="113"/>
      <c r="P107" s="113"/>
      <c r="Q107" s="198"/>
      <c r="R107" s="198"/>
      <c r="S107" s="198"/>
      <c r="T107" s="113"/>
      <c r="U107" s="198"/>
      <c r="V107" s="113"/>
      <c r="W107" s="198"/>
      <c r="X107" s="113"/>
      <c r="Y107" s="198"/>
      <c r="Z107" s="113"/>
    </row>
    <row r="108" spans="1:26" s="28" customFormat="1" ht="12.75" hidden="1" customHeight="1" outlineLevel="2">
      <c r="A108" s="27"/>
      <c r="B108" s="12" t="s">
        <v>458</v>
      </c>
      <c r="C108" s="114"/>
      <c r="D108" s="114"/>
      <c r="E108" s="114"/>
      <c r="F108" s="114"/>
      <c r="G108" s="114"/>
      <c r="H108" s="114"/>
      <c r="I108" s="114"/>
      <c r="J108" s="114"/>
      <c r="K108" s="114"/>
      <c r="L108" s="114"/>
      <c r="M108" s="114"/>
      <c r="N108" s="114"/>
      <c r="O108" s="114"/>
      <c r="P108" s="114"/>
      <c r="Q108" s="199"/>
      <c r="R108" s="199"/>
      <c r="S108" s="199"/>
      <c r="T108" s="114"/>
      <c r="U108" s="199"/>
      <c r="V108" s="114"/>
      <c r="W108" s="199"/>
      <c r="X108" s="114"/>
      <c r="Y108" s="199"/>
      <c r="Z108" s="114"/>
    </row>
    <row r="109" spans="1:26" s="29" customFormat="1">
      <c r="B109" s="41" t="s">
        <v>459</v>
      </c>
      <c r="C109" s="115">
        <f>C33</f>
        <v>48.35</v>
      </c>
      <c r="D109" s="115"/>
      <c r="E109" s="115">
        <f>E33</f>
        <v>49.075000000000003</v>
      </c>
      <c r="F109" s="115"/>
      <c r="G109" s="115">
        <f>G33</f>
        <v>47.616</v>
      </c>
      <c r="H109" s="115"/>
      <c r="I109" s="115">
        <f>I33</f>
        <v>45.045000000000002</v>
      </c>
      <c r="J109" s="115"/>
      <c r="K109" s="115">
        <f>K33</f>
        <v>44.761000000000003</v>
      </c>
      <c r="L109" s="115"/>
      <c r="M109" s="115">
        <f>M33</f>
        <v>44.33</v>
      </c>
      <c r="N109" s="115"/>
      <c r="O109" s="115">
        <f>O33</f>
        <v>43.015749999999997</v>
      </c>
      <c r="P109" s="115"/>
      <c r="Q109" s="115">
        <f>Q33</f>
        <v>41.970500000000001</v>
      </c>
      <c r="R109" s="115"/>
      <c r="S109" s="115">
        <f>S33</f>
        <v>40.6</v>
      </c>
      <c r="T109" s="115"/>
      <c r="U109" s="115">
        <f>U33</f>
        <v>38.650500000000001</v>
      </c>
      <c r="V109" s="115"/>
      <c r="W109" s="115" t="e">
        <f>W33</f>
        <v>#N/A</v>
      </c>
      <c r="X109" s="115"/>
      <c r="Y109" s="115" t="e">
        <f>Y33</f>
        <v>#N/A</v>
      </c>
      <c r="Z109" s="115"/>
    </row>
    <row r="110" spans="1:26" ht="3" customHeight="1"/>
    <row r="111" spans="1:26" s="24" customFormat="1">
      <c r="B111" s="160" t="s">
        <v>334</v>
      </c>
      <c r="G111" s="122"/>
      <c r="I111" s="122"/>
    </row>
    <row r="112" spans="1:26" s="24" customFormat="1">
      <c r="B112" s="164"/>
      <c r="C112" s="106"/>
      <c r="E112" s="106"/>
      <c r="T112" s="214"/>
    </row>
    <row r="113" spans="3:25" s="24" customFormat="1"/>
    <row r="114" spans="3:25" s="24" customFormat="1">
      <c r="C114" s="123"/>
      <c r="E114" s="123"/>
      <c r="G114" s="123"/>
      <c r="I114" s="123"/>
      <c r="K114" s="123"/>
      <c r="M114" s="123"/>
      <c r="O114" s="123"/>
      <c r="Q114" s="123"/>
      <c r="S114" s="123"/>
      <c r="U114" s="123"/>
      <c r="W114" s="123"/>
      <c r="Y114" s="123"/>
    </row>
    <row r="115" spans="3:25" s="24" customFormat="1"/>
    <row r="116" spans="3:25" s="24" customFormat="1"/>
    <row r="117" spans="3:25" s="24" customFormat="1"/>
    <row r="118" spans="3:25" s="24" customFormat="1"/>
    <row r="119" spans="3:25" s="24" customFormat="1"/>
    <row r="120" spans="3:25" s="24" customFormat="1"/>
    <row r="121" spans="3:25" s="24" customFormat="1"/>
    <row r="122" spans="3:25" s="24" customFormat="1"/>
    <row r="123" spans="3:25" s="24" customFormat="1"/>
    <row r="124" spans="3:25" s="24" customFormat="1"/>
    <row r="125" spans="3:25" s="24" customFormat="1"/>
    <row r="126" spans="3:25" s="24" customFormat="1"/>
    <row r="127" spans="3:25" s="24" customFormat="1"/>
    <row r="128" spans="3:25" s="24" customFormat="1"/>
    <row r="129" s="24" customFormat="1"/>
    <row r="130" s="24" customFormat="1"/>
    <row r="131" s="24" customFormat="1"/>
    <row r="132" s="24" customFormat="1"/>
    <row r="133" s="24" customFormat="1"/>
    <row r="134" s="24" customFormat="1"/>
    <row r="135" s="24" customFormat="1"/>
    <row r="136" s="24" customFormat="1"/>
    <row r="137" s="24" customFormat="1"/>
    <row r="138" s="24" customFormat="1"/>
    <row r="139" s="24" customFormat="1"/>
    <row r="140" s="24" customFormat="1"/>
    <row r="141" s="24" customFormat="1"/>
    <row r="142" s="24" customFormat="1"/>
    <row r="143" s="24" customFormat="1"/>
    <row r="144" s="24" customFormat="1"/>
    <row r="145" s="24" customFormat="1"/>
    <row r="146" s="24" customFormat="1"/>
  </sheetData>
  <mergeCells count="9">
    <mergeCell ref="B4:Z4"/>
    <mergeCell ref="B3:Z3"/>
    <mergeCell ref="B2:Z2"/>
    <mergeCell ref="Y91:Z91"/>
    <mergeCell ref="U91:V91"/>
    <mergeCell ref="S91:T91"/>
    <mergeCell ref="O91:P91"/>
    <mergeCell ref="Q91:R91"/>
    <mergeCell ref="W91:X91"/>
  </mergeCells>
  <printOptions horizontalCentered="1"/>
  <pageMargins left="0.7" right="0.7" top="0.75" bottom="0.75" header="0.3" footer="0.3"/>
  <pageSetup scale="4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C476-8783-4E6D-A7E1-94BA568BB9CC}">
  <sheetPr>
    <pageSetUpPr fitToPage="1"/>
  </sheetPr>
  <dimension ref="A1:EQ216"/>
  <sheetViews>
    <sheetView zoomScaleNormal="100" zoomScaleSheetLayoutView="100" workbookViewId="0">
      <selection activeCell="E30" sqref="E30"/>
    </sheetView>
  </sheetViews>
  <sheetFormatPr defaultColWidth="12.5" defaultRowHeight="15" customHeight="1" outlineLevelCol="1"/>
  <cols>
    <col min="1" max="1" width="1.6640625" style="532" customWidth="1"/>
    <col min="2" max="2" width="37.6640625" style="532" customWidth="1"/>
    <col min="3" max="3" width="9.5" style="532" customWidth="1"/>
    <col min="4" max="4" width="15.5" style="532" hidden="1" customWidth="1"/>
    <col min="5" max="5" width="9.1640625" style="532" customWidth="1"/>
    <col min="6" max="6" width="13.6640625" style="532" customWidth="1"/>
    <col min="7" max="7" width="2.33203125" style="419" customWidth="1"/>
    <col min="8" max="8" width="10.6640625" style="533" customWidth="1"/>
    <col min="9" max="9" width="17.6640625" style="533" customWidth="1"/>
    <col min="10" max="10" width="13.6640625" style="533" customWidth="1"/>
    <col min="11" max="11" width="13" style="533" customWidth="1"/>
    <col min="12" max="12" width="17.1640625" style="533" customWidth="1"/>
    <col min="13" max="13" width="2.33203125" style="419" customWidth="1"/>
    <col min="14" max="15" width="11.33203125" style="534" hidden="1" customWidth="1"/>
    <col min="16" max="16" width="2.33203125" style="530" customWidth="1"/>
    <col min="17" max="18" width="11.33203125" style="534" customWidth="1"/>
    <col min="19" max="19" width="2.33203125" style="530" customWidth="1"/>
    <col min="20" max="21" width="11.33203125" style="534" customWidth="1"/>
    <col min="22" max="22" width="2.33203125" style="530" hidden="1" customWidth="1"/>
    <col min="23" max="24" width="11.33203125" style="534" hidden="1" customWidth="1" outlineLevel="1"/>
    <col min="25" max="25" width="2.33203125" style="530" customWidth="1" collapsed="1"/>
    <col min="26" max="27" width="11.33203125" style="534" hidden="1" customWidth="1"/>
    <col min="28" max="28" width="2.33203125" style="419" hidden="1" customWidth="1"/>
    <col min="29" max="30" width="11.33203125" style="530" customWidth="1"/>
    <col min="31" max="31" width="2.33203125" style="530" customWidth="1"/>
    <col min="32" max="33" width="11.33203125" style="530" hidden="1" customWidth="1" outlineLevel="1"/>
    <col min="34" max="34" width="2.33203125" style="530" hidden="1" customWidth="1" outlineLevel="1"/>
    <col min="35" max="35" width="10.5" style="530" hidden="1" customWidth="1" outlineLevel="1"/>
    <col min="36" max="36" width="11.33203125" style="530" customWidth="1" collapsed="1"/>
    <col min="37" max="37" width="11.33203125" style="530" customWidth="1"/>
    <col min="38" max="38" width="2.33203125" style="530" customWidth="1"/>
    <col min="39" max="39" width="13.33203125" style="534" customWidth="1"/>
    <col min="40" max="40" width="3" style="419" customWidth="1"/>
    <col min="41" max="41" width="13.6640625" style="419" customWidth="1" outlineLevel="1"/>
    <col min="42" max="43" width="15.1640625" style="532" customWidth="1" outlineLevel="1"/>
    <col min="44" max="44" width="2.33203125" style="419" customWidth="1" outlineLevel="1"/>
    <col min="45" max="45" width="13.6640625" style="532" customWidth="1" outlineLevel="1"/>
    <col min="46" max="46" width="13" style="532" customWidth="1" outlineLevel="1"/>
    <col min="47" max="47" width="14.33203125" style="532" customWidth="1" outlineLevel="1"/>
    <col min="48" max="48" width="2.33203125" style="419" customWidth="1" outlineLevel="1"/>
    <col min="49" max="49" width="13" style="419" customWidth="1" outlineLevel="1"/>
    <col min="50" max="51" width="13.33203125" style="532" customWidth="1" outlineLevel="1"/>
    <col min="52" max="52" width="2.33203125" style="419" customWidth="1"/>
    <col min="53" max="54" width="15.1640625" style="419" customWidth="1"/>
    <col min="55" max="55" width="13.33203125" style="419" customWidth="1"/>
    <col min="56" max="147" width="12.5" style="419"/>
    <col min="148" max="16384" width="12.5" style="532"/>
  </cols>
  <sheetData>
    <row r="1" spans="1:147" s="410" customFormat="1" ht="15" customHeight="1">
      <c r="A1" s="403"/>
      <c r="B1" s="404"/>
      <c r="C1" s="404"/>
      <c r="D1" s="404"/>
      <c r="E1" s="404"/>
      <c r="F1" s="404"/>
      <c r="G1" s="404"/>
      <c r="H1" s="405"/>
      <c r="I1" s="406"/>
      <c r="J1" s="407"/>
      <c r="K1" s="405"/>
      <c r="L1" s="405"/>
      <c r="M1" s="404"/>
      <c r="N1" s="408"/>
      <c r="O1" s="408"/>
      <c r="P1" s="408"/>
      <c r="Q1" s="408"/>
      <c r="R1" s="408"/>
      <c r="S1" s="408"/>
      <c r="T1" s="408"/>
      <c r="U1" s="408"/>
      <c r="V1" s="408"/>
      <c r="W1" s="408"/>
      <c r="X1" s="408"/>
      <c r="Y1" s="408"/>
      <c r="Z1" s="408"/>
      <c r="AA1" s="408"/>
      <c r="AB1" s="404"/>
      <c r="AC1" s="408"/>
      <c r="AD1" s="408"/>
      <c r="AE1" s="408"/>
      <c r="AF1" s="408"/>
      <c r="AG1" s="408"/>
      <c r="AH1" s="408"/>
      <c r="AI1" s="408"/>
      <c r="AJ1" s="408"/>
      <c r="AK1" s="408"/>
      <c r="AL1" s="408"/>
      <c r="AM1" s="408"/>
      <c r="AN1" s="404"/>
      <c r="AO1" s="409"/>
      <c r="AP1" s="409"/>
      <c r="AT1" s="411"/>
    </row>
    <row r="2" spans="1:147" s="410" customFormat="1" ht="15" customHeight="1">
      <c r="A2" s="403"/>
      <c r="B2" s="404"/>
      <c r="C2" s="404"/>
      <c r="D2" s="404"/>
      <c r="E2" s="404"/>
      <c r="F2" s="404"/>
      <c r="G2" s="404"/>
      <c r="H2" s="405"/>
      <c r="I2" s="406"/>
      <c r="J2" s="407"/>
      <c r="K2" s="405"/>
      <c r="L2" s="405"/>
      <c r="M2" s="404"/>
      <c r="N2" s="408"/>
      <c r="O2" s="408"/>
      <c r="P2" s="408"/>
      <c r="Q2" s="408"/>
      <c r="R2" s="408"/>
      <c r="S2" s="408"/>
      <c r="T2" s="408"/>
      <c r="U2" s="408"/>
      <c r="V2" s="408"/>
      <c r="W2" s="408"/>
      <c r="X2" s="408"/>
      <c r="Y2" s="408"/>
      <c r="Z2" s="408"/>
      <c r="AA2" s="408"/>
      <c r="AB2" s="404"/>
      <c r="AC2" s="408"/>
      <c r="AD2" s="408"/>
      <c r="AE2" s="408"/>
      <c r="AF2" s="408"/>
      <c r="AG2" s="408"/>
      <c r="AH2" s="408"/>
      <c r="AI2" s="408"/>
      <c r="AJ2" s="408"/>
      <c r="AK2" s="408"/>
      <c r="AL2" s="408"/>
      <c r="AM2" s="408"/>
      <c r="AN2" s="404"/>
      <c r="AO2" s="409"/>
      <c r="AP2" s="409"/>
      <c r="AT2" s="411"/>
    </row>
    <row r="3" spans="1:147" s="410" customFormat="1" ht="15" customHeight="1">
      <c r="A3" s="403"/>
      <c r="B3" s="404"/>
      <c r="C3" s="404"/>
      <c r="D3" s="404"/>
      <c r="E3" s="404"/>
      <c r="F3" s="404"/>
      <c r="G3" s="404"/>
      <c r="H3" s="405"/>
      <c r="I3" s="406"/>
      <c r="J3" s="407"/>
      <c r="K3" s="405"/>
      <c r="L3" s="405"/>
      <c r="M3" s="404"/>
      <c r="N3" s="408"/>
      <c r="O3" s="408"/>
      <c r="P3" s="408"/>
      <c r="Q3" s="408"/>
      <c r="R3" s="408"/>
      <c r="S3" s="408"/>
      <c r="T3" s="408"/>
      <c r="U3" s="408"/>
      <c r="V3" s="408"/>
      <c r="W3" s="408"/>
      <c r="X3" s="408"/>
      <c r="Y3" s="408"/>
      <c r="Z3" s="408"/>
      <c r="AA3" s="408"/>
      <c r="AB3" s="404"/>
      <c r="AC3" s="408"/>
      <c r="AD3" s="408"/>
      <c r="AE3" s="408"/>
      <c r="AF3" s="408"/>
      <c r="AG3" s="408"/>
      <c r="AH3" s="408"/>
      <c r="AI3" s="408"/>
      <c r="AJ3" s="408"/>
      <c r="AK3" s="408"/>
      <c r="AL3" s="408"/>
      <c r="AM3" s="408"/>
      <c r="AN3" s="404"/>
      <c r="AO3" s="409"/>
      <c r="AP3" s="409"/>
      <c r="AT3" s="411"/>
    </row>
    <row r="4" spans="1:147" s="410" customFormat="1" ht="15" customHeight="1">
      <c r="A4" s="403"/>
      <c r="B4" s="404"/>
      <c r="C4" s="404"/>
      <c r="D4" s="404"/>
      <c r="E4" s="404"/>
      <c r="F4" s="404"/>
      <c r="G4" s="404"/>
      <c r="H4" s="405"/>
      <c r="I4" s="406"/>
      <c r="J4" s="407"/>
      <c r="K4" s="405"/>
      <c r="L4" s="405"/>
      <c r="M4" s="404"/>
      <c r="N4" s="408"/>
      <c r="O4" s="408"/>
      <c r="P4" s="408"/>
      <c r="Q4" s="408"/>
      <c r="R4" s="408"/>
      <c r="S4" s="408"/>
      <c r="T4" s="408"/>
      <c r="U4" s="408"/>
      <c r="V4" s="408"/>
      <c r="W4" s="408"/>
      <c r="X4" s="408"/>
      <c r="Y4" s="408"/>
      <c r="Z4" s="408"/>
      <c r="AA4" s="408"/>
      <c r="AB4" s="404"/>
      <c r="AC4" s="408"/>
      <c r="AD4" s="408"/>
      <c r="AE4" s="408"/>
      <c r="AF4" s="408"/>
      <c r="AG4" s="408"/>
      <c r="AH4" s="408"/>
      <c r="AI4" s="408"/>
      <c r="AJ4" s="408"/>
      <c r="AK4" s="408"/>
      <c r="AL4" s="408"/>
      <c r="AM4" s="408"/>
      <c r="AN4" s="404"/>
      <c r="AO4" s="409"/>
      <c r="AP4" s="409"/>
      <c r="AT4" s="411"/>
    </row>
    <row r="5" spans="1:147" s="410" customFormat="1" ht="15" customHeight="1">
      <c r="A5" s="1082" t="s">
        <v>460</v>
      </c>
      <c r="B5" s="1082"/>
      <c r="C5" s="1082"/>
      <c r="D5" s="1082"/>
      <c r="E5" s="1082"/>
      <c r="F5" s="1082"/>
      <c r="G5" s="1082"/>
      <c r="H5" s="1082"/>
      <c r="I5" s="1082"/>
      <c r="J5" s="1082"/>
      <c r="K5" s="1082"/>
      <c r="L5" s="1082"/>
      <c r="M5" s="1082"/>
      <c r="N5" s="1082"/>
      <c r="O5" s="1082"/>
      <c r="P5" s="1082"/>
      <c r="Q5" s="1082"/>
      <c r="R5" s="1082"/>
      <c r="S5" s="1082"/>
      <c r="T5" s="1082"/>
      <c r="U5" s="1082"/>
      <c r="V5" s="1082"/>
      <c r="W5" s="1082"/>
      <c r="X5" s="1082"/>
      <c r="Y5" s="1082"/>
      <c r="Z5" s="1082"/>
      <c r="AA5" s="1082"/>
      <c r="AB5" s="1082"/>
      <c r="AC5" s="1082"/>
      <c r="AD5" s="1082"/>
      <c r="AE5" s="408"/>
      <c r="AF5" s="408"/>
      <c r="AG5" s="408"/>
      <c r="AH5" s="408"/>
      <c r="AI5" s="408"/>
      <c r="AJ5" s="408"/>
      <c r="AK5" s="408"/>
      <c r="AL5" s="408"/>
      <c r="AM5" s="408"/>
      <c r="AN5" s="404"/>
      <c r="AO5" s="409"/>
      <c r="AP5" s="409"/>
      <c r="AT5" s="411"/>
    </row>
    <row r="6" spans="1:147" s="419" customFormat="1" ht="15" customHeight="1" thickBot="1">
      <c r="A6" s="1079" t="s">
        <v>461</v>
      </c>
      <c r="B6" s="1079"/>
      <c r="C6" s="1079"/>
      <c r="D6" s="1079"/>
      <c r="E6" s="1079"/>
      <c r="F6" s="1079"/>
      <c r="G6" s="412"/>
      <c r="H6" s="1079"/>
      <c r="I6" s="1079"/>
      <c r="J6" s="1079"/>
      <c r="K6" s="1079"/>
      <c r="L6" s="1079"/>
      <c r="M6" s="412"/>
      <c r="N6" s="1079" t="s">
        <v>462</v>
      </c>
      <c r="O6" s="1079"/>
      <c r="P6" s="1079"/>
      <c r="Q6" s="1079"/>
      <c r="R6" s="1079"/>
      <c r="S6" s="1079"/>
      <c r="T6" s="1079"/>
      <c r="U6" s="1079"/>
      <c r="V6" s="1079"/>
      <c r="W6" s="1079"/>
      <c r="X6" s="1079"/>
      <c r="Y6" s="413"/>
      <c r="Z6" s="1079" t="s">
        <v>463</v>
      </c>
      <c r="AA6" s="1079"/>
      <c r="AB6" s="412"/>
      <c r="AC6" s="1079" t="s">
        <v>464</v>
      </c>
      <c r="AD6" s="1079"/>
      <c r="AE6" s="414"/>
      <c r="AF6" s="415"/>
      <c r="AG6" s="415"/>
      <c r="AH6" s="415"/>
      <c r="AI6" s="415"/>
      <c r="AJ6" s="1079" t="s">
        <v>465</v>
      </c>
      <c r="AK6" s="1079"/>
      <c r="AL6" s="413"/>
      <c r="AM6" s="416" t="s">
        <v>466</v>
      </c>
      <c r="AN6" s="412"/>
      <c r="AO6" s="417"/>
      <c r="AP6" s="418"/>
      <c r="AQ6" s="417"/>
      <c r="AR6" s="417"/>
      <c r="AS6" s="417"/>
      <c r="AT6" s="417"/>
      <c r="AU6" s="417"/>
      <c r="AV6" s="417"/>
      <c r="AW6" s="417"/>
      <c r="AX6" s="417"/>
      <c r="AY6" s="417"/>
    </row>
    <row r="7" spans="1:147" s="434" customFormat="1" ht="15" customHeight="1">
      <c r="A7" s="420"/>
      <c r="B7" s="421"/>
      <c r="C7" s="422"/>
      <c r="D7" s="422"/>
      <c r="E7" s="422"/>
      <c r="F7" s="422"/>
      <c r="G7" s="420"/>
      <c r="H7" s="422" t="s">
        <v>467</v>
      </c>
      <c r="I7" s="422"/>
      <c r="J7" s="423"/>
      <c r="K7" s="423"/>
      <c r="L7" s="423"/>
      <c r="M7" s="424"/>
      <c r="N7" s="422"/>
      <c r="O7" s="422"/>
      <c r="P7" s="425"/>
      <c r="Q7" s="422"/>
      <c r="R7" s="422"/>
      <c r="S7" s="422"/>
      <c r="T7" s="426"/>
      <c r="U7" s="426"/>
      <c r="V7" s="422"/>
      <c r="W7" s="426"/>
      <c r="X7" s="426"/>
      <c r="Y7" s="426"/>
      <c r="Z7" s="425"/>
      <c r="AA7" s="425"/>
      <c r="AB7" s="420"/>
      <c r="AC7" s="422"/>
      <c r="AD7" s="422"/>
      <c r="AE7" s="425"/>
      <c r="AF7" s="427"/>
      <c r="AG7" s="427"/>
      <c r="AH7" s="427"/>
      <c r="AI7" s="427"/>
      <c r="AJ7" s="422"/>
      <c r="AK7" s="422"/>
      <c r="AL7" s="425"/>
      <c r="AM7" s="426"/>
      <c r="AN7" s="428"/>
      <c r="AO7" s="429"/>
      <c r="AP7" s="430"/>
      <c r="AQ7" s="430"/>
      <c r="AR7" s="431"/>
      <c r="AS7" s="429"/>
      <c r="AT7" s="430"/>
      <c r="AU7" s="430"/>
      <c r="AV7" s="431"/>
      <c r="AW7" s="429"/>
      <c r="AX7" s="432"/>
      <c r="AY7" s="432"/>
      <c r="AZ7" s="433"/>
      <c r="BA7" s="433"/>
      <c r="BB7" s="433"/>
      <c r="BC7" s="433"/>
      <c r="BD7" s="433"/>
      <c r="BE7" s="433"/>
      <c r="BF7" s="433"/>
      <c r="BG7" s="433"/>
      <c r="BH7" s="433"/>
      <c r="BI7" s="433"/>
      <c r="BJ7" s="433"/>
      <c r="BK7" s="433"/>
      <c r="BL7" s="433"/>
      <c r="BM7" s="433"/>
      <c r="BN7" s="433"/>
      <c r="BO7" s="433"/>
      <c r="BP7" s="433"/>
      <c r="BQ7" s="433"/>
      <c r="BR7" s="433"/>
      <c r="BS7" s="433"/>
      <c r="BT7" s="433"/>
      <c r="BU7" s="433"/>
      <c r="BV7" s="433"/>
      <c r="BW7" s="433"/>
      <c r="BX7" s="433"/>
      <c r="BY7" s="433"/>
      <c r="BZ7" s="433"/>
      <c r="CA7" s="433"/>
      <c r="CB7" s="433"/>
      <c r="CC7" s="433"/>
      <c r="CD7" s="433"/>
      <c r="CE7" s="433"/>
      <c r="CF7" s="433"/>
      <c r="CG7" s="433"/>
      <c r="CH7" s="433"/>
      <c r="CI7" s="433"/>
      <c r="CJ7" s="433"/>
      <c r="CK7" s="433"/>
      <c r="CL7" s="433"/>
      <c r="CM7" s="433"/>
      <c r="CN7" s="433"/>
      <c r="CO7" s="433"/>
      <c r="CP7" s="433"/>
      <c r="CQ7" s="433"/>
      <c r="CR7" s="433"/>
      <c r="CS7" s="433"/>
      <c r="CT7" s="433"/>
      <c r="CU7" s="433"/>
      <c r="CV7" s="433"/>
      <c r="CW7" s="433"/>
      <c r="CX7" s="433"/>
      <c r="CY7" s="433"/>
      <c r="CZ7" s="433"/>
      <c r="DA7" s="433"/>
      <c r="DB7" s="433"/>
      <c r="DC7" s="433"/>
      <c r="DD7" s="433"/>
      <c r="DE7" s="433"/>
      <c r="DF7" s="433"/>
      <c r="DG7" s="433"/>
      <c r="DH7" s="433"/>
      <c r="DI7" s="433"/>
      <c r="DJ7" s="433"/>
      <c r="DK7" s="433"/>
      <c r="DL7" s="433"/>
      <c r="DM7" s="433"/>
      <c r="DN7" s="433"/>
      <c r="DO7" s="433"/>
      <c r="DP7" s="433"/>
      <c r="DQ7" s="433"/>
      <c r="DR7" s="433"/>
      <c r="DS7" s="433"/>
      <c r="DT7" s="433"/>
      <c r="DU7" s="433"/>
      <c r="DV7" s="433"/>
      <c r="DW7" s="433"/>
      <c r="DX7" s="433"/>
      <c r="DY7" s="433"/>
      <c r="DZ7" s="433"/>
      <c r="EA7" s="433"/>
      <c r="EB7" s="433"/>
      <c r="EC7" s="433"/>
      <c r="ED7" s="433"/>
      <c r="EE7" s="433"/>
      <c r="EF7" s="433"/>
      <c r="EG7" s="433"/>
      <c r="EH7" s="433"/>
      <c r="EI7" s="433"/>
      <c r="EJ7" s="433"/>
      <c r="EK7" s="433"/>
      <c r="EL7" s="433"/>
      <c r="EM7" s="433"/>
      <c r="EN7" s="433"/>
      <c r="EO7" s="433"/>
      <c r="EP7" s="433"/>
      <c r="EQ7" s="433"/>
    </row>
    <row r="8" spans="1:147" s="434" customFormat="1" ht="15" customHeight="1" thickBot="1">
      <c r="A8" s="420"/>
      <c r="B8" s="421"/>
      <c r="C8" s="422"/>
      <c r="D8" s="422"/>
      <c r="E8" s="422"/>
      <c r="F8" s="422" t="s">
        <v>468</v>
      </c>
      <c r="G8" s="420"/>
      <c r="H8" s="422" t="s">
        <v>469</v>
      </c>
      <c r="I8" s="435" t="s">
        <v>470</v>
      </c>
      <c r="J8" s="436" t="s">
        <v>471</v>
      </c>
      <c r="K8" s="436" t="s">
        <v>379</v>
      </c>
      <c r="L8" s="436" t="s">
        <v>472</v>
      </c>
      <c r="M8" s="424"/>
      <c r="N8" s="1078" t="s">
        <v>473</v>
      </c>
      <c r="O8" s="1078"/>
      <c r="P8" s="425"/>
      <c r="Q8" s="1078" t="s">
        <v>474</v>
      </c>
      <c r="R8" s="1078"/>
      <c r="S8" s="422"/>
      <c r="T8" s="1078" t="s">
        <v>475</v>
      </c>
      <c r="U8" s="1078"/>
      <c r="V8" s="422"/>
      <c r="W8" s="1078" t="s">
        <v>476</v>
      </c>
      <c r="X8" s="1078"/>
      <c r="Y8" s="426"/>
      <c r="Z8" s="1078" t="s">
        <v>477</v>
      </c>
      <c r="AA8" s="1078"/>
      <c r="AB8" s="420"/>
      <c r="AC8" s="1078" t="s">
        <v>478</v>
      </c>
      <c r="AD8" s="1078"/>
      <c r="AE8" s="425"/>
      <c r="AF8" s="1080" t="s">
        <v>479</v>
      </c>
      <c r="AG8" s="1080"/>
      <c r="AH8" s="427"/>
      <c r="AI8" s="1081" t="s">
        <v>480</v>
      </c>
      <c r="AJ8" s="1081"/>
      <c r="AK8" s="1081"/>
      <c r="AL8" s="425"/>
      <c r="AM8" s="426" t="s">
        <v>481</v>
      </c>
      <c r="AN8" s="428"/>
      <c r="AO8" s="1076" t="s">
        <v>391</v>
      </c>
      <c r="AP8" s="1076"/>
      <c r="AQ8" s="1076"/>
      <c r="AR8" s="431"/>
      <c r="AS8" s="1076" t="s">
        <v>456</v>
      </c>
      <c r="AT8" s="1076"/>
      <c r="AU8" s="1076"/>
      <c r="AV8" s="431"/>
      <c r="AW8" s="1077" t="s">
        <v>482</v>
      </c>
      <c r="AX8" s="1077"/>
      <c r="AY8" s="1077"/>
      <c r="AZ8" s="433"/>
      <c r="BA8" s="1077" t="s">
        <v>483</v>
      </c>
      <c r="BB8" s="1077"/>
      <c r="BC8" s="1077"/>
      <c r="BD8" s="433"/>
      <c r="BE8" s="433"/>
      <c r="BF8" s="433"/>
      <c r="BG8" s="433"/>
      <c r="BH8" s="433"/>
      <c r="BI8" s="433"/>
      <c r="BJ8" s="433"/>
      <c r="BK8" s="433"/>
      <c r="BL8" s="433"/>
      <c r="BM8" s="433"/>
      <c r="BN8" s="433"/>
      <c r="BO8" s="433"/>
      <c r="BP8" s="433"/>
      <c r="BQ8" s="433"/>
      <c r="BR8" s="433"/>
      <c r="BS8" s="433"/>
      <c r="BT8" s="433"/>
      <c r="BU8" s="433"/>
      <c r="BV8" s="433"/>
      <c r="BW8" s="433"/>
      <c r="BX8" s="433"/>
      <c r="BY8" s="433"/>
      <c r="BZ8" s="433"/>
      <c r="CA8" s="433"/>
      <c r="CB8" s="433"/>
      <c r="CC8" s="433"/>
      <c r="CD8" s="433"/>
      <c r="CE8" s="433"/>
      <c r="CF8" s="433"/>
      <c r="CG8" s="433"/>
      <c r="CH8" s="433"/>
      <c r="CI8" s="433"/>
      <c r="CJ8" s="433"/>
      <c r="CK8" s="433"/>
      <c r="CL8" s="433"/>
      <c r="CM8" s="433"/>
      <c r="CN8" s="433"/>
      <c r="CO8" s="433"/>
      <c r="CP8" s="433"/>
      <c r="CQ8" s="433"/>
      <c r="CR8" s="433"/>
      <c r="CS8" s="433"/>
      <c r="CT8" s="433"/>
      <c r="CU8" s="433"/>
      <c r="CV8" s="433"/>
      <c r="CW8" s="433"/>
      <c r="CX8" s="433"/>
      <c r="CY8" s="433"/>
      <c r="CZ8" s="433"/>
      <c r="DA8" s="433"/>
      <c r="DB8" s="433"/>
      <c r="DC8" s="433"/>
      <c r="DD8" s="433"/>
      <c r="DE8" s="433"/>
      <c r="DF8" s="433"/>
      <c r="DG8" s="433"/>
      <c r="DH8" s="433"/>
      <c r="DI8" s="433"/>
      <c r="DJ8" s="433"/>
      <c r="DK8" s="433"/>
      <c r="DL8" s="433"/>
      <c r="DM8" s="433"/>
      <c r="DN8" s="433"/>
      <c r="DO8" s="433"/>
      <c r="DP8" s="433"/>
      <c r="DQ8" s="433"/>
      <c r="DR8" s="433"/>
      <c r="DS8" s="433"/>
      <c r="DT8" s="433"/>
      <c r="DU8" s="433"/>
      <c r="DV8" s="433"/>
      <c r="DW8" s="433"/>
      <c r="DX8" s="433"/>
      <c r="DY8" s="433"/>
      <c r="DZ8" s="433"/>
      <c r="EA8" s="433"/>
      <c r="EB8" s="433"/>
      <c r="EC8" s="433"/>
      <c r="ED8" s="433"/>
      <c r="EE8" s="433"/>
      <c r="EF8" s="433"/>
      <c r="EG8" s="433"/>
      <c r="EH8" s="433"/>
      <c r="EI8" s="433"/>
      <c r="EJ8" s="433"/>
      <c r="EK8" s="433"/>
      <c r="EL8" s="433"/>
      <c r="EM8" s="433"/>
      <c r="EN8" s="433"/>
      <c r="EO8" s="433"/>
      <c r="EP8" s="433"/>
      <c r="EQ8" s="433"/>
    </row>
    <row r="9" spans="1:147" s="434" customFormat="1" ht="15" customHeight="1" thickBot="1">
      <c r="A9" s="437"/>
      <c r="B9" s="438" t="s">
        <v>484</v>
      </c>
      <c r="C9" s="435" t="s">
        <v>485</v>
      </c>
      <c r="D9" s="435" t="s">
        <v>486</v>
      </c>
      <c r="E9" s="435" t="s">
        <v>487</v>
      </c>
      <c r="F9" s="439">
        <f ca="1">TODAY()</f>
        <v>46125</v>
      </c>
      <c r="G9" s="437"/>
      <c r="H9" s="435" t="s">
        <v>488</v>
      </c>
      <c r="I9" s="1078" t="s">
        <v>489</v>
      </c>
      <c r="J9" s="1078"/>
      <c r="K9" s="1078"/>
      <c r="L9" s="1078"/>
      <c r="M9" s="440"/>
      <c r="N9" s="435">
        <v>2020</v>
      </c>
      <c r="O9" s="435">
        <v>2021</v>
      </c>
      <c r="P9" s="441"/>
      <c r="Q9" s="442" t="s">
        <v>490</v>
      </c>
      <c r="R9" s="442" t="s">
        <v>491</v>
      </c>
      <c r="S9" s="435"/>
      <c r="T9" s="442" t="s">
        <v>490</v>
      </c>
      <c r="U9" s="442" t="s">
        <v>491</v>
      </c>
      <c r="V9" s="435"/>
      <c r="W9" s="435">
        <v>1</v>
      </c>
      <c r="X9" s="435">
        <v>2</v>
      </c>
      <c r="Y9" s="443"/>
      <c r="Z9" s="435">
        <v>2020</v>
      </c>
      <c r="AA9" s="435">
        <v>2021</v>
      </c>
      <c r="AB9" s="437"/>
      <c r="AC9" s="442" t="s">
        <v>490</v>
      </c>
      <c r="AD9" s="442" t="s">
        <v>491</v>
      </c>
      <c r="AE9" s="441"/>
      <c r="AF9" s="444">
        <v>2017</v>
      </c>
      <c r="AG9" s="444">
        <v>2018</v>
      </c>
      <c r="AH9" s="444"/>
      <c r="AI9" s="444">
        <v>2016</v>
      </c>
      <c r="AJ9" s="442" t="s">
        <v>490</v>
      </c>
      <c r="AK9" s="442" t="s">
        <v>491</v>
      </c>
      <c r="AL9" s="441"/>
      <c r="AM9" s="445" t="s">
        <v>466</v>
      </c>
      <c r="AN9" s="446"/>
      <c r="AO9" s="447" t="s">
        <v>492</v>
      </c>
      <c r="AP9" s="447" t="s">
        <v>490</v>
      </c>
      <c r="AQ9" s="447" t="s">
        <v>491</v>
      </c>
      <c r="AR9" s="444"/>
      <c r="AS9" s="447" t="s">
        <v>492</v>
      </c>
      <c r="AT9" s="447" t="s">
        <v>490</v>
      </c>
      <c r="AU9" s="447" t="s">
        <v>491</v>
      </c>
      <c r="AV9" s="444"/>
      <c r="AW9" s="447" t="s">
        <v>492</v>
      </c>
      <c r="AX9" s="447" t="s">
        <v>490</v>
      </c>
      <c r="AY9" s="447" t="s">
        <v>491</v>
      </c>
      <c r="AZ9" s="433"/>
      <c r="BA9" s="447" t="s">
        <v>492</v>
      </c>
      <c r="BB9" s="447" t="s">
        <v>490</v>
      </c>
      <c r="BC9" s="447" t="s">
        <v>491</v>
      </c>
      <c r="BD9" s="433"/>
      <c r="BE9" s="433"/>
      <c r="BF9" s="433"/>
      <c r="BG9" s="433"/>
      <c r="BH9" s="433"/>
      <c r="BI9" s="433"/>
      <c r="BJ9" s="433"/>
      <c r="BK9" s="433"/>
      <c r="BL9" s="433"/>
      <c r="BM9" s="433"/>
      <c r="BN9" s="433"/>
      <c r="BO9" s="433"/>
      <c r="BP9" s="433"/>
      <c r="BQ9" s="433"/>
      <c r="BR9" s="433"/>
      <c r="BS9" s="433"/>
      <c r="BT9" s="433"/>
      <c r="BU9" s="433"/>
      <c r="BV9" s="433"/>
      <c r="BW9" s="433"/>
      <c r="BX9" s="433"/>
      <c r="BY9" s="433"/>
      <c r="BZ9" s="433"/>
      <c r="CA9" s="433"/>
      <c r="CB9" s="433"/>
      <c r="CC9" s="433"/>
      <c r="CD9" s="433"/>
      <c r="CE9" s="433"/>
      <c r="CF9" s="433"/>
      <c r="CG9" s="433"/>
      <c r="CH9" s="433"/>
      <c r="CI9" s="433"/>
      <c r="CJ9" s="433"/>
      <c r="CK9" s="433"/>
      <c r="CL9" s="433"/>
      <c r="CM9" s="433"/>
      <c r="CN9" s="433"/>
      <c r="CO9" s="433"/>
      <c r="CP9" s="433"/>
      <c r="CQ9" s="433"/>
      <c r="CR9" s="433"/>
      <c r="CS9" s="433"/>
      <c r="CT9" s="433"/>
      <c r="CU9" s="433"/>
      <c r="CV9" s="433"/>
      <c r="CW9" s="433"/>
      <c r="CX9" s="433"/>
      <c r="CY9" s="433"/>
      <c r="CZ9" s="433"/>
      <c r="DA9" s="433"/>
      <c r="DB9" s="433"/>
      <c r="DC9" s="433"/>
      <c r="DD9" s="433"/>
      <c r="DE9" s="433"/>
      <c r="DF9" s="433"/>
      <c r="DG9" s="433"/>
      <c r="DH9" s="433"/>
      <c r="DI9" s="433"/>
      <c r="DJ9" s="433"/>
      <c r="DK9" s="433"/>
      <c r="DL9" s="433"/>
      <c r="DM9" s="433"/>
      <c r="DN9" s="433"/>
      <c r="DO9" s="433"/>
      <c r="DP9" s="433"/>
      <c r="DQ9" s="433"/>
      <c r="DR9" s="433"/>
      <c r="DS9" s="433"/>
      <c r="DT9" s="433"/>
      <c r="DU9" s="433"/>
      <c r="DV9" s="433"/>
      <c r="DW9" s="433"/>
      <c r="DX9" s="433"/>
      <c r="DY9" s="433"/>
      <c r="DZ9" s="433"/>
      <c r="EA9" s="433"/>
      <c r="EB9" s="433"/>
      <c r="EC9" s="433"/>
      <c r="ED9" s="433"/>
      <c r="EE9" s="433"/>
      <c r="EF9" s="433"/>
      <c r="EG9" s="433"/>
      <c r="EH9" s="433"/>
      <c r="EI9" s="433"/>
      <c r="EJ9" s="433"/>
      <c r="EK9" s="433"/>
      <c r="EL9" s="433"/>
      <c r="EM9" s="433"/>
      <c r="EN9" s="433"/>
      <c r="EO9" s="433"/>
      <c r="EP9" s="433"/>
      <c r="EQ9" s="433"/>
    </row>
    <row r="10" spans="1:147" s="434" customFormat="1" ht="15" customHeight="1">
      <c r="A10" s="420"/>
      <c r="B10" s="421"/>
      <c r="C10" s="422"/>
      <c r="D10" s="422"/>
      <c r="E10" s="422"/>
      <c r="F10" s="448"/>
      <c r="G10" s="420"/>
      <c r="H10" s="422"/>
      <c r="I10" s="422"/>
      <c r="J10" s="422"/>
      <c r="K10" s="422"/>
      <c r="L10" s="422"/>
      <c r="M10" s="424"/>
      <c r="N10" s="422"/>
      <c r="O10" s="422"/>
      <c r="P10" s="425"/>
      <c r="Q10" s="422"/>
      <c r="R10" s="422"/>
      <c r="S10" s="422"/>
      <c r="T10" s="422"/>
      <c r="U10" s="422"/>
      <c r="V10" s="422"/>
      <c r="W10" s="422"/>
      <c r="X10" s="422"/>
      <c r="Y10" s="449"/>
      <c r="Z10" s="425"/>
      <c r="AA10" s="425"/>
      <c r="AB10" s="420"/>
      <c r="AC10" s="422"/>
      <c r="AD10" s="422"/>
      <c r="AE10" s="425"/>
      <c r="AF10" s="427"/>
      <c r="AG10" s="427"/>
      <c r="AH10" s="427"/>
      <c r="AI10" s="427"/>
      <c r="AJ10" s="422"/>
      <c r="AK10" s="422"/>
      <c r="AL10" s="425"/>
      <c r="AM10" s="426"/>
      <c r="AN10" s="428"/>
      <c r="AO10" s="450"/>
      <c r="AP10" s="451"/>
      <c r="AQ10" s="451"/>
      <c r="AR10" s="451"/>
      <c r="AS10" s="450"/>
      <c r="AT10" s="451"/>
      <c r="AU10" s="451"/>
      <c r="AV10" s="452"/>
      <c r="AW10" s="450"/>
      <c r="AX10" s="451"/>
      <c r="AY10" s="451"/>
      <c r="AZ10" s="433"/>
      <c r="BA10" s="433"/>
      <c r="BB10" s="433"/>
      <c r="BC10" s="433"/>
      <c r="BD10" s="433"/>
      <c r="BE10" s="433"/>
      <c r="BF10" s="433"/>
      <c r="BG10" s="433"/>
      <c r="BH10" s="433"/>
      <c r="BI10" s="433"/>
      <c r="BJ10" s="433"/>
      <c r="BK10" s="433"/>
      <c r="BL10" s="433"/>
      <c r="BM10" s="433"/>
      <c r="BN10" s="433"/>
      <c r="BO10" s="433"/>
      <c r="BP10" s="433"/>
      <c r="BQ10" s="433"/>
      <c r="BR10" s="433"/>
      <c r="BS10" s="433"/>
      <c r="BT10" s="433"/>
      <c r="BU10" s="433"/>
      <c r="BV10" s="433"/>
      <c r="BW10" s="433"/>
      <c r="BX10" s="433"/>
      <c r="BY10" s="433"/>
      <c r="BZ10" s="433"/>
      <c r="CA10" s="433"/>
      <c r="CB10" s="433"/>
      <c r="CC10" s="433"/>
      <c r="CD10" s="433"/>
      <c r="CE10" s="433"/>
      <c r="CF10" s="433"/>
      <c r="CG10" s="433"/>
      <c r="CH10" s="433"/>
      <c r="CI10" s="433"/>
      <c r="CJ10" s="433"/>
      <c r="CK10" s="433"/>
      <c r="CL10" s="433"/>
      <c r="CM10" s="433"/>
      <c r="CN10" s="433"/>
      <c r="CO10" s="433"/>
      <c r="CP10" s="433"/>
      <c r="CQ10" s="433"/>
      <c r="CR10" s="433"/>
      <c r="CS10" s="433"/>
      <c r="CT10" s="433"/>
      <c r="CU10" s="433"/>
      <c r="CV10" s="433"/>
      <c r="CW10" s="433"/>
      <c r="CX10" s="433"/>
      <c r="CY10" s="433"/>
      <c r="CZ10" s="433"/>
      <c r="DA10" s="433"/>
      <c r="DB10" s="433"/>
      <c r="DC10" s="433"/>
      <c r="DD10" s="433"/>
      <c r="DE10" s="433"/>
      <c r="DF10" s="433"/>
      <c r="DG10" s="433"/>
      <c r="DH10" s="433"/>
      <c r="DI10" s="433"/>
      <c r="DJ10" s="433"/>
      <c r="DK10" s="433"/>
      <c r="DL10" s="433"/>
      <c r="DM10" s="433"/>
      <c r="DN10" s="433"/>
      <c r="DO10" s="433"/>
      <c r="DP10" s="433"/>
      <c r="DQ10" s="433"/>
      <c r="DR10" s="433"/>
      <c r="DS10" s="433"/>
      <c r="DT10" s="433"/>
      <c r="DU10" s="433"/>
      <c r="DV10" s="433"/>
      <c r="DW10" s="433"/>
      <c r="DX10" s="433"/>
      <c r="DY10" s="433"/>
      <c r="DZ10" s="433"/>
      <c r="EA10" s="433"/>
      <c r="EB10" s="433"/>
      <c r="EC10" s="433"/>
      <c r="ED10" s="433"/>
      <c r="EE10" s="433"/>
      <c r="EF10" s="433"/>
      <c r="EG10" s="433"/>
      <c r="EH10" s="433"/>
      <c r="EI10" s="433"/>
      <c r="EJ10" s="433"/>
      <c r="EK10" s="433"/>
      <c r="EL10" s="433"/>
      <c r="EM10" s="433"/>
      <c r="EN10" s="433"/>
      <c r="EO10" s="433"/>
      <c r="EP10" s="433"/>
      <c r="EQ10" s="433"/>
    </row>
    <row r="11" spans="1:147" s="460" customFormat="1" ht="15" customHeight="1">
      <c r="A11" s="453" t="s">
        <v>493</v>
      </c>
      <c r="B11" s="454"/>
      <c r="C11" s="454"/>
      <c r="D11" s="454"/>
      <c r="E11" s="454"/>
      <c r="F11" s="455"/>
      <c r="G11" s="454"/>
      <c r="H11" s="456"/>
      <c r="I11" s="455"/>
      <c r="J11" s="455"/>
      <c r="K11" s="455"/>
      <c r="L11" s="455"/>
      <c r="M11" s="454"/>
      <c r="N11" s="457"/>
      <c r="O11" s="457"/>
      <c r="P11" s="457"/>
      <c r="Q11" s="457"/>
      <c r="R11" s="457"/>
      <c r="S11" s="457"/>
      <c r="T11" s="457"/>
      <c r="U11" s="457"/>
      <c r="V11" s="457"/>
      <c r="W11" s="457"/>
      <c r="X11" s="457"/>
      <c r="Y11" s="457"/>
      <c r="Z11" s="457"/>
      <c r="AA11" s="457"/>
      <c r="AB11" s="454"/>
      <c r="AC11" s="457"/>
      <c r="AD11" s="457"/>
      <c r="AE11" s="457"/>
      <c r="AF11" s="457"/>
      <c r="AG11" s="457"/>
      <c r="AH11" s="457"/>
      <c r="AI11" s="457"/>
      <c r="AJ11" s="457"/>
      <c r="AK11" s="457"/>
      <c r="AL11" s="457"/>
      <c r="AM11" s="458"/>
      <c r="AN11" s="454"/>
      <c r="AO11" s="459"/>
      <c r="AP11" s="459"/>
      <c r="AQ11" s="459"/>
      <c r="AR11" s="459"/>
      <c r="AS11" s="459"/>
      <c r="AT11" s="459"/>
      <c r="AU11" s="459"/>
      <c r="AV11" s="459"/>
      <c r="AW11" s="459"/>
      <c r="AX11" s="459"/>
      <c r="AY11" s="459"/>
    </row>
    <row r="12" spans="1:147" s="433" customFormat="1" ht="15" customHeight="1">
      <c r="A12" s="461"/>
      <c r="B12" s="461" t="str" cm="1">
        <f t="array" ref="B12">_xll.FDS(C12,"FG_COMPANY_NAME")</f>
        <v>AAR CORP.</v>
      </c>
      <c r="C12" s="461" t="s">
        <v>494</v>
      </c>
      <c r="D12" s="462"/>
      <c r="E12" s="462" t="s">
        <v>495</v>
      </c>
      <c r="F12" s="463" cm="1">
        <f t="array" ref="F12">_xll.FDS(C12,"FG_PRICE(NOW)")</f>
        <v>113.22</v>
      </c>
      <c r="G12" s="461"/>
      <c r="H12" s="464" cm="1">
        <f t="array" ref="H12">_xll.FDS(C12,"FF_COM_SHS_OUT_EPS_DIL(MON,NOW)")</f>
        <v>38.1</v>
      </c>
      <c r="I12" s="465">
        <f t="shared" ref="I12:I16" si="0">F12*H12</f>
        <v>4313.6819999999998</v>
      </c>
      <c r="J12" s="465" cm="1">
        <f t="array" ref="J12">_xll.FDS(C12,"FF_DEBT(MON,NOW)")</f>
        <v>1044.3</v>
      </c>
      <c r="K12" s="465" cm="1">
        <f t="array" ref="K12">_xll.FDS(C12,"FF_CASH_ST(MON,NOW)")</f>
        <v>96.2</v>
      </c>
      <c r="L12" s="465">
        <f t="shared" ref="L12:L16" si="1">I12+J12-K12</f>
        <v>5261.7820000000002</v>
      </c>
      <c r="M12" s="461"/>
      <c r="N12" s="466">
        <f t="shared" ref="N12:O16" si="2">IF($L12/AP12&lt;0,"NM",$L12/AP12)</f>
        <v>1.638057531947726</v>
      </c>
      <c r="O12" s="466">
        <f t="shared" si="2"/>
        <v>1.4825769144701388</v>
      </c>
      <c r="P12" s="466"/>
      <c r="Q12" s="466">
        <f t="shared" ref="Q12:R12" si="3">IF($L12/AT12&lt;0,"NM",$L12/AT12)</f>
        <v>13.622262920411595</v>
      </c>
      <c r="R12" s="466">
        <f t="shared" si="3"/>
        <v>12.060572252708658</v>
      </c>
      <c r="S12" s="466"/>
      <c r="T12" s="466">
        <f t="shared" ref="T12:U15" si="4">IF($F12/AX12&lt;0,"NM",$F12/AX12)</f>
        <v>24.052806553784322</v>
      </c>
      <c r="U12" s="466">
        <f>IF($F12/AY12&lt;0,"NM",$F12/AY12)</f>
        <v>20.574766889272247</v>
      </c>
      <c r="V12" s="466"/>
      <c r="W12" s="466">
        <f>IF(L12/BB12&lt;0,"NM",L12/BB12)</f>
        <v>241.14491292392302</v>
      </c>
      <c r="X12" s="466">
        <f>IF(L12/BC12&lt;0,"NM",L12/BC12)</f>
        <v>51.184649805447471</v>
      </c>
      <c r="Y12" s="462"/>
      <c r="Z12" s="467">
        <f t="shared" ref="Z12:Z16" si="5">IF((J12-K12)/AT12&lt;0,"NM",(J12-K12)/AT12)</f>
        <v>2.4545424867169015</v>
      </c>
      <c r="AA12" s="467">
        <f t="shared" ref="AA12:AA16" si="6">IF((J12-K12)/AU12&lt;0,"NM",(J12-K12)/AU12)</f>
        <v>2.1731475292577835</v>
      </c>
      <c r="AB12" s="461"/>
      <c r="AC12" s="468">
        <f t="shared" ref="AC12:AD16" si="7">AP12/AO12-1</f>
        <v>0.15526283042618227</v>
      </c>
      <c r="AD12" s="468">
        <f t="shared" si="7"/>
        <v>0.10487187272382048</v>
      </c>
      <c r="AE12" s="462"/>
      <c r="AF12" s="468">
        <f t="shared" ref="AF12:AG16" si="8">AT12/AS12-1</f>
        <v>0.19024244665280032</v>
      </c>
      <c r="AG12" s="468">
        <f t="shared" si="8"/>
        <v>0.12948727763329804</v>
      </c>
      <c r="AH12" s="468"/>
      <c r="AI12" s="468">
        <f t="shared" ref="AI12:AK16" si="9">IF(AS12/AO12&lt;0,"NM",AS12/AO12)</f>
        <v>0.11671461967272073</v>
      </c>
      <c r="AJ12" s="468">
        <f t="shared" si="9"/>
        <v>0.12024856233638399</v>
      </c>
      <c r="AK12" s="468">
        <f t="shared" si="9"/>
        <v>0.12292757618836619</v>
      </c>
      <c r="AL12" s="462"/>
      <c r="AM12" s="469" cm="1">
        <f t="array" ref="AM12">_xll.FDS(C12,"P_DIV_YLD")</f>
        <v>0</v>
      </c>
      <c r="AN12" s="461"/>
      <c r="AO12" s="470" cm="1">
        <f t="array" ref="AO12">_xll.FDS($C12,"FE_ESTIMATE(SALES,MEAN,ANN_ROLL,+0,NOW,,,'')")</f>
        <v>2780.5</v>
      </c>
      <c r="AP12" s="470" cm="1">
        <f t="array" ref="AP12">_xll.FDS($C12,"FE_ESTIMATE(SALES,MEAN,ANN_ROLL,+1,NOW,,,'')")</f>
        <v>3212.2082999999998</v>
      </c>
      <c r="AQ12" s="470" cm="1">
        <f t="array" ref="AQ12">_xll.FDS($C12,"FE_ESTIMATE(SALES,MEAN,ANN_ROLL,+2,NOW,,,'')")</f>
        <v>3549.0785999999998</v>
      </c>
      <c r="AR12" s="470"/>
      <c r="AS12" s="470" cm="1">
        <f t="array" ref="AS12">_xll.FDS($C12,"FE_ESTIMATE(EBITDA,MEAN,ANN_ROLL,+0,NOW,,,'')")</f>
        <v>324.52499999999998</v>
      </c>
      <c r="AT12" s="470" cm="1">
        <f t="array" ref="AT12">_xll.FDS($C12,"FE_ESTIMATE(EBITDA,MEAN,ANN_ROLL,+1,NOW,,,'')")</f>
        <v>386.26343000000003</v>
      </c>
      <c r="AU12" s="470" cm="1">
        <f t="array" ref="AU12">_xll.FDS($C12,"FE_ESTIMATE(EBITDA,MEAN,ANN_ROLL,+2,NOW,,,'')")</f>
        <v>436.27963</v>
      </c>
      <c r="AV12" s="471"/>
      <c r="AW12" s="472" cm="1">
        <f t="array" ref="AW12">_xll.FDS($C12,"FE_ESTIMATE(EPS,MEAN,ANN_ROLL,+0,NOW,,,'')")</f>
        <v>3.91</v>
      </c>
      <c r="AX12" s="472" cm="1">
        <f t="array" ref="AX12">_xll.FDS($C12,"FE_ESTIMATE(EPS,MEAN,ANN_ROLL,+1,NOW,,,'')")</f>
        <v>4.7071430000000003</v>
      </c>
      <c r="AY12" s="472" cm="1">
        <f t="array" ref="AY12">_xll.FDS($C12,"FE_ESTIMATE(EPS,MEAN,ANN_ROLL,+2,NOW,,,'')")</f>
        <v>5.5028569999999997</v>
      </c>
      <c r="BA12" s="470" cm="1">
        <f t="array" ref="BA12">_xll.FDS($C12,"FE_ESTIMATE(FCF,MEAN,ANN_ROLL,+0,NOW,,,'')")</f>
        <v>1.1333333000000001</v>
      </c>
      <c r="BB12" s="470" cm="1">
        <f t="array" ref="BB12">_xll.FDS($C12,"FE_ESTIMATE(FCF,MEAN,ANN_ROLL,+1,NOW,,,'')")</f>
        <v>21.82</v>
      </c>
      <c r="BC12" s="470" cm="1">
        <f t="array" ref="BC12">_xll.FDS($C12,"FE_ESTIMATE(FCF,MEAN,ANN_ROLL,+2,NOW,,,'')")</f>
        <v>102.8</v>
      </c>
    </row>
    <row r="13" spans="1:147" s="433" customFormat="1" ht="15" customHeight="1">
      <c r="A13" s="461"/>
      <c r="B13" s="461" t="str" cm="1">
        <f t="array" ref="B13">_xll.FDS(C13,"FG_COMPANY_NAME")</f>
        <v>BWX Technologies, Inc.</v>
      </c>
      <c r="C13" s="461" t="s">
        <v>496</v>
      </c>
      <c r="D13" s="462"/>
      <c r="E13" s="462" t="s">
        <v>497</v>
      </c>
      <c r="F13" s="463" cm="1">
        <f t="array" ref="F13">_xll.FDS(C13,"FG_PRICE(NOW)")</f>
        <v>196.9</v>
      </c>
      <c r="G13" s="461"/>
      <c r="H13" s="464" cm="1">
        <f t="array" ref="H13">_xll.FDS(C13,"FF_COM_SHS_OUT_EPS_DIL(MON,NOW)")</f>
        <v>91.787602000000007</v>
      </c>
      <c r="I13" s="465">
        <f t="shared" si="0"/>
        <v>18072.978833800003</v>
      </c>
      <c r="J13" s="465" cm="1">
        <f t="array" ref="J13">_xll.FDS(C13,"FF_DEBT(MON,NOW)")</f>
        <v>1509.57</v>
      </c>
      <c r="K13" s="465" cm="1">
        <f t="array" ref="K13">_xll.FDS(C13,"FF_CASH_ST(MON,NOW)")</f>
        <v>82.65</v>
      </c>
      <c r="L13" s="465">
        <f t="shared" si="1"/>
        <v>19499.898833800002</v>
      </c>
      <c r="M13" s="461"/>
      <c r="N13" s="466">
        <f t="shared" si="2"/>
        <v>6.1829611209899848</v>
      </c>
      <c r="O13" s="466">
        <f t="shared" si="2"/>
        <v>5.3078325679353702</v>
      </c>
      <c r="P13" s="466"/>
      <c r="Q13" s="466">
        <f>IF($L13/AT13&lt;0,"NM",$L13/AT13)</f>
        <v>34.124355455480263</v>
      </c>
      <c r="R13" s="466">
        <f t="shared" ref="R13:R15" si="10">IF($L13/AU13&lt;0,"NM",$L13/AU13)</f>
        <v>29.911306891294082</v>
      </c>
      <c r="S13" s="466"/>
      <c r="T13" s="466">
        <f t="shared" si="4"/>
        <v>51.532249543910801</v>
      </c>
      <c r="U13" s="466">
        <f t="shared" si="4"/>
        <v>45.838935158509834</v>
      </c>
      <c r="V13" s="466"/>
      <c r="W13" s="466">
        <f t="shared" ref="W13:W21" si="11">IF(L13/BB13&lt;0,"NM",L13/BB13)</f>
        <v>67.546924862835738</v>
      </c>
      <c r="X13" s="466">
        <f t="shared" ref="X13:X21" si="12">IF(L13/BC13&lt;0,"NM",L13/BC13)</f>
        <v>70.473947467218252</v>
      </c>
      <c r="Y13" s="462"/>
      <c r="Z13" s="467">
        <f t="shared" si="5"/>
        <v>2.4970757900616758</v>
      </c>
      <c r="AA13" s="467">
        <f t="shared" si="6"/>
        <v>2.1887827415465604</v>
      </c>
      <c r="AB13" s="461"/>
      <c r="AC13" s="468">
        <f t="shared" si="7"/>
        <v>0.16649996634184694</v>
      </c>
      <c r="AD13" s="468">
        <f t="shared" si="7"/>
        <v>0.16487493564534561</v>
      </c>
      <c r="AE13" s="462"/>
      <c r="AF13" s="468">
        <f t="shared" si="8"/>
        <v>0.14585201523962321</v>
      </c>
      <c r="AG13" s="468">
        <f t="shared" si="8"/>
        <v>0.14085137033622619</v>
      </c>
      <c r="AH13" s="468"/>
      <c r="AI13" s="468">
        <f t="shared" si="9"/>
        <v>0.18445407585438078</v>
      </c>
      <c r="AJ13" s="468">
        <f>IF(AT13/AP13&lt;0,"NM",AT13/AP13)</f>
        <v>0.18118909612978554</v>
      </c>
      <c r="AK13" s="468">
        <f t="shared" si="9"/>
        <v>0.17745237903597774</v>
      </c>
      <c r="AL13" s="462"/>
      <c r="AM13" s="469" cm="1">
        <f t="array" ref="AM13">_xll.FDS(C13,"P_DIV_YLD")</f>
        <v>0.50377833999999999</v>
      </c>
      <c r="AN13" s="461"/>
      <c r="AO13" s="470" cm="1">
        <f t="array" ref="AO13">_xll.FDS($C13,"FE_ESTIMATE(SALES,MEAN,ANN_ROLL,+0,NOW,,,'')")</f>
        <v>2703.654</v>
      </c>
      <c r="AP13" s="470" cm="1">
        <f t="array" ref="AP13">_xll.FDS($C13,"FE_ESTIMATE(SALES,MEAN,ANN_ROLL,+1,NOW,,,'')")</f>
        <v>3153.8123000000001</v>
      </c>
      <c r="AQ13" s="470" cm="1">
        <f t="array" ref="AQ13">_xll.FDS($C13,"FE_ESTIMATE(SALES,MEAN,ANN_ROLL,+2,NOW,,,'')")</f>
        <v>3673.7968999999998</v>
      </c>
      <c r="AR13" s="470"/>
      <c r="AS13" s="470" cm="1">
        <f t="array" ref="AS13">_xll.FDS($C13,"FE_ESTIMATE(EBITDA,MEAN,ANN_ROLL,+0,NOW,,,'')")</f>
        <v>498.7</v>
      </c>
      <c r="AT13" s="470" cm="1">
        <f t="array" ref="AT13">_xll.FDS($C13,"FE_ESTIMATE(EBITDA,MEAN,ANN_ROLL,+1,NOW,,,'')")</f>
        <v>571.43640000000005</v>
      </c>
      <c r="AU13" s="470" cm="1">
        <f t="array" ref="AU13">_xll.FDS($C13,"FE_ESTIMATE(EBITDA,MEAN,ANN_ROLL,+2,NOW,,,'')")</f>
        <v>651.92399999999998</v>
      </c>
      <c r="AV13" s="471"/>
      <c r="AW13" s="472" cm="1">
        <f t="array" ref="AW13">_xll.FDS($C13,"FE_ESTIMATE(EPS,MEAN,ANN_ROLL,+0,NOW,,,'')")</f>
        <v>3.33</v>
      </c>
      <c r="AX13" s="472" cm="1">
        <f t="array" ref="AX13">_xll.FDS($C13,"FE_ESTIMATE(EPS,MEAN,ANN_ROLL,+1,NOW,,,'')")</f>
        <v>3.8209083000000001</v>
      </c>
      <c r="AY13" s="472" cm="1">
        <f t="array" ref="AY13">_xll.FDS($C13,"FE_ESTIMATE(EPS,MEAN,ANN_ROLL,+2,NOW,,,'')")</f>
        <v>4.2954749999999997</v>
      </c>
      <c r="BA13" s="470" cm="1">
        <f t="array" ref="BA13">_xll.FDS($C13,"FE_ESTIMATE(FCF,MEAN,ANN_ROLL,+0,NOW,,,'')")</f>
        <v>254.8</v>
      </c>
      <c r="BB13" s="470" cm="1">
        <f t="array" ref="BB13">_xll.FDS($C13,"FE_ESTIMATE(FCF,MEAN,ANN_ROLL,+1,NOW,,,'')")</f>
        <v>288.68669999999997</v>
      </c>
      <c r="BC13" s="470" cm="1">
        <f t="array" ref="BC13">_xll.FDS($C13,"FE_ESTIMATE(FCF,MEAN,ANN_ROLL,+2,NOW,,,'')")</f>
        <v>276.69655999999998</v>
      </c>
    </row>
    <row r="14" spans="1:147" s="433" customFormat="1" ht="15" customHeight="1">
      <c r="A14" s="461"/>
      <c r="B14" s="461" t="str" cm="1">
        <f t="array" ref="B14">_xll.FDS(C14,"FG_COMPANY_NAME")</f>
        <v>HEICO Corporation</v>
      </c>
      <c r="C14" s="461" t="s">
        <v>498</v>
      </c>
      <c r="D14" s="462"/>
      <c r="E14" s="462" t="s">
        <v>495</v>
      </c>
      <c r="F14" s="463" cm="1">
        <f t="array" ref="F14">_xll.FDS(C14,"FG_PRICE(NOW)")</f>
        <v>328.45</v>
      </c>
      <c r="G14" s="473"/>
      <c r="H14" s="474" cm="1">
        <f t="array" ref="H14">_xll.FDS(C14,"FF_COM_SHS_OUT_EPS_DIL(MON,NOW)")</f>
        <v>140.77099999999999</v>
      </c>
      <c r="I14" s="475">
        <f t="shared" ref="I14" si="13">F14*H14</f>
        <v>46236.234949999991</v>
      </c>
      <c r="J14" s="476" cm="1">
        <f t="array" ref="J14">_xll.FDS(C14,"FF_DEBT(MON,NOW)")</f>
        <v>2308.6660000000002</v>
      </c>
      <c r="K14" s="476" cm="1">
        <f t="array" ref="K14">_xll.FDS(C14,"FF_CASH_ST(MON,NOW)")</f>
        <v>217.78100000000001</v>
      </c>
      <c r="L14" s="475">
        <f t="shared" ref="L14" si="14">I14+J14-K14</f>
        <v>48327.119949999986</v>
      </c>
      <c r="M14" s="473"/>
      <c r="N14" s="477">
        <f t="shared" ref="N14" si="15">IF($L14/AP14&lt;0,"NM",$L14/AP14)</f>
        <v>9.6827518554103644</v>
      </c>
      <c r="O14" s="477">
        <f t="shared" ref="O14" si="16">IF($L14/AQ14&lt;0,"NM",$L14/AQ14)</f>
        <v>8.9720729582722658</v>
      </c>
      <c r="P14" s="477"/>
      <c r="Q14" s="477">
        <f>IF($L14/AT14&lt;0,"NM",$L14/AT14)</f>
        <v>35.386473968156999</v>
      </c>
      <c r="R14" s="477">
        <f t="shared" ref="R14" si="17">IF($L14/AU14&lt;0,"NM",$L14/AU14)</f>
        <v>32.520669621179238</v>
      </c>
      <c r="S14" s="477"/>
      <c r="T14" s="477">
        <f>IF($F14/AX14&lt;0,"NM",$F14/AX14)</f>
        <v>59.733614812117814</v>
      </c>
      <c r="U14" s="477">
        <f t="shared" ref="U14" si="18">IF($F14/AY14&lt;0,"NM",$F14/AY14)</f>
        <v>53.134954209624631</v>
      </c>
      <c r="V14" s="477"/>
      <c r="W14" s="466">
        <f t="shared" ref="W14" si="19">IF(L14/BB14&lt;0,"NM",L14/BB14)</f>
        <v>54.255745650342348</v>
      </c>
      <c r="X14" s="466">
        <f t="shared" ref="X14" si="20">IF(L14/BC14&lt;0,"NM",L14/BC14)</f>
        <v>47.119701167435053</v>
      </c>
      <c r="Y14" s="479"/>
      <c r="Z14" s="480">
        <f t="shared" ref="Z14" si="21">IF((J14-K14)/AT14&lt;0,"NM",(J14-K14)/AT14)</f>
        <v>1.531004696730536</v>
      </c>
      <c r="AA14" s="480">
        <f t="shared" ref="AA14" si="22">IF((J14-K14)/AU14&lt;0,"NM",(J14-K14)/AU14)</f>
        <v>1.4070149508439593</v>
      </c>
      <c r="AB14" s="473"/>
      <c r="AC14" s="481">
        <f t="shared" ref="AC14" si="23">AP14/AO14-1</f>
        <v>0.11282123430673141</v>
      </c>
      <c r="AD14" s="481">
        <f t="shared" ref="AD14" si="24">AQ14/AP14-1</f>
        <v>7.9210111246682535E-2</v>
      </c>
      <c r="AE14" s="479"/>
      <c r="AF14" s="481">
        <f t="shared" ref="AF14" si="25">AT14/AS14-1</f>
        <v>0.1202883640166279</v>
      </c>
      <c r="AG14" s="481">
        <f t="shared" ref="AG14" si="26">AU14/AT14-1</f>
        <v>8.8122550376742437E-2</v>
      </c>
      <c r="AH14" s="481"/>
      <c r="AI14" s="481">
        <f t="shared" ref="AI14" si="27">IF(AS14/AO14&lt;0,"NM",AS14/AO14)</f>
        <v>0.27180478051051449</v>
      </c>
      <c r="AJ14" s="481">
        <f t="shared" ref="AJ14" si="28">IF(AT14/AP14&lt;0,"NM",AT14/AP14)</f>
        <v>0.27362861482394435</v>
      </c>
      <c r="AK14" s="481">
        <f>IF(AU14/AQ14&lt;0,"NM",AU14/AQ14)</f>
        <v>0.27588832157469356</v>
      </c>
      <c r="AL14" s="479"/>
      <c r="AM14" s="482" cm="1">
        <f t="array" ref="AM14">_xll.FDS(C14,"P_DIV_YLD")</f>
        <v>7.4441686000000007E-2</v>
      </c>
      <c r="AN14" s="473"/>
      <c r="AO14" s="470" cm="1">
        <f t="array" ref="AO14">_xll.FDS($C14,"FE_ESTIMATE(SALES,MEAN,ANN_ROLL,+0,NOW,,,'')")</f>
        <v>4485.0439999999999</v>
      </c>
      <c r="AP14" s="470" cm="1">
        <f t="array" ref="AP14">_xll.FDS($C14,"FE_ESTIMATE(SALES,MEAN,ANN_ROLL,+1,NOW,,,'')")</f>
        <v>4991.0522000000001</v>
      </c>
      <c r="AQ14" s="470" cm="1">
        <f t="array" ref="AQ14">_xll.FDS($C14,"FE_ESTIMATE(SALES,MEAN,ANN_ROLL,+2,NOW,,,'')")</f>
        <v>5386.3940000000002</v>
      </c>
      <c r="AR14" s="470"/>
      <c r="AS14" s="470" cm="1">
        <f t="array" ref="AS14">_xll.FDS($C14,"FE_ESTIMATE(EBITDA,MEAN,ANN_ROLL,+0,NOW,,,'')")</f>
        <v>1219.0563999999999</v>
      </c>
      <c r="AT14" s="470" cm="1">
        <f t="array" ref="AT14">_xll.FDS($C14,"FE_ESTIMATE(EBITDA,MEAN,ANN_ROLL,+1,NOW,,,'')")</f>
        <v>1365.6947</v>
      </c>
      <c r="AU14" s="470" cm="1">
        <f t="array" ref="AU14">_xll.FDS($C14,"FE_ESTIMATE(EBITDA,MEAN,ANN_ROLL,+2,NOW,,,'')")</f>
        <v>1486.0432000000001</v>
      </c>
      <c r="AV14" s="471"/>
      <c r="AW14" s="472" cm="1">
        <f t="array" ref="AW14">_xll.FDS($C14,"FE_ESTIMATE(EPS,MEAN,ANN_ROLL,+0,NOW,,,'')")</f>
        <v>4.9000000000000004</v>
      </c>
      <c r="AX14" s="472" cm="1">
        <f t="array" ref="AX14">_xll.FDS($C14,"FE_ESTIMATE(EPS,MEAN,ANN_ROLL,+1,NOW,,,'')")</f>
        <v>5.4985790000000003</v>
      </c>
      <c r="AY14" s="472" cm="1">
        <f t="array" ref="AY14">_xll.FDS($C14,"FE_ESTIMATE(EPS,MEAN,ANN_ROLL,+2,NOW,,,'')")</f>
        <v>6.1814299999999998</v>
      </c>
      <c r="BA14" s="470" cm="1">
        <f t="array" ref="BA14">_xll.FDS($C14,"FE_ESTIMATE(FCF,MEAN,ANN_ROLL,+0,NOW,,,'')")</f>
        <v>861.9067</v>
      </c>
      <c r="BB14" s="470" cm="1">
        <f t="array" ref="BB14">_xll.FDS($C14,"FE_ESTIMATE(FCF,MEAN,ANN_ROLL,+1,NOW,,,'')")</f>
        <v>890.72815000000003</v>
      </c>
      <c r="BC14" s="470" cm="1">
        <f t="array" ref="BC14">_xll.FDS($C14,"FE_ESTIMATE(FCF,MEAN,ANN_ROLL,+2,NOW,,,'')")</f>
        <v>1025.6244999999999</v>
      </c>
    </row>
    <row r="15" spans="1:147" s="433" customFormat="1" ht="15" customHeight="1">
      <c r="A15" s="461"/>
      <c r="B15" s="461" t="str" cm="1">
        <f t="array" ref="B15">_xll.FDS(C15,"FG_COMPANY_NAME")</f>
        <v>Hexcel Corporation</v>
      </c>
      <c r="C15" s="461" t="s">
        <v>499</v>
      </c>
      <c r="D15" s="462"/>
      <c r="E15" s="462" t="s">
        <v>497</v>
      </c>
      <c r="F15" s="463" cm="1">
        <f t="array" ref="F15">_xll.FDS(C15,"FG_PRICE(NOW)")</f>
        <v>88.95</v>
      </c>
      <c r="G15" s="473"/>
      <c r="H15" s="474" cm="1">
        <f t="array" ref="H15">_xll.FDS(C15,"FF_COM_SHS_OUT_EPS_DIL(MON,NOW)")</f>
        <v>80</v>
      </c>
      <c r="I15" s="475">
        <f t="shared" si="0"/>
        <v>7116</v>
      </c>
      <c r="J15" s="476" cm="1">
        <f t="array" ref="J15">_xll.FDS(C15,"FF_DEBT(MON,NOW)")</f>
        <v>1018.7</v>
      </c>
      <c r="K15" s="476" cm="1">
        <f t="array" ref="K15">_xll.FDS(C15,"FF_CASH_ST(MON,NOW)")</f>
        <v>71</v>
      </c>
      <c r="L15" s="475">
        <f t="shared" si="1"/>
        <v>8063.7</v>
      </c>
      <c r="M15" s="473"/>
      <c r="N15" s="477">
        <f t="shared" si="2"/>
        <v>3.9077254011310147</v>
      </c>
      <c r="O15" s="477">
        <f t="shared" si="2"/>
        <v>3.5297457805624588</v>
      </c>
      <c r="P15" s="477"/>
      <c r="Q15" s="477">
        <f>IF($L15/AT15&lt;0,"NM",$L15/AT15)</f>
        <v>20.40622449443368</v>
      </c>
      <c r="R15" s="477">
        <f t="shared" si="10"/>
        <v>17.055216753346798</v>
      </c>
      <c r="S15" s="477"/>
      <c r="T15" s="477">
        <f>IF($F15/AX15&lt;0,"NM",$F15/AX15)</f>
        <v>39.760004233915232</v>
      </c>
      <c r="U15" s="477">
        <f t="shared" si="4"/>
        <v>29.011963105002174</v>
      </c>
      <c r="V15" s="477"/>
      <c r="W15" s="466">
        <f t="shared" si="11"/>
        <v>40.94329883454504</v>
      </c>
      <c r="X15" s="466">
        <f t="shared" si="12"/>
        <v>30.757507319483445</v>
      </c>
      <c r="Y15" s="479"/>
      <c r="Z15" s="480">
        <f t="shared" si="5"/>
        <v>2.3982760957593663</v>
      </c>
      <c r="AA15" s="480">
        <f t="shared" si="6"/>
        <v>2.0044432353816188</v>
      </c>
      <c r="AB15" s="473"/>
      <c r="AC15" s="481">
        <f t="shared" si="7"/>
        <v>8.9565341359100215E-2</v>
      </c>
      <c r="AD15" s="481">
        <f t="shared" si="7"/>
        <v>0.10708409162212407</v>
      </c>
      <c r="AE15" s="479"/>
      <c r="AF15" s="481">
        <f t="shared" si="8"/>
        <v>0.1718392408347853</v>
      </c>
      <c r="AG15" s="481">
        <f t="shared" si="8"/>
        <v>0.19647992690736715</v>
      </c>
      <c r="AH15" s="481"/>
      <c r="AI15" s="481">
        <f t="shared" si="9"/>
        <v>0.17805190347959235</v>
      </c>
      <c r="AJ15" s="481">
        <f t="shared" si="9"/>
        <v>0.19149673680189819</v>
      </c>
      <c r="AK15" s="481">
        <f>IF(AU15/AQ15&lt;0,"NM",AU15/AQ15)</f>
        <v>0.20695988984542257</v>
      </c>
      <c r="AL15" s="479"/>
      <c r="AM15" s="482" cm="1">
        <f t="array" ref="AM15">_xll.FDS(C15,"P_DIV_YLD")</f>
        <v>0.81957880000000005</v>
      </c>
      <c r="AN15" s="473"/>
      <c r="AO15" s="470" cm="1">
        <f t="array" ref="AO15">_xll.FDS($C15,"FE_ESTIMATE(SALES,MEAN,ANN_ROLL,+0,NOW,,,'')")</f>
        <v>1893.9</v>
      </c>
      <c r="AP15" s="470" cm="1">
        <f t="array" ref="AP15">_xll.FDS($C15,"FE_ESTIMATE(SALES,MEAN,ANN_ROLL,+1,NOW,,,'')")</f>
        <v>2063.5277999999998</v>
      </c>
      <c r="AQ15" s="470" cm="1">
        <f t="array" ref="AQ15">_xll.FDS($C15,"FE_ESTIMATE(SALES,MEAN,ANN_ROLL,+2,NOW,,,'')")</f>
        <v>2284.4987999999998</v>
      </c>
      <c r="AR15" s="470"/>
      <c r="AS15" s="470" cm="1">
        <f t="array" ref="AS15">_xll.FDS($C15,"FE_ESTIMATE(EBITDA,MEAN,ANN_ROLL,+0,NOW,,,'')")</f>
        <v>337.21249999999998</v>
      </c>
      <c r="AT15" s="470" cm="1">
        <f t="array" ref="AT15">_xll.FDS($C15,"FE_ESTIMATE(EBITDA,MEAN,ANN_ROLL,+1,NOW,,,'')")</f>
        <v>395.15884</v>
      </c>
      <c r="AU15" s="470" cm="1">
        <f t="array" ref="AU15">_xll.FDS($C15,"FE_ESTIMATE(EBITDA,MEAN,ANN_ROLL,+2,NOW,,,'')")</f>
        <v>472.79962</v>
      </c>
      <c r="AV15" s="471"/>
      <c r="AW15" s="472" cm="1">
        <f t="array" ref="AW15">_xll.FDS($C15,"FE_ESTIMATE(EPS,MEAN,ANN_ROLL,+0,NOW,,,'')")</f>
        <v>1.76</v>
      </c>
      <c r="AX15" s="472" cm="1">
        <f t="array" ref="AX15">_xll.FDS($C15,"FE_ESTIMATE(EPS,MEAN,ANN_ROLL,+1,NOW,,,'')")</f>
        <v>2.2371728000000002</v>
      </c>
      <c r="AY15" s="472" cm="1">
        <f t="array" ref="AY15">_xll.FDS($C15,"FE_ESTIMATE(EPS,MEAN,ANN_ROLL,+2,NOW,,,'')")</f>
        <v>3.0659765999999999</v>
      </c>
      <c r="BA15" s="470" cm="1">
        <f t="array" ref="BA15">_xll.FDS($C15,"FE_ESTIMATE(FCF,MEAN,ANN_ROLL,+0,NOW,,,'')")</f>
        <v>157.19999999999999</v>
      </c>
      <c r="BB15" s="470" cm="1">
        <f t="array" ref="BB15">_xll.FDS($C15,"FE_ESTIMATE(FCF,MEAN,ANN_ROLL,+1,NOW,,,'')")</f>
        <v>196.94798</v>
      </c>
      <c r="BC15" s="470" cm="1">
        <f t="array" ref="BC15">_xll.FDS($C15,"FE_ESTIMATE(FCF,MEAN,ANN_ROLL,+2,NOW,,,'')")</f>
        <v>262.17014</v>
      </c>
    </row>
    <row r="16" spans="1:147" s="433" customFormat="1" ht="15" hidden="1" customHeight="1">
      <c r="A16" s="461"/>
      <c r="B16" s="461" t="str" cm="1">
        <f t="array" ref="B16">_xll.FDS(C16,"FG_COMPANY_NAME")</f>
        <v>Huntington Ingalls Industries, Inc.</v>
      </c>
      <c r="C16" s="461" t="s">
        <v>500</v>
      </c>
      <c r="D16" s="462"/>
      <c r="E16" s="462" t="s">
        <v>497</v>
      </c>
      <c r="F16" s="463" cm="1">
        <f t="array" ref="F16">_xll.FDS(C16,"FG_PRICE(NOW)")</f>
        <v>406.76</v>
      </c>
      <c r="G16" s="473"/>
      <c r="H16" s="474" cm="1">
        <f t="array" ref="H16">_xll.FDS(C16,"FF_COM_SHS_OUT_EPS_DIL(MON,NOW)")</f>
        <v>39.299999999999997</v>
      </c>
      <c r="I16" s="475">
        <f t="shared" si="0"/>
        <v>15985.667999999998</v>
      </c>
      <c r="J16" s="476" cm="1">
        <f t="array" ref="J16">_xll.FDS(C16,"FF_DEBT(MON,NOW)")</f>
        <v>2981</v>
      </c>
      <c r="K16" s="476" cm="1">
        <f t="array" ref="K16">_xll.FDS(C16,"FF_CASH_ST(MON,NOW)")</f>
        <v>774</v>
      </c>
      <c r="L16" s="475">
        <f t="shared" si="1"/>
        <v>18192.667999999998</v>
      </c>
      <c r="M16" s="483"/>
      <c r="N16" s="478">
        <f t="shared" si="2"/>
        <v>1.4085168707871418</v>
      </c>
      <c r="O16" s="478">
        <f t="shared" si="2"/>
        <v>1.3278661590421903</v>
      </c>
      <c r="P16" s="478"/>
      <c r="Q16" s="478">
        <f t="shared" ref="Q16:R16" si="29">IF($L16/AT16&lt;0,"NM",$L16/AT16)</f>
        <v>17.661165811599403</v>
      </c>
      <c r="R16" s="478">
        <f t="shared" si="29"/>
        <v>15.158405436295164</v>
      </c>
      <c r="S16" s="478"/>
      <c r="T16" s="478">
        <f>IF($F16/AX16&lt;0,"NM",$F16/AX16)</f>
        <v>23.539275567162516</v>
      </c>
      <c r="U16" s="478"/>
      <c r="V16" s="478"/>
      <c r="W16" s="466">
        <f t="shared" si="11"/>
        <v>32.049539665926815</v>
      </c>
      <c r="X16" s="466">
        <f t="shared" si="12"/>
        <v>27.729392164838231</v>
      </c>
      <c r="Y16" s="484"/>
      <c r="Z16" s="485">
        <f t="shared" si="5"/>
        <v>2.1425220834129379</v>
      </c>
      <c r="AA16" s="485">
        <f t="shared" si="6"/>
        <v>1.8389056953000753</v>
      </c>
      <c r="AB16" s="483"/>
      <c r="AC16" s="486">
        <f t="shared" si="7"/>
        <v>3.4619312720282069E-2</v>
      </c>
      <c r="AD16" s="486">
        <f t="shared" si="7"/>
        <v>6.0737078956154766E-2</v>
      </c>
      <c r="AE16" s="479"/>
      <c r="AF16" s="481">
        <f t="shared" si="8"/>
        <v>4.472048681541585E-2</v>
      </c>
      <c r="AG16" s="481">
        <f t="shared" si="8"/>
        <v>0.16510710086376545</v>
      </c>
      <c r="AH16" s="481"/>
      <c r="AI16" s="481">
        <f t="shared" si="9"/>
        <v>7.8981095802627369E-2</v>
      </c>
      <c r="AJ16" s="486">
        <f t="shared" si="9"/>
        <v>7.9752202420412366E-2</v>
      </c>
      <c r="AK16" s="486">
        <f t="shared" si="9"/>
        <v>8.7599329931020209E-2</v>
      </c>
      <c r="AL16" s="479"/>
      <c r="AM16" s="482" cm="1">
        <f t="array" ref="AM16">_xll.FDS(C16,"P_DIV_YLD")</f>
        <v>1.4056531000000001</v>
      </c>
      <c r="AN16" s="473"/>
      <c r="AO16" s="470" cm="1">
        <f t="array" ref="AO16">_xll.FDS($C16,"FE_ESTIMATE(SALES,MEAN,ANN_ROLL,+0,NOW,,,'')")</f>
        <v>12484</v>
      </c>
      <c r="AP16" s="470" cm="1">
        <f t="array" ref="AP16">_xll.FDS($C16,"FE_ESTIMATE(SALES,MEAN,ANN_ROLL,+1,NOW,,,'')")</f>
        <v>12916.1875</v>
      </c>
      <c r="AQ16" s="470" cm="1">
        <f t="array" ref="AQ16">_xll.FDS($C16,"FE_ESTIMATE(SALES,MEAN,ANN_ROLL,+2,NOW,,,'')")</f>
        <v>13700.679</v>
      </c>
      <c r="AR16" s="470"/>
      <c r="AS16" s="470" cm="1">
        <f t="array" ref="AS16">_xll.FDS($C16,"FE_ESTIMATE(EBITDA,MEAN,ANN_ROLL,+0,NOW,,,'')")</f>
        <v>986</v>
      </c>
      <c r="AT16" s="470" cm="1">
        <f t="array" ref="AT16">_xll.FDS($C16,"FE_ESTIMATE(EBITDA,MEAN,ANN_ROLL,+1,NOW,,,'')")</f>
        <v>1030.0944</v>
      </c>
      <c r="AU16" s="470" cm="1">
        <f t="array" ref="AU16">_xll.FDS($C16,"FE_ESTIMATE(EBITDA,MEAN,ANN_ROLL,+2,NOW,,,'')")</f>
        <v>1200.1703</v>
      </c>
      <c r="AV16" s="471"/>
      <c r="AW16" s="472" cm="1">
        <f t="array" ref="AW16">_xll.FDS($C16,"FE_ESTIMATE(EPS,MEAN,ANN_ROLL,+0,NOW,,,'')")</f>
        <v>15.39</v>
      </c>
      <c r="AX16" s="472" cm="1">
        <f t="array" ref="AX16">_xll.FDS($C16,"FE_ESTIMATE(EPS,MEAN,ANN_ROLL,+1,NOW,,,'')")</f>
        <v>17.280055999999998</v>
      </c>
      <c r="AY16" s="472" cm="1">
        <f t="array" ref="AY16">_xll.FDS($C16,"FE_ESTIMATE(EPS,MEAN,ANN_ROLL,+2,NOW,,,'')")</f>
        <v>20.311250000000001</v>
      </c>
      <c r="BA16" s="470" cm="1">
        <f t="array" ref="BA16">_xll.FDS($C16,"FE_ESTIMATE(FCF,MEAN,ANN_ROLL,+0,NOW,,,'')")</f>
        <v>800</v>
      </c>
      <c r="BB16" s="470" cm="1">
        <f t="array" ref="BB16">_xll.FDS($C16,"FE_ESTIMATE(FCF,MEAN,ANN_ROLL,+1,NOW,,,'')")</f>
        <v>567.64210000000003</v>
      </c>
      <c r="BC16" s="470" cm="1">
        <f t="array" ref="BC16">_xll.FDS($C16,"FE_ESTIMATE(FCF,MEAN,ANN_ROLL,+2,NOW,,,'')")</f>
        <v>656.07885999999996</v>
      </c>
    </row>
    <row r="17" spans="1:55" s="433" customFormat="1" ht="15" customHeight="1">
      <c r="A17" s="473"/>
      <c r="B17" s="473" t="str" cm="1">
        <f t="array" ref="B17">_xll.FDS(C17,"FG_COMPANY_NAME")</f>
        <v>ITT, Inc.</v>
      </c>
      <c r="C17" s="473" t="s">
        <v>501</v>
      </c>
      <c r="D17" s="462"/>
      <c r="E17" s="462" t="s">
        <v>497</v>
      </c>
      <c r="F17" s="463" cm="1">
        <f t="array" ref="F17">_xll.FDS(C17,"FG_PRICE(NOW)")</f>
        <v>199.11</v>
      </c>
      <c r="G17" s="473"/>
      <c r="H17" s="474" cm="1">
        <f t="array" ref="H17">_xll.FDS(C17,"FF_COM_SHS_OUT_EPS_DIL(MON,NOW)")</f>
        <v>79.900000000000006</v>
      </c>
      <c r="I17" s="475">
        <f t="shared" ref="I17:I21" si="30">F17*H17</f>
        <v>15908.889000000003</v>
      </c>
      <c r="J17" s="476" cm="1">
        <f t="array" ref="J17">_xll.FDS(C17,"FF_DEBT(MON,NOW)")</f>
        <v>867.2</v>
      </c>
      <c r="K17" s="476" cm="1">
        <f t="array" ref="K17">_xll.FDS(C17,"FF_CASH_ST(MON,NOW)")</f>
        <v>1742.9</v>
      </c>
      <c r="L17" s="475">
        <f t="shared" ref="L17:L21" si="31">I17+J17-K17</f>
        <v>15033.189000000004</v>
      </c>
      <c r="M17" s="473"/>
      <c r="N17" s="477">
        <f t="shared" ref="N17:O21" si="32">IF($L17/AP17&lt;0,"NM",$L17/AP17)</f>
        <v>3.5940998976508478</v>
      </c>
      <c r="O17" s="477">
        <f t="shared" si="32"/>
        <v>3.4273146222956643</v>
      </c>
      <c r="P17" s="477"/>
      <c r="Q17" s="477">
        <f t="shared" ref="Q17:R21" si="33">IF($L17/AT17&lt;0,"NM",$L17/AT17)</f>
        <v>16.106136314718501</v>
      </c>
      <c r="R17" s="477">
        <f t="shared" si="33"/>
        <v>14.843103760314291</v>
      </c>
      <c r="S17" s="477"/>
      <c r="T17" s="477">
        <f t="shared" ref="T17:U21" si="34">IF($F17/AX17&lt;0,"NM",$F17/AX17)</f>
        <v>27.390476269084505</v>
      </c>
      <c r="U17" s="477">
        <f t="shared" si="34"/>
        <v>24.723568746756825</v>
      </c>
      <c r="V17" s="477"/>
      <c r="W17" s="466">
        <f t="shared" si="11"/>
        <v>25.941014742863121</v>
      </c>
      <c r="X17" s="466">
        <f t="shared" si="12"/>
        <v>22.811546221001461</v>
      </c>
      <c r="Y17" s="479"/>
      <c r="Z17" s="480" t="str">
        <f t="shared" ref="Z17:Z21" si="35">IF((J17-K17)/AT17&lt;0,"NM",(J17-K17)/AT17)</f>
        <v>NM</v>
      </c>
      <c r="AA17" s="480" t="str">
        <f t="shared" ref="AA17:AA21" si="36">IF((J17-K17)/AU17&lt;0,"NM",(J17-K17)/AU17)</f>
        <v>NM</v>
      </c>
      <c r="AB17" s="473"/>
      <c r="AC17" s="481">
        <f t="shared" ref="AC17:AD19" si="37">AP17/AO17-1</f>
        <v>6.2013710803605404E-2</v>
      </c>
      <c r="AD17" s="481">
        <f t="shared" si="37"/>
        <v>4.8663543834055023E-2</v>
      </c>
      <c r="AE17" s="479"/>
      <c r="AF17" s="481">
        <f t="shared" ref="AF17:AG21" si="38">AT17/AS17-1</f>
        <v>8.9747902103004762E-2</v>
      </c>
      <c r="AG17" s="481">
        <f t="shared" si="38"/>
        <v>8.5092213515420845E-2</v>
      </c>
      <c r="AH17" s="481"/>
      <c r="AI17" s="481">
        <f t="shared" ref="AI17:AK21" si="39">IF(AS17/AO17&lt;0,"NM",AS17/AO17)</f>
        <v>0.21747175320553511</v>
      </c>
      <c r="AJ17" s="481">
        <f t="shared" si="39"/>
        <v>0.22315096727241779</v>
      </c>
      <c r="AK17" s="481">
        <f t="shared" si="39"/>
        <v>0.23090282717413907</v>
      </c>
      <c r="AL17" s="479"/>
      <c r="AM17" s="482" cm="1">
        <f t="array" ref="AM17">_xll.FDS(C17,"P_DIV_YLD")</f>
        <v>0.76518989999999998</v>
      </c>
      <c r="AN17" s="473"/>
      <c r="AO17" s="470" cm="1">
        <f t="array" ref="AO17">_xll.FDS($C17,"FE_ESTIMATE(SALES,MEAN,ANN_ROLL,+0,NOW,,,'')")</f>
        <v>3938.5</v>
      </c>
      <c r="AP17" s="470" cm="1">
        <f t="array" ref="AP17">_xll.FDS($C17,"FE_ESTIMATE(SALES,MEAN,ANN_ROLL,+1,NOW,,,'')")</f>
        <v>4182.741</v>
      </c>
      <c r="AQ17" s="470" cm="1">
        <f t="array" ref="AQ17">_xll.FDS($C17,"FE_ESTIMATE(SALES,MEAN,ANN_ROLL,+2,NOW,,,'')")</f>
        <v>4386.2879999999996</v>
      </c>
      <c r="AR17" s="470"/>
      <c r="AS17" s="470" cm="1">
        <f t="array" ref="AS17">_xll.FDS($C17,"FE_ESTIMATE(EBITDA,MEAN,ANN_ROLL,+0,NOW,,,'')")</f>
        <v>856.51250000000005</v>
      </c>
      <c r="AT17" s="470" cm="1">
        <f t="array" ref="AT17">_xll.FDS($C17,"FE_ESTIMATE(EBITDA,MEAN,ANN_ROLL,+1,NOW,,,'')")</f>
        <v>933.3827</v>
      </c>
      <c r="AU17" s="470" cm="1">
        <f t="array" ref="AU17">_xll.FDS($C17,"FE_ESTIMATE(EBITDA,MEAN,ANN_ROLL,+2,NOW,,,'')")</f>
        <v>1012.8063</v>
      </c>
      <c r="AV17" s="471"/>
      <c r="AW17" s="472" cm="1">
        <f t="array" ref="AW17">_xll.FDS($C17,"FE_ESTIMATE(EPS,MEAN,ANN_ROLL,+0,NOW,,,'')")</f>
        <v>6.72</v>
      </c>
      <c r="AX17" s="472" cm="1">
        <f t="array" ref="AX17">_xll.FDS($C17,"FE_ESTIMATE(EPS,MEAN,ANN_ROLL,+1,NOW,,,'')")</f>
        <v>7.2693149999999997</v>
      </c>
      <c r="AY17" s="472" cm="1">
        <f t="array" ref="AY17">_xll.FDS($C17,"FE_ESTIMATE(EPS,MEAN,ANN_ROLL,+2,NOW,,,'')")</f>
        <v>8.0534490000000005</v>
      </c>
      <c r="BA17" s="470" cm="1">
        <f t="array" ref="BA17">_xll.FDS($C17,"FE_ESTIMATE(FCF,MEAN,ANN_ROLL,+0,NOW,,,'')")</f>
        <v>555.4</v>
      </c>
      <c r="BB17" s="470" cm="1">
        <f t="array" ref="BB17">_xll.FDS($C17,"FE_ESTIMATE(FCF,MEAN,ANN_ROLL,+1,NOW,,,'')")</f>
        <v>579.51430000000005</v>
      </c>
      <c r="BC17" s="470" cm="1">
        <f t="array" ref="BC17">_xll.FDS($C17,"FE_ESTIMATE(FCF,MEAN,ANN_ROLL,+2,NOW,,,'')")</f>
        <v>659.01666</v>
      </c>
    </row>
    <row r="18" spans="1:55" s="433" customFormat="1" ht="15" customHeight="1">
      <c r="A18" s="473"/>
      <c r="B18" s="473" t="str" cm="1">
        <f t="array" ref="B18">_xll.FDS(C18,"FG_COMPANY_NAME")</f>
        <v>Karman Holdings Inc.</v>
      </c>
      <c r="C18" s="473" t="s">
        <v>502</v>
      </c>
      <c r="D18" s="462"/>
      <c r="E18" s="462" t="s">
        <v>495</v>
      </c>
      <c r="F18" s="463" cm="1">
        <f t="array" ref="F18">_xll.FDS(C18,"FG_PRICE(NOW)")</f>
        <v>78.709999999999994</v>
      </c>
      <c r="G18" s="473"/>
      <c r="H18" s="474" cm="1">
        <f t="array" ref="H18">_xll.FDS(C18,"FF_COM_SHS_OUT_EPS_DIL(MON,NOW)")</f>
        <v>132.32243500000001</v>
      </c>
      <c r="I18" s="475">
        <f t="shared" ref="I18" si="40">F18*H18</f>
        <v>10415.09885885</v>
      </c>
      <c r="J18" s="476" cm="1">
        <f t="array" ref="J18">_xll.FDS(C18,"FF_DEBT(MON,NOW)")</f>
        <v>483.685</v>
      </c>
      <c r="K18" s="476" cm="1">
        <f t="array" ref="K18">_xll.FDS(C18,"FF_CASH_ST(MON,NOW)")</f>
        <v>18.664999999999999</v>
      </c>
      <c r="L18" s="475">
        <f t="shared" ref="L18" si="41">I18+J18-K18</f>
        <v>10880.118858849999</v>
      </c>
      <c r="M18" s="473"/>
      <c r="N18" s="477">
        <f t="shared" ref="N18" si="42">IF($L18/AP18&lt;0,"NM",$L18/AP18)</f>
        <v>23.186477851060641</v>
      </c>
      <c r="O18" s="477">
        <f t="shared" ref="O18" si="43">IF($L18/AQ18&lt;0,"NM",$L18/AQ18)</f>
        <v>15.315097810183117</v>
      </c>
      <c r="P18" s="477"/>
      <c r="Q18" s="477">
        <f t="shared" ref="Q18" si="44">IF($L18/AT18&lt;0,"NM",$L18/AT18)</f>
        <v>75.167342984700909</v>
      </c>
      <c r="R18" s="477">
        <f t="shared" ref="R18" si="45">IF($L18/AU18&lt;0,"NM",$L18/AU18)</f>
        <v>51.428011514880133</v>
      </c>
      <c r="S18" s="477"/>
      <c r="T18" s="477">
        <f t="shared" ref="T18" si="46">IF($F18/AX18&lt;0,"NM",$F18/AX18)</f>
        <v>214.53942193905041</v>
      </c>
      <c r="U18" s="477">
        <f t="shared" ref="U18" si="47">IF($F18/AY18&lt;0,"NM",$F18/AY18)</f>
        <v>125.44171148712351</v>
      </c>
      <c r="V18" s="477"/>
      <c r="W18" s="466" t="str">
        <f t="shared" ref="W18" si="48">IF(L18/BB18&lt;0,"NM",L18/BB18)</f>
        <v>NM</v>
      </c>
      <c r="X18" s="466">
        <f t="shared" ref="X18" si="49">IF(L18/BC18&lt;0,"NM",L18/BC18)</f>
        <v>201.56804252983653</v>
      </c>
      <c r="Y18" s="479"/>
      <c r="Z18" s="480">
        <f t="shared" ref="Z18" si="50">IF((J18-K18)/AT18&lt;0,"NM",(J18-K18)/AT18)</f>
        <v>3.2126779392959866</v>
      </c>
      <c r="AA18" s="480">
        <f t="shared" ref="AA18" si="51">IF((J18-K18)/AU18&lt;0,"NM",(J18-K18)/AU18)</f>
        <v>2.1980507956672564</v>
      </c>
      <c r="AB18" s="473"/>
      <c r="AC18" s="481">
        <f t="shared" ref="AC18" si="52">AP18/AO18-1</f>
        <v>0.35913884350887026</v>
      </c>
      <c r="AD18" s="481">
        <f t="shared" ref="AD18" si="53">AQ18/AP18-1</f>
        <v>0.5139621136238377</v>
      </c>
      <c r="AE18" s="479"/>
      <c r="AF18" s="481">
        <f t="shared" ref="AF18" si="54">AT18/AS18-1</f>
        <v>0.36366155654572485</v>
      </c>
      <c r="AG18" s="481">
        <f t="shared" ref="AG18" si="55">AU18/AT18-1</f>
        <v>0.46160313748378257</v>
      </c>
      <c r="AH18" s="481"/>
      <c r="AI18" s="481">
        <f t="shared" ref="AI18" si="56">IF(AS18/AO18&lt;0,"NM",AS18/AO18)</f>
        <v>0.30744172639349099</v>
      </c>
      <c r="AJ18" s="481">
        <f t="shared" ref="AJ18" si="57">IF(AT18/AP18&lt;0,"NM",AT18/AP18)</f>
        <v>0.3084647791232939</v>
      </c>
      <c r="AK18" s="481">
        <f t="shared" ref="AK18" si="58">IF(AU18/AQ18&lt;0,"NM",AU18/AQ18)</f>
        <v>0.29779681070795166</v>
      </c>
      <c r="AL18" s="479"/>
      <c r="AM18" s="482" cm="1">
        <f t="array" ref="AM18">_xll.FDS(C18,"P_DIV_YLD")</f>
        <v>0</v>
      </c>
      <c r="AN18" s="473"/>
      <c r="AO18" s="470" cm="1">
        <f t="array" ref="AO18">_xll.FDS($C18,"FE_ESTIMATE(SALES,MEAN,ANN_ROLL,+0,NOW,,,'')")</f>
        <v>345.25107000000003</v>
      </c>
      <c r="AP18" s="470" cm="1">
        <f t="array" ref="AP18">_xll.FDS($C18,"FE_ESTIMATE(SALES,MEAN,ANN_ROLL,+1,NOW,,,'')")</f>
        <v>469.24414000000002</v>
      </c>
      <c r="AQ18" s="470" cm="1">
        <f t="array" ref="AQ18">_xll.FDS($C18,"FE_ESTIMATE(SALES,MEAN,ANN_ROLL,+2,NOW,,,'')")</f>
        <v>710.41785000000004</v>
      </c>
      <c r="AR18" s="470"/>
      <c r="AS18" s="470" cm="1">
        <f t="array" ref="AS18">_xll.FDS($C18,"FE_ESTIMATE(EBITDA,MEAN,ANN_ROLL,+0,NOW,,,'')")</f>
        <v>106.14458500000001</v>
      </c>
      <c r="AT18" s="470" cm="1">
        <f t="array" ref="AT18">_xll.FDS($C18,"FE_ESTIMATE(EBITDA,MEAN,ANN_ROLL,+1,NOW,,,'')")</f>
        <v>144.74529000000001</v>
      </c>
      <c r="AU18" s="470" cm="1">
        <f t="array" ref="AU18">_xll.FDS($C18,"FE_ESTIMATE(EBITDA,MEAN,ANN_ROLL,+2,NOW,,,'')")</f>
        <v>211.56017</v>
      </c>
      <c r="AV18" s="471"/>
      <c r="AW18" s="472" cm="1">
        <f t="array" ref="AW18">_xll.FDS($C18,"FE_ESTIMATE(EPS,MEAN,ANN_ROLL,+0,NOW,,,'')")</f>
        <v>0.08</v>
      </c>
      <c r="AX18" s="472" cm="1">
        <f t="array" ref="AX18">_xll.FDS($C18,"FE_ESTIMATE(EPS,MEAN,ANN_ROLL,+1,NOW,,,'')")</f>
        <v>0.36687895999999998</v>
      </c>
      <c r="AY18" s="472" cm="1">
        <f t="array" ref="AY18">_xll.FDS($C18,"FE_ESTIMATE(EPS,MEAN,ANN_ROLL,+2,NOW,,,'')")</f>
        <v>0.62746274000000002</v>
      </c>
      <c r="BA18" s="470" cm="1">
        <f t="array" ref="BA18">_xll.FDS($C18,"FE_ESTIMATE(FCF,MEAN,ANN_ROLL,+0,NOW,,,'')")</f>
        <v>6.25</v>
      </c>
      <c r="BB18" s="470" cm="1">
        <f t="array" ref="BB18">_xll.FDS($C18,"FE_ESTIMATE(FCF,MEAN,ANN_ROLL,+1,NOW,,,'')")</f>
        <v>-17.4238</v>
      </c>
      <c r="BC18" s="470" cm="1">
        <f t="array" ref="BC18">_xll.FDS($C18,"FE_ESTIMATE(FCF,MEAN,ANN_ROLL,+2,NOW,,,'')")</f>
        <v>53.977400000000003</v>
      </c>
    </row>
    <row r="19" spans="1:55" s="433" customFormat="1" ht="15" customHeight="1">
      <c r="A19" s="473"/>
      <c r="B19" s="473" t="str" cm="1">
        <f t="array" ref="B19">_xll.FDS(C19,"FG_COMPANY_NAME")</f>
        <v>Mercury Systems, Inc.</v>
      </c>
      <c r="C19" s="473" t="s">
        <v>503</v>
      </c>
      <c r="D19" s="462"/>
      <c r="E19" s="462" t="s">
        <v>495</v>
      </c>
      <c r="F19" s="463" cm="1">
        <f t="array" ref="F19">_xll.FDS(C19,"FG_PRICE(NOW)")</f>
        <v>80.25</v>
      </c>
      <c r="G19" s="473"/>
      <c r="H19" s="474" cm="1">
        <f t="array" ref="H19">_xll.FDS(C19,"FF_COM_SHS_OUT_EPS_DIL(MON,NOW)")</f>
        <v>59.414999999999999</v>
      </c>
      <c r="I19" s="475">
        <f t="shared" si="30"/>
        <v>4768.05375</v>
      </c>
      <c r="J19" s="476" cm="1">
        <f t="array" ref="J19">_xll.FDS(C19,"FF_DEBT(MON,NOW)")</f>
        <v>642.46</v>
      </c>
      <c r="K19" s="476" cm="1">
        <f t="array" ref="K19">_xll.FDS(C19,"FF_CASH_ST(MON,NOW)")</f>
        <v>334.99</v>
      </c>
      <c r="L19" s="475">
        <f t="shared" si="31"/>
        <v>5075.5237500000003</v>
      </c>
      <c r="M19" s="473"/>
      <c r="N19" s="477">
        <f t="shared" si="32"/>
        <v>5.3248793291785033</v>
      </c>
      <c r="O19" s="477">
        <f t="shared" si="32"/>
        <v>4.8607547058502991</v>
      </c>
      <c r="P19" s="477"/>
      <c r="Q19" s="477">
        <f t="shared" si="33"/>
        <v>36.299608219242742</v>
      </c>
      <c r="R19" s="477">
        <f t="shared" si="33"/>
        <v>26.090528079995433</v>
      </c>
      <c r="S19" s="477"/>
      <c r="T19" s="477">
        <f t="shared" si="34"/>
        <v>83.768267223382054</v>
      </c>
      <c r="U19" s="477">
        <f t="shared" si="34"/>
        <v>53.420858778415067</v>
      </c>
      <c r="V19" s="477"/>
      <c r="W19" s="466">
        <f t="shared" si="11"/>
        <v>65.596429725363492</v>
      </c>
      <c r="X19" s="466">
        <f t="shared" si="12"/>
        <v>45.804598613983067</v>
      </c>
      <c r="Y19" s="479"/>
      <c r="Z19" s="480">
        <f t="shared" si="35"/>
        <v>2.1989928702767996</v>
      </c>
      <c r="AA19" s="480">
        <f t="shared" si="36"/>
        <v>1.5805373127760847</v>
      </c>
      <c r="AB19" s="473"/>
      <c r="AC19" s="481">
        <f t="shared" si="37"/>
        <v>4.5121378917128974E-2</v>
      </c>
      <c r="AD19" s="481">
        <f t="shared" si="37"/>
        <v>9.5484066038056481E-2</v>
      </c>
      <c r="AE19" s="479"/>
      <c r="AF19" s="481">
        <f t="shared" si="38"/>
        <v>0.16524425626571593</v>
      </c>
      <c r="AG19" s="481">
        <f t="shared" si="38"/>
        <v>0.39129449997890187</v>
      </c>
      <c r="AH19" s="481"/>
      <c r="AI19" s="481">
        <f t="shared" si="39"/>
        <v>0.13157021775838249</v>
      </c>
      <c r="AJ19" s="481">
        <f t="shared" si="39"/>
        <v>0.1466924738420658</v>
      </c>
      <c r="AK19" s="481">
        <f t="shared" si="39"/>
        <v>0.18630342363891128</v>
      </c>
      <c r="AL19" s="479"/>
      <c r="AM19" s="482" cm="1">
        <f t="array" ref="AM19">_xll.FDS(C19,"P_DIV_YLD")</f>
        <v>0</v>
      </c>
      <c r="AN19" s="473"/>
      <c r="AO19" s="470" cm="1">
        <f t="array" ref="AO19">_xll.FDS($C19,"FE_ESTIMATE(SALES,MEAN,ANN_ROLL,+0,NOW,,,'')")</f>
        <v>912.02</v>
      </c>
      <c r="AP19" s="470" cm="1">
        <f t="array" ref="AP19">_xll.FDS($C19,"FE_ESTIMATE(SALES,MEAN,ANN_ROLL,+1,NOW,,,'')")</f>
        <v>953.17160000000001</v>
      </c>
      <c r="AQ19" s="470" cm="1">
        <f t="array" ref="AQ19">_xll.FDS($C19,"FE_ESTIMATE(SALES,MEAN,ANN_ROLL,+2,NOW,,,'')")</f>
        <v>1044.1842999999999</v>
      </c>
      <c r="AR19" s="470"/>
      <c r="AS19" s="470" cm="1">
        <f t="array" ref="AS19">_xll.FDS($C19,"FE_ESTIMATE(EBITDA,MEAN,ANN_ROLL,+0,NOW,,,'')")</f>
        <v>119.99467</v>
      </c>
      <c r="AT19" s="470" cm="1">
        <f t="array" ref="AT19">_xll.FDS($C19,"FE_ESTIMATE(EBITDA,MEAN,ANN_ROLL,+1,NOW,,,'')")</f>
        <v>139.82310000000001</v>
      </c>
      <c r="AU19" s="470" cm="1">
        <f t="array" ref="AU19">_xll.FDS($C19,"FE_ESTIMATE(EBITDA,MEAN,ANN_ROLL,+2,NOW,,,'')")</f>
        <v>194.53511</v>
      </c>
      <c r="AV19" s="471"/>
      <c r="AW19" s="472" cm="1">
        <f t="array" ref="AW19">_xll.FDS($C19,"FE_ESTIMATE(EPS,MEAN,ANN_ROLL,+0,NOW,,,'')")</f>
        <v>0.64</v>
      </c>
      <c r="AX19" s="472" cm="1">
        <f t="array" ref="AX19">_xll.FDS($C19,"FE_ESTIMATE(EPS,MEAN,ANN_ROLL,+1,NOW,,,'')")</f>
        <v>0.95799999999999996</v>
      </c>
      <c r="AY19" s="472" cm="1">
        <f t="array" ref="AY19">_xll.FDS($C19,"FE_ESTIMATE(EPS,MEAN,ANN_ROLL,+2,NOW,,,'')")</f>
        <v>1.5022222000000001</v>
      </c>
      <c r="BA19" s="470" cm="1">
        <f t="array" ref="BA19">_xll.FDS($C19,"FE_ESTIMATE(FCF,MEAN,ANN_ROLL,+0,NOW,,,'')")</f>
        <v>119.01600000000001</v>
      </c>
      <c r="BB19" s="470" cm="1">
        <f t="array" ref="BB19">_xll.FDS($C19,"FE_ESTIMATE(FCF,MEAN,ANN_ROLL,+1,NOW,,,'')")</f>
        <v>77.375</v>
      </c>
      <c r="BC19" s="470" cm="1">
        <f t="array" ref="BC19">_xll.FDS($C19,"FE_ESTIMATE(FCF,MEAN,ANN_ROLL,+2,NOW,,,'')")</f>
        <v>110.80817</v>
      </c>
    </row>
    <row r="20" spans="1:55" s="433" customFormat="1" ht="15" customHeight="1">
      <c r="A20" s="473"/>
      <c r="B20" s="473" t="str" cm="1">
        <f t="array" ref="B20">_xll.FDS(C20,"FG_COMPANY_NAME")</f>
        <v>Teledyne Technologies Incorporated</v>
      </c>
      <c r="C20" s="473" t="s">
        <v>504</v>
      </c>
      <c r="D20" s="462"/>
      <c r="E20" s="462" t="s">
        <v>497</v>
      </c>
      <c r="F20" s="463" cm="1">
        <f t="array" ref="F20">_xll.FDS(C20,"FG_PRICE(NOW)")</f>
        <v>646.29999999999995</v>
      </c>
      <c r="G20" s="473"/>
      <c r="H20" s="474" cm="1">
        <f t="array" ref="H20">_xll.FDS(C20,"FF_COM_SHS_OUT_EPS_DIL(MON,NOW)")</f>
        <v>47.4</v>
      </c>
      <c r="I20" s="475">
        <f t="shared" ref="I20" si="59">F20*H20</f>
        <v>30634.619999999995</v>
      </c>
      <c r="J20" s="476" cm="1">
        <f t="array" ref="J20">_xll.FDS(C20,"FF_DEBT(MON,NOW)")</f>
        <v>2475.4</v>
      </c>
      <c r="K20" s="476" cm="1">
        <f t="array" ref="K20">_xll.FDS(C20,"FF_CASH_ST(MON,NOW)")</f>
        <v>352.4</v>
      </c>
      <c r="L20" s="475">
        <f t="shared" ref="L20" si="60">I20+J20-K20</f>
        <v>32757.619999999995</v>
      </c>
      <c r="M20" s="473"/>
      <c r="N20" s="477">
        <f t="shared" ref="N20" si="61">IF($L20/AP20&lt;0,"NM",$L20/AP20)</f>
        <v>5.1310295602765672</v>
      </c>
      <c r="O20" s="477">
        <f t="shared" ref="O20" si="62">IF($L20/AQ20&lt;0,"NM",$L20/AQ20)</f>
        <v>4.8809377397715084</v>
      </c>
      <c r="P20" s="477"/>
      <c r="Q20" s="477">
        <f t="shared" ref="Q20" si="63">IF($L20/AT20&lt;0,"NM",$L20/AT20)</f>
        <v>20.532622069070211</v>
      </c>
      <c r="R20" s="477">
        <f t="shared" ref="R20" si="64">IF($L20/AU20&lt;0,"NM",$L20/AU20)</f>
        <v>19.096663361817757</v>
      </c>
      <c r="S20" s="477"/>
      <c r="T20" s="477">
        <f t="shared" ref="T20" si="65">IF($F20/AX20&lt;0,"NM",$F20/AX20)</f>
        <v>27.170102075168568</v>
      </c>
      <c r="U20" s="477">
        <f t="shared" ref="U20" si="66">IF($F20/AY20&lt;0,"NM",$F20/AY20)</f>
        <v>25.100801291524192</v>
      </c>
      <c r="V20" s="477"/>
      <c r="W20" s="466">
        <f t="shared" ref="W20" si="67">IF(L20/BB20&lt;0,"NM",L20/BB20)</f>
        <v>28.039824236762328</v>
      </c>
      <c r="X20" s="466">
        <f t="shared" ref="X20" si="68">IF(L20/BC20&lt;0,"NM",L20/BC20)</f>
        <v>25.705164045153658</v>
      </c>
      <c r="Y20" s="479"/>
      <c r="Z20" s="480">
        <f t="shared" ref="Z20" si="69">IF((J20-K20)/AT20&lt;0,"NM",(J20-K20)/AT20)</f>
        <v>1.33070585264241</v>
      </c>
      <c r="AA20" s="480">
        <f t="shared" ref="AA20" si="70">IF((J20-K20)/AU20&lt;0,"NM",(J20-K20)/AU20)</f>
        <v>1.2376423048175997</v>
      </c>
      <c r="AB20" s="473"/>
      <c r="AC20" s="481">
        <f t="shared" ref="AC20" si="71">AP20/AO20-1</f>
        <v>4.3957827779049552E-2</v>
      </c>
      <c r="AD20" s="481">
        <f t="shared" ref="AD20" si="72">AQ20/AP20-1</f>
        <v>5.1238477898873258E-2</v>
      </c>
      <c r="AE20" s="479"/>
      <c r="AF20" s="481">
        <f t="shared" ref="AF20" si="73">AT20/AS20-1</f>
        <v>6.4285164405802453E-2</v>
      </c>
      <c r="AG20" s="481">
        <f t="shared" ref="AG20" si="74">AU20/AT20-1</f>
        <v>7.5194220060638362E-2</v>
      </c>
      <c r="AH20" s="481"/>
      <c r="AI20" s="481">
        <f t="shared" ref="AI20" si="75">IF(AS20/AO20&lt;0,"NM",AS20/AO20)</f>
        <v>0.24512355692186941</v>
      </c>
      <c r="AJ20" s="481">
        <f t="shared" ref="AJ20" si="76">IF(AT20/AP20&lt;0,"NM",AT20/AP20)</f>
        <v>0.24989645954696704</v>
      </c>
      <c r="AK20" s="481">
        <f t="shared" ref="AK20" si="77">IF(AU20/AQ20&lt;0,"NM",AU20/AQ20)</f>
        <v>0.25559112852827215</v>
      </c>
      <c r="AL20" s="479"/>
      <c r="AM20" s="482" cm="1">
        <f t="array" ref="AM20">_xll.FDS(C20,"P_DIV_YLD")</f>
        <v>0</v>
      </c>
      <c r="AN20" s="473"/>
      <c r="AO20" s="470" cm="1">
        <f t="array" ref="AO20">_xll.FDS($C20,"FE_ESTIMATE(SALES,MEAN,ANN_ROLL,+0,NOW,,,'')")</f>
        <v>6115.4</v>
      </c>
      <c r="AP20" s="470" cm="1">
        <f t="array" ref="AP20">_xll.FDS($C20,"FE_ESTIMATE(SALES,MEAN,ANN_ROLL,+1,NOW,,,'')")</f>
        <v>6384.2196999999996</v>
      </c>
      <c r="AQ20" s="470" cm="1">
        <f t="array" ref="AQ20">_xll.FDS($C20,"FE_ESTIMATE(SALES,MEAN,ANN_ROLL,+2,NOW,,,'')")</f>
        <v>6711.3374000000003</v>
      </c>
      <c r="AR20" s="470"/>
      <c r="AS20" s="470" cm="1">
        <f t="array" ref="AS20">_xll.FDS($C20,"FE_ESTIMATE(EBITDA,MEAN,ANN_ROLL,+0,NOW,,,'')")</f>
        <v>1499.0286000000001</v>
      </c>
      <c r="AT20" s="470" cm="1">
        <f t="array" ref="AT20">_xll.FDS($C20,"FE_ESTIMATE(EBITDA,MEAN,ANN_ROLL,+1,NOW,,,'')")</f>
        <v>1595.3939</v>
      </c>
      <c r="AU20" s="470" cm="1">
        <f t="array" ref="AU20">_xll.FDS($C20,"FE_ESTIMATE(EBITDA,MEAN,ANN_ROLL,+2,NOW,,,'')")</f>
        <v>1715.3583000000001</v>
      </c>
      <c r="AV20" s="471"/>
      <c r="AW20" s="472" cm="1">
        <f t="array" ref="AW20">_xll.FDS($C20,"FE_ESTIMATE(EPS,MEAN,ANN_ROLL,+0,NOW,,,'')")</f>
        <v>21.99</v>
      </c>
      <c r="AX20" s="472" cm="1">
        <f t="array" ref="AX20">_xll.FDS($C20,"FE_ESTIMATE(EPS,MEAN,ANN_ROLL,+1,NOW,,,'')")</f>
        <v>23.787175999999999</v>
      </c>
      <c r="AY20" s="472" cm="1">
        <f t="array" ref="AY20">_xll.FDS($C20,"FE_ESTIMATE(EPS,MEAN,ANN_ROLL,+2,NOW,,,'')")</f>
        <v>25.748182</v>
      </c>
      <c r="BA20" s="470" cm="1">
        <f t="array" ref="BA20">_xll.FDS($C20,"FE_ESTIMATE(FCF,MEAN,ANN_ROLL,+0,NOW,,,'')")</f>
        <v>1074</v>
      </c>
      <c r="BB20" s="470" cm="1">
        <f t="array" ref="BB20">_xll.FDS($C20,"FE_ESTIMATE(FCF,MEAN,ANN_ROLL,+1,NOW,,,'')")</f>
        <v>1168.2534000000001</v>
      </c>
      <c r="BC20" s="470" cm="1">
        <f t="array" ref="BC20">_xll.FDS($C20,"FE_ESTIMATE(FCF,MEAN,ANN_ROLL,+2,NOW,,,'')")</f>
        <v>1274.3595</v>
      </c>
    </row>
    <row r="21" spans="1:55" s="433" customFormat="1" ht="15" customHeight="1">
      <c r="A21" s="473"/>
      <c r="B21" s="473" t="str" cm="1">
        <f t="array" ref="B21">_xll.FDS(C21,"FG_COMPANY_NAME")</f>
        <v>Woodward, Inc.</v>
      </c>
      <c r="C21" s="473" t="s">
        <v>505</v>
      </c>
      <c r="D21" s="462"/>
      <c r="E21" s="462" t="s">
        <v>497</v>
      </c>
      <c r="F21" s="463" cm="1">
        <f t="array" ref="F21">_xll.FDS(C21,"FG_PRICE(NOW)")</f>
        <v>380.43</v>
      </c>
      <c r="G21" s="473"/>
      <c r="H21" s="474" cm="1">
        <f t="array" ref="H21">_xll.FDS(C21,"FF_COM_SHS_OUT_EPS_DIL(MON,NOW)")</f>
        <v>61.59</v>
      </c>
      <c r="I21" s="475">
        <f t="shared" si="30"/>
        <v>23430.683700000001</v>
      </c>
      <c r="J21" s="476" cm="1">
        <f t="array" ref="J21">_xll.FDS(C21,"FF_DEBT(MON,NOW)")</f>
        <v>912.50400000000002</v>
      </c>
      <c r="K21" s="476" cm="1">
        <f t="array" ref="K21">_xll.FDS(C21,"FF_CASH_ST(MON,NOW)")</f>
        <v>454.245</v>
      </c>
      <c r="L21" s="475">
        <f t="shared" si="31"/>
        <v>23888.942700000003</v>
      </c>
      <c r="M21" s="483"/>
      <c r="N21" s="478">
        <f t="shared" si="32"/>
        <v>5.7719169676983046</v>
      </c>
      <c r="O21" s="478">
        <f t="shared" si="32"/>
        <v>5.3276915511427507</v>
      </c>
      <c r="P21" s="478"/>
      <c r="Q21" s="478">
        <f t="shared" si="33"/>
        <v>28.187729264051775</v>
      </c>
      <c r="R21" s="478">
        <f t="shared" si="33"/>
        <v>24.843852440578189</v>
      </c>
      <c r="S21" s="478"/>
      <c r="T21" s="478">
        <f t="shared" si="34"/>
        <v>43.59889929482852</v>
      </c>
      <c r="U21" s="478">
        <f t="shared" si="34"/>
        <v>37.586229586329182</v>
      </c>
      <c r="V21" s="478"/>
      <c r="W21" s="466">
        <f t="shared" si="11"/>
        <v>74.028423648495391</v>
      </c>
      <c r="X21" s="466">
        <f t="shared" si="12"/>
        <v>51.296959409403932</v>
      </c>
      <c r="Y21" s="484"/>
      <c r="Z21" s="485">
        <f t="shared" si="35"/>
        <v>0.54072215698416415</v>
      </c>
      <c r="AA21" s="485">
        <f t="shared" si="36"/>
        <v>0.47657693011113961</v>
      </c>
      <c r="AB21" s="483"/>
      <c r="AC21" s="486">
        <f>AP21/AO21-1</f>
        <v>0.16028840525429322</v>
      </c>
      <c r="AD21" s="486">
        <f>AQ21/AP21-1</f>
        <v>8.3380468311884837E-2</v>
      </c>
      <c r="AE21" s="479"/>
      <c r="AF21" s="481">
        <f t="shared" si="38"/>
        <v>0.26374663464657</v>
      </c>
      <c r="AG21" s="481">
        <f t="shared" si="38"/>
        <v>0.13459574482144054</v>
      </c>
      <c r="AH21" s="481"/>
      <c r="AI21" s="481">
        <f t="shared" si="39"/>
        <v>0.18800349531155033</v>
      </c>
      <c r="AJ21" s="486">
        <f t="shared" si="39"/>
        <v>0.20476700743182299</v>
      </c>
      <c r="AK21" s="486">
        <f t="shared" si="39"/>
        <v>0.21444707755713749</v>
      </c>
      <c r="AL21" s="479"/>
      <c r="AM21" s="482" cm="1">
        <f t="array" ref="AM21">_xll.FDS(C21,"P_DIV_YLD")</f>
        <v>0.32853367999999999</v>
      </c>
      <c r="AN21" s="473"/>
      <c r="AO21" s="470" cm="1">
        <f t="array" ref="AO21">_xll.FDS($C21,"FE_ESTIMATE(SALES,MEAN,ANN_ROLL,+0,NOW,,,'')")</f>
        <v>3567.0639999999999</v>
      </c>
      <c r="AP21" s="470" cm="1">
        <f t="array" ref="AP21">_xll.FDS($C21,"FE_ESTIMATE(SALES,MEAN,ANN_ROLL,+1,NOW,,,'')")</f>
        <v>4138.8230000000003</v>
      </c>
      <c r="AQ21" s="470" cm="1">
        <f t="array" ref="AQ21">_xll.FDS($C21,"FE_ESTIMATE(SALES,MEAN,ANN_ROLL,+2,NOW,,,'')")</f>
        <v>4483.92</v>
      </c>
      <c r="AR21" s="470"/>
      <c r="AS21" s="470" cm="1">
        <f t="array" ref="AS21">_xll.FDS($C21,"FE_ESTIMATE(EBITDA,MEAN,ANN_ROLL,+0,NOW,,,'')")</f>
        <v>670.62049999999999</v>
      </c>
      <c r="AT21" s="470" cm="1">
        <f t="array" ref="AT21">_xll.FDS($C21,"FE_ESTIMATE(EBITDA,MEAN,ANN_ROLL,+1,NOW,,,'')")</f>
        <v>847.49440000000004</v>
      </c>
      <c r="AU21" s="470" cm="1">
        <f t="array" ref="AU21">_xll.FDS($C21,"FE_ESTIMATE(EBITDA,MEAN,ANN_ROLL,+2,NOW,,,'')")</f>
        <v>961.56353999999999</v>
      </c>
      <c r="AV21" s="471"/>
      <c r="AW21" s="472" cm="1">
        <f t="array" ref="AW21">_xll.FDS($C21,"FE_ESTIMATE(EPS,MEAN,ANN_ROLL,+0,NOW,,,'')")</f>
        <v>6.89</v>
      </c>
      <c r="AX21" s="472" cm="1">
        <f t="array" ref="AX21">_xll.FDS($C21,"FE_ESTIMATE(EPS,MEAN,ANN_ROLL,+1,NOW,,,'')")</f>
        <v>8.7256789999999995</v>
      </c>
      <c r="AY21" s="472" cm="1">
        <f t="array" ref="AY21">_xll.FDS($C21,"FE_ESTIMATE(EPS,MEAN,ANN_ROLL,+2,NOW,,,'')")</f>
        <v>10.121525999999999</v>
      </c>
      <c r="BA21" s="470" cm="1">
        <f t="array" ref="BA21">_xll.FDS($C21,"FE_ESTIMATE(FCF,MEAN,ANN_ROLL,+0,NOW,,,'')")</f>
        <v>340</v>
      </c>
      <c r="BB21" s="470" cm="1">
        <f t="array" ref="BB21">_xll.FDS($C21,"FE_ESTIMATE(FCF,MEAN,ANN_ROLL,+1,NOW,,,'')")</f>
        <v>322.69959999999998</v>
      </c>
      <c r="BC21" s="470" cm="1">
        <f t="array" ref="BC21">_xll.FDS($C21,"FE_ESTIMATE(FCF,MEAN,ANN_ROLL,+2,NOW,,,'')")</f>
        <v>465.69900000000001</v>
      </c>
    </row>
    <row r="22" spans="1:55" s="433" customFormat="1" ht="15" customHeight="1">
      <c r="A22" s="473"/>
      <c r="B22" s="473"/>
      <c r="C22" s="473"/>
      <c r="D22" s="487"/>
      <c r="E22" s="487"/>
      <c r="F22" s="488"/>
      <c r="G22" s="473"/>
      <c r="H22" s="474"/>
      <c r="I22" s="489"/>
      <c r="J22" s="490"/>
      <c r="K22" s="490"/>
      <c r="L22" s="491" t="s">
        <v>506</v>
      </c>
      <c r="M22" s="492"/>
      <c r="N22" s="493">
        <f>MEDIAN(N6:N19)</f>
        <v>5.3248793291785033</v>
      </c>
      <c r="O22" s="493">
        <f>MEDIAN(O6:O19)</f>
        <v>4.8607547058502991</v>
      </c>
      <c r="P22" s="493"/>
      <c r="Q22" s="493">
        <f>MEDIAN(Q12:Q21)</f>
        <v>24.360175666560991</v>
      </c>
      <c r="R22" s="493">
        <f>MEDIAN(R12:R21)</f>
        <v>21.970257901197975</v>
      </c>
      <c r="S22" s="493"/>
      <c r="T22" s="493">
        <f>MEDIAN(T12:T21)</f>
        <v>41.679451764371876</v>
      </c>
      <c r="U22" s="493">
        <f>MEDIAN(U12:U21)</f>
        <v>37.586229586329182</v>
      </c>
      <c r="V22" s="493" t="e">
        <f t="shared" ref="V22:AI22" si="78">MEDIAN(V17:V21)</f>
        <v>#NUM!</v>
      </c>
      <c r="W22" s="493">
        <f>MEDIAN(W12:W21)</f>
        <v>54.255745650342348</v>
      </c>
      <c r="X22" s="493">
        <f>MEDIAN(X12:X21)</f>
        <v>46.462149890709057</v>
      </c>
      <c r="Y22" s="493"/>
      <c r="Z22" s="493">
        <f t="shared" si="78"/>
        <v>1.7648493614596048</v>
      </c>
      <c r="AA22" s="493">
        <f t="shared" si="78"/>
        <v>1.4090898087968422</v>
      </c>
      <c r="AB22" s="493" t="e">
        <f t="shared" si="78"/>
        <v>#NUM!</v>
      </c>
      <c r="AC22" s="498">
        <f>MEDIAN(AC12:AC21)</f>
        <v>0.10119328783291581</v>
      </c>
      <c r="AD22" s="498">
        <f>MEDIAN(AD12:AD21)</f>
        <v>8.9432267174970659E-2</v>
      </c>
      <c r="AE22" s="493"/>
      <c r="AF22" s="493">
        <f t="shared" si="78"/>
        <v>0.16524425626571593</v>
      </c>
      <c r="AG22" s="493">
        <f t="shared" si="78"/>
        <v>0.13459574482144054</v>
      </c>
      <c r="AH22" s="493" t="e">
        <f t="shared" si="78"/>
        <v>#NUM!</v>
      </c>
      <c r="AI22" s="493">
        <f t="shared" si="78"/>
        <v>0.21747175320553511</v>
      </c>
      <c r="AJ22" s="498">
        <f>MEDIAN(AJ12:AJ21)</f>
        <v>0.19813187211686059</v>
      </c>
      <c r="AK22" s="498">
        <f>MEDIAN(AK12:AK21)</f>
        <v>0.21070348370128003</v>
      </c>
      <c r="AL22" s="498"/>
      <c r="AM22" s="494">
        <f>MEDIAN(AM12:AM21)</f>
        <v>0.201487683</v>
      </c>
      <c r="AN22" s="493"/>
      <c r="AO22" s="470"/>
      <c r="AP22" s="470"/>
      <c r="AQ22" s="470"/>
      <c r="AR22" s="470"/>
      <c r="AS22" s="470"/>
      <c r="AT22" s="470"/>
      <c r="AU22" s="470"/>
      <c r="AV22" s="471"/>
      <c r="AW22" s="472"/>
      <c r="AX22" s="472"/>
      <c r="AY22" s="472"/>
      <c r="BA22" s="495"/>
      <c r="BB22" s="495"/>
      <c r="BC22" s="495"/>
    </row>
    <row r="23" spans="1:55" s="433" customFormat="1" ht="15" customHeight="1">
      <c r="A23" s="453" t="s">
        <v>507</v>
      </c>
      <c r="B23" s="454"/>
      <c r="C23" s="454"/>
      <c r="D23" s="454"/>
      <c r="E23" s="454"/>
      <c r="F23" s="455"/>
      <c r="G23" s="454"/>
      <c r="H23" s="456"/>
      <c r="I23" s="455"/>
      <c r="J23" s="455"/>
      <c r="K23" s="455"/>
      <c r="L23" s="455"/>
      <c r="M23" s="454"/>
      <c r="N23" s="457"/>
      <c r="O23" s="457"/>
      <c r="P23" s="457"/>
      <c r="Q23" s="457"/>
      <c r="R23" s="457"/>
      <c r="S23" s="457"/>
      <c r="T23" s="457"/>
      <c r="U23" s="457"/>
      <c r="V23" s="457"/>
      <c r="W23" s="457"/>
      <c r="X23" s="457"/>
      <c r="Y23" s="457"/>
      <c r="Z23" s="457"/>
      <c r="AA23" s="457"/>
      <c r="AB23" s="454"/>
      <c r="AC23" s="457"/>
      <c r="AD23" s="457"/>
      <c r="AE23" s="457"/>
      <c r="AF23" s="457"/>
      <c r="AG23" s="457"/>
      <c r="AH23" s="457"/>
      <c r="AI23" s="457"/>
      <c r="AJ23" s="457"/>
      <c r="AK23" s="457"/>
      <c r="AL23" s="457"/>
      <c r="AM23" s="458"/>
      <c r="AN23" s="454"/>
      <c r="AO23" s="496"/>
      <c r="AP23" s="496"/>
      <c r="AQ23" s="496"/>
      <c r="AR23" s="496"/>
      <c r="AS23" s="496"/>
      <c r="AT23" s="496"/>
      <c r="AU23" s="496"/>
      <c r="AV23" s="459"/>
      <c r="AW23" s="459"/>
      <c r="AX23" s="459"/>
      <c r="AY23" s="459"/>
      <c r="AZ23" s="460"/>
      <c r="BA23" s="497"/>
      <c r="BB23" s="497"/>
      <c r="BC23" s="497"/>
    </row>
    <row r="24" spans="1:55" s="433" customFormat="1" ht="15" customHeight="1">
      <c r="A24" s="473"/>
      <c r="B24" s="473" t="str" cm="1">
        <f t="array" ref="B24">_xll.FDS(C24,"FG_COMPANY_NAME")</f>
        <v>Boeing Company</v>
      </c>
      <c r="C24" s="473" t="s">
        <v>508</v>
      </c>
      <c r="D24" s="462"/>
      <c r="E24" s="462" t="s">
        <v>495</v>
      </c>
      <c r="F24" s="463" cm="1">
        <f t="array" ref="F24">_xll.FDS(C24,"FG_PRICE(NOW)")</f>
        <v>239.35</v>
      </c>
      <c r="G24" s="473"/>
      <c r="H24" s="474" cm="1">
        <f t="array" ref="H24">_xll.FDS(C24,"FF_COM_SHS_OUT_EPS_DIL(MON,NOW)")</f>
        <v>762.3</v>
      </c>
      <c r="I24" s="475">
        <f t="shared" ref="I24:I28" si="79">F24*H24</f>
        <v>182456.50499999998</v>
      </c>
      <c r="J24" s="476" cm="1">
        <f t="array" ref="J24">_xll.FDS(C24,"FF_DEBT(MON,NOW)")</f>
        <v>56365</v>
      </c>
      <c r="K24" s="476" cm="1">
        <f t="array" ref="K24">_xll.FDS(C24,"FF_CASH_ST(MON,NOW)")</f>
        <v>29400</v>
      </c>
      <c r="L24" s="475">
        <f t="shared" ref="L24:L28" si="80">I24+J24-K24</f>
        <v>209421.50499999998</v>
      </c>
      <c r="M24" s="473"/>
      <c r="N24" s="477">
        <f t="shared" ref="N24:O28" si="81">IF($L24/AP24&lt;0,"NM",$L24/AP24)</f>
        <v>2.1571381218736168</v>
      </c>
      <c r="O24" s="477">
        <f t="shared" si="81"/>
        <v>1.8859452163057893</v>
      </c>
      <c r="P24" s="477"/>
      <c r="Q24" s="477">
        <f>IF($L24/AT24&lt;0,"NM",$L24/AT24)</f>
        <v>37.305824330412293</v>
      </c>
      <c r="R24" s="477">
        <f t="shared" ref="R24" si="82">IF($L24/AU24&lt;0,"NM",$L24/AU24)</f>
        <v>21.825241228045034</v>
      </c>
      <c r="S24" s="477"/>
      <c r="T24" s="477">
        <f>IF($F24/AX24&lt;0,"NM",$F24/AX24)</f>
        <v>139.09214524834559</v>
      </c>
      <c r="U24" s="477">
        <f>IF($F24/AY24&lt;0,"NM",$F24/AY24)</f>
        <v>48.17154035458843</v>
      </c>
      <c r="V24" s="477"/>
      <c r="W24" s="466">
        <f>IF(L24/BB24&lt;0,"NM",L24/BB24)</f>
        <v>89.645410900242013</v>
      </c>
      <c r="X24" s="466">
        <f>IF(L24/BC24&lt;0,"NM",L24/BC24)</f>
        <v>30.957853525407035</v>
      </c>
      <c r="Y24" s="479"/>
      <c r="Z24" s="480">
        <f t="shared" ref="Z24:Z28" si="83">IF((J24-K24)/AT24&lt;0,"NM",(J24-K24)/AT24)</f>
        <v>4.8034778141316838</v>
      </c>
      <c r="AA24" s="480">
        <f t="shared" ref="AA24:AA28" si="84">IF((J24-K24)/AU24&lt;0,"NM",(J24-K24)/AU24)</f>
        <v>2.8102062857118444</v>
      </c>
      <c r="AB24" s="473"/>
      <c r="AC24" s="481">
        <f t="shared" ref="AC24:AD28" si="85">AP24/AO24-1</f>
        <v>8.5175212098856479E-2</v>
      </c>
      <c r="AD24" s="481">
        <f t="shared" si="85"/>
        <v>0.14379680980290788</v>
      </c>
      <c r="AE24" s="479"/>
      <c r="AF24" s="481">
        <f t="shared" ref="AF24:AG28" si="86">AT24/AS24-1</f>
        <v>-0.10239420557926304</v>
      </c>
      <c r="AG24" s="481">
        <f t="shared" si="86"/>
        <v>0.70929722794884809</v>
      </c>
      <c r="AH24" s="481"/>
      <c r="AI24" s="481">
        <f t="shared" ref="AI24:AK28" si="87">IF(AS24/AO24&lt;0,"NM",AS24/AO24)</f>
        <v>6.9906173501894639E-2</v>
      </c>
      <c r="AJ24" s="481">
        <f t="shared" si="87"/>
        <v>5.7823092254125151E-2</v>
      </c>
      <c r="AK24" s="481">
        <f t="shared" si="87"/>
        <v>8.6411196861475428E-2</v>
      </c>
      <c r="AL24" s="479"/>
      <c r="AM24" s="482" cm="1">
        <f t="array" ref="AM24">_xll.FDS(C24,"P_DIV_YLD")</f>
        <v>0</v>
      </c>
      <c r="AN24" s="473"/>
      <c r="AO24" s="470" cm="1">
        <f t="array" ref="AO24">_xll.FDS($C24,"FE_ESTIMATE(SALES,MEAN,ANN_ROLL,+0,NOW,,,'')")</f>
        <v>89463</v>
      </c>
      <c r="AP24" s="470" cm="1">
        <f t="array" ref="AP24">_xll.FDS($C24,"FE_ESTIMATE(SALES,MEAN,ANN_ROLL,+1,NOW,,,'')")</f>
        <v>97083.03</v>
      </c>
      <c r="AQ24" s="470" cm="1">
        <f t="array" ref="AQ24">_xll.FDS($C24,"FE_ESTIMATE(SALES,MEAN,ANN_ROLL,+2,NOW,,,'')")</f>
        <v>111043.26</v>
      </c>
      <c r="AR24" s="470"/>
      <c r="AS24" s="470" cm="1">
        <f t="array" ref="AS24">_xll.FDS($C24,"FE_ESTIMATE(EBITDA,MEAN,ANN_ROLL,+0,NOW,,,'')")</f>
        <v>6254.0159999999996</v>
      </c>
      <c r="AT24" s="470" cm="1">
        <f t="array" ref="AT24">_xll.FDS($C24,"FE_ESTIMATE(EBITDA,MEAN,ANN_ROLL,+1,NOW,,,'')")</f>
        <v>5613.6409999999996</v>
      </c>
      <c r="AU24" s="470" cm="1">
        <f t="array" ref="AU24">_xll.FDS($C24,"FE_ESTIMATE(EBITDA,MEAN,ANN_ROLL,+2,NOW,,,'')")</f>
        <v>9595.3809999999994</v>
      </c>
      <c r="AV24" s="471"/>
      <c r="AW24" s="472" cm="1">
        <f t="array" ref="AW24">_xll.FDS($C24,"FE_ESTIMATE(EPS,MEAN,ANN_ROLL,+0,NOW,,,'')")</f>
        <v>1.19</v>
      </c>
      <c r="AX24" s="472" cm="1">
        <f t="array" ref="AX24">_xll.FDS($C24,"FE_ESTIMATE(EPS,MEAN,ANN_ROLL,+1,NOW,,,'')")</f>
        <v>1.7208017</v>
      </c>
      <c r="AY24" s="472" cm="1">
        <f t="array" ref="AY24">_xll.FDS($C24,"FE_ESTIMATE(EPS,MEAN,ANN_ROLL,+2,NOW,,,'')")</f>
        <v>4.9687013999999996</v>
      </c>
      <c r="BA24" s="470" cm="1">
        <f t="array" ref="BA24">_xll.FDS($C24,"FE_ESTIMATE(FCF,MEAN,ANN_ROLL,+0,NOW,,,'')")</f>
        <v>-1877</v>
      </c>
      <c r="BB24" s="470" cm="1">
        <f t="array" ref="BB24">_xll.FDS($C24,"FE_ESTIMATE(FCF,MEAN,ANN_ROLL,+1,NOW,,,'')")</f>
        <v>2336.1095999999998</v>
      </c>
      <c r="BC24" s="470" cm="1">
        <f t="array" ref="BC24">_xll.FDS($C24,"FE_ESTIMATE(FCF,MEAN,ANN_ROLL,+2,NOW,,,'')")</f>
        <v>6764.7295000000004</v>
      </c>
    </row>
    <row r="25" spans="1:55" s="433" customFormat="1" ht="15" customHeight="1">
      <c r="A25" s="473"/>
      <c r="B25" s="473" t="str" cm="1">
        <f t="array" ref="B25">_xll.FDS(C25,"FG_COMPANY_NAME")</f>
        <v>General Dynamics Corporation</v>
      </c>
      <c r="C25" s="473" t="s">
        <v>509</v>
      </c>
      <c r="D25" s="462"/>
      <c r="E25" s="462" t="s">
        <v>495</v>
      </c>
      <c r="F25" s="463" cm="1">
        <f t="array" ref="F25">_xll.FDS(C25,"FG_PRICE(NOW)")</f>
        <v>340.75</v>
      </c>
      <c r="G25" s="473"/>
      <c r="H25" s="474" cm="1">
        <f t="array" ref="H25">_xll.FDS(C25,"FF_COM_SHS_OUT_EPS_DIL(MON,NOW)")</f>
        <v>272.42500000000001</v>
      </c>
      <c r="I25" s="475">
        <f t="shared" si="79"/>
        <v>92828.818750000006</v>
      </c>
      <c r="J25" s="476" cm="1">
        <f t="array" ref="J25">_xll.FDS(C25,"FF_DEBT(MON,NOW)")</f>
        <v>9789</v>
      </c>
      <c r="K25" s="476" cm="1">
        <f t="array" ref="K25">_xll.FDS(C25,"FF_CASH_ST(MON,NOW)")</f>
        <v>2333</v>
      </c>
      <c r="L25" s="475">
        <f t="shared" si="80"/>
        <v>100284.81875000001</v>
      </c>
      <c r="M25" s="473"/>
      <c r="N25" s="477">
        <f t="shared" si="81"/>
        <v>1.8331013079430416</v>
      </c>
      <c r="O25" s="477">
        <f t="shared" si="81"/>
        <v>1.752755217857809</v>
      </c>
      <c r="P25" s="477"/>
      <c r="Q25" s="477">
        <f t="shared" ref="Q25:R28" si="88">IF($L25/AT25&lt;0,"NM",$L25/AT25)</f>
        <v>14.999808360779811</v>
      </c>
      <c r="R25" s="477">
        <f t="shared" si="88"/>
        <v>13.821809865800645</v>
      </c>
      <c r="S25" s="477"/>
      <c r="T25" s="477">
        <f>IF($F25/AX25&lt;0,"NM",$F25/AX25)</f>
        <v>20.741470279588327</v>
      </c>
      <c r="U25" s="477">
        <f>IF($F25/AY25&lt;0,"NM",$F25/AY25)</f>
        <v>18.715991272498464</v>
      </c>
      <c r="V25" s="477"/>
      <c r="W25" s="466">
        <f t="shared" ref="W25:W29" si="89">IF(L25/BB25&lt;0,"NM",L25/BB25)</f>
        <v>22.587537762710532</v>
      </c>
      <c r="X25" s="466">
        <f t="shared" ref="X25:X29" si="90">IF(L25/BC25&lt;0,"NM",L25/BC25)</f>
        <v>21.249091771048946</v>
      </c>
      <c r="Y25" s="479"/>
      <c r="Z25" s="480">
        <f t="shared" si="83"/>
        <v>1.1152093859468062</v>
      </c>
      <c r="AA25" s="480">
        <f t="shared" si="84"/>
        <v>1.0276272684534278</v>
      </c>
      <c r="AB25" s="473"/>
      <c r="AC25" s="481">
        <f t="shared" si="85"/>
        <v>4.1060589914367229E-2</v>
      </c>
      <c r="AD25" s="481">
        <f t="shared" si="85"/>
        <v>4.5839880701328273E-2</v>
      </c>
      <c r="AE25" s="479"/>
      <c r="AF25" s="481">
        <f t="shared" si="86"/>
        <v>5.8863557654155851E-2</v>
      </c>
      <c r="AG25" s="481">
        <f t="shared" si="86"/>
        <v>8.5227514082210742E-2</v>
      </c>
      <c r="AH25" s="481"/>
      <c r="AI25" s="481">
        <f t="shared" si="87"/>
        <v>0.12015359276879162</v>
      </c>
      <c r="AJ25" s="481">
        <f t="shared" si="87"/>
        <v>0.12220831518995103</v>
      </c>
      <c r="AK25" s="481">
        <f t="shared" si="87"/>
        <v>0.12681083265330234</v>
      </c>
      <c r="AL25" s="479"/>
      <c r="AM25" s="482" cm="1">
        <f t="array" ref="AM25">_xll.FDS(C25,"P_DIV_YLD")</f>
        <v>1.7324017</v>
      </c>
      <c r="AN25" s="473"/>
      <c r="AO25" s="470" cm="1">
        <f t="array" ref="AO25">_xll.FDS($C25,"FE_ESTIMATE(SALES,MEAN,ANN_ROLL,+0,NOW,,,'')")</f>
        <v>52550</v>
      </c>
      <c r="AP25" s="470" cm="1">
        <f t="array" ref="AP25">_xll.FDS($C25,"FE_ESTIMATE(SALES,MEAN,ANN_ROLL,+1,NOW,,,'')")</f>
        <v>54707.733999999997</v>
      </c>
      <c r="AQ25" s="470" cm="1">
        <f t="array" ref="AQ25">_xll.FDS($C25,"FE_ESTIMATE(SALES,MEAN,ANN_ROLL,+2,NOW,,,'')")</f>
        <v>57215.53</v>
      </c>
      <c r="AR25" s="470"/>
      <c r="AS25" s="470" cm="1">
        <f t="array" ref="AS25">_xll.FDS($C25,"FE_ESTIMATE(EBITDA,MEAN,ANN_ROLL,+0,NOW,,,'')")</f>
        <v>6314.0712999999996</v>
      </c>
      <c r="AT25" s="470" cm="1">
        <f t="array" ref="AT25">_xll.FDS($C25,"FE_ESTIMATE(EBITDA,MEAN,ANN_ROLL,+1,NOW,,,'')")</f>
        <v>6685.74</v>
      </c>
      <c r="AU25" s="470" cm="1">
        <f t="array" ref="AU25">_xll.FDS($C25,"FE_ESTIMATE(EBITDA,MEAN,ANN_ROLL,+2,NOW,,,'')")</f>
        <v>7255.549</v>
      </c>
      <c r="AV25" s="471"/>
      <c r="AW25" s="472" cm="1">
        <f t="array" ref="AW25">_xll.FDS($C25,"FE_ESTIMATE(EPS,MEAN,ANN_ROLL,+0,NOW,,,'')")</f>
        <v>15.45</v>
      </c>
      <c r="AX25" s="472" cm="1">
        <f t="array" ref="AX25">_xll.FDS($C25,"FE_ESTIMATE(EPS,MEAN,ANN_ROLL,+1,NOW,,,'')")</f>
        <v>16.428439999999998</v>
      </c>
      <c r="AY25" s="472" cm="1">
        <f t="array" ref="AY25">_xll.FDS($C25,"FE_ESTIMATE(EPS,MEAN,ANN_ROLL,+2,NOW,,,'')")</f>
        <v>18.206356</v>
      </c>
      <c r="BA25" s="470" cm="1">
        <f t="array" ref="BA25">_xll.FDS($C25,"FE_ESTIMATE(FCF,MEAN,ANN_ROLL,+0,NOW,,,'')")</f>
        <v>3959</v>
      </c>
      <c r="BB25" s="470" cm="1">
        <f t="array" ref="BB25">_xll.FDS($C25,"FE_ESTIMATE(FCF,MEAN,ANN_ROLL,+1,NOW,,,'')")</f>
        <v>4439.8296</v>
      </c>
      <c r="BC25" s="470" cm="1">
        <f t="array" ref="BC25">_xll.FDS($C25,"FE_ESTIMATE(FCF,MEAN,ANN_ROLL,+2,NOW,,,'')")</f>
        <v>4719.4872999999998</v>
      </c>
    </row>
    <row r="26" spans="1:55" s="433" customFormat="1" ht="15" customHeight="1">
      <c r="A26" s="473"/>
      <c r="B26" s="473" t="str" cm="1">
        <f t="array" ref="B26">_xll.FDS(C26,"FG_COMPANY_NAME")</f>
        <v>L3Harris Technologies Inc</v>
      </c>
      <c r="C26" s="473" t="s">
        <v>510</v>
      </c>
      <c r="D26" s="462"/>
      <c r="E26" s="462" t="s">
        <v>497</v>
      </c>
      <c r="F26" s="463" cm="1">
        <f t="array" ref="F26">_xll.FDS(C26,"FG_PRICE(NOW)")</f>
        <v>339.9</v>
      </c>
      <c r="G26" s="473"/>
      <c r="H26" s="474" cm="1">
        <f t="array" ref="H26">_xll.FDS(C26,"FF_COM_SHS_OUT_EPS_DIL(MON,NOW)")</f>
        <v>188.4</v>
      </c>
      <c r="I26" s="475">
        <f t="shared" si="79"/>
        <v>64037.159999999996</v>
      </c>
      <c r="J26" s="476" cm="1">
        <f t="array" ref="J26">_xll.FDS(C26,"FF_DEBT(MON,NOW)")</f>
        <v>10443</v>
      </c>
      <c r="K26" s="476" cm="1">
        <f t="array" ref="K26">_xll.FDS(C26,"FF_CASH_ST(MON,NOW)")</f>
        <v>1069</v>
      </c>
      <c r="L26" s="475">
        <f t="shared" si="80"/>
        <v>73411.16</v>
      </c>
      <c r="M26" s="473"/>
      <c r="N26" s="477">
        <f t="shared" si="81"/>
        <v>3.1329734375763523</v>
      </c>
      <c r="O26" s="477">
        <f t="shared" si="81"/>
        <v>2.9222549946245051</v>
      </c>
      <c r="P26" s="477"/>
      <c r="Q26" s="477">
        <f t="shared" si="88"/>
        <v>17.236483779060368</v>
      </c>
      <c r="R26" s="477">
        <f t="shared" si="88"/>
        <v>16.134752084802972</v>
      </c>
      <c r="S26" s="477"/>
      <c r="T26" s="477">
        <f t="shared" ref="T26:U29" si="91">IF($F26/AX26&lt;0,"NM",$F26/AX26)</f>
        <v>28.684933768099821</v>
      </c>
      <c r="U26" s="477">
        <f t="shared" si="91"/>
        <v>24.843275040928546</v>
      </c>
      <c r="V26" s="477"/>
      <c r="W26" s="466">
        <f t="shared" si="89"/>
        <v>24.211434080506415</v>
      </c>
      <c r="X26" s="466">
        <f t="shared" si="90"/>
        <v>23.716517626382714</v>
      </c>
      <c r="Y26" s="479"/>
      <c r="Z26" s="480">
        <f t="shared" si="83"/>
        <v>2.2009568973560953</v>
      </c>
      <c r="AA26" s="480">
        <f t="shared" si="84"/>
        <v>2.0602748416309327</v>
      </c>
      <c r="AB26" s="473"/>
      <c r="AC26" s="481">
        <f t="shared" si="85"/>
        <v>7.1657214726732255E-2</v>
      </c>
      <c r="AD26" s="481">
        <f t="shared" si="85"/>
        <v>7.2108164188088963E-2</v>
      </c>
      <c r="AE26" s="479"/>
      <c r="AF26" s="481">
        <f t="shared" si="86"/>
        <v>0.10906000666625015</v>
      </c>
      <c r="AG26" s="481">
        <f t="shared" si="86"/>
        <v>6.828314984121131E-2</v>
      </c>
      <c r="AH26" s="481"/>
      <c r="AI26" s="481">
        <f t="shared" si="87"/>
        <v>0.17563411845415045</v>
      </c>
      <c r="AJ26" s="481">
        <f t="shared" si="87"/>
        <v>0.18176406961740216</v>
      </c>
      <c r="AK26" s="481">
        <f t="shared" si="87"/>
        <v>0.18111558078273318</v>
      </c>
      <c r="AL26" s="479"/>
      <c r="AM26" s="482" cm="1">
        <f t="array" ref="AM26">_xll.FDS(C26,"P_DIV_YLD")</f>
        <v>1.4693350000000001</v>
      </c>
      <c r="AN26" s="473"/>
      <c r="AO26" s="470" cm="1">
        <f t="array" ref="AO26">_xll.FDS($C26,"FE_ESTIMATE(SALES,MEAN,ANN_ROLL,+0,NOW,,,'')")</f>
        <v>21865</v>
      </c>
      <c r="AP26" s="470" cm="1">
        <f t="array" ref="AP26">_xll.FDS($C26,"FE_ESTIMATE(SALES,MEAN,ANN_ROLL,+1,NOW,,,'')")</f>
        <v>23431.785</v>
      </c>
      <c r="AQ26" s="470" cm="1">
        <f t="array" ref="AQ26">_xll.FDS($C26,"FE_ESTIMATE(SALES,MEAN,ANN_ROLL,+2,NOW,,,'')")</f>
        <v>25121.407999999999</v>
      </c>
      <c r="AR26" s="470"/>
      <c r="AS26" s="470" cm="1">
        <f t="array" ref="AS26">_xll.FDS($C26,"FE_ESTIMATE(EBITDA,MEAN,ANN_ROLL,+0,NOW,,,'')")</f>
        <v>3840.24</v>
      </c>
      <c r="AT26" s="470" cm="1">
        <f t="array" ref="AT26">_xll.FDS($C26,"FE_ESTIMATE(EBITDA,MEAN,ANN_ROLL,+1,NOW,,,'')")</f>
        <v>4259.0565999999999</v>
      </c>
      <c r="AU26" s="470" cm="1">
        <f t="array" ref="AU26">_xll.FDS($C26,"FE_ESTIMATE(EBITDA,MEAN,ANN_ROLL,+2,NOW,,,'')")</f>
        <v>4549.8783999999996</v>
      </c>
      <c r="AV26" s="471"/>
      <c r="AW26" s="472" cm="1">
        <f t="array" ref="AW26">_xll.FDS($C26,"FE_ESTIMATE(EPS,MEAN,ANN_ROLL,+0,NOW,,,'')")</f>
        <v>10.73</v>
      </c>
      <c r="AX26" s="472" cm="1">
        <f t="array" ref="AX26">_xll.FDS($C26,"FE_ESTIMATE(EPS,MEAN,ANN_ROLL,+1,NOW,,,'')")</f>
        <v>11.849425999999999</v>
      </c>
      <c r="AY26" s="472" cm="1">
        <f t="array" ref="AY26">_xll.FDS($C26,"FE_ESTIMATE(EPS,MEAN,ANN_ROLL,+2,NOW,,,'')")</f>
        <v>13.681770999999999</v>
      </c>
      <c r="BA26" s="470" cm="1">
        <f t="array" ref="BA26">_xll.FDS($C26,"FE_ESTIMATE(FCF,MEAN,ANN_ROLL,+0,NOW,,,'')")</f>
        <v>2814</v>
      </c>
      <c r="BB26" s="470" cm="1">
        <f t="array" ref="BB26">_xll.FDS($C26,"FE_ESTIMATE(FCF,MEAN,ANN_ROLL,+1,NOW,,,'')")</f>
        <v>3032.0864000000001</v>
      </c>
      <c r="BC26" s="470" cm="1">
        <f t="array" ref="BC26">_xll.FDS($C26,"FE_ESTIMATE(FCF,MEAN,ANN_ROLL,+2,NOW,,,'')")</f>
        <v>3095.36</v>
      </c>
    </row>
    <row r="27" spans="1:55" s="433" customFormat="1" ht="15" customHeight="1">
      <c r="A27" s="473"/>
      <c r="B27" s="473" t="str" cm="1">
        <f t="array" ref="B27">_xll.FDS(C27,"FG_COMPANY_NAME")</f>
        <v>Lockheed Martin Corporation</v>
      </c>
      <c r="C27" s="473" t="s">
        <v>511</v>
      </c>
      <c r="D27" s="462"/>
      <c r="E27" s="462" t="s">
        <v>497</v>
      </c>
      <c r="F27" s="463" cm="1">
        <f t="array" ref="F27">_xll.FDS(C27,"FG_PRICE(NOW)")</f>
        <v>637.42999999999995</v>
      </c>
      <c r="G27" s="473"/>
      <c r="H27" s="474" cm="1">
        <f t="array" ref="H27">_xll.FDS(C27,"FF_COM_SHS_OUT_EPS_DIL(MON,NOW)")</f>
        <v>233.5</v>
      </c>
      <c r="I27" s="475">
        <f t="shared" si="79"/>
        <v>148839.905</v>
      </c>
      <c r="J27" s="476" cm="1">
        <f t="array" ref="J27">_xll.FDS(C27,"FF_DEBT(MON,NOW)")</f>
        <v>22771</v>
      </c>
      <c r="K27" s="476" cm="1">
        <f t="array" ref="K27">_xll.FDS(C27,"FF_CASH_ST(MON,NOW)")</f>
        <v>4121</v>
      </c>
      <c r="L27" s="475">
        <f t="shared" si="80"/>
        <v>167489.905</v>
      </c>
      <c r="M27" s="473"/>
      <c r="N27" s="477">
        <f t="shared" si="81"/>
        <v>2.117413750011536</v>
      </c>
      <c r="O27" s="477">
        <f t="shared" si="81"/>
        <v>2.0146569412813591</v>
      </c>
      <c r="P27" s="477"/>
      <c r="Q27" s="477">
        <f t="shared" si="88"/>
        <v>14.783356926345141</v>
      </c>
      <c r="R27" s="477">
        <f t="shared" si="88"/>
        <v>14.265822879687745</v>
      </c>
      <c r="S27" s="477"/>
      <c r="T27" s="477">
        <f t="shared" si="91"/>
        <v>21.287307891422074</v>
      </c>
      <c r="U27" s="477">
        <f t="shared" si="91"/>
        <v>19.995116577900557</v>
      </c>
      <c r="V27" s="477"/>
      <c r="W27" s="466">
        <f t="shared" si="89"/>
        <v>25.093989020605729</v>
      </c>
      <c r="X27" s="466">
        <f t="shared" si="90"/>
        <v>26.186705263766829</v>
      </c>
      <c r="Y27" s="479"/>
      <c r="Z27" s="480">
        <f t="shared" si="83"/>
        <v>1.6461267123910357</v>
      </c>
      <c r="AA27" s="480">
        <f t="shared" si="84"/>
        <v>1.5884992991438884</v>
      </c>
      <c r="AB27" s="473"/>
      <c r="AC27" s="481">
        <f t="shared" si="85"/>
        <v>5.4007701737554648E-2</v>
      </c>
      <c r="AD27" s="481">
        <f t="shared" si="85"/>
        <v>5.1004618515756661E-2</v>
      </c>
      <c r="AE27" s="479"/>
      <c r="AF27" s="481">
        <f t="shared" si="86"/>
        <v>0.2025106449055647</v>
      </c>
      <c r="AG27" s="481">
        <f t="shared" si="86"/>
        <v>3.6277896551925037E-2</v>
      </c>
      <c r="AH27" s="481"/>
      <c r="AI27" s="481">
        <f t="shared" si="87"/>
        <v>0.12554156006822301</v>
      </c>
      <c r="AJ27" s="481">
        <f t="shared" si="87"/>
        <v>0.14322956284970248</v>
      </c>
      <c r="AK27" s="481">
        <f t="shared" si="87"/>
        <v>0.14122262404855096</v>
      </c>
      <c r="AL27" s="479"/>
      <c r="AM27" s="482" cm="1">
        <f t="array" ref="AM27">_xll.FDS(C27,"P_DIV_YLD")</f>
        <v>2.1950053999999999</v>
      </c>
      <c r="AN27" s="473"/>
      <c r="AO27" s="470" cm="1">
        <f t="array" ref="AO27">_xll.FDS($C27,"FE_ESTIMATE(SALES,MEAN,ANN_ROLL,+0,NOW,,,'')")</f>
        <v>75048</v>
      </c>
      <c r="AP27" s="470" cm="1">
        <f t="array" ref="AP27">_xll.FDS($C27,"FE_ESTIMATE(SALES,MEAN,ANN_ROLL,+1,NOW,,,'')")</f>
        <v>79101.17</v>
      </c>
      <c r="AQ27" s="470" cm="1">
        <f t="array" ref="AQ27">_xll.FDS($C27,"FE_ESTIMATE(SALES,MEAN,ANN_ROLL,+2,NOW,,,'')")</f>
        <v>83135.695000000007</v>
      </c>
      <c r="AR27" s="470"/>
      <c r="AS27" s="470" cm="1">
        <f t="array" ref="AS27">_xll.FDS($C27,"FE_ESTIMATE(EBITDA,MEAN,ANN_ROLL,+0,NOW,,,'')")</f>
        <v>9421.643</v>
      </c>
      <c r="AT27" s="470" cm="1">
        <f t="array" ref="AT27">_xll.FDS($C27,"FE_ESTIMATE(EBITDA,MEAN,ANN_ROLL,+1,NOW,,,'')")</f>
        <v>11329.626</v>
      </c>
      <c r="AU27" s="470" cm="1">
        <f t="array" ref="AU27">_xll.FDS($C27,"FE_ESTIMATE(EBITDA,MEAN,ANN_ROLL,+2,NOW,,,'')")</f>
        <v>11740.641</v>
      </c>
      <c r="AV27" s="471"/>
      <c r="AW27" s="472" cm="1">
        <f t="array" ref="AW27">_xll.FDS($C27,"FE_ESTIMATE(EPS,MEAN,ANN_ROLL,+0,NOW,,,'')")</f>
        <v>21.49</v>
      </c>
      <c r="AX27" s="472" cm="1">
        <f t="array" ref="AX27">_xll.FDS($C27,"FE_ESTIMATE(EPS,MEAN,ANN_ROLL,+1,NOW,,,'')")</f>
        <v>29.944133999999998</v>
      </c>
      <c r="AY27" s="472" cm="1">
        <f t="array" ref="AY27">_xll.FDS($C27,"FE_ESTIMATE(EPS,MEAN,ANN_ROLL,+2,NOW,,,'')")</f>
        <v>31.879283999999998</v>
      </c>
      <c r="BA27" s="470" cm="1">
        <f t="array" ref="BA27">_xll.FDS($C27,"FE_ESTIMATE(FCF,MEAN,ANN_ROLL,+0,NOW,,,'')")</f>
        <v>6908</v>
      </c>
      <c r="BB27" s="470" cm="1">
        <f t="array" ref="BB27">_xll.FDS($C27,"FE_ESTIMATE(FCF,MEAN,ANN_ROLL,+1,NOW,,,'')")</f>
        <v>6674.5029999999997</v>
      </c>
      <c r="BC27" s="470" cm="1">
        <f t="array" ref="BC27">_xll.FDS($C27,"FE_ESTIMATE(FCF,MEAN,ANN_ROLL,+2,NOW,,,'')")</f>
        <v>6395.99</v>
      </c>
    </row>
    <row r="28" spans="1:55" s="433" customFormat="1" ht="15" customHeight="1">
      <c r="A28" s="483"/>
      <c r="B28" s="473" t="str" cm="1">
        <f t="array" ref="B28">_xll.FDS(C28,"FG_COMPANY_NAME")</f>
        <v>Northrop Grumman Corp.</v>
      </c>
      <c r="C28" s="483" t="s">
        <v>512</v>
      </c>
      <c r="D28" s="462"/>
      <c r="E28" s="484" t="s">
        <v>497</v>
      </c>
      <c r="F28" s="463" cm="1">
        <f t="array" ref="F28">_xll.FDS(C28,"FG_PRICE(NOW)")</f>
        <v>695.06</v>
      </c>
      <c r="G28" s="483"/>
      <c r="H28" s="499" cm="1">
        <f t="array" ref="H28">_xll.FDS(C28,"FF_COM_SHS_OUT_EPS_DIL(MON,NOW)")</f>
        <v>143.80000000000001</v>
      </c>
      <c r="I28" s="475">
        <f t="shared" si="79"/>
        <v>99949.627999999997</v>
      </c>
      <c r="J28" s="476" cm="1">
        <f t="array" ref="J28">_xll.FDS(C28,"FF_DEBT(MON,NOW)")</f>
        <v>17884</v>
      </c>
      <c r="K28" s="476" cm="1">
        <f t="array" ref="K28">_xll.FDS(C28,"FF_CASH_ST(MON,NOW)")</f>
        <v>4403</v>
      </c>
      <c r="L28" s="475">
        <f t="shared" si="80"/>
        <v>113430.628</v>
      </c>
      <c r="M28" s="483"/>
      <c r="N28" s="478">
        <f t="shared" si="81"/>
        <v>2.5826028293950163</v>
      </c>
      <c r="O28" s="478">
        <f t="shared" si="81"/>
        <v>2.4307566698110823</v>
      </c>
      <c r="P28" s="478"/>
      <c r="Q28" s="478">
        <f t="shared" si="88"/>
        <v>18.091817178438589</v>
      </c>
      <c r="R28" s="478">
        <f t="shared" si="88"/>
        <v>17.031150181091039</v>
      </c>
      <c r="S28" s="478"/>
      <c r="T28" s="478">
        <f t="shared" si="91"/>
        <v>24.794740458576769</v>
      </c>
      <c r="U28" s="478">
        <f t="shared" si="91"/>
        <v>23.004310072919683</v>
      </c>
      <c r="V28" s="478"/>
      <c r="W28" s="466">
        <f t="shared" si="89"/>
        <v>34.40487657838284</v>
      </c>
      <c r="X28" s="466">
        <f t="shared" si="90"/>
        <v>32.192174782078943</v>
      </c>
      <c r="Y28" s="484"/>
      <c r="Z28" s="485">
        <f t="shared" si="83"/>
        <v>2.1501757654249314</v>
      </c>
      <c r="AA28" s="485">
        <f t="shared" si="84"/>
        <v>2.0241176447624736</v>
      </c>
      <c r="AB28" s="483"/>
      <c r="AC28" s="486">
        <f t="shared" si="85"/>
        <v>4.6885875005958866E-2</v>
      </c>
      <c r="AD28" s="486">
        <f t="shared" si="85"/>
        <v>6.2468679596685339E-2</v>
      </c>
      <c r="AE28" s="479"/>
      <c r="AF28" s="481">
        <f t="shared" si="86"/>
        <v>5.2496222931005532E-2</v>
      </c>
      <c r="AG28" s="481">
        <f t="shared" si="86"/>
        <v>6.2278060264254087E-2</v>
      </c>
      <c r="AH28" s="481"/>
      <c r="AI28" s="481">
        <f t="shared" si="87"/>
        <v>0.14198884492539449</v>
      </c>
      <c r="AJ28" s="481">
        <f t="shared" si="87"/>
        <v>0.14274977488015428</v>
      </c>
      <c r="AK28" s="481">
        <f t="shared" si="87"/>
        <v>0.14272416389762377</v>
      </c>
      <c r="AL28" s="479"/>
      <c r="AM28" s="482" cm="1">
        <f t="array" ref="AM28">_xll.FDS(C28,"P_DIV_YLD")</f>
        <v>1.3611655</v>
      </c>
      <c r="AN28" s="473"/>
      <c r="AO28" s="470" cm="1">
        <f t="array" ref="AO28">_xll.FDS($C28,"FE_ESTIMATE(SALES,MEAN,ANN_ROLL,+0,NOW,,,'')")</f>
        <v>41954</v>
      </c>
      <c r="AP28" s="470" cm="1">
        <f t="array" ref="AP28">_xll.FDS($C28,"FE_ESTIMATE(SALES,MEAN,ANN_ROLL,+1,NOW,,,'')")</f>
        <v>43921.05</v>
      </c>
      <c r="AQ28" s="470" cm="1">
        <f t="array" ref="AQ28">_xll.FDS($C28,"FE_ESTIMATE(SALES,MEAN,ANN_ROLL,+2,NOW,,,'')")</f>
        <v>46664.74</v>
      </c>
      <c r="AR28" s="470"/>
      <c r="AS28" s="470" cm="1">
        <f t="array" ref="AS28">_xll.FDS($C28,"FE_ESTIMATE(EBITDA,MEAN,ANN_ROLL,+0,NOW,,,'')")</f>
        <v>5957</v>
      </c>
      <c r="AT28" s="470" cm="1">
        <f t="array" ref="AT28">_xll.FDS($C28,"FE_ESTIMATE(EBITDA,MEAN,ANN_ROLL,+1,NOW,,,'')")</f>
        <v>6269.72</v>
      </c>
      <c r="AU28" s="470" cm="1">
        <f t="array" ref="AU28">_xll.FDS($C28,"FE_ESTIMATE(EBITDA,MEAN,ANN_ROLL,+2,NOW,,,'')")</f>
        <v>6660.1859999999997</v>
      </c>
      <c r="AV28" s="471"/>
      <c r="AW28" s="472" cm="1">
        <f t="array" ref="AW28">_xll.FDS($C28,"FE_ESTIMATE(EPS,MEAN,ANN_ROLL,+0,NOW,,,'')")</f>
        <v>26.34</v>
      </c>
      <c r="AX28" s="472" cm="1">
        <f t="array" ref="AX28">_xll.FDS($C28,"FE_ESTIMATE(EPS,MEAN,ANN_ROLL,+1,NOW,,,'')")</f>
        <v>28.032558000000002</v>
      </c>
      <c r="AY28" s="472" cm="1">
        <f t="array" ref="AY28">_xll.FDS($C28,"FE_ESTIMATE(EPS,MEAN,ANN_ROLL,+2,NOW,,,'')")</f>
        <v>30.214338000000001</v>
      </c>
      <c r="BA28" s="470" cm="1">
        <f t="array" ref="BA28">_xll.FDS($C28,"FE_ESTIMATE(FCF,MEAN,ANN_ROLL,+0,NOW,,,'')")</f>
        <v>3307</v>
      </c>
      <c r="BB28" s="470" cm="1">
        <f t="array" ref="BB28">_xll.FDS($C28,"FE_ESTIMATE(FCF,MEAN,ANN_ROLL,+1,NOW,,,'')")</f>
        <v>3296.9346</v>
      </c>
      <c r="BC28" s="470" cm="1">
        <f t="array" ref="BC28">_xll.FDS($C28,"FE_ESTIMATE(FCF,MEAN,ANN_ROLL,+2,NOW,,,'')")</f>
        <v>3523.5466000000001</v>
      </c>
    </row>
    <row r="29" spans="1:55" s="433" customFormat="1" ht="15" customHeight="1">
      <c r="A29" s="483"/>
      <c r="B29" s="473" t="str" cm="1">
        <f t="array" ref="B29">_xll.FDS(C29,"FG_COMPANY_NAME")</f>
        <v>RTX Corporation</v>
      </c>
      <c r="C29" s="483" t="s">
        <v>513</v>
      </c>
      <c r="D29" s="462"/>
      <c r="E29" s="484" t="s">
        <v>497</v>
      </c>
      <c r="F29" s="463" cm="1">
        <f t="array" ref="F29">_xll.FDS(C29,"FG_PRICE(NOW)")</f>
        <v>201.14</v>
      </c>
      <c r="G29" s="483"/>
      <c r="H29" s="499" cm="1">
        <f t="array" ref="H29">_xll.FDS(C29,"FF_COM_SHS_OUT_EPS_DIL(MON,NOW)")</f>
        <v>1356.4</v>
      </c>
      <c r="I29" s="475">
        <f>F29*H29</f>
        <v>272826.29599999997</v>
      </c>
      <c r="J29" s="476" cm="1">
        <f t="array" ref="J29">_xll.FDS(C29,"FF_DEBT(MON,NOW)")</f>
        <v>39956</v>
      </c>
      <c r="K29" s="476" cm="1">
        <f t="array" ref="K29">_xll.FDS(C29,"FF_CASH_ST(MON,NOW)")</f>
        <v>7435</v>
      </c>
      <c r="L29" s="475">
        <f>I29+J29-K29</f>
        <v>305347.29599999997</v>
      </c>
      <c r="M29" s="483"/>
      <c r="N29" s="478">
        <f>IF($L29/AP29&lt;0,"NM",$L29/AP29)</f>
        <v>3.2659130952456077</v>
      </c>
      <c r="O29" s="478">
        <f>IF($L29/AQ29&lt;0,"NM",$L29/AQ29)</f>
        <v>3.0578585407190988</v>
      </c>
      <c r="P29" s="478"/>
      <c r="Q29" s="478">
        <f>IF($L29/AT29&lt;0,"NM",$L29/AT29)</f>
        <v>19.830571706124882</v>
      </c>
      <c r="R29" s="478">
        <f>IF($L29/AU29&lt;0,"NM",$L29/AU29)</f>
        <v>18.189543091430021</v>
      </c>
      <c r="S29" s="478"/>
      <c r="T29" s="478">
        <f t="shared" si="91"/>
        <v>29.407812852035889</v>
      </c>
      <c r="U29" s="478">
        <f t="shared" si="91"/>
        <v>26.589626109061644</v>
      </c>
      <c r="V29" s="478"/>
      <c r="W29" s="466">
        <f t="shared" si="89"/>
        <v>35.762779465435699</v>
      </c>
      <c r="X29" s="466">
        <f t="shared" si="90"/>
        <v>30.63224121345479</v>
      </c>
      <c r="Y29" s="484"/>
      <c r="Z29" s="485">
        <f>IF((J29-K29)/AT29&lt;0,"NM",(J29-K29)/AT29)</f>
        <v>2.1120541458958502</v>
      </c>
      <c r="AA29" s="485">
        <f>IF((J29-K29)/AU29&lt;0,"NM",(J29-K29)/AU29)</f>
        <v>1.9372764672407508</v>
      </c>
      <c r="AB29" s="483"/>
      <c r="AC29" s="486">
        <f>AP29/AO29-1</f>
        <v>5.5215173301129683E-2</v>
      </c>
      <c r="AD29" s="486">
        <f>AQ29/AP29-1</f>
        <v>6.8039299972843637E-2</v>
      </c>
      <c r="AE29" s="479"/>
      <c r="AF29" s="481">
        <f>AT29/AS29-1</f>
        <v>0.1231240426556186</v>
      </c>
      <c r="AG29" s="481">
        <f>AU29/AT29-1</f>
        <v>9.0218242780822244E-2</v>
      </c>
      <c r="AH29" s="481"/>
      <c r="AI29" s="481">
        <f>IF(AS29/AO29&lt;0,"NM",AS29/AO29)</f>
        <v>0.15473290972088979</v>
      </c>
      <c r="AJ29" s="486">
        <f>IF(AT29/AP29&lt;0,"NM",AT29/AP29)</f>
        <v>0.16469081898616647</v>
      </c>
      <c r="AK29" s="486">
        <f>IF(AU29/AQ29&lt;0,"NM",AU29/AQ29)</f>
        <v>0.16811079450147401</v>
      </c>
      <c r="AL29" s="479"/>
      <c r="AM29" s="482" cm="1">
        <f t="array" ref="AM29">_xll.FDS(C29,"P_DIV_YLD")</f>
        <v>1.3841535</v>
      </c>
      <c r="AN29" s="473"/>
      <c r="AO29" s="470" cm="1">
        <f t="array" ref="AO29">_xll.FDS($C29,"FE_ESTIMATE(SALES,MEAN,ANN_ROLL,+0,NOW,,,'')")</f>
        <v>88603</v>
      </c>
      <c r="AP29" s="470" cm="1">
        <f t="array" ref="AP29">_xll.FDS($C29,"FE_ESTIMATE(SALES,MEAN,ANN_ROLL,+1,NOW,,,'')")</f>
        <v>93495.23</v>
      </c>
      <c r="AQ29" s="470" cm="1">
        <f t="array" ref="AQ29">_xll.FDS($C29,"FE_ESTIMATE(SALES,MEAN,ANN_ROLL,+2,NOW,,,'')")</f>
        <v>99856.58</v>
      </c>
      <c r="AR29" s="470"/>
      <c r="AS29" s="470" cm="1">
        <f t="array" ref="AS29">_xll.FDS($C29,"FE_ESTIMATE(EBITDA,MEAN,ANN_ROLL,+0,NOW,,,'')")</f>
        <v>13709.8</v>
      </c>
      <c r="AT29" s="470" cm="1">
        <f t="array" ref="AT29">_xll.FDS($C29,"FE_ESTIMATE(EBITDA,MEAN,ANN_ROLL,+1,NOW,,,'')")</f>
        <v>15397.806</v>
      </c>
      <c r="AU29" s="470" cm="1">
        <f t="array" ref="AU29">_xll.FDS($C29,"FE_ESTIMATE(EBITDA,MEAN,ANN_ROLL,+2,NOW,,,'')")</f>
        <v>16786.969000000001</v>
      </c>
      <c r="AV29" s="471"/>
      <c r="AW29" s="472" cm="1">
        <f t="array" ref="AW29">_xll.FDS($C29,"FE_ESTIMATE(EPS,MEAN,ANN_ROLL,+0,NOW,,,'')")</f>
        <v>6.29</v>
      </c>
      <c r="AX29" s="472" cm="1">
        <f t="array" ref="AX29">_xll.FDS($C29,"FE_ESTIMATE(EPS,MEAN,ANN_ROLL,+1,NOW,,,'')")</f>
        <v>6.8396790000000003</v>
      </c>
      <c r="AY29" s="472" cm="1">
        <f t="array" ref="AY29">_xll.FDS($C29,"FE_ESTIMATE(EPS,MEAN,ANN_ROLL,+2,NOW,,,'')")</f>
        <v>7.5646043000000001</v>
      </c>
      <c r="BA29" s="470" cm="1">
        <f t="array" ref="BA29">_xll.FDS($C29,"FE_ESTIMATE(FCF,MEAN,ANN_ROLL,+0,NOW,,,'')")</f>
        <v>7940</v>
      </c>
      <c r="BB29" s="470" cm="1">
        <f t="array" ref="BB29">_xll.FDS($C29,"FE_ESTIMATE(FCF,MEAN,ANN_ROLL,+1,NOW,,,'')")</f>
        <v>8538.1309999999994</v>
      </c>
      <c r="BC29" s="470" cm="1">
        <f t="array" ref="BC29">_xll.FDS($C29,"FE_ESTIMATE(FCF,MEAN,ANN_ROLL,+2,NOW,,,'')")</f>
        <v>9968.1669999999995</v>
      </c>
    </row>
    <row r="30" spans="1:55" s="433" customFormat="1" ht="15" customHeight="1">
      <c r="A30" s="473"/>
      <c r="B30" s="473"/>
      <c r="C30" s="473"/>
      <c r="D30" s="487"/>
      <c r="E30" s="487"/>
      <c r="F30" s="488"/>
      <c r="G30" s="473"/>
      <c r="H30" s="474"/>
      <c r="I30" s="489"/>
      <c r="J30" s="490"/>
      <c r="K30" s="490"/>
      <c r="L30" s="491" t="s">
        <v>506</v>
      </c>
      <c r="M30" s="492"/>
      <c r="N30" s="493">
        <f>MEDIAN(N13:N28)</f>
        <v>3.9077254011310147</v>
      </c>
      <c r="O30" s="493">
        <f>MEDIAN(O13:O28)</f>
        <v>3.5297457805624588</v>
      </c>
      <c r="P30" s="493"/>
      <c r="Q30" s="493">
        <f>MEDIAN(Q24:Q29)</f>
        <v>17.664150478749477</v>
      </c>
      <c r="R30" s="493">
        <f>MEDIAN(R24:R29)</f>
        <v>16.582951132947006</v>
      </c>
      <c r="S30" s="493"/>
      <c r="T30" s="493">
        <f>MEDIAN(T24:T29)</f>
        <v>26.739837113338297</v>
      </c>
      <c r="U30" s="493">
        <f>MEDIAN(U24:U29)</f>
        <v>23.923792556924113</v>
      </c>
      <c r="V30" s="493" t="e">
        <f>MEDIAN(V24:V29)</f>
        <v>#NUM!</v>
      </c>
      <c r="W30" s="493">
        <f>MEDIAN(W24:W29)</f>
        <v>29.749432799494286</v>
      </c>
      <c r="X30" s="493">
        <f>MEDIAN(X24:X29)</f>
        <v>28.409473238610808</v>
      </c>
      <c r="Y30" s="493"/>
      <c r="Z30" s="493">
        <f>MEDIAN(Z24:Z29)</f>
        <v>2.131114955660391</v>
      </c>
      <c r="AA30" s="493">
        <f>MEDIAN(AA24:AA29)</f>
        <v>1.9806970560016122</v>
      </c>
      <c r="AB30" s="493" t="e">
        <f>MEDIAN(AB24:AB29)</f>
        <v>#NUM!</v>
      </c>
      <c r="AC30" s="498">
        <f>MEDIAN(AC24:AC29)</f>
        <v>5.4611437519342165E-2</v>
      </c>
      <c r="AD30" s="498">
        <f>MEDIAN(AD24:AD29)</f>
        <v>6.5253989784764488E-2</v>
      </c>
      <c r="AE30" s="498"/>
      <c r="AF30" s="498">
        <f t="shared" ref="AF30:AK30" si="92">MEDIAN(AF24:AF29)</f>
        <v>8.3961782160203002E-2</v>
      </c>
      <c r="AG30" s="498">
        <f t="shared" si="92"/>
        <v>7.6755331961711026E-2</v>
      </c>
      <c r="AH30" s="498" t="e">
        <f t="shared" si="92"/>
        <v>#NUM!</v>
      </c>
      <c r="AI30" s="498">
        <f t="shared" si="92"/>
        <v>0.13376520249680873</v>
      </c>
      <c r="AJ30" s="498">
        <f t="shared" si="92"/>
        <v>0.14298966886492837</v>
      </c>
      <c r="AK30" s="498">
        <f t="shared" si="92"/>
        <v>0.14197339397308736</v>
      </c>
      <c r="AL30" s="498"/>
      <c r="AM30" s="494">
        <f>MEDIAN(AM24:AM29)</f>
        <v>1.42674425</v>
      </c>
      <c r="AN30" s="493"/>
      <c r="AO30" s="470"/>
      <c r="AP30" s="470"/>
      <c r="AQ30" s="470"/>
      <c r="AR30" s="470"/>
      <c r="AS30" s="470"/>
      <c r="AT30" s="470"/>
      <c r="AU30" s="500"/>
      <c r="AV30" s="471"/>
      <c r="AW30" s="472"/>
      <c r="AX30" s="472"/>
      <c r="AY30" s="472"/>
      <c r="BA30" s="501"/>
      <c r="BB30" s="501"/>
      <c r="BC30" s="501"/>
    </row>
    <row r="31" spans="1:55" s="433" customFormat="1" ht="15" customHeight="1">
      <c r="A31" s="412"/>
      <c r="B31" s="428"/>
      <c r="C31" s="428"/>
      <c r="D31" s="428"/>
      <c r="E31" s="487"/>
      <c r="F31" s="488"/>
      <c r="G31" s="428"/>
      <c r="H31" s="502"/>
      <c r="I31" s="489"/>
      <c r="J31" s="489"/>
      <c r="K31" s="489"/>
      <c r="L31" s="503"/>
      <c r="M31" s="504"/>
      <c r="N31" s="505"/>
      <c r="O31" s="505"/>
      <c r="P31" s="505"/>
      <c r="Q31" s="505"/>
      <c r="R31" s="505"/>
      <c r="S31" s="505"/>
      <c r="T31" s="505"/>
      <c r="U31" s="505"/>
      <c r="V31" s="505"/>
      <c r="W31" s="505"/>
      <c r="X31" s="505"/>
      <c r="Y31" s="505"/>
      <c r="Z31" s="505"/>
      <c r="AA31" s="505"/>
      <c r="AB31" s="505"/>
      <c r="AC31" s="506"/>
      <c r="AD31" s="506"/>
      <c r="AE31" s="507"/>
      <c r="AF31" s="508"/>
      <c r="AG31" s="508"/>
      <c r="AH31" s="509"/>
      <c r="AI31" s="510"/>
      <c r="AJ31" s="506"/>
      <c r="AK31" s="506"/>
      <c r="AL31" s="506"/>
      <c r="AM31" s="511"/>
      <c r="AN31" s="507"/>
      <c r="AO31" s="470"/>
      <c r="AP31" s="470"/>
      <c r="AQ31" s="470"/>
      <c r="AR31" s="470"/>
      <c r="AS31" s="470"/>
      <c r="AT31" s="470"/>
      <c r="AU31" s="500"/>
      <c r="AV31" s="471"/>
      <c r="AW31" s="472"/>
      <c r="AX31" s="472"/>
      <c r="AY31" s="472"/>
      <c r="BA31" s="501"/>
      <c r="BB31" s="501"/>
      <c r="BC31" s="501"/>
    </row>
    <row r="32" spans="1:55" s="433" customFormat="1" ht="15" customHeight="1">
      <c r="A32" s="512"/>
      <c r="B32" s="512" t="str" cm="1">
        <f t="array" ref="B32">_xll.FDS(C32,"FG_COMPANY_NAME")</f>
        <v>Curtiss-Wright Corporation</v>
      </c>
      <c r="C32" s="512" t="s">
        <v>514</v>
      </c>
      <c r="D32" s="512"/>
      <c r="E32" s="513" t="s">
        <v>495</v>
      </c>
      <c r="F32" s="514">
        <v>671.06</v>
      </c>
      <c r="G32" s="512"/>
      <c r="H32" s="515">
        <f>CW_IS!BM140</f>
        <v>37.662999999999997</v>
      </c>
      <c r="I32" s="516">
        <f>F32*H32</f>
        <v>25274.132779999996</v>
      </c>
      <c r="J32" s="516">
        <f>CW_FCF!BQ32</f>
        <v>968.63199999999995</v>
      </c>
      <c r="K32" s="516">
        <f>CW_FCF!BQ29</f>
        <v>225.42699999999999</v>
      </c>
      <c r="L32" s="516">
        <f>I32+J32-K32</f>
        <v>26017.337779999998</v>
      </c>
      <c r="M32" s="512"/>
      <c r="N32" s="517">
        <f>IF($L32/AP32&lt;0,"NM",$L32/AP32)</f>
        <v>7.0372870154205653</v>
      </c>
      <c r="O32" s="517">
        <f>IF($L32/AQ32&lt;0,"NM",$L32/AQ32)</f>
        <v>6.5235531587834332</v>
      </c>
      <c r="P32" s="517"/>
      <c r="Q32" s="517">
        <f>IF($L32/AT32&lt;0,"NM",$L32/AT32)</f>
        <v>31.136606968898977</v>
      </c>
      <c r="R32" s="517">
        <f>IF($L32/AU32&lt;0,"NM",$L32/AU32)</f>
        <v>28.483826362694234</v>
      </c>
      <c r="S32" s="517"/>
      <c r="T32" s="517">
        <f>IF($F32/AX32&lt;0,"NM",$F32/AX32)</f>
        <v>45.809529810292453</v>
      </c>
      <c r="U32" s="517">
        <f>IF($F32/AY32&lt;0,"NM",$F32/AY32)</f>
        <v>40.934037311424412</v>
      </c>
      <c r="V32" s="517"/>
      <c r="W32" s="517">
        <f>IF(L32/BB32&lt;0,"NM",L32/BB32)</f>
        <v>45.881082722357675</v>
      </c>
      <c r="X32" s="517">
        <f>IF(L32/BC32&lt;0,"NM",L32/BC32)</f>
        <v>44.123604490621247</v>
      </c>
      <c r="Y32" s="513"/>
      <c r="Z32" s="518">
        <f>IF((J32-K32)/AT32&lt;0,"NM",(J32-K32)/AT32)</f>
        <v>0.88944080973993356</v>
      </c>
      <c r="AA32" s="518">
        <f>IF((J32-K32)/AU32&lt;0,"NM",(J32-K32)/AU32)</f>
        <v>0.8136621183493804</v>
      </c>
      <c r="AB32" s="512"/>
      <c r="AC32" s="519">
        <f>AP32/AO32-1</f>
        <v>5.6797075897017324E-2</v>
      </c>
      <c r="AD32" s="519">
        <f>AQ32/AP32-1</f>
        <v>7.8750620119563353E-2</v>
      </c>
      <c r="AE32" s="513"/>
      <c r="AF32" s="519">
        <f>AT32/AS32-1</f>
        <v>9.4091309489945152E-2</v>
      </c>
      <c r="AG32" s="519">
        <f>AU32/AT32-1</f>
        <v>9.3132873807963534E-2</v>
      </c>
      <c r="AH32" s="519"/>
      <c r="AI32" s="519">
        <f>IF(AS32/AO32&lt;0,"NM",AS32/AO32)</f>
        <v>0.21830918781650438</v>
      </c>
      <c r="AJ32" s="519">
        <f>IF(AT32/AP32&lt;0,"NM",AT32/AP32)</f>
        <v>0.22601329112224108</v>
      </c>
      <c r="AK32" s="519">
        <f>IF(AU32/AQ32&lt;0,"NM",AU32/AQ32)</f>
        <v>0.22902657373755955</v>
      </c>
      <c r="AL32" s="513"/>
      <c r="AM32" s="520" cm="1">
        <f t="array" ref="AM32">_xll.FDS(C32,"P_DIV_YLD")</f>
        <v>0.15135987000000001</v>
      </c>
      <c r="AN32" s="512"/>
      <c r="AO32" s="470" cm="1">
        <f t="array" ref="AO32">_xll.FDS($C32,"FE_ESTIMATE(SALES,MEAN,ANN_ROLL,+0,NOW,,,'')")</f>
        <v>3498.3719999999998</v>
      </c>
      <c r="AP32" s="470" cm="1">
        <f t="array" ref="AP32">_xll.FDS($C32,"FE_ESTIMATE(SALES,MEAN,ANN_ROLL,+1,NOW,,,'')")</f>
        <v>3697.0693000000001</v>
      </c>
      <c r="AQ32" s="470" cm="1">
        <f t="array" ref="AQ32">_xll.FDS($C32,"FE_ESTIMATE(SALES,MEAN,ANN_ROLL,+2,NOW,,,'')")</f>
        <v>3988.2157999999999</v>
      </c>
      <c r="AR32" s="470"/>
      <c r="AS32" s="470" cm="1">
        <f t="array" ref="AS32">_xll.FDS($C32,"FE_ESTIMATE(EBITDA,MEAN,ANN_ROLL,+0,NOW,,,'')")</f>
        <v>763.72675000000004</v>
      </c>
      <c r="AT32" s="470" cm="1">
        <f t="array" ref="AT32">_xll.FDS($C32,"FE_ESTIMATE(EBITDA,MEAN,ANN_ROLL,+1,NOW,,,'')")</f>
        <v>835.58680000000004</v>
      </c>
      <c r="AU32" s="470" cm="1">
        <f t="array" ref="AU32">_xll.FDS($C32,"FE_ESTIMATE(EBITDA,MEAN,ANN_ROLL,+2,NOW,,,'')")</f>
        <v>913.40740000000005</v>
      </c>
      <c r="AV32" s="471"/>
      <c r="AW32" s="472" cm="1">
        <f t="array" ref="AW32">_xll.FDS($C32,"FE_ESTIMATE(EPS,MEAN,ANN_ROLL,+0,NOW,,,'')")</f>
        <v>13.23</v>
      </c>
      <c r="AX32" s="472" cm="1">
        <f t="array" ref="AX32">_xll.FDS($C32,"FE_ESTIMATE(EPS,MEAN,ANN_ROLL,+1,NOW,,,'')")</f>
        <v>14.648917000000001</v>
      </c>
      <c r="AY32" s="472" cm="1">
        <f t="array" ref="AY32">_xll.FDS($C32,"FE_ESTIMATE(EPS,MEAN,ANN_ROLL,+2,NOW,,,'')")</f>
        <v>16.393692000000001</v>
      </c>
      <c r="BA32" s="470" cm="1">
        <f t="array" ref="BA32">_xll.FDS($C32,"FE_ESTIMATE(FCF,MEAN,ANN_ROLL,+0,NOW,,,'')")</f>
        <v>553.71</v>
      </c>
      <c r="BB32" s="470" cm="1">
        <f t="array" ref="BB32">_xll.FDS($C32,"FE_ESTIMATE(FCF,MEAN,ANN_ROLL,+1,NOW,,,'')")</f>
        <v>567.06024000000002</v>
      </c>
      <c r="BC32" s="470" cm="1">
        <f t="array" ref="BC32">_xll.FDS($C32,"FE_ESTIMATE(FCF,MEAN,ANN_ROLL,+2,NOW,,,'')")</f>
        <v>589.64670000000001</v>
      </c>
    </row>
    <row r="33" spans="1:146" s="433" customFormat="1" ht="15" customHeight="1">
      <c r="A33" s="412"/>
      <c r="B33" s="428"/>
      <c r="C33" s="428"/>
      <c r="D33" s="428"/>
      <c r="E33" s="487"/>
      <c r="F33" s="488"/>
      <c r="G33" s="428"/>
      <c r="H33" s="502"/>
      <c r="I33" s="489"/>
      <c r="J33" s="489"/>
      <c r="K33" s="489"/>
      <c r="L33" s="503"/>
      <c r="M33" s="504"/>
      <c r="N33" s="505"/>
      <c r="O33" s="505"/>
      <c r="P33" s="505"/>
      <c r="Q33" s="505"/>
      <c r="R33" s="505"/>
      <c r="S33" s="505"/>
      <c r="T33" s="505"/>
      <c r="U33" s="521"/>
      <c r="V33" s="505"/>
      <c r="W33" s="505"/>
      <c r="X33" s="505"/>
      <c r="Y33" s="505"/>
      <c r="Z33" s="505"/>
      <c r="AA33" s="505"/>
      <c r="AB33" s="505"/>
      <c r="AC33" s="506"/>
      <c r="AD33" s="506"/>
      <c r="AE33" s="507"/>
      <c r="AF33" s="508"/>
      <c r="AG33" s="508"/>
      <c r="AH33" s="509"/>
      <c r="AI33" s="510"/>
      <c r="AJ33" s="506"/>
      <c r="AK33" s="506"/>
      <c r="AL33" s="506"/>
      <c r="AM33" s="511"/>
      <c r="AN33" s="507"/>
      <c r="AO33" s="470"/>
      <c r="AP33" s="470"/>
      <c r="AQ33" s="470"/>
      <c r="AR33" s="470"/>
      <c r="AS33" s="868"/>
      <c r="AT33" s="470"/>
      <c r="AU33" s="500"/>
      <c r="AV33" s="471"/>
      <c r="AW33" s="472"/>
      <c r="AX33" s="472"/>
      <c r="AY33" s="472"/>
      <c r="BB33" s="522"/>
    </row>
    <row r="34" spans="1:146" s="433" customFormat="1" ht="15" customHeight="1">
      <c r="A34" s="957" t="s">
        <v>515</v>
      </c>
      <c r="B34" s="958"/>
      <c r="C34" s="958"/>
      <c r="D34" s="958"/>
      <c r="E34" s="959"/>
      <c r="F34" s="958"/>
      <c r="G34" s="960"/>
      <c r="H34" s="959"/>
      <c r="I34" s="959"/>
      <c r="J34" s="959"/>
      <c r="K34" s="959"/>
      <c r="L34" s="958"/>
      <c r="M34" s="961"/>
      <c r="N34" s="961"/>
      <c r="O34" s="961"/>
      <c r="P34" s="961"/>
      <c r="Q34" s="961"/>
      <c r="R34" s="961"/>
      <c r="S34" s="961"/>
      <c r="T34" s="961"/>
      <c r="U34" s="961"/>
      <c r="V34" s="961"/>
      <c r="W34" s="961"/>
      <c r="X34" s="961"/>
      <c r="Y34" s="961"/>
      <c r="Z34" s="961"/>
      <c r="AA34" s="958"/>
      <c r="AB34" s="961"/>
      <c r="AC34" s="961"/>
      <c r="AD34" s="961"/>
      <c r="AE34" s="961"/>
      <c r="AF34" s="961"/>
      <c r="AG34" s="961"/>
      <c r="AH34" s="961"/>
      <c r="AI34" s="961"/>
      <c r="AJ34" s="961"/>
      <c r="AK34" s="961"/>
      <c r="AL34" s="962"/>
      <c r="AM34" s="958"/>
      <c r="AN34" s="496"/>
      <c r="AO34" s="496"/>
      <c r="AP34" s="496"/>
      <c r="AQ34" s="496"/>
      <c r="AR34" s="496"/>
      <c r="AS34" s="496"/>
      <c r="AT34" s="496"/>
      <c r="AU34" s="459"/>
      <c r="AV34" s="459"/>
      <c r="AW34" s="459"/>
      <c r="AX34" s="459"/>
      <c r="AY34" s="963"/>
      <c r="AZ34" s="964"/>
      <c r="BA34" s="964"/>
      <c r="BB34" s="964"/>
      <c r="BC34" s="965"/>
      <c r="BD34" s="965"/>
      <c r="BE34" s="965"/>
      <c r="BF34" s="965"/>
      <c r="BG34" s="965"/>
      <c r="BH34" s="965"/>
      <c r="BI34" s="965"/>
      <c r="BJ34" s="965"/>
      <c r="BK34" s="965"/>
      <c r="BL34" s="965"/>
      <c r="BM34" s="965"/>
      <c r="BN34" s="965"/>
      <c r="BO34" s="965"/>
      <c r="BP34" s="965"/>
      <c r="BQ34" s="965"/>
      <c r="BR34" s="965"/>
      <c r="BS34" s="965"/>
      <c r="BT34" s="965"/>
      <c r="BU34" s="965"/>
      <c r="BV34" s="965"/>
      <c r="BW34" s="965"/>
      <c r="BX34" s="965"/>
      <c r="BY34" s="965"/>
      <c r="BZ34" s="965"/>
      <c r="CA34" s="965"/>
      <c r="CB34" s="965"/>
      <c r="CC34" s="965"/>
      <c r="CD34" s="965"/>
      <c r="CE34" s="965"/>
      <c r="CF34" s="965"/>
      <c r="CG34" s="965"/>
      <c r="CH34" s="965"/>
      <c r="CI34" s="965"/>
      <c r="CJ34" s="965"/>
      <c r="CK34" s="965"/>
      <c r="CL34" s="965"/>
      <c r="CM34" s="965"/>
      <c r="CN34" s="965"/>
      <c r="CO34" s="965"/>
      <c r="CP34" s="965"/>
      <c r="CQ34" s="965"/>
      <c r="CR34" s="965"/>
      <c r="CS34" s="965"/>
      <c r="CT34" s="965"/>
      <c r="CU34" s="965"/>
      <c r="CV34" s="965"/>
      <c r="CW34" s="965"/>
      <c r="CX34" s="965"/>
      <c r="CY34" s="965"/>
      <c r="CZ34" s="965"/>
      <c r="DA34" s="965"/>
      <c r="DB34" s="965"/>
      <c r="DC34" s="965"/>
      <c r="DD34" s="965"/>
      <c r="DE34" s="965"/>
      <c r="DF34" s="965"/>
      <c r="DG34" s="965"/>
      <c r="DH34" s="965"/>
      <c r="DI34" s="965"/>
      <c r="DJ34" s="965"/>
      <c r="DK34" s="965"/>
      <c r="DL34" s="965"/>
      <c r="DM34" s="965"/>
      <c r="DN34" s="965"/>
      <c r="DO34" s="965"/>
      <c r="DP34" s="965"/>
      <c r="DQ34" s="965"/>
      <c r="DR34" s="965"/>
      <c r="DS34" s="965"/>
      <c r="DT34" s="965"/>
      <c r="DU34" s="965"/>
      <c r="DV34" s="965"/>
      <c r="DW34" s="965"/>
      <c r="DX34" s="965"/>
      <c r="DY34" s="965"/>
      <c r="DZ34" s="965"/>
      <c r="EA34" s="965"/>
      <c r="EB34" s="965"/>
      <c r="EC34" s="965"/>
      <c r="ED34" s="965"/>
      <c r="EE34" s="965"/>
      <c r="EF34" s="965"/>
      <c r="EG34" s="965"/>
      <c r="EH34" s="965"/>
      <c r="EI34" s="965"/>
      <c r="EJ34" s="965"/>
      <c r="EK34" s="965"/>
      <c r="EL34" s="965"/>
      <c r="EM34" s="965"/>
      <c r="EN34" s="965"/>
      <c r="EO34" s="965"/>
      <c r="EP34" s="965"/>
    </row>
    <row r="35" spans="1:146" s="433" customFormat="1" ht="15" customHeight="1">
      <c r="A35" s="966"/>
      <c r="B35" s="966" t="s">
        <v>516</v>
      </c>
      <c r="C35" s="966" t="s">
        <v>517</v>
      </c>
      <c r="D35" s="967"/>
      <c r="E35" s="968"/>
      <c r="F35" s="966"/>
      <c r="G35" s="969"/>
      <c r="H35" s="970"/>
      <c r="I35" s="971"/>
      <c r="J35" s="971"/>
      <c r="K35" s="970"/>
      <c r="L35" s="966"/>
      <c r="M35" s="972"/>
      <c r="N35" s="972"/>
      <c r="O35" s="972"/>
      <c r="P35" s="972"/>
      <c r="Q35" s="972"/>
      <c r="R35" s="972"/>
      <c r="S35" s="973"/>
      <c r="T35" s="973" cm="1">
        <f t="array" ref="T35">_xll.FDS("SPX","FG_VALUATION_IDX(0,,,""PE_CY1"")")</f>
        <v>25.56711</v>
      </c>
      <c r="U35" s="973" cm="1">
        <f t="array" ref="U35">_xll.FDS("SPX","FG_VALUATION_IDX(0,,,""PE_CY2"")")</f>
        <v>23.490593000000001</v>
      </c>
      <c r="V35" s="974"/>
      <c r="W35" s="974"/>
      <c r="X35" s="975"/>
      <c r="Y35" s="976"/>
      <c r="Z35" s="976"/>
      <c r="AA35" s="966"/>
      <c r="AB35" s="977"/>
      <c r="AC35" s="977"/>
      <c r="AD35" s="975"/>
      <c r="AE35" s="977"/>
      <c r="AF35" s="977"/>
      <c r="AG35" s="977"/>
      <c r="AH35" s="977"/>
      <c r="AI35" s="977"/>
      <c r="AJ35" s="977"/>
      <c r="AK35" s="975"/>
      <c r="AL35" s="978"/>
      <c r="AM35" s="966"/>
      <c r="AN35" s="979"/>
      <c r="AO35" s="979"/>
      <c r="AP35" s="979"/>
      <c r="AQ35" s="979"/>
      <c r="AR35" s="979"/>
      <c r="AS35" s="979"/>
      <c r="AT35" s="979"/>
      <c r="AU35" s="980"/>
      <c r="AV35" s="981"/>
      <c r="AW35" s="981"/>
      <c r="AX35" s="981"/>
      <c r="AY35" s="982"/>
      <c r="AZ35" s="979"/>
      <c r="BA35" s="979"/>
      <c r="BB35" s="979"/>
      <c r="BC35" s="965"/>
      <c r="BD35" s="965"/>
      <c r="BE35" s="965"/>
      <c r="BF35" s="965"/>
      <c r="BG35" s="965"/>
      <c r="BH35" s="965"/>
      <c r="BI35" s="965"/>
      <c r="BJ35" s="965"/>
      <c r="BK35" s="965"/>
      <c r="BL35" s="965"/>
      <c r="BM35" s="965"/>
      <c r="BN35" s="965"/>
      <c r="BO35" s="965"/>
      <c r="BP35" s="965"/>
      <c r="BQ35" s="965"/>
      <c r="BR35" s="965"/>
      <c r="BS35" s="965"/>
      <c r="BT35" s="965"/>
      <c r="BU35" s="965"/>
      <c r="BV35" s="965"/>
      <c r="BW35" s="965"/>
      <c r="BX35" s="965"/>
      <c r="BY35" s="965"/>
      <c r="BZ35" s="965"/>
      <c r="CA35" s="965"/>
      <c r="CB35" s="965"/>
      <c r="CC35" s="965"/>
      <c r="CD35" s="965"/>
      <c r="CE35" s="965"/>
      <c r="CF35" s="965"/>
      <c r="CG35" s="965"/>
      <c r="CH35" s="965"/>
      <c r="CI35" s="965"/>
      <c r="CJ35" s="965"/>
      <c r="CK35" s="965"/>
      <c r="CL35" s="965"/>
      <c r="CM35" s="965"/>
      <c r="CN35" s="965"/>
      <c r="CO35" s="965"/>
      <c r="CP35" s="965"/>
      <c r="CQ35" s="965"/>
      <c r="CR35" s="965"/>
      <c r="CS35" s="965"/>
      <c r="CT35" s="965"/>
      <c r="CU35" s="965"/>
      <c r="CV35" s="965"/>
      <c r="CW35" s="965"/>
      <c r="CX35" s="965"/>
      <c r="CY35" s="965"/>
      <c r="CZ35" s="965"/>
      <c r="DA35" s="965"/>
      <c r="DB35" s="965"/>
      <c r="DC35" s="965"/>
      <c r="DD35" s="965"/>
      <c r="DE35" s="965"/>
      <c r="DF35" s="965"/>
      <c r="DG35" s="965"/>
      <c r="DH35" s="965"/>
      <c r="DI35" s="965"/>
      <c r="DJ35" s="965"/>
      <c r="DK35" s="965"/>
      <c r="DL35" s="965"/>
      <c r="DM35" s="965"/>
      <c r="DN35" s="965"/>
      <c r="DO35" s="965"/>
      <c r="DP35" s="965"/>
      <c r="DQ35" s="965"/>
      <c r="DR35" s="965"/>
      <c r="DS35" s="965"/>
      <c r="DT35" s="965"/>
      <c r="DU35" s="965"/>
      <c r="DV35" s="965"/>
      <c r="DW35" s="965"/>
      <c r="DX35" s="965"/>
      <c r="DY35" s="965"/>
      <c r="DZ35" s="965"/>
      <c r="EA35" s="965"/>
      <c r="EB35" s="965"/>
      <c r="EC35" s="965"/>
      <c r="ED35" s="965"/>
      <c r="EE35" s="965"/>
      <c r="EF35" s="965"/>
      <c r="EG35" s="965"/>
      <c r="EH35" s="965"/>
      <c r="EI35" s="965"/>
      <c r="EJ35" s="965"/>
      <c r="EK35" s="965"/>
      <c r="EL35" s="965"/>
      <c r="EM35" s="965"/>
      <c r="EN35" s="965"/>
      <c r="EO35" s="965"/>
      <c r="EP35" s="965"/>
    </row>
    <row r="36" spans="1:146" s="433" customFormat="1" ht="15" customHeight="1">
      <c r="A36" s="412"/>
      <c r="B36" s="428"/>
      <c r="C36" s="428"/>
      <c r="D36" s="428"/>
      <c r="E36" s="487"/>
      <c r="F36" s="488"/>
      <c r="G36" s="428"/>
      <c r="H36" s="502"/>
      <c r="I36" s="489"/>
      <c r="J36" s="489"/>
      <c r="K36" s="489"/>
      <c r="L36" s="503"/>
      <c r="M36" s="504"/>
      <c r="N36" s="505"/>
      <c r="O36" s="505"/>
      <c r="P36" s="505"/>
      <c r="Q36" s="505"/>
      <c r="R36" s="505"/>
      <c r="S36" s="505"/>
      <c r="T36" s="505"/>
      <c r="U36" s="521"/>
      <c r="V36" s="505"/>
      <c r="W36" s="505"/>
      <c r="X36" s="505"/>
      <c r="Y36" s="505"/>
      <c r="Z36" s="505"/>
      <c r="AA36" s="505"/>
      <c r="AB36" s="505"/>
      <c r="AC36" s="506"/>
      <c r="AD36" s="506"/>
      <c r="AE36" s="507"/>
      <c r="AF36" s="508"/>
      <c r="AG36" s="508"/>
      <c r="AH36" s="509"/>
      <c r="AI36" s="510"/>
      <c r="AJ36" s="506"/>
      <c r="AK36" s="506"/>
      <c r="AL36" s="506"/>
      <c r="AM36" s="511"/>
      <c r="AN36" s="507"/>
      <c r="AO36" s="470"/>
      <c r="AP36" s="470"/>
      <c r="AQ36" s="470"/>
      <c r="AR36" s="470"/>
      <c r="AS36" s="868"/>
      <c r="AT36" s="470"/>
      <c r="AU36" s="500"/>
      <c r="AV36" s="471"/>
      <c r="AW36" s="472"/>
      <c r="AX36" s="472"/>
      <c r="AY36" s="472"/>
      <c r="BB36" s="522"/>
    </row>
    <row r="37" spans="1:146" s="433" customFormat="1" ht="15" customHeight="1">
      <c r="A37" s="523" t="s">
        <v>518</v>
      </c>
      <c r="B37" s="428"/>
      <c r="C37" s="428"/>
      <c r="D37" s="428"/>
      <c r="E37" s="487"/>
      <c r="F37" s="488"/>
      <c r="G37" s="487"/>
      <c r="H37" s="502"/>
      <c r="I37" s="489"/>
      <c r="J37" s="489"/>
      <c r="K37" s="489"/>
      <c r="L37" s="503"/>
      <c r="M37" s="504"/>
      <c r="N37" s="505"/>
      <c r="O37" s="505"/>
      <c r="P37" s="505"/>
      <c r="Q37" s="505"/>
      <c r="R37" s="505"/>
      <c r="S37" s="505"/>
      <c r="T37" s="505"/>
      <c r="U37" s="505"/>
      <c r="V37" s="505"/>
      <c r="W37" s="505"/>
      <c r="X37" s="505"/>
      <c r="Y37" s="505"/>
      <c r="Z37" s="505"/>
      <c r="AA37" s="505"/>
      <c r="AB37" s="505"/>
      <c r="AC37" s="506"/>
      <c r="AD37" s="506"/>
      <c r="AE37" s="507"/>
      <c r="AF37" s="508"/>
      <c r="AG37" s="508"/>
      <c r="AH37" s="509"/>
      <c r="AI37" s="510"/>
      <c r="AJ37" s="506"/>
      <c r="AK37" s="506"/>
      <c r="AL37" s="506"/>
      <c r="AM37" s="511"/>
      <c r="AN37" s="507"/>
      <c r="AO37" s="524"/>
      <c r="AP37" s="524"/>
      <c r="AQ37" s="524"/>
      <c r="AR37" s="524"/>
      <c r="AS37" s="524"/>
      <c r="AT37" s="524"/>
      <c r="AU37" s="524"/>
      <c r="AV37" s="525"/>
      <c r="AW37" s="526"/>
      <c r="AX37" s="526"/>
      <c r="AY37" s="526"/>
      <c r="BB37" s="522"/>
    </row>
    <row r="38" spans="1:146" s="433" customFormat="1" ht="15" customHeight="1">
      <c r="A38" s="523" t="s">
        <v>519</v>
      </c>
      <c r="B38" s="428"/>
      <c r="C38" s="428"/>
      <c r="D38" s="428"/>
      <c r="E38" s="487"/>
      <c r="F38" s="488"/>
      <c r="G38" s="487"/>
      <c r="H38" s="502"/>
      <c r="I38" s="489"/>
      <c r="J38" s="489"/>
      <c r="K38" s="489"/>
      <c r="L38" s="503"/>
      <c r="M38" s="504"/>
      <c r="N38" s="505"/>
      <c r="O38" s="505"/>
      <c r="P38" s="505"/>
      <c r="Q38" s="505"/>
      <c r="R38" s="505"/>
      <c r="S38" s="505"/>
      <c r="T38" s="505"/>
      <c r="U38" s="505"/>
      <c r="V38" s="505"/>
      <c r="W38" s="505"/>
      <c r="X38" s="505"/>
      <c r="Y38" s="505"/>
      <c r="Z38" s="505"/>
      <c r="AA38" s="505"/>
      <c r="AB38" s="505"/>
      <c r="AC38" s="506"/>
      <c r="AD38" s="506"/>
      <c r="AE38" s="507"/>
      <c r="AF38" s="508"/>
      <c r="AG38" s="508"/>
      <c r="AH38" s="509"/>
      <c r="AI38" s="510"/>
      <c r="AJ38" s="506"/>
      <c r="AK38" s="506"/>
      <c r="AL38" s="506"/>
      <c r="AM38" s="511"/>
      <c r="AN38" s="507"/>
      <c r="AO38" s="524"/>
      <c r="AP38" s="524"/>
      <c r="AQ38" s="524"/>
      <c r="AR38" s="524"/>
      <c r="AS38" s="524"/>
      <c r="AT38" s="524"/>
      <c r="AU38" s="524"/>
      <c r="AV38" s="525"/>
      <c r="AW38" s="526"/>
      <c r="AX38" s="526"/>
      <c r="AY38" s="526"/>
      <c r="BB38" s="522"/>
    </row>
    <row r="39" spans="1:146" s="419" customFormat="1" ht="12.6" customHeight="1">
      <c r="A39" s="527" t="s">
        <v>520</v>
      </c>
      <c r="B39" s="523"/>
      <c r="C39" s="528"/>
      <c r="D39" s="528"/>
      <c r="E39" s="528"/>
      <c r="F39" s="523"/>
      <c r="G39" s="523"/>
      <c r="H39" s="529"/>
      <c r="I39" s="529"/>
      <c r="J39" s="529"/>
      <c r="K39" s="529"/>
      <c r="L39" s="529"/>
      <c r="M39" s="412"/>
      <c r="N39" s="413"/>
      <c r="O39" s="413"/>
      <c r="P39" s="413"/>
      <c r="Q39" s="413"/>
      <c r="R39" s="413"/>
      <c r="S39" s="413"/>
      <c r="T39" s="413"/>
      <c r="U39" s="413"/>
      <c r="V39" s="413"/>
      <c r="W39" s="413"/>
      <c r="X39" s="413"/>
      <c r="Y39" s="413"/>
      <c r="Z39" s="413"/>
      <c r="AA39" s="413"/>
      <c r="AB39" s="412"/>
      <c r="AC39" s="413"/>
      <c r="AD39" s="413"/>
      <c r="AE39" s="413"/>
      <c r="AF39" s="413"/>
      <c r="AG39" s="413"/>
      <c r="AH39" s="413"/>
      <c r="AI39" s="413"/>
      <c r="AJ39" s="413"/>
      <c r="AK39" s="413"/>
      <c r="AL39" s="413"/>
      <c r="AM39" s="413"/>
      <c r="AN39" s="412"/>
    </row>
    <row r="40" spans="1:146" s="419" customFormat="1" ht="15" customHeight="1">
      <c r="A40" s="523"/>
      <c r="B40" s="523"/>
      <c r="C40" s="528"/>
      <c r="D40" s="528"/>
      <c r="E40" s="528"/>
      <c r="F40" s="523"/>
      <c r="G40" s="523"/>
      <c r="H40" s="529"/>
      <c r="I40" s="529"/>
      <c r="J40" s="529"/>
      <c r="K40" s="529"/>
      <c r="L40" s="529"/>
      <c r="M40" s="412"/>
      <c r="N40" s="413"/>
      <c r="O40" s="413"/>
      <c r="P40" s="413"/>
      <c r="Q40" s="413"/>
      <c r="R40" s="413"/>
      <c r="S40" s="413"/>
      <c r="T40" s="413"/>
      <c r="U40" s="413"/>
      <c r="V40" s="413"/>
      <c r="W40" s="413"/>
      <c r="X40" s="413"/>
      <c r="Y40" s="413"/>
      <c r="Z40" s="413"/>
      <c r="AA40" s="413"/>
      <c r="AB40" s="412"/>
      <c r="AC40" s="413"/>
      <c r="AD40" s="413"/>
      <c r="AE40" s="413"/>
      <c r="AF40" s="413"/>
      <c r="AG40" s="413"/>
      <c r="AH40" s="413"/>
      <c r="AI40" s="530"/>
      <c r="AJ40" s="413"/>
      <c r="AK40" s="413"/>
      <c r="AL40" s="413"/>
      <c r="AM40" s="413"/>
      <c r="AN40" s="412"/>
    </row>
    <row r="41" spans="1:146" s="419" customFormat="1" ht="15" customHeight="1">
      <c r="C41" s="433"/>
      <c r="D41" s="433"/>
      <c r="E41" s="433"/>
      <c r="H41" s="531"/>
      <c r="I41" s="531"/>
      <c r="J41" s="531"/>
      <c r="K41" s="531"/>
      <c r="L41" s="531"/>
      <c r="N41" s="530"/>
      <c r="O41" s="530"/>
      <c r="P41" s="530"/>
      <c r="Q41" s="530"/>
      <c r="R41" s="530"/>
      <c r="S41" s="530"/>
      <c r="T41" s="530"/>
      <c r="U41" s="530"/>
      <c r="V41" s="530"/>
      <c r="W41" s="530"/>
      <c r="X41" s="530"/>
      <c r="Y41" s="530"/>
      <c r="Z41" s="530"/>
      <c r="AA41" s="530"/>
      <c r="AC41" s="530"/>
      <c r="AD41" s="530"/>
      <c r="AE41" s="530"/>
      <c r="AF41" s="530"/>
      <c r="AG41" s="530"/>
      <c r="AH41" s="530"/>
      <c r="AI41" s="530"/>
      <c r="AJ41" s="530"/>
      <c r="AK41" s="530"/>
      <c r="AL41" s="530"/>
      <c r="AM41" s="530"/>
    </row>
    <row r="42" spans="1:146" s="419" customFormat="1" ht="15" customHeight="1">
      <c r="C42" s="433"/>
      <c r="D42" s="433"/>
      <c r="E42" s="433"/>
      <c r="H42" s="531"/>
      <c r="I42" s="531"/>
      <c r="J42" s="531"/>
      <c r="K42" s="531"/>
      <c r="L42" s="531"/>
      <c r="N42" s="530"/>
      <c r="O42" s="530"/>
      <c r="P42" s="530"/>
      <c r="Q42" s="530"/>
      <c r="R42" s="530"/>
      <c r="S42" s="530"/>
      <c r="T42" s="530"/>
      <c r="U42" s="530"/>
      <c r="V42" s="530"/>
      <c r="W42" s="530"/>
      <c r="X42" s="530"/>
      <c r="Y42" s="530"/>
      <c r="Z42" s="530"/>
      <c r="AA42" s="530"/>
      <c r="AC42" s="530"/>
      <c r="AD42" s="530"/>
      <c r="AE42" s="530"/>
      <c r="AF42" s="530"/>
      <c r="AG42" s="530"/>
      <c r="AH42" s="530"/>
      <c r="AI42" s="530"/>
      <c r="AJ42" s="530"/>
      <c r="AK42" s="530"/>
      <c r="AL42" s="530"/>
      <c r="AM42" s="530"/>
    </row>
    <row r="43" spans="1:146" s="419" customFormat="1" ht="15" customHeight="1">
      <c r="C43" s="433"/>
      <c r="D43" s="433"/>
      <c r="E43" s="433"/>
      <c r="H43" s="531"/>
      <c r="I43" s="531"/>
      <c r="J43" s="531"/>
      <c r="K43" s="531"/>
      <c r="L43" s="531"/>
      <c r="N43" s="530"/>
      <c r="O43" s="530"/>
      <c r="P43" s="530"/>
      <c r="Q43" s="530"/>
      <c r="R43" s="530"/>
      <c r="S43" s="530"/>
      <c r="T43" s="530"/>
      <c r="U43" s="530"/>
      <c r="V43" s="530"/>
      <c r="W43" s="530"/>
      <c r="X43" s="530"/>
      <c r="Y43" s="530"/>
      <c r="Z43" s="530"/>
      <c r="AA43" s="530"/>
      <c r="AC43" s="530"/>
      <c r="AD43" s="530"/>
      <c r="AE43" s="530"/>
      <c r="AF43" s="530"/>
      <c r="AG43" s="530"/>
      <c r="AH43" s="530"/>
      <c r="AI43" s="530"/>
      <c r="AJ43" s="530"/>
      <c r="AK43" s="530"/>
      <c r="AL43" s="530"/>
      <c r="AM43" s="530"/>
    </row>
    <row r="44" spans="1:146" s="419" customFormat="1" ht="15" customHeight="1">
      <c r="C44" s="433"/>
      <c r="D44" s="433"/>
      <c r="E44" s="433"/>
      <c r="H44" s="531"/>
      <c r="I44" s="531"/>
      <c r="J44" s="531"/>
      <c r="K44" s="531"/>
      <c r="L44" s="531"/>
      <c r="N44" s="530"/>
      <c r="O44" s="530"/>
      <c r="P44" s="530"/>
      <c r="Q44" s="530"/>
      <c r="R44" s="530"/>
      <c r="S44" s="530"/>
      <c r="T44" s="530"/>
      <c r="U44" s="530"/>
      <c r="V44" s="530"/>
      <c r="W44" s="530"/>
      <c r="X44" s="530"/>
      <c r="Y44" s="530"/>
      <c r="Z44" s="530"/>
      <c r="AA44" s="530"/>
      <c r="AC44" s="530"/>
      <c r="AD44" s="530"/>
      <c r="AE44" s="530"/>
      <c r="AF44" s="530"/>
      <c r="AG44" s="530"/>
      <c r="AH44" s="530"/>
      <c r="AI44" s="530"/>
      <c r="AJ44" s="530"/>
      <c r="AK44" s="530"/>
      <c r="AL44" s="530"/>
      <c r="AM44" s="530"/>
    </row>
    <row r="45" spans="1:146" s="419" customFormat="1" ht="15" customHeight="1">
      <c r="C45" s="433"/>
      <c r="D45" s="433"/>
      <c r="E45" s="433"/>
      <c r="H45" s="531"/>
      <c r="I45" s="531"/>
      <c r="J45" s="531"/>
      <c r="K45" s="531"/>
      <c r="L45" s="531"/>
      <c r="N45" s="530"/>
      <c r="O45" s="530"/>
      <c r="P45" s="530"/>
      <c r="Q45" s="530"/>
      <c r="R45" s="530"/>
      <c r="S45" s="530"/>
      <c r="T45" s="530"/>
      <c r="U45" s="530"/>
      <c r="V45" s="530"/>
      <c r="W45" s="530"/>
      <c r="X45" s="530"/>
      <c r="Y45" s="530"/>
      <c r="Z45" s="530"/>
      <c r="AA45" s="530"/>
      <c r="AC45" s="530"/>
      <c r="AD45" s="530"/>
      <c r="AE45" s="530"/>
      <c r="AF45" s="530"/>
      <c r="AG45" s="530"/>
      <c r="AH45" s="530"/>
      <c r="AI45" s="530"/>
      <c r="AJ45" s="530"/>
      <c r="AK45" s="530"/>
      <c r="AL45" s="530"/>
      <c r="AM45" s="530"/>
    </row>
    <row r="46" spans="1:146" s="419" customFormat="1" ht="15" customHeight="1">
      <c r="C46" s="433"/>
      <c r="D46" s="433"/>
      <c r="E46" s="433"/>
      <c r="H46" s="531"/>
      <c r="I46" s="531"/>
      <c r="J46" s="531"/>
      <c r="K46" s="531"/>
      <c r="L46" s="531"/>
      <c r="N46" s="530"/>
      <c r="O46" s="530"/>
      <c r="P46" s="530"/>
      <c r="Q46" s="530"/>
      <c r="R46" s="530"/>
      <c r="S46" s="530"/>
      <c r="T46" s="530"/>
      <c r="U46" s="530"/>
      <c r="V46" s="530"/>
      <c r="W46" s="530"/>
      <c r="X46" s="530"/>
      <c r="Y46" s="530"/>
      <c r="Z46" s="530"/>
      <c r="AA46" s="530"/>
      <c r="AC46" s="530"/>
      <c r="AD46" s="530"/>
      <c r="AE46" s="530"/>
      <c r="AF46" s="530"/>
      <c r="AG46" s="530"/>
      <c r="AH46" s="530"/>
      <c r="AI46" s="530"/>
      <c r="AJ46" s="530"/>
      <c r="AK46" s="530"/>
      <c r="AL46" s="530"/>
      <c r="AM46" s="530"/>
    </row>
    <row r="47" spans="1:146" s="419" customFormat="1" ht="15" customHeight="1">
      <c r="C47" s="433"/>
      <c r="D47" s="433"/>
      <c r="E47" s="433"/>
      <c r="H47" s="531"/>
      <c r="I47" s="531"/>
      <c r="J47" s="531"/>
      <c r="K47" s="531"/>
      <c r="L47" s="531"/>
      <c r="N47" s="530"/>
      <c r="O47" s="530"/>
      <c r="P47" s="530"/>
      <c r="Q47" s="530"/>
      <c r="R47" s="530"/>
      <c r="S47" s="530"/>
      <c r="T47" s="530"/>
      <c r="U47" s="530"/>
      <c r="V47" s="530"/>
      <c r="W47" s="530"/>
      <c r="X47" s="530"/>
      <c r="Y47" s="530"/>
      <c r="Z47" s="530"/>
      <c r="AA47" s="530"/>
      <c r="AC47" s="530"/>
      <c r="AD47" s="530"/>
      <c r="AE47" s="530"/>
      <c r="AF47" s="530"/>
      <c r="AG47" s="530"/>
      <c r="AH47" s="530"/>
      <c r="AI47" s="530"/>
      <c r="AJ47" s="530"/>
      <c r="AK47" s="530"/>
      <c r="AL47" s="530"/>
      <c r="AM47" s="530"/>
    </row>
    <row r="48" spans="1:146" s="419" customFormat="1" ht="15" customHeight="1">
      <c r="C48" s="433"/>
      <c r="D48" s="433"/>
      <c r="E48" s="433"/>
      <c r="H48" s="531"/>
      <c r="I48" s="531"/>
      <c r="J48" s="531"/>
      <c r="K48" s="531"/>
      <c r="L48" s="531"/>
      <c r="N48" s="530"/>
      <c r="O48" s="530"/>
      <c r="P48" s="530"/>
      <c r="Q48" s="530"/>
      <c r="R48" s="530"/>
      <c r="S48" s="530"/>
      <c r="T48" s="530"/>
      <c r="U48" s="530"/>
      <c r="V48" s="530"/>
      <c r="W48" s="530"/>
      <c r="X48" s="530"/>
      <c r="Y48" s="530"/>
      <c r="Z48" s="530"/>
      <c r="AA48" s="530"/>
      <c r="AC48" s="530"/>
      <c r="AD48" s="530"/>
      <c r="AE48" s="530"/>
      <c r="AF48" s="530"/>
      <c r="AG48" s="530"/>
      <c r="AH48" s="530"/>
      <c r="AI48" s="530"/>
      <c r="AJ48" s="530"/>
      <c r="AK48" s="530"/>
      <c r="AL48" s="530"/>
      <c r="AM48" s="530"/>
    </row>
    <row r="49" spans="3:39" s="419" customFormat="1" ht="15" customHeight="1">
      <c r="C49" s="433"/>
      <c r="D49" s="433"/>
      <c r="E49" s="433"/>
      <c r="H49" s="531"/>
      <c r="I49" s="531"/>
      <c r="J49" s="531"/>
      <c r="K49" s="531"/>
      <c r="L49" s="531"/>
      <c r="N49" s="530"/>
      <c r="O49" s="530"/>
      <c r="P49" s="530"/>
      <c r="Q49" s="530"/>
      <c r="R49" s="530"/>
      <c r="S49" s="530"/>
      <c r="T49" s="530"/>
      <c r="U49" s="530"/>
      <c r="V49" s="530"/>
      <c r="W49" s="530"/>
      <c r="X49" s="530"/>
      <c r="Y49" s="530"/>
      <c r="Z49" s="530"/>
      <c r="AA49" s="530"/>
      <c r="AC49" s="530"/>
      <c r="AD49" s="530"/>
      <c r="AE49" s="530"/>
      <c r="AF49" s="530"/>
      <c r="AG49" s="530"/>
      <c r="AH49" s="530"/>
      <c r="AI49" s="530"/>
      <c r="AJ49" s="530"/>
      <c r="AK49" s="530"/>
      <c r="AL49" s="530"/>
      <c r="AM49" s="530"/>
    </row>
    <row r="50" spans="3:39" s="419" customFormat="1" ht="15" customHeight="1">
      <c r="C50" s="433"/>
      <c r="D50" s="433"/>
      <c r="E50" s="433"/>
      <c r="H50" s="531"/>
      <c r="I50" s="531"/>
      <c r="J50" s="531"/>
      <c r="K50" s="531"/>
      <c r="L50" s="531"/>
      <c r="N50" s="530"/>
      <c r="O50" s="530"/>
      <c r="P50" s="530"/>
      <c r="Q50" s="530"/>
      <c r="R50" s="530"/>
      <c r="S50" s="530"/>
      <c r="T50" s="530"/>
      <c r="U50" s="530"/>
      <c r="V50" s="530"/>
      <c r="W50" s="530"/>
      <c r="X50" s="530"/>
      <c r="Y50" s="530"/>
      <c r="Z50" s="530"/>
      <c r="AA50" s="530"/>
      <c r="AC50" s="530"/>
      <c r="AD50" s="530"/>
      <c r="AE50" s="530"/>
      <c r="AF50" s="530"/>
      <c r="AG50" s="530"/>
      <c r="AH50" s="530"/>
      <c r="AI50" s="530"/>
      <c r="AJ50" s="530"/>
      <c r="AK50" s="530"/>
      <c r="AL50" s="530"/>
      <c r="AM50" s="530"/>
    </row>
    <row r="51" spans="3:39" s="419" customFormat="1" ht="15" customHeight="1">
      <c r="C51" s="433"/>
      <c r="D51" s="433"/>
      <c r="E51" s="433"/>
      <c r="H51" s="531"/>
      <c r="I51" s="531"/>
      <c r="J51" s="531"/>
      <c r="K51" s="531"/>
      <c r="L51" s="531"/>
      <c r="N51" s="530"/>
      <c r="O51" s="530"/>
      <c r="P51" s="530"/>
      <c r="Q51" s="530"/>
      <c r="R51" s="530"/>
      <c r="S51" s="530"/>
      <c r="T51" s="530"/>
      <c r="U51" s="530"/>
      <c r="V51" s="530"/>
      <c r="W51" s="530"/>
      <c r="X51" s="530"/>
      <c r="Y51" s="530"/>
      <c r="Z51" s="530"/>
      <c r="AA51" s="530"/>
      <c r="AC51" s="530"/>
      <c r="AD51" s="530"/>
      <c r="AE51" s="530"/>
      <c r="AF51" s="530"/>
      <c r="AG51" s="530"/>
      <c r="AH51" s="530"/>
      <c r="AI51" s="530"/>
      <c r="AJ51" s="530"/>
      <c r="AK51" s="530"/>
      <c r="AL51" s="530"/>
      <c r="AM51" s="530"/>
    </row>
    <row r="52" spans="3:39" s="419" customFormat="1" ht="15" customHeight="1">
      <c r="C52" s="433"/>
      <c r="D52" s="433"/>
      <c r="E52" s="433"/>
      <c r="H52" s="531"/>
      <c r="I52" s="531"/>
      <c r="J52" s="531"/>
      <c r="K52" s="531"/>
      <c r="L52" s="531"/>
      <c r="N52" s="530"/>
      <c r="O52" s="530"/>
      <c r="P52" s="530"/>
      <c r="Q52" s="530"/>
      <c r="R52" s="530"/>
      <c r="S52" s="530"/>
      <c r="T52" s="530"/>
      <c r="U52" s="530"/>
      <c r="V52" s="530"/>
      <c r="W52" s="530"/>
      <c r="X52" s="530"/>
      <c r="Y52" s="530"/>
      <c r="Z52" s="530"/>
      <c r="AA52" s="530"/>
      <c r="AC52" s="530"/>
      <c r="AD52" s="530"/>
      <c r="AE52" s="530"/>
      <c r="AF52" s="530"/>
      <c r="AG52" s="530"/>
      <c r="AH52" s="530"/>
      <c r="AI52" s="530"/>
      <c r="AJ52" s="530"/>
      <c r="AK52" s="530"/>
      <c r="AL52" s="530"/>
      <c r="AM52" s="530"/>
    </row>
    <row r="53" spans="3:39" s="419" customFormat="1" ht="15" customHeight="1">
      <c r="C53" s="433"/>
      <c r="D53" s="433"/>
      <c r="E53" s="433"/>
      <c r="H53" s="531"/>
      <c r="I53" s="531"/>
      <c r="J53" s="531"/>
      <c r="K53" s="531"/>
      <c r="L53" s="531"/>
      <c r="N53" s="530"/>
      <c r="O53" s="530"/>
      <c r="P53" s="530"/>
      <c r="Q53" s="530"/>
      <c r="R53" s="530"/>
      <c r="S53" s="530"/>
      <c r="T53" s="530"/>
      <c r="U53" s="530"/>
      <c r="V53" s="530"/>
      <c r="W53" s="530"/>
      <c r="X53" s="530"/>
      <c r="Y53" s="530"/>
      <c r="Z53" s="530"/>
      <c r="AA53" s="530"/>
      <c r="AC53" s="530"/>
      <c r="AD53" s="530"/>
      <c r="AE53" s="530"/>
      <c r="AF53" s="530"/>
      <c r="AG53" s="530"/>
      <c r="AH53" s="530"/>
      <c r="AI53" s="530"/>
      <c r="AJ53" s="530"/>
      <c r="AK53" s="530"/>
      <c r="AL53" s="530"/>
      <c r="AM53" s="530"/>
    </row>
    <row r="54" spans="3:39" s="419" customFormat="1" ht="15" customHeight="1">
      <c r="C54" s="433"/>
      <c r="D54" s="433"/>
      <c r="E54" s="433"/>
      <c r="H54" s="531"/>
      <c r="I54" s="531"/>
      <c r="J54" s="531"/>
      <c r="K54" s="531"/>
      <c r="L54" s="531"/>
      <c r="N54" s="530"/>
      <c r="O54" s="530"/>
      <c r="P54" s="530"/>
      <c r="Q54" s="530"/>
      <c r="R54" s="530"/>
      <c r="S54" s="530"/>
      <c r="T54" s="530"/>
      <c r="U54" s="530"/>
      <c r="V54" s="530"/>
      <c r="W54" s="530"/>
      <c r="X54" s="530"/>
      <c r="Y54" s="530"/>
      <c r="Z54" s="530"/>
      <c r="AA54" s="530"/>
      <c r="AC54" s="530"/>
      <c r="AD54" s="530"/>
      <c r="AE54" s="530"/>
      <c r="AF54" s="530"/>
      <c r="AG54" s="530"/>
      <c r="AH54" s="530"/>
      <c r="AI54" s="530"/>
      <c r="AJ54" s="530"/>
      <c r="AK54" s="530"/>
      <c r="AL54" s="530"/>
      <c r="AM54" s="530"/>
    </row>
    <row r="55" spans="3:39" s="419" customFormat="1" ht="15" customHeight="1">
      <c r="C55" s="433"/>
      <c r="D55" s="433"/>
      <c r="E55" s="433"/>
      <c r="H55" s="531"/>
      <c r="I55" s="531"/>
      <c r="J55" s="531"/>
      <c r="K55" s="531"/>
      <c r="L55" s="531"/>
      <c r="N55" s="530"/>
      <c r="O55" s="530"/>
      <c r="P55" s="530"/>
      <c r="Q55" s="530"/>
      <c r="R55" s="530"/>
      <c r="S55" s="530"/>
      <c r="T55" s="530"/>
      <c r="U55" s="530"/>
      <c r="V55" s="530"/>
      <c r="W55" s="530"/>
      <c r="X55" s="530"/>
      <c r="Y55" s="530"/>
      <c r="Z55" s="530"/>
      <c r="AA55" s="530"/>
      <c r="AC55" s="530"/>
      <c r="AD55" s="530"/>
      <c r="AE55" s="530"/>
      <c r="AF55" s="530"/>
      <c r="AG55" s="530"/>
      <c r="AH55" s="530"/>
      <c r="AI55" s="530"/>
      <c r="AJ55" s="530"/>
      <c r="AK55" s="530"/>
      <c r="AL55" s="530"/>
      <c r="AM55" s="530"/>
    </row>
    <row r="56" spans="3:39" s="419" customFormat="1" ht="15" customHeight="1">
      <c r="C56" s="433"/>
      <c r="D56" s="433"/>
      <c r="E56" s="433"/>
      <c r="H56" s="531"/>
      <c r="I56" s="531"/>
      <c r="J56" s="531"/>
      <c r="K56" s="531"/>
      <c r="L56" s="531"/>
      <c r="N56" s="530"/>
      <c r="O56" s="530"/>
      <c r="P56" s="530"/>
      <c r="Q56" s="530"/>
      <c r="R56" s="530"/>
      <c r="S56" s="530"/>
      <c r="T56" s="530"/>
      <c r="U56" s="530"/>
      <c r="V56" s="530"/>
      <c r="W56" s="530"/>
      <c r="X56" s="530"/>
      <c r="Y56" s="530"/>
      <c r="Z56" s="530"/>
      <c r="AA56" s="530"/>
      <c r="AC56" s="530"/>
      <c r="AD56" s="530"/>
      <c r="AE56" s="530"/>
      <c r="AF56" s="530"/>
      <c r="AG56" s="530"/>
      <c r="AH56" s="530"/>
      <c r="AI56" s="530"/>
      <c r="AJ56" s="530"/>
      <c r="AK56" s="530"/>
      <c r="AL56" s="530"/>
      <c r="AM56" s="530"/>
    </row>
    <row r="57" spans="3:39" s="419" customFormat="1" ht="15" customHeight="1">
      <c r="C57" s="433"/>
      <c r="D57" s="433"/>
      <c r="E57" s="433"/>
      <c r="H57" s="531"/>
      <c r="I57" s="531"/>
      <c r="J57" s="531"/>
      <c r="K57" s="531"/>
      <c r="L57" s="531"/>
      <c r="N57" s="530"/>
      <c r="O57" s="530"/>
      <c r="P57" s="530"/>
      <c r="Q57" s="530"/>
      <c r="R57" s="530"/>
      <c r="S57" s="530"/>
      <c r="T57" s="530"/>
      <c r="U57" s="530"/>
      <c r="V57" s="530"/>
      <c r="W57" s="530"/>
      <c r="X57" s="530"/>
      <c r="Y57" s="530"/>
      <c r="Z57" s="530"/>
      <c r="AA57" s="530"/>
      <c r="AC57" s="530"/>
      <c r="AD57" s="530"/>
      <c r="AE57" s="530"/>
      <c r="AF57" s="530"/>
      <c r="AG57" s="530"/>
      <c r="AH57" s="530"/>
      <c r="AI57" s="530"/>
      <c r="AJ57" s="530"/>
      <c r="AK57" s="530"/>
      <c r="AL57" s="530"/>
      <c r="AM57" s="530"/>
    </row>
    <row r="58" spans="3:39" s="419" customFormat="1" ht="15" customHeight="1">
      <c r="H58" s="531"/>
      <c r="I58" s="531"/>
      <c r="J58" s="531"/>
      <c r="K58" s="531"/>
      <c r="L58" s="531"/>
      <c r="N58" s="530"/>
      <c r="O58" s="530"/>
      <c r="P58" s="530"/>
      <c r="Q58" s="530"/>
      <c r="R58" s="530"/>
      <c r="S58" s="530"/>
      <c r="T58" s="530"/>
      <c r="U58" s="530"/>
      <c r="V58" s="530"/>
      <c r="W58" s="530"/>
      <c r="X58" s="530"/>
      <c r="Y58" s="530"/>
      <c r="Z58" s="530"/>
      <c r="AA58" s="530"/>
      <c r="AC58" s="530"/>
      <c r="AD58" s="530"/>
      <c r="AE58" s="530"/>
      <c r="AF58" s="530"/>
      <c r="AG58" s="530"/>
      <c r="AH58" s="530"/>
      <c r="AI58" s="530"/>
      <c r="AJ58" s="530"/>
      <c r="AK58" s="530"/>
      <c r="AL58" s="530"/>
      <c r="AM58" s="530"/>
    </row>
    <row r="59" spans="3:39" s="419" customFormat="1" ht="15" customHeight="1">
      <c r="H59" s="531"/>
      <c r="I59" s="531"/>
      <c r="J59" s="531"/>
      <c r="K59" s="531"/>
      <c r="L59" s="531"/>
      <c r="N59" s="530"/>
      <c r="O59" s="530"/>
      <c r="P59" s="530"/>
      <c r="Q59" s="530"/>
      <c r="R59" s="530"/>
      <c r="S59" s="530"/>
      <c r="T59" s="530"/>
      <c r="U59" s="530"/>
      <c r="V59" s="530"/>
      <c r="W59" s="530"/>
      <c r="X59" s="530"/>
      <c r="Y59" s="530"/>
      <c r="Z59" s="530"/>
      <c r="AA59" s="530"/>
      <c r="AC59" s="530"/>
      <c r="AD59" s="530"/>
      <c r="AE59" s="530"/>
      <c r="AF59" s="530"/>
      <c r="AG59" s="530"/>
      <c r="AH59" s="530"/>
      <c r="AI59" s="530"/>
      <c r="AJ59" s="530"/>
      <c r="AK59" s="530"/>
      <c r="AL59" s="530"/>
      <c r="AM59" s="530"/>
    </row>
    <row r="60" spans="3:39" s="419" customFormat="1" ht="15" customHeight="1">
      <c r="H60" s="531"/>
      <c r="I60" s="531"/>
      <c r="J60" s="531"/>
      <c r="K60" s="531"/>
      <c r="L60" s="531"/>
      <c r="N60" s="530"/>
      <c r="O60" s="530"/>
      <c r="P60" s="530"/>
      <c r="Q60" s="530"/>
      <c r="R60" s="530"/>
      <c r="S60" s="530"/>
      <c r="T60" s="530"/>
      <c r="U60" s="530"/>
      <c r="V60" s="530"/>
      <c r="W60" s="530"/>
      <c r="X60" s="530"/>
      <c r="Y60" s="530"/>
      <c r="Z60" s="530"/>
      <c r="AA60" s="530"/>
      <c r="AC60" s="530"/>
      <c r="AD60" s="530"/>
      <c r="AE60" s="530"/>
      <c r="AF60" s="530"/>
      <c r="AG60" s="530"/>
      <c r="AH60" s="530"/>
      <c r="AI60" s="530"/>
      <c r="AJ60" s="530"/>
      <c r="AK60" s="530"/>
      <c r="AL60" s="530"/>
      <c r="AM60" s="530"/>
    </row>
    <row r="61" spans="3:39" s="419" customFormat="1" ht="15" customHeight="1">
      <c r="H61" s="531"/>
      <c r="I61" s="531"/>
      <c r="J61" s="531"/>
      <c r="K61" s="531"/>
      <c r="L61" s="531"/>
      <c r="N61" s="530"/>
      <c r="O61" s="530"/>
      <c r="P61" s="530"/>
      <c r="Q61" s="530"/>
      <c r="R61" s="530"/>
      <c r="S61" s="530"/>
      <c r="T61" s="530"/>
      <c r="U61" s="530"/>
      <c r="V61" s="530"/>
      <c r="W61" s="530"/>
      <c r="X61" s="530"/>
      <c r="Y61" s="530"/>
      <c r="Z61" s="530"/>
      <c r="AA61" s="530"/>
      <c r="AC61" s="530"/>
      <c r="AD61" s="530"/>
      <c r="AE61" s="530"/>
      <c r="AF61" s="530"/>
      <c r="AG61" s="530"/>
      <c r="AH61" s="530"/>
      <c r="AI61" s="530"/>
      <c r="AJ61" s="530"/>
      <c r="AK61" s="530"/>
      <c r="AL61" s="530"/>
      <c r="AM61" s="530"/>
    </row>
    <row r="62" spans="3:39" s="419" customFormat="1" ht="15" customHeight="1">
      <c r="H62" s="531"/>
      <c r="I62" s="531"/>
      <c r="J62" s="531"/>
      <c r="K62" s="531"/>
      <c r="L62" s="531"/>
      <c r="N62" s="530"/>
      <c r="O62" s="530"/>
      <c r="P62" s="530"/>
      <c r="Q62" s="530"/>
      <c r="R62" s="530"/>
      <c r="S62" s="530"/>
      <c r="T62" s="530"/>
      <c r="U62" s="530"/>
      <c r="V62" s="530"/>
      <c r="W62" s="530"/>
      <c r="X62" s="530"/>
      <c r="Y62" s="530"/>
      <c r="Z62" s="530"/>
      <c r="AA62" s="530"/>
      <c r="AC62" s="530"/>
      <c r="AD62" s="530"/>
      <c r="AE62" s="530"/>
      <c r="AF62" s="530"/>
      <c r="AG62" s="530"/>
      <c r="AH62" s="530"/>
      <c r="AI62" s="530"/>
      <c r="AJ62" s="530"/>
      <c r="AK62" s="530"/>
      <c r="AL62" s="530"/>
      <c r="AM62" s="530"/>
    </row>
    <row r="63" spans="3:39" s="419" customFormat="1" ht="15" customHeight="1">
      <c r="H63" s="531"/>
      <c r="I63" s="531"/>
      <c r="J63" s="531"/>
      <c r="K63" s="531"/>
      <c r="L63" s="531"/>
      <c r="N63" s="530"/>
      <c r="O63" s="530"/>
      <c r="P63" s="530"/>
      <c r="Q63" s="530"/>
      <c r="R63" s="530"/>
      <c r="S63" s="530"/>
      <c r="T63" s="530"/>
      <c r="U63" s="530"/>
      <c r="V63" s="530"/>
      <c r="W63" s="530"/>
      <c r="X63" s="530"/>
      <c r="Y63" s="530"/>
      <c r="Z63" s="530"/>
      <c r="AA63" s="530"/>
      <c r="AC63" s="530"/>
      <c r="AD63" s="530"/>
      <c r="AE63" s="530"/>
      <c r="AF63" s="530"/>
      <c r="AG63" s="530"/>
      <c r="AH63" s="530"/>
      <c r="AI63" s="530"/>
      <c r="AJ63" s="530"/>
      <c r="AK63" s="530"/>
      <c r="AL63" s="530"/>
      <c r="AM63" s="530"/>
    </row>
    <row r="64" spans="3:39" s="419" customFormat="1" ht="15" customHeight="1">
      <c r="H64" s="531"/>
      <c r="I64" s="531"/>
      <c r="J64" s="531"/>
      <c r="K64" s="531"/>
      <c r="L64" s="531"/>
      <c r="N64" s="530"/>
      <c r="O64" s="530"/>
      <c r="P64" s="530"/>
      <c r="Q64" s="530"/>
      <c r="R64" s="530"/>
      <c r="S64" s="530"/>
      <c r="T64" s="530"/>
      <c r="U64" s="530"/>
      <c r="V64" s="530"/>
      <c r="W64" s="530"/>
      <c r="X64" s="530"/>
      <c r="Y64" s="530"/>
      <c r="Z64" s="530"/>
      <c r="AA64" s="530"/>
      <c r="AC64" s="530"/>
      <c r="AD64" s="530"/>
      <c r="AE64" s="530"/>
      <c r="AF64" s="530"/>
      <c r="AG64" s="530"/>
      <c r="AH64" s="530"/>
      <c r="AI64" s="530"/>
      <c r="AJ64" s="530"/>
      <c r="AK64" s="530"/>
      <c r="AL64" s="530"/>
      <c r="AM64" s="530"/>
    </row>
    <row r="65" spans="8:39" s="419" customFormat="1" ht="15" customHeight="1">
      <c r="H65" s="531"/>
      <c r="I65" s="531"/>
      <c r="J65" s="531"/>
      <c r="K65" s="531"/>
      <c r="L65" s="531"/>
      <c r="N65" s="530"/>
      <c r="O65" s="530"/>
      <c r="P65" s="530"/>
      <c r="Q65" s="530"/>
      <c r="R65" s="530"/>
      <c r="S65" s="530"/>
      <c r="T65" s="530"/>
      <c r="U65" s="530"/>
      <c r="V65" s="530"/>
      <c r="W65" s="530"/>
      <c r="X65" s="530"/>
      <c r="Y65" s="530"/>
      <c r="Z65" s="530"/>
      <c r="AA65" s="530"/>
      <c r="AC65" s="530"/>
      <c r="AD65" s="530"/>
      <c r="AE65" s="530"/>
      <c r="AF65" s="530"/>
      <c r="AG65" s="530"/>
      <c r="AH65" s="530"/>
      <c r="AI65" s="530"/>
      <c r="AJ65" s="530"/>
      <c r="AK65" s="530"/>
      <c r="AL65" s="530"/>
      <c r="AM65" s="530"/>
    </row>
    <row r="66" spans="8:39" s="419" customFormat="1" ht="15" customHeight="1">
      <c r="H66" s="531"/>
      <c r="I66" s="531"/>
      <c r="J66" s="531"/>
      <c r="K66" s="531"/>
      <c r="L66" s="531"/>
      <c r="N66" s="530"/>
      <c r="O66" s="530"/>
      <c r="P66" s="530"/>
      <c r="Q66" s="530"/>
      <c r="R66" s="530"/>
      <c r="S66" s="530"/>
      <c r="T66" s="530"/>
      <c r="U66" s="530"/>
      <c r="V66" s="530"/>
      <c r="W66" s="530"/>
      <c r="X66" s="530"/>
      <c r="Y66" s="530"/>
      <c r="Z66" s="530"/>
      <c r="AA66" s="530"/>
      <c r="AC66" s="530"/>
      <c r="AD66" s="530"/>
      <c r="AE66" s="530"/>
      <c r="AF66" s="530"/>
      <c r="AG66" s="530"/>
      <c r="AH66" s="530"/>
      <c r="AI66" s="530"/>
      <c r="AJ66" s="530"/>
      <c r="AK66" s="530"/>
      <c r="AL66" s="530"/>
      <c r="AM66" s="530"/>
    </row>
    <row r="67" spans="8:39" s="419" customFormat="1" ht="15" customHeight="1">
      <c r="H67" s="531"/>
      <c r="I67" s="531"/>
      <c r="J67" s="531"/>
      <c r="K67" s="531"/>
      <c r="L67" s="531"/>
      <c r="N67" s="530"/>
      <c r="O67" s="530"/>
      <c r="P67" s="530"/>
      <c r="Q67" s="530"/>
      <c r="R67" s="530"/>
      <c r="S67" s="530"/>
      <c r="T67" s="530"/>
      <c r="U67" s="530"/>
      <c r="V67" s="530"/>
      <c r="W67" s="530"/>
      <c r="X67" s="530"/>
      <c r="Y67" s="530"/>
      <c r="Z67" s="530"/>
      <c r="AA67" s="530"/>
      <c r="AC67" s="530"/>
      <c r="AD67" s="530"/>
      <c r="AE67" s="530"/>
      <c r="AF67" s="530"/>
      <c r="AG67" s="530"/>
      <c r="AH67" s="530"/>
      <c r="AI67" s="530"/>
      <c r="AJ67" s="530"/>
      <c r="AK67" s="530"/>
      <c r="AL67" s="530"/>
      <c r="AM67" s="530"/>
    </row>
    <row r="68" spans="8:39" s="419" customFormat="1" ht="15" customHeight="1">
      <c r="H68" s="531"/>
      <c r="I68" s="531"/>
      <c r="J68" s="531"/>
      <c r="K68" s="531"/>
      <c r="L68" s="531"/>
      <c r="N68" s="530"/>
      <c r="O68" s="530"/>
      <c r="P68" s="530"/>
      <c r="Q68" s="530"/>
      <c r="R68" s="530"/>
      <c r="S68" s="530"/>
      <c r="T68" s="530"/>
      <c r="U68" s="530"/>
      <c r="V68" s="530"/>
      <c r="W68" s="530"/>
      <c r="X68" s="530"/>
      <c r="Y68" s="530"/>
      <c r="Z68" s="530"/>
      <c r="AA68" s="530"/>
      <c r="AC68" s="530"/>
      <c r="AD68" s="530"/>
      <c r="AE68" s="530"/>
      <c r="AF68" s="530"/>
      <c r="AG68" s="530"/>
      <c r="AH68" s="530"/>
      <c r="AI68" s="530"/>
      <c r="AJ68" s="530"/>
      <c r="AK68" s="530"/>
      <c r="AL68" s="530"/>
      <c r="AM68" s="530"/>
    </row>
    <row r="69" spans="8:39" s="419" customFormat="1" ht="15" customHeight="1">
      <c r="H69" s="531"/>
      <c r="I69" s="531"/>
      <c r="J69" s="531"/>
      <c r="K69" s="531"/>
      <c r="L69" s="531"/>
      <c r="N69" s="530"/>
      <c r="O69" s="530"/>
      <c r="P69" s="530"/>
      <c r="Q69" s="530"/>
      <c r="R69" s="530"/>
      <c r="S69" s="530"/>
      <c r="T69" s="530"/>
      <c r="U69" s="530"/>
      <c r="V69" s="530"/>
      <c r="W69" s="530"/>
      <c r="X69" s="530"/>
      <c r="Y69" s="530"/>
      <c r="Z69" s="530"/>
      <c r="AA69" s="530"/>
      <c r="AC69" s="530"/>
      <c r="AD69" s="530"/>
      <c r="AE69" s="530"/>
      <c r="AF69" s="530"/>
      <c r="AG69" s="530"/>
      <c r="AH69" s="530"/>
      <c r="AI69" s="530"/>
      <c r="AJ69" s="530"/>
      <c r="AK69" s="530"/>
      <c r="AL69" s="530"/>
      <c r="AM69" s="530"/>
    </row>
    <row r="70" spans="8:39" s="419" customFormat="1" ht="15" customHeight="1">
      <c r="H70" s="531"/>
      <c r="I70" s="531"/>
      <c r="J70" s="531"/>
      <c r="K70" s="531"/>
      <c r="L70" s="531"/>
      <c r="N70" s="530"/>
      <c r="O70" s="530"/>
      <c r="P70" s="530"/>
      <c r="Q70" s="530"/>
      <c r="R70" s="530"/>
      <c r="S70" s="530"/>
      <c r="T70" s="530"/>
      <c r="U70" s="530"/>
      <c r="V70" s="530"/>
      <c r="W70" s="530"/>
      <c r="X70" s="530"/>
      <c r="Y70" s="530"/>
      <c r="Z70" s="530"/>
      <c r="AA70" s="530"/>
      <c r="AC70" s="530"/>
      <c r="AD70" s="530"/>
      <c r="AE70" s="530"/>
      <c r="AF70" s="530"/>
      <c r="AG70" s="530"/>
      <c r="AH70" s="530"/>
      <c r="AI70" s="530"/>
      <c r="AJ70" s="530"/>
      <c r="AK70" s="530"/>
      <c r="AL70" s="530"/>
      <c r="AM70" s="530"/>
    </row>
    <row r="71" spans="8:39" s="419" customFormat="1" ht="15" customHeight="1">
      <c r="H71" s="531"/>
      <c r="I71" s="531"/>
      <c r="J71" s="531"/>
      <c r="K71" s="531"/>
      <c r="L71" s="531"/>
      <c r="N71" s="530"/>
      <c r="O71" s="530"/>
      <c r="P71" s="530"/>
      <c r="Q71" s="530"/>
      <c r="R71" s="530"/>
      <c r="S71" s="530"/>
      <c r="T71" s="530"/>
      <c r="U71" s="530"/>
      <c r="V71" s="530"/>
      <c r="W71" s="530"/>
      <c r="X71" s="530"/>
      <c r="Y71" s="530"/>
      <c r="Z71" s="530"/>
      <c r="AA71" s="530"/>
      <c r="AC71" s="530"/>
      <c r="AD71" s="530"/>
      <c r="AE71" s="530"/>
      <c r="AF71" s="530"/>
      <c r="AG71" s="530"/>
      <c r="AH71" s="530"/>
      <c r="AI71" s="530"/>
      <c r="AJ71" s="530"/>
      <c r="AK71" s="530"/>
      <c r="AL71" s="530"/>
      <c r="AM71" s="530"/>
    </row>
    <row r="72" spans="8:39" s="419" customFormat="1" ht="15" customHeight="1">
      <c r="H72" s="531"/>
      <c r="I72" s="531"/>
      <c r="J72" s="531"/>
      <c r="K72" s="531"/>
      <c r="L72" s="531"/>
      <c r="N72" s="530"/>
      <c r="O72" s="530"/>
      <c r="P72" s="530"/>
      <c r="Q72" s="530"/>
      <c r="R72" s="530"/>
      <c r="S72" s="530"/>
      <c r="T72" s="530"/>
      <c r="U72" s="530"/>
      <c r="V72" s="530"/>
      <c r="W72" s="530"/>
      <c r="X72" s="530"/>
      <c r="Y72" s="530"/>
      <c r="Z72" s="530"/>
      <c r="AA72" s="530"/>
      <c r="AC72" s="530"/>
      <c r="AD72" s="530"/>
      <c r="AE72" s="530"/>
      <c r="AF72" s="530"/>
      <c r="AG72" s="530"/>
      <c r="AH72" s="530"/>
      <c r="AI72" s="530"/>
      <c r="AJ72" s="530"/>
      <c r="AK72" s="530"/>
      <c r="AL72" s="530"/>
      <c r="AM72" s="530"/>
    </row>
    <row r="73" spans="8:39" s="419" customFormat="1" ht="15" customHeight="1">
      <c r="H73" s="531"/>
      <c r="I73" s="531"/>
      <c r="J73" s="531"/>
      <c r="K73" s="531"/>
      <c r="L73" s="531"/>
      <c r="N73" s="530"/>
      <c r="O73" s="530"/>
      <c r="P73" s="530"/>
      <c r="Q73" s="530"/>
      <c r="R73" s="530"/>
      <c r="S73" s="530"/>
      <c r="T73" s="530"/>
      <c r="U73" s="530"/>
      <c r="V73" s="530"/>
      <c r="W73" s="530"/>
      <c r="X73" s="530"/>
      <c r="Y73" s="530"/>
      <c r="Z73" s="530"/>
      <c r="AA73" s="530"/>
      <c r="AC73" s="530"/>
      <c r="AD73" s="530"/>
      <c r="AE73" s="530"/>
      <c r="AF73" s="530"/>
      <c r="AG73" s="530"/>
      <c r="AH73" s="530"/>
      <c r="AI73" s="530"/>
      <c r="AJ73" s="530"/>
      <c r="AK73" s="530"/>
      <c r="AL73" s="530"/>
      <c r="AM73" s="530"/>
    </row>
    <row r="74" spans="8:39" s="419" customFormat="1" ht="15" customHeight="1">
      <c r="H74" s="531"/>
      <c r="I74" s="531"/>
      <c r="J74" s="531"/>
      <c r="K74" s="531"/>
      <c r="L74" s="531"/>
      <c r="N74" s="530"/>
      <c r="O74" s="530"/>
      <c r="P74" s="530"/>
      <c r="Q74" s="530"/>
      <c r="R74" s="530"/>
      <c r="S74" s="530"/>
      <c r="T74" s="530"/>
      <c r="U74" s="530"/>
      <c r="V74" s="530"/>
      <c r="W74" s="530"/>
      <c r="X74" s="530"/>
      <c r="Y74" s="530"/>
      <c r="Z74" s="530"/>
      <c r="AA74" s="530"/>
      <c r="AC74" s="530"/>
      <c r="AD74" s="530"/>
      <c r="AE74" s="530"/>
      <c r="AF74" s="530"/>
      <c r="AG74" s="530"/>
      <c r="AH74" s="530"/>
      <c r="AI74" s="530"/>
      <c r="AJ74" s="530"/>
      <c r="AK74" s="530"/>
      <c r="AL74" s="530"/>
      <c r="AM74" s="530"/>
    </row>
    <row r="75" spans="8:39" s="419" customFormat="1" ht="15" customHeight="1">
      <c r="H75" s="531"/>
      <c r="I75" s="531"/>
      <c r="J75" s="531"/>
      <c r="K75" s="531"/>
      <c r="L75" s="531"/>
      <c r="N75" s="530"/>
      <c r="O75" s="530"/>
      <c r="P75" s="530"/>
      <c r="Q75" s="530"/>
      <c r="R75" s="530"/>
      <c r="S75" s="530"/>
      <c r="T75" s="530"/>
      <c r="U75" s="530"/>
      <c r="V75" s="530"/>
      <c r="W75" s="530"/>
      <c r="X75" s="530"/>
      <c r="Y75" s="530"/>
      <c r="Z75" s="530"/>
      <c r="AA75" s="530"/>
      <c r="AC75" s="530"/>
      <c r="AD75" s="530"/>
      <c r="AE75" s="530"/>
      <c r="AF75" s="530"/>
      <c r="AG75" s="530"/>
      <c r="AH75" s="530"/>
      <c r="AI75" s="530"/>
      <c r="AJ75" s="530"/>
      <c r="AK75" s="530"/>
      <c r="AL75" s="530"/>
      <c r="AM75" s="530"/>
    </row>
    <row r="76" spans="8:39" s="419" customFormat="1" ht="15" customHeight="1">
      <c r="H76" s="531"/>
      <c r="I76" s="531"/>
      <c r="J76" s="531"/>
      <c r="K76" s="531"/>
      <c r="L76" s="531"/>
      <c r="N76" s="530"/>
      <c r="O76" s="530"/>
      <c r="P76" s="530"/>
      <c r="Q76" s="530"/>
      <c r="R76" s="530"/>
      <c r="S76" s="530"/>
      <c r="T76" s="530"/>
      <c r="U76" s="530"/>
      <c r="V76" s="530"/>
      <c r="W76" s="530"/>
      <c r="X76" s="530"/>
      <c r="Y76" s="530"/>
      <c r="Z76" s="530"/>
      <c r="AA76" s="530"/>
      <c r="AC76" s="530"/>
      <c r="AD76" s="530"/>
      <c r="AE76" s="530"/>
      <c r="AF76" s="530"/>
      <c r="AG76" s="530"/>
      <c r="AH76" s="530"/>
      <c r="AI76" s="530"/>
      <c r="AJ76" s="530"/>
      <c r="AK76" s="530"/>
      <c r="AL76" s="530"/>
      <c r="AM76" s="530"/>
    </row>
    <row r="77" spans="8:39" s="419" customFormat="1" ht="15" customHeight="1">
      <c r="H77" s="531"/>
      <c r="I77" s="531"/>
      <c r="J77" s="531"/>
      <c r="K77" s="531"/>
      <c r="L77" s="531"/>
      <c r="N77" s="530"/>
      <c r="O77" s="530"/>
      <c r="P77" s="530"/>
      <c r="Q77" s="530"/>
      <c r="R77" s="530"/>
      <c r="S77" s="530"/>
      <c r="T77" s="530"/>
      <c r="U77" s="530"/>
      <c r="V77" s="530"/>
      <c r="W77" s="530"/>
      <c r="X77" s="530"/>
      <c r="Y77" s="530"/>
      <c r="Z77" s="530"/>
      <c r="AA77" s="530"/>
      <c r="AC77" s="530"/>
      <c r="AD77" s="530"/>
      <c r="AE77" s="530"/>
      <c r="AF77" s="530"/>
      <c r="AG77" s="530"/>
      <c r="AH77" s="530"/>
      <c r="AI77" s="530"/>
      <c r="AJ77" s="530"/>
      <c r="AK77" s="530"/>
      <c r="AL77" s="530"/>
      <c r="AM77" s="530"/>
    </row>
    <row r="78" spans="8:39" s="419" customFormat="1" ht="15" customHeight="1">
      <c r="H78" s="531"/>
      <c r="I78" s="531"/>
      <c r="J78" s="531"/>
      <c r="K78" s="531"/>
      <c r="L78" s="531"/>
      <c r="N78" s="530"/>
      <c r="O78" s="530"/>
      <c r="P78" s="530"/>
      <c r="Q78" s="530"/>
      <c r="R78" s="530"/>
      <c r="S78" s="530"/>
      <c r="T78" s="530"/>
      <c r="U78" s="530"/>
      <c r="V78" s="530"/>
      <c r="W78" s="530"/>
      <c r="X78" s="530"/>
      <c r="Y78" s="530"/>
      <c r="Z78" s="530"/>
      <c r="AA78" s="530"/>
      <c r="AC78" s="530"/>
      <c r="AD78" s="530"/>
      <c r="AE78" s="530"/>
      <c r="AF78" s="530"/>
      <c r="AG78" s="530"/>
      <c r="AH78" s="530"/>
      <c r="AI78" s="530"/>
      <c r="AJ78" s="530"/>
      <c r="AK78" s="530"/>
      <c r="AL78" s="530"/>
      <c r="AM78" s="530"/>
    </row>
    <row r="79" spans="8:39" s="419" customFormat="1" ht="15" customHeight="1">
      <c r="H79" s="531"/>
      <c r="I79" s="531"/>
      <c r="J79" s="531"/>
      <c r="K79" s="531"/>
      <c r="L79" s="531"/>
      <c r="N79" s="530"/>
      <c r="O79" s="530"/>
      <c r="P79" s="530"/>
      <c r="Q79" s="530"/>
      <c r="R79" s="530"/>
      <c r="S79" s="530"/>
      <c r="T79" s="530"/>
      <c r="U79" s="530"/>
      <c r="V79" s="530"/>
      <c r="W79" s="530"/>
      <c r="X79" s="530"/>
      <c r="Y79" s="530"/>
      <c r="Z79" s="530"/>
      <c r="AA79" s="530"/>
      <c r="AC79" s="530"/>
      <c r="AD79" s="530"/>
      <c r="AE79" s="530"/>
      <c r="AF79" s="530"/>
      <c r="AG79" s="530"/>
      <c r="AH79" s="530"/>
      <c r="AI79" s="530"/>
      <c r="AJ79" s="530"/>
      <c r="AK79" s="530"/>
      <c r="AL79" s="530"/>
      <c r="AM79" s="530"/>
    </row>
    <row r="80" spans="8:39" s="419" customFormat="1" ht="15" customHeight="1">
      <c r="H80" s="531"/>
      <c r="I80" s="531"/>
      <c r="J80" s="531"/>
      <c r="K80" s="531"/>
      <c r="L80" s="531"/>
      <c r="N80" s="530"/>
      <c r="O80" s="530"/>
      <c r="P80" s="530"/>
      <c r="Q80" s="530"/>
      <c r="R80" s="530"/>
      <c r="S80" s="530"/>
      <c r="T80" s="530"/>
      <c r="U80" s="530"/>
      <c r="V80" s="530"/>
      <c r="W80" s="530"/>
      <c r="X80" s="530"/>
      <c r="Y80" s="530"/>
      <c r="Z80" s="530"/>
      <c r="AA80" s="530"/>
      <c r="AC80" s="530"/>
      <c r="AD80" s="530"/>
      <c r="AE80" s="530"/>
      <c r="AF80" s="530"/>
      <c r="AG80" s="530"/>
      <c r="AH80" s="530"/>
      <c r="AI80" s="530"/>
      <c r="AJ80" s="530"/>
      <c r="AK80" s="530"/>
      <c r="AL80" s="530"/>
      <c r="AM80" s="530"/>
    </row>
    <row r="81" spans="8:39" s="419" customFormat="1" ht="15" customHeight="1">
      <c r="H81" s="531"/>
      <c r="I81" s="531"/>
      <c r="J81" s="531"/>
      <c r="K81" s="531"/>
      <c r="L81" s="531"/>
      <c r="N81" s="530"/>
      <c r="O81" s="530"/>
      <c r="P81" s="530"/>
      <c r="Q81" s="530"/>
      <c r="R81" s="530"/>
      <c r="S81" s="530"/>
      <c r="T81" s="530"/>
      <c r="U81" s="530"/>
      <c r="V81" s="530"/>
      <c r="W81" s="530"/>
      <c r="X81" s="530"/>
      <c r="Y81" s="530"/>
      <c r="Z81" s="530"/>
      <c r="AA81" s="530"/>
      <c r="AC81" s="530"/>
      <c r="AD81" s="530"/>
      <c r="AE81" s="530"/>
      <c r="AF81" s="530"/>
      <c r="AG81" s="530"/>
      <c r="AH81" s="530"/>
      <c r="AI81" s="530"/>
      <c r="AJ81" s="530"/>
      <c r="AK81" s="530"/>
      <c r="AL81" s="530"/>
      <c r="AM81" s="530"/>
    </row>
    <row r="82" spans="8:39" s="419" customFormat="1" ht="15" customHeight="1">
      <c r="H82" s="531"/>
      <c r="I82" s="531"/>
      <c r="J82" s="531"/>
      <c r="K82" s="531"/>
      <c r="L82" s="531"/>
      <c r="N82" s="530"/>
      <c r="O82" s="530"/>
      <c r="P82" s="530"/>
      <c r="Q82" s="530"/>
      <c r="R82" s="530"/>
      <c r="S82" s="530"/>
      <c r="T82" s="530"/>
      <c r="U82" s="530"/>
      <c r="V82" s="530"/>
      <c r="W82" s="530"/>
      <c r="X82" s="530"/>
      <c r="Y82" s="530"/>
      <c r="Z82" s="530"/>
      <c r="AA82" s="530"/>
      <c r="AC82" s="530"/>
      <c r="AD82" s="530"/>
      <c r="AE82" s="530"/>
      <c r="AF82" s="530"/>
      <c r="AG82" s="530"/>
      <c r="AH82" s="530"/>
      <c r="AI82" s="530"/>
      <c r="AJ82" s="530"/>
      <c r="AK82" s="530"/>
      <c r="AL82" s="530"/>
      <c r="AM82" s="530"/>
    </row>
    <row r="83" spans="8:39" s="419" customFormat="1" ht="15" customHeight="1">
      <c r="H83" s="531"/>
      <c r="I83" s="531"/>
      <c r="J83" s="531"/>
      <c r="K83" s="531"/>
      <c r="L83" s="531"/>
      <c r="N83" s="530"/>
      <c r="O83" s="530"/>
      <c r="P83" s="530"/>
      <c r="Q83" s="530"/>
      <c r="R83" s="530"/>
      <c r="S83" s="530"/>
      <c r="T83" s="530"/>
      <c r="U83" s="530"/>
      <c r="V83" s="530"/>
      <c r="W83" s="530"/>
      <c r="X83" s="530"/>
      <c r="Y83" s="530"/>
      <c r="Z83" s="530"/>
      <c r="AA83" s="530"/>
      <c r="AC83" s="530"/>
      <c r="AD83" s="530"/>
      <c r="AE83" s="530"/>
      <c r="AF83" s="530"/>
      <c r="AG83" s="530"/>
      <c r="AH83" s="530"/>
      <c r="AI83" s="530"/>
      <c r="AJ83" s="530"/>
      <c r="AK83" s="530"/>
      <c r="AL83" s="530"/>
      <c r="AM83" s="530"/>
    </row>
    <row r="84" spans="8:39" s="419" customFormat="1" ht="15" customHeight="1">
      <c r="H84" s="531"/>
      <c r="I84" s="531"/>
      <c r="J84" s="531"/>
      <c r="K84" s="531"/>
      <c r="L84" s="531"/>
      <c r="N84" s="530"/>
      <c r="O84" s="530"/>
      <c r="P84" s="530"/>
      <c r="Q84" s="530"/>
      <c r="R84" s="530"/>
      <c r="S84" s="530"/>
      <c r="T84" s="530"/>
      <c r="U84" s="530"/>
      <c r="V84" s="530"/>
      <c r="W84" s="530"/>
      <c r="X84" s="530"/>
      <c r="Y84" s="530"/>
      <c r="Z84" s="530"/>
      <c r="AA84" s="530"/>
      <c r="AC84" s="530"/>
      <c r="AD84" s="530"/>
      <c r="AE84" s="530"/>
      <c r="AF84" s="530"/>
      <c r="AG84" s="530"/>
      <c r="AH84" s="530"/>
      <c r="AI84" s="530"/>
      <c r="AJ84" s="530"/>
      <c r="AK84" s="530"/>
      <c r="AL84" s="530"/>
      <c r="AM84" s="530"/>
    </row>
    <row r="85" spans="8:39" s="419" customFormat="1" ht="15" customHeight="1">
      <c r="H85" s="531"/>
      <c r="I85" s="531"/>
      <c r="J85" s="531"/>
      <c r="K85" s="531"/>
      <c r="L85" s="531"/>
      <c r="N85" s="530"/>
      <c r="O85" s="530"/>
      <c r="P85" s="530"/>
      <c r="Q85" s="530"/>
      <c r="R85" s="530"/>
      <c r="S85" s="530"/>
      <c r="T85" s="530"/>
      <c r="U85" s="530"/>
      <c r="V85" s="530"/>
      <c r="W85" s="530"/>
      <c r="X85" s="530"/>
      <c r="Y85" s="530"/>
      <c r="Z85" s="530"/>
      <c r="AA85" s="530"/>
      <c r="AC85" s="530"/>
      <c r="AD85" s="530"/>
      <c r="AE85" s="530"/>
      <c r="AF85" s="530"/>
      <c r="AG85" s="530"/>
      <c r="AH85" s="530"/>
      <c r="AI85" s="530"/>
      <c r="AJ85" s="530"/>
      <c r="AK85" s="530"/>
      <c r="AL85" s="530"/>
      <c r="AM85" s="530"/>
    </row>
    <row r="86" spans="8:39" s="419" customFormat="1" ht="15" customHeight="1">
      <c r="H86" s="531"/>
      <c r="I86" s="531"/>
      <c r="J86" s="531"/>
      <c r="K86" s="531"/>
      <c r="L86" s="531"/>
      <c r="N86" s="530"/>
      <c r="O86" s="530"/>
      <c r="P86" s="530"/>
      <c r="Q86" s="530"/>
      <c r="R86" s="530"/>
      <c r="S86" s="530"/>
      <c r="T86" s="530"/>
      <c r="U86" s="530"/>
      <c r="V86" s="530"/>
      <c r="W86" s="530"/>
      <c r="X86" s="530"/>
      <c r="Y86" s="530"/>
      <c r="Z86" s="530"/>
      <c r="AA86" s="530"/>
      <c r="AC86" s="530"/>
      <c r="AD86" s="530"/>
      <c r="AE86" s="530"/>
      <c r="AF86" s="530"/>
      <c r="AG86" s="530"/>
      <c r="AH86" s="530"/>
      <c r="AI86" s="530"/>
      <c r="AJ86" s="530"/>
      <c r="AK86" s="530"/>
      <c r="AL86" s="530"/>
      <c r="AM86" s="530"/>
    </row>
    <row r="87" spans="8:39" s="419" customFormat="1" ht="15" customHeight="1">
      <c r="H87" s="531"/>
      <c r="I87" s="531"/>
      <c r="J87" s="531"/>
      <c r="K87" s="531"/>
      <c r="L87" s="531"/>
      <c r="N87" s="530"/>
      <c r="O87" s="530"/>
      <c r="P87" s="530"/>
      <c r="Q87" s="530"/>
      <c r="R87" s="530"/>
      <c r="S87" s="530"/>
      <c r="T87" s="530"/>
      <c r="U87" s="530"/>
      <c r="V87" s="530"/>
      <c r="W87" s="530"/>
      <c r="X87" s="530"/>
      <c r="Y87" s="530"/>
      <c r="Z87" s="530"/>
      <c r="AA87" s="530"/>
      <c r="AC87" s="530"/>
      <c r="AD87" s="530"/>
      <c r="AE87" s="530"/>
      <c r="AF87" s="530"/>
      <c r="AG87" s="530"/>
      <c r="AH87" s="530"/>
      <c r="AI87" s="530"/>
      <c r="AJ87" s="530"/>
      <c r="AK87" s="530"/>
      <c r="AL87" s="530"/>
      <c r="AM87" s="530"/>
    </row>
    <row r="88" spans="8:39" s="419" customFormat="1" ht="15" customHeight="1">
      <c r="H88" s="531"/>
      <c r="I88" s="531"/>
      <c r="J88" s="531"/>
      <c r="K88" s="531"/>
      <c r="L88" s="531"/>
      <c r="N88" s="530"/>
      <c r="O88" s="530"/>
      <c r="P88" s="530"/>
      <c r="Q88" s="530"/>
      <c r="R88" s="530"/>
      <c r="S88" s="530"/>
      <c r="T88" s="530"/>
      <c r="U88" s="530"/>
      <c r="V88" s="530"/>
      <c r="W88" s="530"/>
      <c r="X88" s="530"/>
      <c r="Y88" s="530"/>
      <c r="Z88" s="530"/>
      <c r="AA88" s="530"/>
      <c r="AC88" s="530"/>
      <c r="AD88" s="530"/>
      <c r="AE88" s="530"/>
      <c r="AF88" s="530"/>
      <c r="AG88" s="530"/>
      <c r="AH88" s="530"/>
      <c r="AI88" s="530"/>
      <c r="AJ88" s="530"/>
      <c r="AK88" s="530"/>
      <c r="AL88" s="530"/>
      <c r="AM88" s="530"/>
    </row>
    <row r="89" spans="8:39" s="419" customFormat="1" ht="15" customHeight="1">
      <c r="H89" s="531"/>
      <c r="I89" s="531"/>
      <c r="J89" s="531"/>
      <c r="K89" s="531"/>
      <c r="L89" s="531"/>
      <c r="N89" s="530"/>
      <c r="O89" s="530"/>
      <c r="P89" s="530"/>
      <c r="Q89" s="530"/>
      <c r="R89" s="530"/>
      <c r="S89" s="530"/>
      <c r="T89" s="530"/>
      <c r="U89" s="530"/>
      <c r="V89" s="530"/>
      <c r="W89" s="530"/>
      <c r="X89" s="530"/>
      <c r="Y89" s="530"/>
      <c r="Z89" s="530"/>
      <c r="AA89" s="530"/>
      <c r="AC89" s="530"/>
      <c r="AD89" s="530"/>
      <c r="AE89" s="530"/>
      <c r="AF89" s="530"/>
      <c r="AG89" s="530"/>
      <c r="AH89" s="530"/>
      <c r="AI89" s="530"/>
      <c r="AJ89" s="530"/>
      <c r="AK89" s="530"/>
      <c r="AL89" s="530"/>
      <c r="AM89" s="530"/>
    </row>
    <row r="90" spans="8:39" s="419" customFormat="1" ht="15" customHeight="1">
      <c r="H90" s="531"/>
      <c r="I90" s="531"/>
      <c r="J90" s="531"/>
      <c r="K90" s="531"/>
      <c r="L90" s="531"/>
      <c r="N90" s="530"/>
      <c r="O90" s="530"/>
      <c r="P90" s="530"/>
      <c r="Q90" s="530"/>
      <c r="R90" s="530"/>
      <c r="S90" s="530"/>
      <c r="T90" s="530"/>
      <c r="U90" s="530"/>
      <c r="V90" s="530"/>
      <c r="W90" s="530"/>
      <c r="X90" s="530"/>
      <c r="Y90" s="530"/>
      <c r="Z90" s="530"/>
      <c r="AA90" s="530"/>
      <c r="AC90" s="530"/>
      <c r="AD90" s="530"/>
      <c r="AE90" s="530"/>
      <c r="AF90" s="530"/>
      <c r="AG90" s="530"/>
      <c r="AH90" s="530"/>
      <c r="AI90" s="530"/>
      <c r="AJ90" s="530"/>
      <c r="AK90" s="530"/>
      <c r="AL90" s="530"/>
      <c r="AM90" s="530"/>
    </row>
    <row r="91" spans="8:39" s="419" customFormat="1" ht="15" customHeight="1">
      <c r="H91" s="531"/>
      <c r="I91" s="531"/>
      <c r="J91" s="531"/>
      <c r="K91" s="531"/>
      <c r="L91" s="531"/>
      <c r="N91" s="530"/>
      <c r="O91" s="530"/>
      <c r="P91" s="530"/>
      <c r="Q91" s="530"/>
      <c r="R91" s="530"/>
      <c r="S91" s="530"/>
      <c r="T91" s="530"/>
      <c r="U91" s="530"/>
      <c r="V91" s="530"/>
      <c r="W91" s="530"/>
      <c r="X91" s="530"/>
      <c r="Y91" s="530"/>
      <c r="Z91" s="530"/>
      <c r="AA91" s="530"/>
      <c r="AC91" s="530"/>
      <c r="AD91" s="530"/>
      <c r="AE91" s="530"/>
      <c r="AF91" s="530"/>
      <c r="AG91" s="530"/>
      <c r="AH91" s="530"/>
      <c r="AI91" s="530"/>
      <c r="AJ91" s="530"/>
      <c r="AK91" s="530"/>
      <c r="AL91" s="530"/>
      <c r="AM91" s="530"/>
    </row>
    <row r="92" spans="8:39" s="419" customFormat="1" ht="15" customHeight="1">
      <c r="H92" s="531"/>
      <c r="I92" s="531"/>
      <c r="J92" s="531"/>
      <c r="K92" s="531"/>
      <c r="L92" s="531"/>
      <c r="N92" s="530"/>
      <c r="O92" s="530"/>
      <c r="P92" s="530"/>
      <c r="Q92" s="530"/>
      <c r="R92" s="530"/>
      <c r="S92" s="530"/>
      <c r="T92" s="530"/>
      <c r="U92" s="530"/>
      <c r="V92" s="530"/>
      <c r="W92" s="530"/>
      <c r="X92" s="530"/>
      <c r="Y92" s="530"/>
      <c r="Z92" s="530"/>
      <c r="AA92" s="530"/>
      <c r="AC92" s="530"/>
      <c r="AD92" s="530"/>
      <c r="AE92" s="530"/>
      <c r="AF92" s="530"/>
      <c r="AG92" s="530"/>
      <c r="AH92" s="530"/>
      <c r="AI92" s="530"/>
      <c r="AJ92" s="530"/>
      <c r="AK92" s="530"/>
      <c r="AL92" s="530"/>
      <c r="AM92" s="530"/>
    </row>
    <row r="93" spans="8:39" s="419" customFormat="1" ht="15" customHeight="1">
      <c r="H93" s="531"/>
      <c r="I93" s="531"/>
      <c r="J93" s="531"/>
      <c r="K93" s="531"/>
      <c r="L93" s="531"/>
      <c r="N93" s="530"/>
      <c r="O93" s="530"/>
      <c r="P93" s="530"/>
      <c r="Q93" s="530"/>
      <c r="R93" s="530"/>
      <c r="S93" s="530"/>
      <c r="T93" s="530"/>
      <c r="U93" s="530"/>
      <c r="V93" s="530"/>
      <c r="W93" s="530"/>
      <c r="X93" s="530"/>
      <c r="Y93" s="530"/>
      <c r="Z93" s="530"/>
      <c r="AA93" s="530"/>
      <c r="AC93" s="530"/>
      <c r="AD93" s="530"/>
      <c r="AE93" s="530"/>
      <c r="AF93" s="530"/>
      <c r="AG93" s="530"/>
      <c r="AH93" s="530"/>
      <c r="AI93" s="530"/>
      <c r="AJ93" s="530"/>
      <c r="AK93" s="530"/>
      <c r="AL93" s="530"/>
      <c r="AM93" s="530"/>
    </row>
    <row r="94" spans="8:39" s="419" customFormat="1" ht="15" customHeight="1">
      <c r="H94" s="531"/>
      <c r="I94" s="531"/>
      <c r="J94" s="531"/>
      <c r="K94" s="531"/>
      <c r="L94" s="531"/>
      <c r="N94" s="530"/>
      <c r="O94" s="530"/>
      <c r="P94" s="530"/>
      <c r="Q94" s="530"/>
      <c r="R94" s="530"/>
      <c r="S94" s="530"/>
      <c r="T94" s="530"/>
      <c r="U94" s="530"/>
      <c r="V94" s="530"/>
      <c r="W94" s="530"/>
      <c r="X94" s="530"/>
      <c r="Y94" s="530"/>
      <c r="Z94" s="530"/>
      <c r="AA94" s="530"/>
      <c r="AC94" s="530"/>
      <c r="AD94" s="530"/>
      <c r="AE94" s="530"/>
      <c r="AF94" s="530"/>
      <c r="AG94" s="530"/>
      <c r="AH94" s="530"/>
      <c r="AI94" s="530"/>
      <c r="AJ94" s="530"/>
      <c r="AK94" s="530"/>
      <c r="AL94" s="530"/>
      <c r="AM94" s="530"/>
    </row>
    <row r="95" spans="8:39" s="419" customFormat="1" ht="15" customHeight="1">
      <c r="H95" s="531"/>
      <c r="I95" s="531"/>
      <c r="J95" s="531"/>
      <c r="K95" s="531"/>
      <c r="L95" s="531"/>
      <c r="N95" s="530"/>
      <c r="O95" s="530"/>
      <c r="P95" s="530"/>
      <c r="Q95" s="530"/>
      <c r="R95" s="530"/>
      <c r="S95" s="530"/>
      <c r="T95" s="530"/>
      <c r="U95" s="530"/>
      <c r="V95" s="530"/>
      <c r="W95" s="530"/>
      <c r="X95" s="530"/>
      <c r="Y95" s="530"/>
      <c r="Z95" s="530"/>
      <c r="AA95" s="530"/>
      <c r="AC95" s="530"/>
      <c r="AD95" s="530"/>
      <c r="AE95" s="530"/>
      <c r="AF95" s="530"/>
      <c r="AG95" s="530"/>
      <c r="AH95" s="530"/>
      <c r="AI95" s="530"/>
      <c r="AJ95" s="530"/>
      <c r="AK95" s="530"/>
      <c r="AL95" s="530"/>
      <c r="AM95" s="530"/>
    </row>
    <row r="96" spans="8:39" s="419" customFormat="1" ht="15" customHeight="1">
      <c r="H96" s="531"/>
      <c r="I96" s="531"/>
      <c r="J96" s="531"/>
      <c r="K96" s="531"/>
      <c r="L96" s="531"/>
      <c r="N96" s="530"/>
      <c r="O96" s="530"/>
      <c r="P96" s="530"/>
      <c r="Q96" s="530"/>
      <c r="R96" s="530"/>
      <c r="S96" s="530"/>
      <c r="T96" s="530"/>
      <c r="U96" s="530"/>
      <c r="V96" s="530"/>
      <c r="W96" s="530"/>
      <c r="X96" s="530"/>
      <c r="Y96" s="530"/>
      <c r="Z96" s="530"/>
      <c r="AA96" s="530"/>
      <c r="AC96" s="530"/>
      <c r="AD96" s="530"/>
      <c r="AE96" s="530"/>
      <c r="AF96" s="530"/>
      <c r="AG96" s="530"/>
      <c r="AH96" s="530"/>
      <c r="AI96" s="530"/>
      <c r="AJ96" s="530"/>
      <c r="AK96" s="530"/>
      <c r="AL96" s="530"/>
      <c r="AM96" s="530"/>
    </row>
    <row r="97" spans="8:39" s="419" customFormat="1" ht="15" customHeight="1">
      <c r="H97" s="531"/>
      <c r="I97" s="531"/>
      <c r="J97" s="531"/>
      <c r="K97" s="531"/>
      <c r="L97" s="531"/>
      <c r="N97" s="530"/>
      <c r="O97" s="530"/>
      <c r="P97" s="530"/>
      <c r="Q97" s="530"/>
      <c r="R97" s="530"/>
      <c r="S97" s="530"/>
      <c r="T97" s="530"/>
      <c r="U97" s="530"/>
      <c r="V97" s="530"/>
      <c r="W97" s="530"/>
      <c r="X97" s="530"/>
      <c r="Y97" s="530"/>
      <c r="Z97" s="530"/>
      <c r="AA97" s="530"/>
      <c r="AC97" s="530"/>
      <c r="AD97" s="530"/>
      <c r="AE97" s="530"/>
      <c r="AF97" s="530"/>
      <c r="AG97" s="530"/>
      <c r="AH97" s="530"/>
      <c r="AI97" s="530"/>
      <c r="AJ97" s="530"/>
      <c r="AK97" s="530"/>
      <c r="AL97" s="530"/>
      <c r="AM97" s="530"/>
    </row>
    <row r="98" spans="8:39" s="419" customFormat="1" ht="15" customHeight="1">
      <c r="H98" s="531"/>
      <c r="I98" s="531"/>
      <c r="J98" s="531"/>
      <c r="K98" s="531"/>
      <c r="L98" s="531"/>
      <c r="N98" s="530"/>
      <c r="O98" s="530"/>
      <c r="P98" s="530"/>
      <c r="Q98" s="530"/>
      <c r="R98" s="530"/>
      <c r="S98" s="530"/>
      <c r="T98" s="530"/>
      <c r="U98" s="530"/>
      <c r="V98" s="530"/>
      <c r="W98" s="530"/>
      <c r="X98" s="530"/>
      <c r="Y98" s="530"/>
      <c r="Z98" s="530"/>
      <c r="AA98" s="530"/>
      <c r="AC98" s="530"/>
      <c r="AD98" s="530"/>
      <c r="AE98" s="530"/>
      <c r="AF98" s="530"/>
      <c r="AG98" s="530"/>
      <c r="AH98" s="530"/>
      <c r="AI98" s="530"/>
      <c r="AJ98" s="530"/>
      <c r="AK98" s="530"/>
      <c r="AL98" s="530"/>
      <c r="AM98" s="530"/>
    </row>
    <row r="99" spans="8:39" s="419" customFormat="1" ht="15" customHeight="1">
      <c r="H99" s="531"/>
      <c r="I99" s="531"/>
      <c r="J99" s="531"/>
      <c r="K99" s="531"/>
      <c r="L99" s="531"/>
      <c r="N99" s="530"/>
      <c r="O99" s="530"/>
      <c r="P99" s="530"/>
      <c r="Q99" s="530"/>
      <c r="R99" s="530"/>
      <c r="S99" s="530"/>
      <c r="T99" s="530"/>
      <c r="U99" s="530"/>
      <c r="V99" s="530"/>
      <c r="W99" s="530"/>
      <c r="X99" s="530"/>
      <c r="Y99" s="530"/>
      <c r="Z99" s="530"/>
      <c r="AA99" s="530"/>
      <c r="AC99" s="530"/>
      <c r="AD99" s="530"/>
      <c r="AE99" s="530"/>
      <c r="AF99" s="530"/>
      <c r="AG99" s="530"/>
      <c r="AH99" s="530"/>
      <c r="AI99" s="530"/>
      <c r="AJ99" s="530"/>
      <c r="AK99" s="530"/>
      <c r="AL99" s="530"/>
      <c r="AM99" s="530"/>
    </row>
    <row r="100" spans="8:39" s="419" customFormat="1" ht="15" customHeight="1">
      <c r="H100" s="531"/>
      <c r="I100" s="531"/>
      <c r="J100" s="531"/>
      <c r="K100" s="531"/>
      <c r="L100" s="531"/>
      <c r="N100" s="530"/>
      <c r="O100" s="530"/>
      <c r="P100" s="530"/>
      <c r="Q100" s="530"/>
      <c r="R100" s="530"/>
      <c r="S100" s="530"/>
      <c r="T100" s="530"/>
      <c r="U100" s="530"/>
      <c r="V100" s="530"/>
      <c r="W100" s="530"/>
      <c r="X100" s="530"/>
      <c r="Y100" s="530"/>
      <c r="Z100" s="530"/>
      <c r="AA100" s="530"/>
      <c r="AC100" s="530"/>
      <c r="AD100" s="530"/>
      <c r="AE100" s="530"/>
      <c r="AF100" s="530"/>
      <c r="AG100" s="530"/>
      <c r="AH100" s="530"/>
      <c r="AI100" s="530"/>
      <c r="AJ100" s="530"/>
      <c r="AK100" s="530"/>
      <c r="AL100" s="530"/>
      <c r="AM100" s="530"/>
    </row>
    <row r="101" spans="8:39" s="419" customFormat="1" ht="15" customHeight="1">
      <c r="H101" s="531"/>
      <c r="I101" s="531"/>
      <c r="J101" s="531"/>
      <c r="K101" s="531"/>
      <c r="L101" s="531"/>
      <c r="N101" s="530"/>
      <c r="O101" s="530"/>
      <c r="P101" s="530"/>
      <c r="Q101" s="530"/>
      <c r="R101" s="530"/>
      <c r="S101" s="530"/>
      <c r="T101" s="530"/>
      <c r="U101" s="530"/>
      <c r="V101" s="530"/>
      <c r="W101" s="530"/>
      <c r="X101" s="530"/>
      <c r="Y101" s="530"/>
      <c r="Z101" s="530"/>
      <c r="AA101" s="530"/>
      <c r="AC101" s="530"/>
      <c r="AD101" s="530"/>
      <c r="AE101" s="530"/>
      <c r="AF101" s="530"/>
      <c r="AG101" s="530"/>
      <c r="AH101" s="530"/>
      <c r="AI101" s="530"/>
      <c r="AJ101" s="530"/>
      <c r="AK101" s="530"/>
      <c r="AL101" s="530"/>
      <c r="AM101" s="530"/>
    </row>
    <row r="102" spans="8:39" s="419" customFormat="1" ht="15" customHeight="1">
      <c r="H102" s="531"/>
      <c r="I102" s="531"/>
      <c r="J102" s="531"/>
      <c r="K102" s="531"/>
      <c r="L102" s="531"/>
      <c r="N102" s="530"/>
      <c r="O102" s="530"/>
      <c r="P102" s="530"/>
      <c r="Q102" s="530"/>
      <c r="R102" s="530"/>
      <c r="S102" s="530"/>
      <c r="T102" s="530"/>
      <c r="U102" s="530"/>
      <c r="V102" s="530"/>
      <c r="W102" s="530"/>
      <c r="X102" s="530"/>
      <c r="Y102" s="530"/>
      <c r="Z102" s="530"/>
      <c r="AA102" s="530"/>
      <c r="AC102" s="530"/>
      <c r="AD102" s="530"/>
      <c r="AE102" s="530"/>
      <c r="AF102" s="530"/>
      <c r="AG102" s="530"/>
      <c r="AH102" s="530"/>
      <c r="AI102" s="530"/>
      <c r="AJ102" s="530"/>
      <c r="AK102" s="530"/>
      <c r="AL102" s="530"/>
      <c r="AM102" s="530"/>
    </row>
    <row r="103" spans="8:39" s="419" customFormat="1" ht="15" customHeight="1">
      <c r="H103" s="531"/>
      <c r="I103" s="531"/>
      <c r="J103" s="531"/>
      <c r="K103" s="531"/>
      <c r="L103" s="531"/>
      <c r="N103" s="530"/>
      <c r="O103" s="530"/>
      <c r="P103" s="530"/>
      <c r="Q103" s="530"/>
      <c r="R103" s="530"/>
      <c r="S103" s="530"/>
      <c r="T103" s="530"/>
      <c r="U103" s="530"/>
      <c r="V103" s="530"/>
      <c r="W103" s="530"/>
      <c r="X103" s="530"/>
      <c r="Y103" s="530"/>
      <c r="Z103" s="530"/>
      <c r="AA103" s="530"/>
      <c r="AC103" s="530"/>
      <c r="AD103" s="530"/>
      <c r="AE103" s="530"/>
      <c r="AF103" s="530"/>
      <c r="AG103" s="530"/>
      <c r="AH103" s="530"/>
      <c r="AI103" s="530"/>
      <c r="AJ103" s="530"/>
      <c r="AK103" s="530"/>
      <c r="AL103" s="530"/>
      <c r="AM103" s="530"/>
    </row>
    <row r="104" spans="8:39" s="419" customFormat="1" ht="15" customHeight="1">
      <c r="H104" s="531"/>
      <c r="I104" s="531"/>
      <c r="J104" s="531"/>
      <c r="K104" s="531"/>
      <c r="L104" s="531"/>
      <c r="N104" s="530"/>
      <c r="O104" s="530"/>
      <c r="P104" s="530"/>
      <c r="Q104" s="530"/>
      <c r="R104" s="530"/>
      <c r="S104" s="530"/>
      <c r="T104" s="530"/>
      <c r="U104" s="530"/>
      <c r="V104" s="530"/>
      <c r="W104" s="530"/>
      <c r="X104" s="530"/>
      <c r="Y104" s="530"/>
      <c r="Z104" s="530"/>
      <c r="AA104" s="530"/>
      <c r="AC104" s="530"/>
      <c r="AD104" s="530"/>
      <c r="AE104" s="530"/>
      <c r="AF104" s="530"/>
      <c r="AG104" s="530"/>
      <c r="AH104" s="530"/>
      <c r="AI104" s="530"/>
      <c r="AJ104" s="530"/>
      <c r="AK104" s="530"/>
      <c r="AL104" s="530"/>
      <c r="AM104" s="530"/>
    </row>
    <row r="105" spans="8:39" s="419" customFormat="1" ht="15" customHeight="1">
      <c r="H105" s="531"/>
      <c r="I105" s="531"/>
      <c r="J105" s="531"/>
      <c r="K105" s="531"/>
      <c r="L105" s="531"/>
      <c r="N105" s="530"/>
      <c r="O105" s="530"/>
      <c r="P105" s="530"/>
      <c r="Q105" s="530"/>
      <c r="R105" s="530"/>
      <c r="S105" s="530"/>
      <c r="T105" s="530"/>
      <c r="U105" s="530"/>
      <c r="V105" s="530"/>
      <c r="W105" s="530"/>
      <c r="X105" s="530"/>
      <c r="Y105" s="530"/>
      <c r="Z105" s="530"/>
      <c r="AA105" s="530"/>
      <c r="AC105" s="530"/>
      <c r="AD105" s="530"/>
      <c r="AE105" s="530"/>
      <c r="AF105" s="530"/>
      <c r="AG105" s="530"/>
      <c r="AH105" s="530"/>
      <c r="AI105" s="530"/>
      <c r="AJ105" s="530"/>
      <c r="AK105" s="530"/>
      <c r="AL105" s="530"/>
      <c r="AM105" s="530"/>
    </row>
    <row r="106" spans="8:39" s="419" customFormat="1" ht="15" customHeight="1">
      <c r="H106" s="531"/>
      <c r="I106" s="531"/>
      <c r="J106" s="531"/>
      <c r="K106" s="531"/>
      <c r="L106" s="531"/>
      <c r="N106" s="530"/>
      <c r="O106" s="530"/>
      <c r="P106" s="530"/>
      <c r="Q106" s="530"/>
      <c r="R106" s="530"/>
      <c r="S106" s="530"/>
      <c r="T106" s="530"/>
      <c r="U106" s="530"/>
      <c r="V106" s="530"/>
      <c r="W106" s="530"/>
      <c r="X106" s="530"/>
      <c r="Y106" s="530"/>
      <c r="Z106" s="530"/>
      <c r="AA106" s="530"/>
      <c r="AC106" s="530"/>
      <c r="AD106" s="530"/>
      <c r="AE106" s="530"/>
      <c r="AF106" s="530"/>
      <c r="AG106" s="530"/>
      <c r="AH106" s="530"/>
      <c r="AI106" s="530"/>
      <c r="AJ106" s="530"/>
      <c r="AK106" s="530"/>
      <c r="AL106" s="530"/>
      <c r="AM106" s="530"/>
    </row>
    <row r="107" spans="8:39" s="419" customFormat="1" ht="15" customHeight="1">
      <c r="H107" s="531"/>
      <c r="I107" s="531"/>
      <c r="J107" s="531"/>
      <c r="K107" s="531"/>
      <c r="L107" s="531"/>
      <c r="N107" s="530"/>
      <c r="O107" s="530"/>
      <c r="P107" s="530"/>
      <c r="Q107" s="530"/>
      <c r="R107" s="530"/>
      <c r="S107" s="530"/>
      <c r="T107" s="530"/>
      <c r="U107" s="530"/>
      <c r="V107" s="530"/>
      <c r="W107" s="530"/>
      <c r="X107" s="530"/>
      <c r="Y107" s="530"/>
      <c r="Z107" s="530"/>
      <c r="AA107" s="530"/>
      <c r="AC107" s="530"/>
      <c r="AD107" s="530"/>
      <c r="AE107" s="530"/>
      <c r="AF107" s="530"/>
      <c r="AG107" s="530"/>
      <c r="AH107" s="530"/>
      <c r="AI107" s="530"/>
      <c r="AJ107" s="530"/>
      <c r="AK107" s="530"/>
      <c r="AL107" s="530"/>
      <c r="AM107" s="530"/>
    </row>
    <row r="108" spans="8:39" s="419" customFormat="1" ht="15" customHeight="1">
      <c r="H108" s="531"/>
      <c r="I108" s="531"/>
      <c r="J108" s="531"/>
      <c r="K108" s="531"/>
      <c r="L108" s="531"/>
      <c r="N108" s="530"/>
      <c r="O108" s="530"/>
      <c r="P108" s="530"/>
      <c r="Q108" s="530"/>
      <c r="R108" s="530"/>
      <c r="S108" s="530"/>
      <c r="T108" s="530"/>
      <c r="U108" s="530"/>
      <c r="V108" s="530"/>
      <c r="W108" s="530"/>
      <c r="X108" s="530"/>
      <c r="Y108" s="530"/>
      <c r="Z108" s="530"/>
      <c r="AA108" s="530"/>
      <c r="AC108" s="530"/>
      <c r="AD108" s="530"/>
      <c r="AE108" s="530"/>
      <c r="AF108" s="530"/>
      <c r="AG108" s="530"/>
      <c r="AH108" s="530"/>
      <c r="AI108" s="530"/>
      <c r="AJ108" s="530"/>
      <c r="AK108" s="530"/>
      <c r="AL108" s="530"/>
      <c r="AM108" s="530"/>
    </row>
    <row r="109" spans="8:39" s="419" customFormat="1" ht="15" customHeight="1">
      <c r="H109" s="531"/>
      <c r="I109" s="531"/>
      <c r="J109" s="531"/>
      <c r="K109" s="531"/>
      <c r="L109" s="531"/>
      <c r="N109" s="530"/>
      <c r="O109" s="530"/>
      <c r="P109" s="530"/>
      <c r="Q109" s="530"/>
      <c r="R109" s="530"/>
      <c r="S109" s="530"/>
      <c r="T109" s="530"/>
      <c r="U109" s="530"/>
      <c r="V109" s="530"/>
      <c r="W109" s="530"/>
      <c r="X109" s="530"/>
      <c r="Y109" s="530"/>
      <c r="Z109" s="530"/>
      <c r="AA109" s="530"/>
      <c r="AC109" s="530"/>
      <c r="AD109" s="530"/>
      <c r="AE109" s="530"/>
      <c r="AF109" s="530"/>
      <c r="AG109" s="530"/>
      <c r="AH109" s="530"/>
      <c r="AI109" s="530"/>
      <c r="AJ109" s="530"/>
      <c r="AK109" s="530"/>
      <c r="AL109" s="530"/>
      <c r="AM109" s="530"/>
    </row>
    <row r="110" spans="8:39" s="419" customFormat="1" ht="15" customHeight="1">
      <c r="H110" s="531"/>
      <c r="I110" s="531"/>
      <c r="J110" s="531"/>
      <c r="K110" s="531"/>
      <c r="L110" s="531"/>
      <c r="N110" s="530"/>
      <c r="O110" s="530"/>
      <c r="P110" s="530"/>
      <c r="Q110" s="530"/>
      <c r="R110" s="530"/>
      <c r="S110" s="530"/>
      <c r="T110" s="530"/>
      <c r="U110" s="530"/>
      <c r="V110" s="530"/>
      <c r="W110" s="530"/>
      <c r="X110" s="530"/>
      <c r="Y110" s="530"/>
      <c r="Z110" s="530"/>
      <c r="AA110" s="530"/>
      <c r="AC110" s="530"/>
      <c r="AD110" s="530"/>
      <c r="AE110" s="530"/>
      <c r="AF110" s="530"/>
      <c r="AG110" s="530"/>
      <c r="AH110" s="530"/>
      <c r="AI110" s="530"/>
      <c r="AJ110" s="530"/>
      <c r="AK110" s="530"/>
      <c r="AL110" s="530"/>
      <c r="AM110" s="530"/>
    </row>
    <row r="111" spans="8:39" s="419" customFormat="1" ht="15" customHeight="1">
      <c r="H111" s="531"/>
      <c r="I111" s="531"/>
      <c r="J111" s="531"/>
      <c r="K111" s="531"/>
      <c r="L111" s="531"/>
      <c r="N111" s="530"/>
      <c r="O111" s="530"/>
      <c r="P111" s="530"/>
      <c r="Q111" s="530"/>
      <c r="R111" s="530"/>
      <c r="S111" s="530"/>
      <c r="T111" s="530"/>
      <c r="U111" s="530"/>
      <c r="V111" s="530"/>
      <c r="W111" s="530"/>
      <c r="X111" s="530"/>
      <c r="Y111" s="530"/>
      <c r="Z111" s="530"/>
      <c r="AA111" s="530"/>
      <c r="AC111" s="530"/>
      <c r="AD111" s="530"/>
      <c r="AE111" s="530"/>
      <c r="AF111" s="530"/>
      <c r="AG111" s="530"/>
      <c r="AH111" s="530"/>
      <c r="AI111" s="530"/>
      <c r="AJ111" s="530"/>
      <c r="AK111" s="530"/>
      <c r="AL111" s="530"/>
      <c r="AM111" s="530"/>
    </row>
    <row r="112" spans="8:39" s="419" customFormat="1" ht="15" customHeight="1">
      <c r="H112" s="531"/>
      <c r="I112" s="531"/>
      <c r="J112" s="531"/>
      <c r="K112" s="531"/>
      <c r="L112" s="531"/>
      <c r="N112" s="530"/>
      <c r="O112" s="530"/>
      <c r="P112" s="530"/>
      <c r="Q112" s="530"/>
      <c r="R112" s="530"/>
      <c r="S112" s="530"/>
      <c r="T112" s="530"/>
      <c r="U112" s="530"/>
      <c r="V112" s="530"/>
      <c r="W112" s="530"/>
      <c r="X112" s="530"/>
      <c r="Y112" s="530"/>
      <c r="Z112" s="530"/>
      <c r="AA112" s="530"/>
      <c r="AC112" s="530"/>
      <c r="AD112" s="530"/>
      <c r="AE112" s="530"/>
      <c r="AF112" s="530"/>
      <c r="AG112" s="530"/>
      <c r="AH112" s="530"/>
      <c r="AI112" s="530"/>
      <c r="AJ112" s="530"/>
      <c r="AK112" s="530"/>
      <c r="AL112" s="530"/>
      <c r="AM112" s="530"/>
    </row>
    <row r="113" spans="8:39" s="419" customFormat="1" ht="15" customHeight="1">
      <c r="H113" s="531"/>
      <c r="I113" s="531"/>
      <c r="J113" s="531"/>
      <c r="K113" s="531"/>
      <c r="L113" s="531"/>
      <c r="N113" s="530"/>
      <c r="O113" s="530"/>
      <c r="P113" s="530"/>
      <c r="Q113" s="530"/>
      <c r="R113" s="530"/>
      <c r="S113" s="530"/>
      <c r="T113" s="530"/>
      <c r="U113" s="530"/>
      <c r="V113" s="530"/>
      <c r="W113" s="530"/>
      <c r="X113" s="530"/>
      <c r="Y113" s="530"/>
      <c r="Z113" s="530"/>
      <c r="AA113" s="530"/>
      <c r="AC113" s="530"/>
      <c r="AD113" s="530"/>
      <c r="AE113" s="530"/>
      <c r="AF113" s="530"/>
      <c r="AG113" s="530"/>
      <c r="AH113" s="530"/>
      <c r="AI113" s="530"/>
      <c r="AJ113" s="530"/>
      <c r="AK113" s="530"/>
      <c r="AL113" s="530"/>
      <c r="AM113" s="530"/>
    </row>
    <row r="114" spans="8:39" s="419" customFormat="1" ht="15" customHeight="1">
      <c r="H114" s="531"/>
      <c r="I114" s="531"/>
      <c r="J114" s="531"/>
      <c r="K114" s="531"/>
      <c r="L114" s="531"/>
      <c r="N114" s="530"/>
      <c r="O114" s="530"/>
      <c r="P114" s="530"/>
      <c r="Q114" s="530"/>
      <c r="R114" s="530"/>
      <c r="S114" s="530"/>
      <c r="T114" s="530"/>
      <c r="U114" s="530"/>
      <c r="V114" s="530"/>
      <c r="W114" s="530"/>
      <c r="X114" s="530"/>
      <c r="Y114" s="530"/>
      <c r="Z114" s="530"/>
      <c r="AA114" s="530"/>
      <c r="AC114" s="530"/>
      <c r="AD114" s="530"/>
      <c r="AE114" s="530"/>
      <c r="AF114" s="530"/>
      <c r="AG114" s="530"/>
      <c r="AH114" s="530"/>
      <c r="AI114" s="530"/>
      <c r="AJ114" s="530"/>
      <c r="AK114" s="530"/>
      <c r="AL114" s="530"/>
      <c r="AM114" s="530"/>
    </row>
    <row r="115" spans="8:39" s="419" customFormat="1" ht="15" customHeight="1">
      <c r="H115" s="531"/>
      <c r="I115" s="531"/>
      <c r="J115" s="531"/>
      <c r="K115" s="531"/>
      <c r="L115" s="531"/>
      <c r="N115" s="530"/>
      <c r="O115" s="530"/>
      <c r="P115" s="530"/>
      <c r="Q115" s="530"/>
      <c r="R115" s="530"/>
      <c r="S115" s="530"/>
      <c r="T115" s="530"/>
      <c r="U115" s="530"/>
      <c r="V115" s="530"/>
      <c r="W115" s="530"/>
      <c r="X115" s="530"/>
      <c r="Y115" s="530"/>
      <c r="Z115" s="530"/>
      <c r="AA115" s="530"/>
      <c r="AC115" s="530"/>
      <c r="AD115" s="530"/>
      <c r="AE115" s="530"/>
      <c r="AF115" s="530"/>
      <c r="AG115" s="530"/>
      <c r="AH115" s="530"/>
      <c r="AI115" s="530"/>
      <c r="AJ115" s="530"/>
      <c r="AK115" s="530"/>
      <c r="AL115" s="530"/>
      <c r="AM115" s="530"/>
    </row>
    <row r="116" spans="8:39" s="419" customFormat="1" ht="15" customHeight="1">
      <c r="H116" s="531"/>
      <c r="I116" s="531"/>
      <c r="J116" s="531"/>
      <c r="K116" s="531"/>
      <c r="L116" s="531"/>
      <c r="N116" s="530"/>
      <c r="O116" s="530"/>
      <c r="P116" s="530"/>
      <c r="Q116" s="530"/>
      <c r="R116" s="530"/>
      <c r="S116" s="530"/>
      <c r="T116" s="530"/>
      <c r="U116" s="530"/>
      <c r="V116" s="530"/>
      <c r="W116" s="530"/>
      <c r="X116" s="530"/>
      <c r="Y116" s="530"/>
      <c r="Z116" s="530"/>
      <c r="AA116" s="530"/>
      <c r="AC116" s="530"/>
      <c r="AD116" s="530"/>
      <c r="AE116" s="530"/>
      <c r="AF116" s="530"/>
      <c r="AG116" s="530"/>
      <c r="AH116" s="530"/>
      <c r="AI116" s="530"/>
      <c r="AJ116" s="530"/>
      <c r="AK116" s="530"/>
      <c r="AL116" s="530"/>
      <c r="AM116" s="530"/>
    </row>
    <row r="117" spans="8:39" s="419" customFormat="1" ht="15" customHeight="1">
      <c r="H117" s="531"/>
      <c r="I117" s="531"/>
      <c r="J117" s="531"/>
      <c r="K117" s="531"/>
      <c r="L117" s="531"/>
      <c r="N117" s="530"/>
      <c r="O117" s="530"/>
      <c r="P117" s="530"/>
      <c r="Q117" s="530"/>
      <c r="R117" s="530"/>
      <c r="S117" s="530"/>
      <c r="T117" s="530"/>
      <c r="U117" s="530"/>
      <c r="V117" s="530"/>
      <c r="W117" s="530"/>
      <c r="X117" s="530"/>
      <c r="Y117" s="530"/>
      <c r="Z117" s="530"/>
      <c r="AA117" s="530"/>
      <c r="AC117" s="530"/>
      <c r="AD117" s="530"/>
      <c r="AE117" s="530"/>
      <c r="AF117" s="530"/>
      <c r="AG117" s="530"/>
      <c r="AH117" s="530"/>
      <c r="AI117" s="530"/>
      <c r="AJ117" s="530"/>
      <c r="AK117" s="530"/>
      <c r="AL117" s="530"/>
      <c r="AM117" s="530"/>
    </row>
    <row r="118" spans="8:39" s="419" customFormat="1" ht="15" customHeight="1">
      <c r="H118" s="531"/>
      <c r="I118" s="531"/>
      <c r="J118" s="531"/>
      <c r="K118" s="531"/>
      <c r="L118" s="531"/>
      <c r="N118" s="530"/>
      <c r="O118" s="530"/>
      <c r="P118" s="530"/>
      <c r="Q118" s="530"/>
      <c r="R118" s="530"/>
      <c r="S118" s="530"/>
      <c r="T118" s="530"/>
      <c r="U118" s="530"/>
      <c r="V118" s="530"/>
      <c r="W118" s="530"/>
      <c r="X118" s="530"/>
      <c r="Y118" s="530"/>
      <c r="Z118" s="530"/>
      <c r="AA118" s="530"/>
      <c r="AC118" s="530"/>
      <c r="AD118" s="530"/>
      <c r="AE118" s="530"/>
      <c r="AF118" s="530"/>
      <c r="AG118" s="530"/>
      <c r="AH118" s="530"/>
      <c r="AI118" s="530"/>
      <c r="AJ118" s="530"/>
      <c r="AK118" s="530"/>
      <c r="AL118" s="530"/>
      <c r="AM118" s="530"/>
    </row>
    <row r="119" spans="8:39" s="419" customFormat="1" ht="15" customHeight="1">
      <c r="H119" s="531"/>
      <c r="I119" s="531"/>
      <c r="J119" s="531"/>
      <c r="K119" s="531"/>
      <c r="L119" s="531"/>
      <c r="N119" s="530"/>
      <c r="O119" s="530"/>
      <c r="P119" s="530"/>
      <c r="Q119" s="530"/>
      <c r="R119" s="530"/>
      <c r="S119" s="530"/>
      <c r="T119" s="530"/>
      <c r="U119" s="530"/>
      <c r="V119" s="530"/>
      <c r="W119" s="530"/>
      <c r="X119" s="530"/>
      <c r="Y119" s="530"/>
      <c r="Z119" s="530"/>
      <c r="AA119" s="530"/>
      <c r="AC119" s="530"/>
      <c r="AD119" s="530"/>
      <c r="AE119" s="530"/>
      <c r="AF119" s="530"/>
      <c r="AG119" s="530"/>
      <c r="AH119" s="530"/>
      <c r="AI119" s="530"/>
      <c r="AJ119" s="530"/>
      <c r="AK119" s="530"/>
      <c r="AL119" s="530"/>
      <c r="AM119" s="530"/>
    </row>
    <row r="120" spans="8:39" s="419" customFormat="1" ht="15" customHeight="1">
      <c r="H120" s="531"/>
      <c r="I120" s="531"/>
      <c r="J120" s="531"/>
      <c r="K120" s="531"/>
      <c r="L120" s="531"/>
      <c r="N120" s="530"/>
      <c r="O120" s="530"/>
      <c r="P120" s="530"/>
      <c r="Q120" s="530"/>
      <c r="R120" s="530"/>
      <c r="S120" s="530"/>
      <c r="T120" s="530"/>
      <c r="U120" s="530"/>
      <c r="V120" s="530"/>
      <c r="W120" s="530"/>
      <c r="X120" s="530"/>
      <c r="Y120" s="530"/>
      <c r="Z120" s="530"/>
      <c r="AA120" s="530"/>
      <c r="AC120" s="530"/>
      <c r="AD120" s="530"/>
      <c r="AE120" s="530"/>
      <c r="AF120" s="530"/>
      <c r="AG120" s="530"/>
      <c r="AH120" s="530"/>
      <c r="AI120" s="530"/>
      <c r="AJ120" s="530"/>
      <c r="AK120" s="530"/>
      <c r="AL120" s="530"/>
      <c r="AM120" s="530"/>
    </row>
    <row r="121" spans="8:39" s="419" customFormat="1" ht="15" customHeight="1">
      <c r="H121" s="531"/>
      <c r="I121" s="531"/>
      <c r="J121" s="531"/>
      <c r="K121" s="531"/>
      <c r="L121" s="531"/>
      <c r="N121" s="530"/>
      <c r="O121" s="530"/>
      <c r="P121" s="530"/>
      <c r="Q121" s="530"/>
      <c r="R121" s="530"/>
      <c r="S121" s="530"/>
      <c r="T121" s="530"/>
      <c r="U121" s="530"/>
      <c r="V121" s="530"/>
      <c r="W121" s="530"/>
      <c r="X121" s="530"/>
      <c r="Y121" s="530"/>
      <c r="Z121" s="530"/>
      <c r="AA121" s="530"/>
      <c r="AC121" s="530"/>
      <c r="AD121" s="530"/>
      <c r="AE121" s="530"/>
      <c r="AF121" s="530"/>
      <c r="AG121" s="530"/>
      <c r="AH121" s="530"/>
      <c r="AI121" s="530"/>
      <c r="AJ121" s="530"/>
      <c r="AK121" s="530"/>
      <c r="AL121" s="530"/>
      <c r="AM121" s="530"/>
    </row>
    <row r="122" spans="8:39" s="419" customFormat="1" ht="15" customHeight="1">
      <c r="H122" s="531"/>
      <c r="I122" s="531"/>
      <c r="J122" s="531"/>
      <c r="K122" s="531"/>
      <c r="L122" s="531"/>
      <c r="N122" s="530"/>
      <c r="O122" s="530"/>
      <c r="P122" s="530"/>
      <c r="Q122" s="530"/>
      <c r="R122" s="530"/>
      <c r="S122" s="530"/>
      <c r="T122" s="530"/>
      <c r="U122" s="530"/>
      <c r="V122" s="530"/>
      <c r="W122" s="530"/>
      <c r="X122" s="530"/>
      <c r="Y122" s="530"/>
      <c r="Z122" s="530"/>
      <c r="AA122" s="530"/>
      <c r="AC122" s="530"/>
      <c r="AD122" s="530"/>
      <c r="AE122" s="530"/>
      <c r="AF122" s="530"/>
      <c r="AG122" s="530"/>
      <c r="AH122" s="530"/>
      <c r="AI122" s="530"/>
      <c r="AJ122" s="530"/>
      <c r="AK122" s="530"/>
      <c r="AL122" s="530"/>
      <c r="AM122" s="530"/>
    </row>
    <row r="123" spans="8:39" s="419" customFormat="1" ht="15" customHeight="1">
      <c r="H123" s="531"/>
      <c r="I123" s="531"/>
      <c r="J123" s="531"/>
      <c r="K123" s="531"/>
      <c r="L123" s="531"/>
      <c r="N123" s="530"/>
      <c r="O123" s="530"/>
      <c r="P123" s="530"/>
      <c r="Q123" s="530"/>
      <c r="R123" s="530"/>
      <c r="S123" s="530"/>
      <c r="T123" s="530"/>
      <c r="U123" s="530"/>
      <c r="V123" s="530"/>
      <c r="W123" s="530"/>
      <c r="X123" s="530"/>
      <c r="Y123" s="530"/>
      <c r="Z123" s="530"/>
      <c r="AA123" s="530"/>
      <c r="AC123" s="530"/>
      <c r="AD123" s="530"/>
      <c r="AE123" s="530"/>
      <c r="AF123" s="530"/>
      <c r="AG123" s="530"/>
      <c r="AH123" s="530"/>
      <c r="AI123" s="530"/>
      <c r="AJ123" s="530"/>
      <c r="AK123" s="530"/>
      <c r="AL123" s="530"/>
      <c r="AM123" s="530"/>
    </row>
    <row r="124" spans="8:39" s="419" customFormat="1" ht="15" customHeight="1">
      <c r="H124" s="531"/>
      <c r="I124" s="531"/>
      <c r="J124" s="531"/>
      <c r="K124" s="531"/>
      <c r="L124" s="531"/>
      <c r="N124" s="530"/>
      <c r="O124" s="530"/>
      <c r="P124" s="530"/>
      <c r="Q124" s="530"/>
      <c r="R124" s="530"/>
      <c r="S124" s="530"/>
      <c r="T124" s="530"/>
      <c r="U124" s="530"/>
      <c r="V124" s="530"/>
      <c r="W124" s="530"/>
      <c r="X124" s="530"/>
      <c r="Y124" s="530"/>
      <c r="Z124" s="530"/>
      <c r="AA124" s="530"/>
      <c r="AC124" s="530"/>
      <c r="AD124" s="530"/>
      <c r="AE124" s="530"/>
      <c r="AF124" s="530"/>
      <c r="AG124" s="530"/>
      <c r="AH124" s="530"/>
      <c r="AI124" s="530"/>
      <c r="AJ124" s="530"/>
      <c r="AK124" s="530"/>
      <c r="AL124" s="530"/>
      <c r="AM124" s="530"/>
    </row>
    <row r="125" spans="8:39" s="419" customFormat="1" ht="15" customHeight="1">
      <c r="H125" s="531"/>
      <c r="I125" s="531"/>
      <c r="J125" s="531"/>
      <c r="K125" s="531"/>
      <c r="L125" s="531"/>
      <c r="N125" s="530"/>
      <c r="O125" s="530"/>
      <c r="P125" s="530"/>
      <c r="Q125" s="530"/>
      <c r="R125" s="530"/>
      <c r="S125" s="530"/>
      <c r="T125" s="530"/>
      <c r="U125" s="530"/>
      <c r="V125" s="530"/>
      <c r="W125" s="530"/>
      <c r="X125" s="530"/>
      <c r="Y125" s="530"/>
      <c r="Z125" s="530"/>
      <c r="AA125" s="530"/>
      <c r="AC125" s="530"/>
      <c r="AD125" s="530"/>
      <c r="AE125" s="530"/>
      <c r="AF125" s="530"/>
      <c r="AG125" s="530"/>
      <c r="AH125" s="530"/>
      <c r="AI125" s="530"/>
      <c r="AJ125" s="530"/>
      <c r="AK125" s="530"/>
      <c r="AL125" s="530"/>
      <c r="AM125" s="530"/>
    </row>
    <row r="126" spans="8:39" s="419" customFormat="1" ht="15" customHeight="1">
      <c r="H126" s="531"/>
      <c r="I126" s="531"/>
      <c r="J126" s="531"/>
      <c r="K126" s="531"/>
      <c r="L126" s="531"/>
      <c r="N126" s="530"/>
      <c r="O126" s="530"/>
      <c r="P126" s="530"/>
      <c r="Q126" s="530"/>
      <c r="R126" s="530"/>
      <c r="S126" s="530"/>
      <c r="T126" s="530"/>
      <c r="U126" s="530"/>
      <c r="V126" s="530"/>
      <c r="W126" s="530"/>
      <c r="X126" s="530"/>
      <c r="Y126" s="530"/>
      <c r="Z126" s="530"/>
      <c r="AA126" s="530"/>
      <c r="AC126" s="530"/>
      <c r="AD126" s="530"/>
      <c r="AE126" s="530"/>
      <c r="AF126" s="530"/>
      <c r="AG126" s="530"/>
      <c r="AH126" s="530"/>
      <c r="AI126" s="530"/>
      <c r="AJ126" s="530"/>
      <c r="AK126" s="530"/>
      <c r="AL126" s="530"/>
      <c r="AM126" s="530"/>
    </row>
    <row r="127" spans="8:39" s="419" customFormat="1" ht="15" customHeight="1">
      <c r="H127" s="531"/>
      <c r="I127" s="531"/>
      <c r="J127" s="531"/>
      <c r="K127" s="531"/>
      <c r="L127" s="531"/>
      <c r="N127" s="530"/>
      <c r="O127" s="530"/>
      <c r="P127" s="530"/>
      <c r="Q127" s="530"/>
      <c r="R127" s="530"/>
      <c r="S127" s="530"/>
      <c r="T127" s="530"/>
      <c r="U127" s="530"/>
      <c r="V127" s="530"/>
      <c r="W127" s="530"/>
      <c r="X127" s="530"/>
      <c r="Y127" s="530"/>
      <c r="Z127" s="530"/>
      <c r="AA127" s="530"/>
      <c r="AC127" s="530"/>
      <c r="AD127" s="530"/>
      <c r="AE127" s="530"/>
      <c r="AF127" s="530"/>
      <c r="AG127" s="530"/>
      <c r="AH127" s="530"/>
      <c r="AI127" s="530"/>
      <c r="AJ127" s="530"/>
      <c r="AK127" s="530"/>
      <c r="AL127" s="530"/>
      <c r="AM127" s="530"/>
    </row>
    <row r="128" spans="8:39" s="419" customFormat="1" ht="15" customHeight="1">
      <c r="H128" s="531"/>
      <c r="I128" s="531"/>
      <c r="J128" s="531"/>
      <c r="K128" s="531"/>
      <c r="L128" s="531"/>
      <c r="N128" s="530"/>
      <c r="O128" s="530"/>
      <c r="P128" s="530"/>
      <c r="Q128" s="530"/>
      <c r="R128" s="530"/>
      <c r="S128" s="530"/>
      <c r="T128" s="530"/>
      <c r="U128" s="530"/>
      <c r="V128" s="530"/>
      <c r="W128" s="530"/>
      <c r="X128" s="530"/>
      <c r="Y128" s="530"/>
      <c r="Z128" s="530"/>
      <c r="AA128" s="530"/>
      <c r="AC128" s="530"/>
      <c r="AD128" s="530"/>
      <c r="AE128" s="530"/>
      <c r="AF128" s="530"/>
      <c r="AG128" s="530"/>
      <c r="AH128" s="530"/>
      <c r="AI128" s="530"/>
      <c r="AJ128" s="530"/>
      <c r="AK128" s="530"/>
      <c r="AL128" s="530"/>
      <c r="AM128" s="530"/>
    </row>
    <row r="129" spans="8:39" s="419" customFormat="1" ht="15" customHeight="1">
      <c r="H129" s="531"/>
      <c r="I129" s="531"/>
      <c r="J129" s="531"/>
      <c r="K129" s="531"/>
      <c r="L129" s="531"/>
      <c r="N129" s="530"/>
      <c r="O129" s="530"/>
      <c r="P129" s="530"/>
      <c r="Q129" s="530"/>
      <c r="R129" s="530"/>
      <c r="S129" s="530"/>
      <c r="T129" s="530"/>
      <c r="U129" s="530"/>
      <c r="V129" s="530"/>
      <c r="W129" s="530"/>
      <c r="X129" s="530"/>
      <c r="Y129" s="530"/>
      <c r="Z129" s="530"/>
      <c r="AA129" s="530"/>
      <c r="AC129" s="530"/>
      <c r="AD129" s="530"/>
      <c r="AE129" s="530"/>
      <c r="AF129" s="530"/>
      <c r="AG129" s="530"/>
      <c r="AH129" s="530"/>
      <c r="AI129" s="530"/>
      <c r="AJ129" s="530"/>
      <c r="AK129" s="530"/>
      <c r="AL129" s="530"/>
      <c r="AM129" s="530"/>
    </row>
    <row r="130" spans="8:39" s="419" customFormat="1" ht="15" customHeight="1">
      <c r="H130" s="531"/>
      <c r="I130" s="531"/>
      <c r="J130" s="531"/>
      <c r="K130" s="531"/>
      <c r="L130" s="531"/>
      <c r="N130" s="530"/>
      <c r="O130" s="530"/>
      <c r="P130" s="530"/>
      <c r="Q130" s="530"/>
      <c r="R130" s="530"/>
      <c r="S130" s="530"/>
      <c r="T130" s="530"/>
      <c r="U130" s="530"/>
      <c r="V130" s="530"/>
      <c r="W130" s="530"/>
      <c r="X130" s="530"/>
      <c r="Y130" s="530"/>
      <c r="Z130" s="530"/>
      <c r="AA130" s="530"/>
      <c r="AC130" s="530"/>
      <c r="AD130" s="530"/>
      <c r="AE130" s="530"/>
      <c r="AF130" s="530"/>
      <c r="AG130" s="530"/>
      <c r="AH130" s="530"/>
      <c r="AI130" s="530"/>
      <c r="AJ130" s="530"/>
      <c r="AK130" s="530"/>
      <c r="AL130" s="530"/>
      <c r="AM130" s="530"/>
    </row>
    <row r="131" spans="8:39" s="419" customFormat="1" ht="15" customHeight="1">
      <c r="H131" s="531"/>
      <c r="I131" s="531"/>
      <c r="J131" s="531"/>
      <c r="K131" s="531"/>
      <c r="L131" s="531"/>
      <c r="N131" s="530"/>
      <c r="O131" s="530"/>
      <c r="P131" s="530"/>
      <c r="Q131" s="530"/>
      <c r="R131" s="530"/>
      <c r="S131" s="530"/>
      <c r="T131" s="530"/>
      <c r="U131" s="530"/>
      <c r="V131" s="530"/>
      <c r="W131" s="530"/>
      <c r="X131" s="530"/>
      <c r="Y131" s="530"/>
      <c r="Z131" s="530"/>
      <c r="AA131" s="530"/>
      <c r="AC131" s="530"/>
      <c r="AD131" s="530"/>
      <c r="AE131" s="530"/>
      <c r="AF131" s="530"/>
      <c r="AG131" s="530"/>
      <c r="AH131" s="530"/>
      <c r="AI131" s="530"/>
      <c r="AJ131" s="530"/>
      <c r="AK131" s="530"/>
      <c r="AL131" s="530"/>
      <c r="AM131" s="530"/>
    </row>
    <row r="132" spans="8:39" s="419" customFormat="1" ht="15" customHeight="1">
      <c r="H132" s="531"/>
      <c r="I132" s="531"/>
      <c r="J132" s="531"/>
      <c r="K132" s="531"/>
      <c r="L132" s="531"/>
      <c r="N132" s="530"/>
      <c r="O132" s="530"/>
      <c r="P132" s="530"/>
      <c r="Q132" s="530"/>
      <c r="R132" s="530"/>
      <c r="S132" s="530"/>
      <c r="T132" s="530"/>
      <c r="U132" s="530"/>
      <c r="V132" s="530"/>
      <c r="W132" s="530"/>
      <c r="X132" s="530"/>
      <c r="Y132" s="530"/>
      <c r="Z132" s="530"/>
      <c r="AA132" s="530"/>
      <c r="AC132" s="530"/>
      <c r="AD132" s="530"/>
      <c r="AE132" s="530"/>
      <c r="AF132" s="530"/>
      <c r="AG132" s="530"/>
      <c r="AH132" s="530"/>
      <c r="AI132" s="530"/>
      <c r="AJ132" s="530"/>
      <c r="AK132" s="530"/>
      <c r="AL132" s="530"/>
      <c r="AM132" s="530"/>
    </row>
    <row r="133" spans="8:39" s="419" customFormat="1" ht="15" customHeight="1">
      <c r="H133" s="531"/>
      <c r="I133" s="531"/>
      <c r="J133" s="531"/>
      <c r="K133" s="531"/>
      <c r="L133" s="531"/>
      <c r="N133" s="530"/>
      <c r="O133" s="530"/>
      <c r="P133" s="530"/>
      <c r="Q133" s="530"/>
      <c r="R133" s="530"/>
      <c r="S133" s="530"/>
      <c r="T133" s="530"/>
      <c r="U133" s="530"/>
      <c r="V133" s="530"/>
      <c r="W133" s="530"/>
      <c r="X133" s="530"/>
      <c r="Y133" s="530"/>
      <c r="Z133" s="530"/>
      <c r="AA133" s="530"/>
      <c r="AC133" s="530"/>
      <c r="AD133" s="530"/>
      <c r="AE133" s="530"/>
      <c r="AF133" s="530"/>
      <c r="AG133" s="530"/>
      <c r="AH133" s="530"/>
      <c r="AI133" s="530"/>
      <c r="AJ133" s="530"/>
      <c r="AK133" s="530"/>
      <c r="AL133" s="530"/>
      <c r="AM133" s="530"/>
    </row>
    <row r="134" spans="8:39" s="419" customFormat="1" ht="15" customHeight="1">
      <c r="H134" s="531"/>
      <c r="I134" s="531"/>
      <c r="J134" s="531"/>
      <c r="K134" s="531"/>
      <c r="L134" s="531"/>
      <c r="N134" s="530"/>
      <c r="O134" s="530"/>
      <c r="P134" s="530"/>
      <c r="Q134" s="530"/>
      <c r="R134" s="530"/>
      <c r="S134" s="530"/>
      <c r="T134" s="530"/>
      <c r="U134" s="530"/>
      <c r="V134" s="530"/>
      <c r="W134" s="530"/>
      <c r="X134" s="530"/>
      <c r="Y134" s="530"/>
      <c r="Z134" s="530"/>
      <c r="AA134" s="530"/>
      <c r="AC134" s="530"/>
      <c r="AD134" s="530"/>
      <c r="AE134" s="530"/>
      <c r="AF134" s="530"/>
      <c r="AG134" s="530"/>
      <c r="AH134" s="530"/>
      <c r="AI134" s="530"/>
      <c r="AJ134" s="530"/>
      <c r="AK134" s="530"/>
      <c r="AL134" s="530"/>
      <c r="AM134" s="530"/>
    </row>
    <row r="135" spans="8:39" s="419" customFormat="1" ht="15" customHeight="1">
      <c r="H135" s="531"/>
      <c r="I135" s="531"/>
      <c r="J135" s="531"/>
      <c r="K135" s="531"/>
      <c r="L135" s="531"/>
      <c r="N135" s="530"/>
      <c r="O135" s="530"/>
      <c r="P135" s="530"/>
      <c r="Q135" s="530"/>
      <c r="R135" s="530"/>
      <c r="S135" s="530"/>
      <c r="T135" s="530"/>
      <c r="U135" s="530"/>
      <c r="V135" s="530"/>
      <c r="W135" s="530"/>
      <c r="X135" s="530"/>
      <c r="Y135" s="530"/>
      <c r="Z135" s="530"/>
      <c r="AA135" s="530"/>
      <c r="AC135" s="530"/>
      <c r="AD135" s="530"/>
      <c r="AE135" s="530"/>
      <c r="AF135" s="530"/>
      <c r="AG135" s="530"/>
      <c r="AH135" s="530"/>
      <c r="AI135" s="530"/>
      <c r="AJ135" s="530"/>
      <c r="AK135" s="530"/>
      <c r="AL135" s="530"/>
      <c r="AM135" s="530"/>
    </row>
    <row r="136" spans="8:39" s="419" customFormat="1" ht="15" customHeight="1">
      <c r="H136" s="531"/>
      <c r="I136" s="531"/>
      <c r="J136" s="531"/>
      <c r="K136" s="531"/>
      <c r="L136" s="531"/>
      <c r="N136" s="530"/>
      <c r="O136" s="530"/>
      <c r="P136" s="530"/>
      <c r="Q136" s="530"/>
      <c r="R136" s="530"/>
      <c r="S136" s="530"/>
      <c r="T136" s="530"/>
      <c r="U136" s="530"/>
      <c r="V136" s="530"/>
      <c r="W136" s="530"/>
      <c r="X136" s="530"/>
      <c r="Y136" s="530"/>
      <c r="Z136" s="530"/>
      <c r="AA136" s="530"/>
      <c r="AC136" s="530"/>
      <c r="AD136" s="530"/>
      <c r="AE136" s="530"/>
      <c r="AF136" s="530"/>
      <c r="AG136" s="530"/>
      <c r="AH136" s="530"/>
      <c r="AI136" s="530"/>
      <c r="AJ136" s="530"/>
      <c r="AK136" s="530"/>
      <c r="AL136" s="530"/>
      <c r="AM136" s="530"/>
    </row>
    <row r="137" spans="8:39" s="419" customFormat="1" ht="15" customHeight="1">
      <c r="H137" s="531"/>
      <c r="I137" s="531"/>
      <c r="J137" s="531"/>
      <c r="K137" s="531"/>
      <c r="L137" s="531"/>
      <c r="N137" s="530"/>
      <c r="O137" s="530"/>
      <c r="P137" s="530"/>
      <c r="Q137" s="530"/>
      <c r="R137" s="530"/>
      <c r="S137" s="530"/>
      <c r="T137" s="530"/>
      <c r="U137" s="530"/>
      <c r="V137" s="530"/>
      <c r="W137" s="530"/>
      <c r="X137" s="530"/>
      <c r="Y137" s="530"/>
      <c r="Z137" s="530"/>
      <c r="AA137" s="530"/>
      <c r="AC137" s="530"/>
      <c r="AD137" s="530"/>
      <c r="AE137" s="530"/>
      <c r="AF137" s="530"/>
      <c r="AG137" s="530"/>
      <c r="AH137" s="530"/>
      <c r="AI137" s="530"/>
      <c r="AJ137" s="530"/>
      <c r="AK137" s="530"/>
      <c r="AL137" s="530"/>
      <c r="AM137" s="530"/>
    </row>
    <row r="138" spans="8:39" s="419" customFormat="1" ht="15" customHeight="1">
      <c r="H138" s="531"/>
      <c r="I138" s="531"/>
      <c r="J138" s="531"/>
      <c r="K138" s="531"/>
      <c r="L138" s="531"/>
      <c r="N138" s="530"/>
      <c r="O138" s="530"/>
      <c r="P138" s="530"/>
      <c r="Q138" s="530"/>
      <c r="R138" s="530"/>
      <c r="S138" s="530"/>
      <c r="T138" s="530"/>
      <c r="U138" s="530"/>
      <c r="V138" s="530"/>
      <c r="W138" s="530"/>
      <c r="X138" s="530"/>
      <c r="Y138" s="530"/>
      <c r="Z138" s="530"/>
      <c r="AA138" s="530"/>
      <c r="AC138" s="530"/>
      <c r="AD138" s="530"/>
      <c r="AE138" s="530"/>
      <c r="AF138" s="530"/>
      <c r="AG138" s="530"/>
      <c r="AH138" s="530"/>
      <c r="AI138" s="530"/>
      <c r="AJ138" s="530"/>
      <c r="AK138" s="530"/>
      <c r="AL138" s="530"/>
      <c r="AM138" s="530"/>
    </row>
    <row r="139" spans="8:39" s="419" customFormat="1" ht="15" customHeight="1">
      <c r="H139" s="531"/>
      <c r="I139" s="531"/>
      <c r="J139" s="531"/>
      <c r="K139" s="531"/>
      <c r="L139" s="531"/>
      <c r="N139" s="530"/>
      <c r="O139" s="530"/>
      <c r="P139" s="530"/>
      <c r="Q139" s="530"/>
      <c r="R139" s="530"/>
      <c r="S139" s="530"/>
      <c r="T139" s="530"/>
      <c r="U139" s="530"/>
      <c r="V139" s="530"/>
      <c r="W139" s="530"/>
      <c r="X139" s="530"/>
      <c r="Y139" s="530"/>
      <c r="Z139" s="530"/>
      <c r="AA139" s="530"/>
      <c r="AC139" s="530"/>
      <c r="AD139" s="530"/>
      <c r="AE139" s="530"/>
      <c r="AF139" s="530"/>
      <c r="AG139" s="530"/>
      <c r="AH139" s="530"/>
      <c r="AI139" s="530"/>
      <c r="AJ139" s="530"/>
      <c r="AK139" s="530"/>
      <c r="AL139" s="530"/>
      <c r="AM139" s="530"/>
    </row>
    <row r="140" spans="8:39" s="419" customFormat="1" ht="15" customHeight="1">
      <c r="H140" s="531"/>
      <c r="I140" s="531"/>
      <c r="J140" s="531"/>
      <c r="K140" s="531"/>
      <c r="L140" s="531"/>
      <c r="N140" s="530"/>
      <c r="O140" s="530"/>
      <c r="P140" s="530"/>
      <c r="Q140" s="530"/>
      <c r="R140" s="530"/>
      <c r="S140" s="530"/>
      <c r="T140" s="530"/>
      <c r="U140" s="530"/>
      <c r="V140" s="530"/>
      <c r="W140" s="530"/>
      <c r="X140" s="530"/>
      <c r="Y140" s="530"/>
      <c r="Z140" s="530"/>
      <c r="AA140" s="530"/>
      <c r="AC140" s="530"/>
      <c r="AD140" s="530"/>
      <c r="AE140" s="530"/>
      <c r="AF140" s="530"/>
      <c r="AG140" s="530"/>
      <c r="AH140" s="530"/>
      <c r="AI140" s="530"/>
      <c r="AJ140" s="530"/>
      <c r="AK140" s="530"/>
      <c r="AL140" s="530"/>
      <c r="AM140" s="530"/>
    </row>
    <row r="141" spans="8:39" s="419" customFormat="1" ht="15" customHeight="1">
      <c r="H141" s="531"/>
      <c r="I141" s="531"/>
      <c r="J141" s="531"/>
      <c r="K141" s="531"/>
      <c r="L141" s="531"/>
      <c r="N141" s="530"/>
      <c r="O141" s="530"/>
      <c r="P141" s="530"/>
      <c r="Q141" s="530"/>
      <c r="R141" s="530"/>
      <c r="S141" s="530"/>
      <c r="T141" s="530"/>
      <c r="U141" s="530"/>
      <c r="V141" s="530"/>
      <c r="W141" s="530"/>
      <c r="X141" s="530"/>
      <c r="Y141" s="530"/>
      <c r="Z141" s="530"/>
      <c r="AA141" s="530"/>
      <c r="AC141" s="530"/>
      <c r="AD141" s="530"/>
      <c r="AE141" s="530"/>
      <c r="AF141" s="530"/>
      <c r="AG141" s="530"/>
      <c r="AH141" s="530"/>
      <c r="AI141" s="530"/>
      <c r="AJ141" s="530"/>
      <c r="AK141" s="530"/>
      <c r="AL141" s="530"/>
      <c r="AM141" s="530"/>
    </row>
    <row r="142" spans="8:39" s="419" customFormat="1" ht="15" customHeight="1">
      <c r="H142" s="531"/>
      <c r="I142" s="531"/>
      <c r="J142" s="531"/>
      <c r="K142" s="531"/>
      <c r="L142" s="531"/>
      <c r="N142" s="530"/>
      <c r="O142" s="530"/>
      <c r="P142" s="530"/>
      <c r="Q142" s="530"/>
      <c r="R142" s="530"/>
      <c r="S142" s="530"/>
      <c r="T142" s="530"/>
      <c r="U142" s="530"/>
      <c r="V142" s="530"/>
      <c r="W142" s="530"/>
      <c r="X142" s="530"/>
      <c r="Y142" s="530"/>
      <c r="Z142" s="530"/>
      <c r="AA142" s="530"/>
      <c r="AC142" s="530"/>
      <c r="AD142" s="530"/>
      <c r="AE142" s="530"/>
      <c r="AF142" s="530"/>
      <c r="AG142" s="530"/>
      <c r="AH142" s="530"/>
      <c r="AI142" s="530"/>
      <c r="AJ142" s="530"/>
      <c r="AK142" s="530"/>
      <c r="AL142" s="530"/>
      <c r="AM142" s="530"/>
    </row>
    <row r="143" spans="8:39" s="419" customFormat="1" ht="15" customHeight="1">
      <c r="H143" s="531"/>
      <c r="I143" s="531"/>
      <c r="J143" s="531"/>
      <c r="K143" s="531"/>
      <c r="L143" s="531"/>
      <c r="N143" s="530"/>
      <c r="O143" s="530"/>
      <c r="P143" s="530"/>
      <c r="Q143" s="530"/>
      <c r="R143" s="530"/>
      <c r="S143" s="530"/>
      <c r="T143" s="530"/>
      <c r="U143" s="530"/>
      <c r="V143" s="530"/>
      <c r="W143" s="530"/>
      <c r="X143" s="530"/>
      <c r="Y143" s="530"/>
      <c r="Z143" s="530"/>
      <c r="AA143" s="530"/>
      <c r="AC143" s="530"/>
      <c r="AD143" s="530"/>
      <c r="AE143" s="530"/>
      <c r="AF143" s="530"/>
      <c r="AG143" s="530"/>
      <c r="AH143" s="530"/>
      <c r="AI143" s="530"/>
      <c r="AJ143" s="530"/>
      <c r="AK143" s="530"/>
      <c r="AL143" s="530"/>
      <c r="AM143" s="530"/>
    </row>
    <row r="144" spans="8:39" s="419" customFormat="1" ht="15" customHeight="1">
      <c r="H144" s="531"/>
      <c r="I144" s="531"/>
      <c r="J144" s="531"/>
      <c r="K144" s="531"/>
      <c r="L144" s="531"/>
      <c r="N144" s="530"/>
      <c r="O144" s="530"/>
      <c r="P144" s="530"/>
      <c r="Q144" s="530"/>
      <c r="R144" s="530"/>
      <c r="S144" s="530"/>
      <c r="T144" s="530"/>
      <c r="U144" s="530"/>
      <c r="V144" s="530"/>
      <c r="W144" s="530"/>
      <c r="X144" s="530"/>
      <c r="Y144" s="530"/>
      <c r="Z144" s="530"/>
      <c r="AA144" s="530"/>
      <c r="AC144" s="530"/>
      <c r="AD144" s="530"/>
      <c r="AE144" s="530"/>
      <c r="AF144" s="530"/>
      <c r="AG144" s="530"/>
      <c r="AH144" s="530"/>
      <c r="AI144" s="530"/>
      <c r="AJ144" s="530"/>
      <c r="AK144" s="530"/>
      <c r="AL144" s="530"/>
      <c r="AM144" s="530"/>
    </row>
    <row r="145" spans="8:39" s="419" customFormat="1" ht="15" customHeight="1">
      <c r="H145" s="531"/>
      <c r="I145" s="531"/>
      <c r="J145" s="531"/>
      <c r="K145" s="531"/>
      <c r="L145" s="531"/>
      <c r="N145" s="530"/>
      <c r="O145" s="530"/>
      <c r="P145" s="530"/>
      <c r="Q145" s="530"/>
      <c r="R145" s="530"/>
      <c r="S145" s="530"/>
      <c r="T145" s="530"/>
      <c r="U145" s="530"/>
      <c r="V145" s="530"/>
      <c r="W145" s="530"/>
      <c r="X145" s="530"/>
      <c r="Y145" s="530"/>
      <c r="Z145" s="530"/>
      <c r="AA145" s="530"/>
      <c r="AC145" s="530"/>
      <c r="AD145" s="530"/>
      <c r="AE145" s="530"/>
      <c r="AF145" s="530"/>
      <c r="AG145" s="530"/>
      <c r="AH145" s="530"/>
      <c r="AI145" s="530"/>
      <c r="AJ145" s="530"/>
      <c r="AK145" s="530"/>
      <c r="AL145" s="530"/>
      <c r="AM145" s="530"/>
    </row>
    <row r="146" spans="8:39" s="419" customFormat="1" ht="15" customHeight="1">
      <c r="H146" s="531"/>
      <c r="I146" s="531"/>
      <c r="J146" s="531"/>
      <c r="K146" s="531"/>
      <c r="L146" s="531"/>
      <c r="N146" s="530"/>
      <c r="O146" s="530"/>
      <c r="P146" s="530"/>
      <c r="Q146" s="530"/>
      <c r="R146" s="530"/>
      <c r="S146" s="530"/>
      <c r="T146" s="530"/>
      <c r="U146" s="530"/>
      <c r="V146" s="530"/>
      <c r="W146" s="530"/>
      <c r="X146" s="530"/>
      <c r="Y146" s="530"/>
      <c r="Z146" s="530"/>
      <c r="AA146" s="530"/>
      <c r="AC146" s="530"/>
      <c r="AD146" s="530"/>
      <c r="AE146" s="530"/>
      <c r="AF146" s="530"/>
      <c r="AG146" s="530"/>
      <c r="AH146" s="530"/>
      <c r="AI146" s="530"/>
      <c r="AJ146" s="530"/>
      <c r="AK146" s="530"/>
      <c r="AL146" s="530"/>
      <c r="AM146" s="530"/>
    </row>
    <row r="147" spans="8:39" s="419" customFormat="1" ht="15" customHeight="1">
      <c r="H147" s="531"/>
      <c r="I147" s="531"/>
      <c r="J147" s="531"/>
      <c r="K147" s="531"/>
      <c r="L147" s="531"/>
      <c r="N147" s="530"/>
      <c r="O147" s="530"/>
      <c r="P147" s="530"/>
      <c r="Q147" s="530"/>
      <c r="R147" s="530"/>
      <c r="S147" s="530"/>
      <c r="T147" s="530"/>
      <c r="U147" s="530"/>
      <c r="V147" s="530"/>
      <c r="W147" s="530"/>
      <c r="X147" s="530"/>
      <c r="Y147" s="530"/>
      <c r="Z147" s="530"/>
      <c r="AA147" s="530"/>
      <c r="AC147" s="530"/>
      <c r="AD147" s="530"/>
      <c r="AE147" s="530"/>
      <c r="AF147" s="530"/>
      <c r="AG147" s="530"/>
      <c r="AH147" s="530"/>
      <c r="AI147" s="530"/>
      <c r="AJ147" s="530"/>
      <c r="AK147" s="530"/>
      <c r="AL147" s="530"/>
      <c r="AM147" s="530"/>
    </row>
    <row r="148" spans="8:39" s="419" customFormat="1" ht="15" customHeight="1">
      <c r="H148" s="531"/>
      <c r="I148" s="531"/>
      <c r="J148" s="531"/>
      <c r="K148" s="531"/>
      <c r="L148" s="531"/>
      <c r="N148" s="530"/>
      <c r="O148" s="530"/>
      <c r="P148" s="530"/>
      <c r="Q148" s="530"/>
      <c r="R148" s="530"/>
      <c r="S148" s="530"/>
      <c r="T148" s="530"/>
      <c r="U148" s="530"/>
      <c r="V148" s="530"/>
      <c r="W148" s="530"/>
      <c r="X148" s="530"/>
      <c r="Y148" s="530"/>
      <c r="Z148" s="530"/>
      <c r="AA148" s="530"/>
      <c r="AC148" s="530"/>
      <c r="AD148" s="530"/>
      <c r="AE148" s="530"/>
      <c r="AF148" s="530"/>
      <c r="AG148" s="530"/>
      <c r="AH148" s="530"/>
      <c r="AI148" s="530"/>
      <c r="AJ148" s="530"/>
      <c r="AK148" s="530"/>
      <c r="AL148" s="530"/>
      <c r="AM148" s="530"/>
    </row>
    <row r="149" spans="8:39" s="419" customFormat="1" ht="15" customHeight="1">
      <c r="H149" s="531"/>
      <c r="I149" s="531"/>
      <c r="J149" s="531"/>
      <c r="K149" s="531"/>
      <c r="L149" s="531"/>
      <c r="N149" s="530"/>
      <c r="O149" s="530"/>
      <c r="P149" s="530"/>
      <c r="Q149" s="530"/>
      <c r="R149" s="530"/>
      <c r="S149" s="530"/>
      <c r="T149" s="530"/>
      <c r="U149" s="530"/>
      <c r="V149" s="530"/>
      <c r="W149" s="530"/>
      <c r="X149" s="530"/>
      <c r="Y149" s="530"/>
      <c r="Z149" s="530"/>
      <c r="AA149" s="530"/>
      <c r="AC149" s="530"/>
      <c r="AD149" s="530"/>
      <c r="AE149" s="530"/>
      <c r="AF149" s="530"/>
      <c r="AG149" s="530"/>
      <c r="AH149" s="530"/>
      <c r="AI149" s="530"/>
      <c r="AJ149" s="530"/>
      <c r="AK149" s="530"/>
      <c r="AL149" s="530"/>
      <c r="AM149" s="530"/>
    </row>
    <row r="150" spans="8:39" s="419" customFormat="1" ht="15" customHeight="1">
      <c r="H150" s="531"/>
      <c r="I150" s="531"/>
      <c r="J150" s="531"/>
      <c r="K150" s="531"/>
      <c r="L150" s="531"/>
      <c r="N150" s="530"/>
      <c r="O150" s="530"/>
      <c r="P150" s="530"/>
      <c r="Q150" s="530"/>
      <c r="R150" s="530"/>
      <c r="S150" s="530"/>
      <c r="T150" s="530"/>
      <c r="U150" s="530"/>
      <c r="V150" s="530"/>
      <c r="W150" s="530"/>
      <c r="X150" s="530"/>
      <c r="Y150" s="530"/>
      <c r="Z150" s="530"/>
      <c r="AA150" s="530"/>
      <c r="AC150" s="530"/>
      <c r="AD150" s="530"/>
      <c r="AE150" s="530"/>
      <c r="AF150" s="530"/>
      <c r="AG150" s="530"/>
      <c r="AH150" s="530"/>
      <c r="AI150" s="530"/>
      <c r="AJ150" s="530"/>
      <c r="AK150" s="530"/>
      <c r="AL150" s="530"/>
      <c r="AM150" s="530"/>
    </row>
    <row r="151" spans="8:39" s="419" customFormat="1" ht="15" customHeight="1">
      <c r="H151" s="531"/>
      <c r="I151" s="531"/>
      <c r="J151" s="531"/>
      <c r="K151" s="531"/>
      <c r="L151" s="531"/>
      <c r="N151" s="530"/>
      <c r="O151" s="530"/>
      <c r="P151" s="530"/>
      <c r="Q151" s="530"/>
      <c r="R151" s="530"/>
      <c r="S151" s="530"/>
      <c r="T151" s="530"/>
      <c r="U151" s="530"/>
      <c r="V151" s="530"/>
      <c r="W151" s="530"/>
      <c r="X151" s="530"/>
      <c r="Y151" s="530"/>
      <c r="Z151" s="530"/>
      <c r="AA151" s="530"/>
      <c r="AC151" s="530"/>
      <c r="AD151" s="530"/>
      <c r="AE151" s="530"/>
      <c r="AF151" s="530"/>
      <c r="AG151" s="530"/>
      <c r="AH151" s="530"/>
      <c r="AI151" s="530"/>
      <c r="AJ151" s="530"/>
      <c r="AK151" s="530"/>
      <c r="AL151" s="530"/>
      <c r="AM151" s="530"/>
    </row>
    <row r="152" spans="8:39" s="419" customFormat="1" ht="15" customHeight="1">
      <c r="H152" s="531"/>
      <c r="I152" s="531"/>
      <c r="J152" s="531"/>
      <c r="K152" s="531"/>
      <c r="L152" s="531"/>
      <c r="N152" s="530"/>
      <c r="O152" s="530"/>
      <c r="P152" s="530"/>
      <c r="Q152" s="530"/>
      <c r="R152" s="530"/>
      <c r="S152" s="530"/>
      <c r="T152" s="530"/>
      <c r="U152" s="530"/>
      <c r="V152" s="530"/>
      <c r="W152" s="530"/>
      <c r="X152" s="530"/>
      <c r="Y152" s="530"/>
      <c r="Z152" s="530"/>
      <c r="AA152" s="530"/>
      <c r="AC152" s="530"/>
      <c r="AD152" s="530"/>
      <c r="AE152" s="530"/>
      <c r="AF152" s="530"/>
      <c r="AG152" s="530"/>
      <c r="AH152" s="530"/>
      <c r="AI152" s="530"/>
      <c r="AJ152" s="530"/>
      <c r="AK152" s="530"/>
      <c r="AL152" s="530"/>
      <c r="AM152" s="530"/>
    </row>
    <row r="153" spans="8:39" s="419" customFormat="1" ht="15" customHeight="1">
      <c r="H153" s="531"/>
      <c r="I153" s="531"/>
      <c r="J153" s="531"/>
      <c r="K153" s="531"/>
      <c r="L153" s="531"/>
      <c r="N153" s="530"/>
      <c r="O153" s="530"/>
      <c r="P153" s="530"/>
      <c r="Q153" s="530"/>
      <c r="R153" s="530"/>
      <c r="S153" s="530"/>
      <c r="T153" s="530"/>
      <c r="U153" s="530"/>
      <c r="V153" s="530"/>
      <c r="W153" s="530"/>
      <c r="X153" s="530"/>
      <c r="Y153" s="530"/>
      <c r="Z153" s="530"/>
      <c r="AA153" s="530"/>
      <c r="AC153" s="530"/>
      <c r="AD153" s="530"/>
      <c r="AE153" s="530"/>
      <c r="AF153" s="530"/>
      <c r="AG153" s="530"/>
      <c r="AH153" s="530"/>
      <c r="AI153" s="530"/>
      <c r="AJ153" s="530"/>
      <c r="AK153" s="530"/>
      <c r="AL153" s="530"/>
      <c r="AM153" s="530"/>
    </row>
    <row r="154" spans="8:39" s="419" customFormat="1" ht="15" customHeight="1">
      <c r="H154" s="531"/>
      <c r="I154" s="531"/>
      <c r="J154" s="531"/>
      <c r="K154" s="531"/>
      <c r="L154" s="531"/>
      <c r="N154" s="530"/>
      <c r="O154" s="530"/>
      <c r="P154" s="530"/>
      <c r="Q154" s="530"/>
      <c r="R154" s="530"/>
      <c r="S154" s="530"/>
      <c r="T154" s="530"/>
      <c r="U154" s="530"/>
      <c r="V154" s="530"/>
      <c r="W154" s="530"/>
      <c r="X154" s="530"/>
      <c r="Y154" s="530"/>
      <c r="Z154" s="530"/>
      <c r="AA154" s="530"/>
      <c r="AC154" s="530"/>
      <c r="AD154" s="530"/>
      <c r="AE154" s="530"/>
      <c r="AF154" s="530"/>
      <c r="AG154" s="530"/>
      <c r="AH154" s="530"/>
      <c r="AI154" s="530"/>
      <c r="AJ154" s="530"/>
      <c r="AK154" s="530"/>
      <c r="AL154" s="530"/>
      <c r="AM154" s="530"/>
    </row>
    <row r="155" spans="8:39" s="419" customFormat="1" ht="15" customHeight="1">
      <c r="H155" s="531"/>
      <c r="I155" s="531"/>
      <c r="J155" s="531"/>
      <c r="K155" s="531"/>
      <c r="L155" s="531"/>
      <c r="N155" s="530"/>
      <c r="O155" s="530"/>
      <c r="P155" s="530"/>
      <c r="Q155" s="530"/>
      <c r="R155" s="530"/>
      <c r="S155" s="530"/>
      <c r="T155" s="530"/>
      <c r="U155" s="530"/>
      <c r="V155" s="530"/>
      <c r="W155" s="530"/>
      <c r="X155" s="530"/>
      <c r="Y155" s="530"/>
      <c r="Z155" s="530"/>
      <c r="AA155" s="530"/>
      <c r="AC155" s="530"/>
      <c r="AD155" s="530"/>
      <c r="AE155" s="530"/>
      <c r="AF155" s="530"/>
      <c r="AG155" s="530"/>
      <c r="AH155" s="530"/>
      <c r="AI155" s="530"/>
      <c r="AJ155" s="530"/>
      <c r="AK155" s="530"/>
      <c r="AL155" s="530"/>
      <c r="AM155" s="530"/>
    </row>
    <row r="156" spans="8:39" s="419" customFormat="1" ht="15" customHeight="1">
      <c r="H156" s="531"/>
      <c r="I156" s="531"/>
      <c r="J156" s="531"/>
      <c r="K156" s="531"/>
      <c r="L156" s="531"/>
      <c r="N156" s="530"/>
      <c r="O156" s="530"/>
      <c r="P156" s="530"/>
      <c r="Q156" s="530"/>
      <c r="R156" s="530"/>
      <c r="S156" s="530"/>
      <c r="T156" s="530"/>
      <c r="U156" s="530"/>
      <c r="V156" s="530"/>
      <c r="W156" s="530"/>
      <c r="X156" s="530"/>
      <c r="Y156" s="530"/>
      <c r="Z156" s="530"/>
      <c r="AA156" s="530"/>
      <c r="AC156" s="530"/>
      <c r="AD156" s="530"/>
      <c r="AE156" s="530"/>
      <c r="AF156" s="530"/>
      <c r="AG156" s="530"/>
      <c r="AH156" s="530"/>
      <c r="AI156" s="530"/>
      <c r="AJ156" s="530"/>
      <c r="AK156" s="530"/>
      <c r="AL156" s="530"/>
      <c r="AM156" s="530"/>
    </row>
    <row r="157" spans="8:39" s="419" customFormat="1" ht="15" customHeight="1">
      <c r="H157" s="531"/>
      <c r="I157" s="531"/>
      <c r="J157" s="531"/>
      <c r="K157" s="531"/>
      <c r="L157" s="531"/>
      <c r="N157" s="530"/>
      <c r="O157" s="530"/>
      <c r="P157" s="530"/>
      <c r="Q157" s="530"/>
      <c r="R157" s="530"/>
      <c r="S157" s="530"/>
      <c r="T157" s="530"/>
      <c r="U157" s="530"/>
      <c r="V157" s="530"/>
      <c r="W157" s="530"/>
      <c r="X157" s="530"/>
      <c r="Y157" s="530"/>
      <c r="Z157" s="530"/>
      <c r="AA157" s="530"/>
      <c r="AC157" s="530"/>
      <c r="AD157" s="530"/>
      <c r="AE157" s="530"/>
      <c r="AF157" s="530"/>
      <c r="AG157" s="530"/>
      <c r="AH157" s="530"/>
      <c r="AI157" s="530"/>
      <c r="AJ157" s="530"/>
      <c r="AK157" s="530"/>
      <c r="AL157" s="530"/>
      <c r="AM157" s="530"/>
    </row>
    <row r="158" spans="8:39" s="419" customFormat="1" ht="15" customHeight="1">
      <c r="H158" s="531"/>
      <c r="I158" s="531"/>
      <c r="J158" s="531"/>
      <c r="K158" s="531"/>
      <c r="L158" s="531"/>
      <c r="N158" s="530"/>
      <c r="O158" s="530"/>
      <c r="P158" s="530"/>
      <c r="Q158" s="530"/>
      <c r="R158" s="530"/>
      <c r="S158" s="530"/>
      <c r="T158" s="530"/>
      <c r="U158" s="530"/>
      <c r="V158" s="530"/>
      <c r="W158" s="530"/>
      <c r="X158" s="530"/>
      <c r="Y158" s="530"/>
      <c r="Z158" s="530"/>
      <c r="AA158" s="530"/>
      <c r="AC158" s="530"/>
      <c r="AD158" s="530"/>
      <c r="AE158" s="530"/>
      <c r="AF158" s="530"/>
      <c r="AG158" s="530"/>
      <c r="AH158" s="530"/>
      <c r="AI158" s="530"/>
      <c r="AJ158" s="530"/>
      <c r="AK158" s="530"/>
      <c r="AL158" s="530"/>
      <c r="AM158" s="530"/>
    </row>
    <row r="159" spans="8:39" s="419" customFormat="1" ht="15" customHeight="1">
      <c r="H159" s="531"/>
      <c r="I159" s="531"/>
      <c r="J159" s="531"/>
      <c r="K159" s="531"/>
      <c r="L159" s="531"/>
      <c r="N159" s="530"/>
      <c r="O159" s="530"/>
      <c r="P159" s="530"/>
      <c r="Q159" s="530"/>
      <c r="R159" s="530"/>
      <c r="S159" s="530"/>
      <c r="T159" s="530"/>
      <c r="U159" s="530"/>
      <c r="V159" s="530"/>
      <c r="W159" s="530"/>
      <c r="X159" s="530"/>
      <c r="Y159" s="530"/>
      <c r="Z159" s="530"/>
      <c r="AA159" s="530"/>
      <c r="AC159" s="530"/>
      <c r="AD159" s="530"/>
      <c r="AE159" s="530"/>
      <c r="AF159" s="530"/>
      <c r="AG159" s="530"/>
      <c r="AH159" s="530"/>
      <c r="AI159" s="530"/>
      <c r="AJ159" s="530"/>
      <c r="AK159" s="530"/>
      <c r="AL159" s="530"/>
      <c r="AM159" s="530"/>
    </row>
    <row r="160" spans="8:39" s="419" customFormat="1" ht="15" customHeight="1">
      <c r="H160" s="531"/>
      <c r="I160" s="531"/>
      <c r="J160" s="531"/>
      <c r="K160" s="531"/>
      <c r="L160" s="531"/>
      <c r="N160" s="530"/>
      <c r="O160" s="530"/>
      <c r="P160" s="530"/>
      <c r="Q160" s="530"/>
      <c r="R160" s="530"/>
      <c r="S160" s="530"/>
      <c r="T160" s="530"/>
      <c r="U160" s="530"/>
      <c r="V160" s="530"/>
      <c r="W160" s="530"/>
      <c r="X160" s="530"/>
      <c r="Y160" s="530"/>
      <c r="Z160" s="530"/>
      <c r="AA160" s="530"/>
      <c r="AC160" s="530"/>
      <c r="AD160" s="530"/>
      <c r="AE160" s="530"/>
      <c r="AF160" s="530"/>
      <c r="AG160" s="530"/>
      <c r="AH160" s="530"/>
      <c r="AI160" s="530"/>
      <c r="AJ160" s="530"/>
      <c r="AK160" s="530"/>
      <c r="AL160" s="530"/>
      <c r="AM160" s="530"/>
    </row>
    <row r="161" spans="8:39" s="419" customFormat="1" ht="15" customHeight="1">
      <c r="H161" s="531"/>
      <c r="I161" s="531"/>
      <c r="J161" s="531"/>
      <c r="K161" s="531"/>
      <c r="L161" s="531"/>
      <c r="N161" s="530"/>
      <c r="O161" s="530"/>
      <c r="P161" s="530"/>
      <c r="Q161" s="530"/>
      <c r="R161" s="530"/>
      <c r="S161" s="530"/>
      <c r="T161" s="530"/>
      <c r="U161" s="530"/>
      <c r="V161" s="530"/>
      <c r="W161" s="530"/>
      <c r="X161" s="530"/>
      <c r="Y161" s="530"/>
      <c r="Z161" s="530"/>
      <c r="AA161" s="530"/>
      <c r="AC161" s="530"/>
      <c r="AD161" s="530"/>
      <c r="AE161" s="530"/>
      <c r="AF161" s="530"/>
      <c r="AG161" s="530"/>
      <c r="AH161" s="530"/>
      <c r="AI161" s="530"/>
      <c r="AJ161" s="530"/>
      <c r="AK161" s="530"/>
      <c r="AL161" s="530"/>
      <c r="AM161" s="530"/>
    </row>
    <row r="162" spans="8:39" s="419" customFormat="1" ht="15" customHeight="1">
      <c r="H162" s="531"/>
      <c r="I162" s="531"/>
      <c r="J162" s="531"/>
      <c r="K162" s="531"/>
      <c r="L162" s="531"/>
      <c r="N162" s="530"/>
      <c r="O162" s="530"/>
      <c r="P162" s="530"/>
      <c r="Q162" s="530"/>
      <c r="R162" s="530"/>
      <c r="S162" s="530"/>
      <c r="T162" s="530"/>
      <c r="U162" s="530"/>
      <c r="V162" s="530"/>
      <c r="W162" s="530"/>
      <c r="X162" s="530"/>
      <c r="Y162" s="530"/>
      <c r="Z162" s="530"/>
      <c r="AA162" s="530"/>
      <c r="AC162" s="530"/>
      <c r="AD162" s="530"/>
      <c r="AE162" s="530"/>
      <c r="AF162" s="530"/>
      <c r="AG162" s="530"/>
      <c r="AH162" s="530"/>
      <c r="AI162" s="530"/>
      <c r="AJ162" s="530"/>
      <c r="AK162" s="530"/>
      <c r="AL162" s="530"/>
      <c r="AM162" s="530"/>
    </row>
    <row r="163" spans="8:39" s="419" customFormat="1" ht="15" customHeight="1">
      <c r="H163" s="531"/>
      <c r="I163" s="531"/>
      <c r="J163" s="531"/>
      <c r="K163" s="531"/>
      <c r="L163" s="531"/>
      <c r="N163" s="530"/>
      <c r="O163" s="530"/>
      <c r="P163" s="530"/>
      <c r="Q163" s="530"/>
      <c r="R163" s="530"/>
      <c r="S163" s="530"/>
      <c r="T163" s="530"/>
      <c r="U163" s="530"/>
      <c r="V163" s="530"/>
      <c r="W163" s="530"/>
      <c r="X163" s="530"/>
      <c r="Y163" s="530"/>
      <c r="Z163" s="530"/>
      <c r="AA163" s="530"/>
      <c r="AC163" s="530"/>
      <c r="AD163" s="530"/>
      <c r="AE163" s="530"/>
      <c r="AF163" s="530"/>
      <c r="AG163" s="530"/>
      <c r="AH163" s="530"/>
      <c r="AI163" s="530"/>
      <c r="AJ163" s="530"/>
      <c r="AK163" s="530"/>
      <c r="AL163" s="530"/>
      <c r="AM163" s="530"/>
    </row>
    <row r="164" spans="8:39" s="419" customFormat="1" ht="15" customHeight="1">
      <c r="H164" s="531"/>
      <c r="I164" s="531"/>
      <c r="J164" s="531"/>
      <c r="K164" s="531"/>
      <c r="L164" s="531"/>
      <c r="N164" s="530"/>
      <c r="O164" s="530"/>
      <c r="P164" s="530"/>
      <c r="Q164" s="530"/>
      <c r="R164" s="530"/>
      <c r="S164" s="530"/>
      <c r="T164" s="530"/>
      <c r="U164" s="530"/>
      <c r="V164" s="530"/>
      <c r="W164" s="530"/>
      <c r="X164" s="530"/>
      <c r="Y164" s="530"/>
      <c r="Z164" s="530"/>
      <c r="AA164" s="530"/>
      <c r="AC164" s="530"/>
      <c r="AD164" s="530"/>
      <c r="AE164" s="530"/>
      <c r="AF164" s="530"/>
      <c r="AG164" s="530"/>
      <c r="AH164" s="530"/>
      <c r="AI164" s="530"/>
      <c r="AJ164" s="530"/>
      <c r="AK164" s="530"/>
      <c r="AL164" s="530"/>
      <c r="AM164" s="530"/>
    </row>
    <row r="165" spans="8:39" s="419" customFormat="1" ht="15" customHeight="1">
      <c r="H165" s="531"/>
      <c r="I165" s="531"/>
      <c r="J165" s="531"/>
      <c r="K165" s="531"/>
      <c r="L165" s="531"/>
      <c r="N165" s="530"/>
      <c r="O165" s="530"/>
      <c r="P165" s="530"/>
      <c r="Q165" s="530"/>
      <c r="R165" s="530"/>
      <c r="S165" s="530"/>
      <c r="T165" s="530"/>
      <c r="U165" s="530"/>
      <c r="V165" s="530"/>
      <c r="W165" s="530"/>
      <c r="X165" s="530"/>
      <c r="Y165" s="530"/>
      <c r="Z165" s="530"/>
      <c r="AA165" s="530"/>
      <c r="AC165" s="530"/>
      <c r="AD165" s="530"/>
      <c r="AE165" s="530"/>
      <c r="AF165" s="530"/>
      <c r="AG165" s="530"/>
      <c r="AH165" s="530"/>
      <c r="AI165" s="530"/>
      <c r="AJ165" s="530"/>
      <c r="AK165" s="530"/>
      <c r="AL165" s="530"/>
      <c r="AM165" s="530"/>
    </row>
    <row r="166" spans="8:39" s="419" customFormat="1" ht="15" customHeight="1">
      <c r="H166" s="531"/>
      <c r="I166" s="531"/>
      <c r="J166" s="531"/>
      <c r="K166" s="531"/>
      <c r="L166" s="531"/>
      <c r="N166" s="530"/>
      <c r="O166" s="530"/>
      <c r="P166" s="530"/>
      <c r="Q166" s="530"/>
      <c r="R166" s="530"/>
      <c r="S166" s="530"/>
      <c r="T166" s="530"/>
      <c r="U166" s="530"/>
      <c r="V166" s="530"/>
      <c r="W166" s="530"/>
      <c r="X166" s="530"/>
      <c r="Y166" s="530"/>
      <c r="Z166" s="530"/>
      <c r="AA166" s="530"/>
      <c r="AC166" s="530"/>
      <c r="AD166" s="530"/>
      <c r="AE166" s="530"/>
      <c r="AF166" s="530"/>
      <c r="AG166" s="530"/>
      <c r="AH166" s="530"/>
      <c r="AI166" s="530"/>
      <c r="AJ166" s="530"/>
      <c r="AK166" s="530"/>
      <c r="AL166" s="530"/>
      <c r="AM166" s="530"/>
    </row>
    <row r="167" spans="8:39" s="419" customFormat="1" ht="15" customHeight="1">
      <c r="H167" s="531"/>
      <c r="I167" s="531"/>
      <c r="J167" s="531"/>
      <c r="K167" s="531"/>
      <c r="L167" s="531"/>
      <c r="N167" s="530"/>
      <c r="O167" s="530"/>
      <c r="P167" s="530"/>
      <c r="Q167" s="530"/>
      <c r="R167" s="530"/>
      <c r="S167" s="530"/>
      <c r="T167" s="530"/>
      <c r="U167" s="530"/>
      <c r="V167" s="530"/>
      <c r="W167" s="530"/>
      <c r="X167" s="530"/>
      <c r="Y167" s="530"/>
      <c r="Z167" s="530"/>
      <c r="AA167" s="530"/>
      <c r="AC167" s="530"/>
      <c r="AD167" s="530"/>
      <c r="AE167" s="530"/>
      <c r="AF167" s="530"/>
      <c r="AG167" s="530"/>
      <c r="AH167" s="530"/>
      <c r="AI167" s="530"/>
      <c r="AJ167" s="530"/>
      <c r="AK167" s="530"/>
      <c r="AL167" s="530"/>
      <c r="AM167" s="530"/>
    </row>
    <row r="168" spans="8:39" s="419" customFormat="1" ht="15" customHeight="1">
      <c r="H168" s="531"/>
      <c r="I168" s="531"/>
      <c r="J168" s="531"/>
      <c r="K168" s="531"/>
      <c r="L168" s="531"/>
      <c r="N168" s="530"/>
      <c r="O168" s="530"/>
      <c r="P168" s="530"/>
      <c r="Q168" s="530"/>
      <c r="R168" s="530"/>
      <c r="S168" s="530"/>
      <c r="T168" s="530"/>
      <c r="U168" s="530"/>
      <c r="V168" s="530"/>
      <c r="W168" s="530"/>
      <c r="X168" s="530"/>
      <c r="Y168" s="530"/>
      <c r="Z168" s="530"/>
      <c r="AA168" s="530"/>
      <c r="AC168" s="530"/>
      <c r="AD168" s="530"/>
      <c r="AE168" s="530"/>
      <c r="AF168" s="530"/>
      <c r="AG168" s="530"/>
      <c r="AH168" s="530"/>
      <c r="AI168" s="530"/>
      <c r="AJ168" s="530"/>
      <c r="AK168" s="530"/>
      <c r="AL168" s="530"/>
      <c r="AM168" s="530"/>
    </row>
    <row r="169" spans="8:39" s="419" customFormat="1" ht="15" customHeight="1">
      <c r="H169" s="531"/>
      <c r="I169" s="531"/>
      <c r="J169" s="531"/>
      <c r="K169" s="531"/>
      <c r="L169" s="531"/>
      <c r="N169" s="530"/>
      <c r="O169" s="530"/>
      <c r="P169" s="530"/>
      <c r="Q169" s="530"/>
      <c r="R169" s="530"/>
      <c r="S169" s="530"/>
      <c r="T169" s="530"/>
      <c r="U169" s="530"/>
      <c r="V169" s="530"/>
      <c r="W169" s="530"/>
      <c r="X169" s="530"/>
      <c r="Y169" s="530"/>
      <c r="Z169" s="530"/>
      <c r="AA169" s="530"/>
      <c r="AC169" s="530"/>
      <c r="AD169" s="530"/>
      <c r="AE169" s="530"/>
      <c r="AF169" s="530"/>
      <c r="AG169" s="530"/>
      <c r="AH169" s="530"/>
      <c r="AI169" s="530"/>
      <c r="AJ169" s="530"/>
      <c r="AK169" s="530"/>
      <c r="AL169" s="530"/>
      <c r="AM169" s="530"/>
    </row>
    <row r="170" spans="8:39" s="419" customFormat="1" ht="15" customHeight="1">
      <c r="H170" s="531"/>
      <c r="I170" s="531"/>
      <c r="J170" s="531"/>
      <c r="K170" s="531"/>
      <c r="L170" s="531"/>
      <c r="N170" s="530"/>
      <c r="O170" s="530"/>
      <c r="P170" s="530"/>
      <c r="Q170" s="530"/>
      <c r="R170" s="530"/>
      <c r="S170" s="530"/>
      <c r="T170" s="530"/>
      <c r="U170" s="530"/>
      <c r="V170" s="530"/>
      <c r="W170" s="530"/>
      <c r="X170" s="530"/>
      <c r="Y170" s="530"/>
      <c r="Z170" s="530"/>
      <c r="AA170" s="530"/>
      <c r="AC170" s="530"/>
      <c r="AD170" s="530"/>
      <c r="AE170" s="530"/>
      <c r="AF170" s="530"/>
      <c r="AG170" s="530"/>
      <c r="AH170" s="530"/>
      <c r="AI170" s="530"/>
      <c r="AJ170" s="530"/>
      <c r="AK170" s="530"/>
      <c r="AL170" s="530"/>
      <c r="AM170" s="530"/>
    </row>
    <row r="171" spans="8:39" s="419" customFormat="1" ht="15" customHeight="1">
      <c r="H171" s="531"/>
      <c r="I171" s="531"/>
      <c r="J171" s="531"/>
      <c r="K171" s="531"/>
      <c r="L171" s="531"/>
      <c r="N171" s="530"/>
      <c r="O171" s="530"/>
      <c r="P171" s="530"/>
      <c r="Q171" s="530"/>
      <c r="R171" s="530"/>
      <c r="S171" s="530"/>
      <c r="T171" s="530"/>
      <c r="U171" s="530"/>
      <c r="V171" s="530"/>
      <c r="W171" s="530"/>
      <c r="X171" s="530"/>
      <c r="Y171" s="530"/>
      <c r="Z171" s="530"/>
      <c r="AA171" s="530"/>
      <c r="AC171" s="530"/>
      <c r="AD171" s="530"/>
      <c r="AE171" s="530"/>
      <c r="AF171" s="530"/>
      <c r="AG171" s="530"/>
      <c r="AH171" s="530"/>
      <c r="AI171" s="530"/>
      <c r="AJ171" s="530"/>
      <c r="AK171" s="530"/>
      <c r="AL171" s="530"/>
      <c r="AM171" s="530"/>
    </row>
    <row r="172" spans="8:39" s="419" customFormat="1" ht="15" customHeight="1">
      <c r="H172" s="531"/>
      <c r="I172" s="531"/>
      <c r="J172" s="531"/>
      <c r="K172" s="531"/>
      <c r="L172" s="531"/>
      <c r="N172" s="530"/>
      <c r="O172" s="530"/>
      <c r="P172" s="530"/>
      <c r="Q172" s="530"/>
      <c r="R172" s="530"/>
      <c r="S172" s="530"/>
      <c r="T172" s="530"/>
      <c r="U172" s="530"/>
      <c r="V172" s="530"/>
      <c r="W172" s="530"/>
      <c r="X172" s="530"/>
      <c r="Y172" s="530"/>
      <c r="Z172" s="530"/>
      <c r="AA172" s="530"/>
      <c r="AC172" s="530"/>
      <c r="AD172" s="530"/>
      <c r="AE172" s="530"/>
      <c r="AF172" s="530"/>
      <c r="AG172" s="530"/>
      <c r="AH172" s="530"/>
      <c r="AI172" s="530"/>
      <c r="AJ172" s="530"/>
      <c r="AK172" s="530"/>
      <c r="AL172" s="530"/>
      <c r="AM172" s="530"/>
    </row>
    <row r="173" spans="8:39" s="419" customFormat="1" ht="15" customHeight="1">
      <c r="H173" s="531"/>
      <c r="I173" s="531"/>
      <c r="J173" s="531"/>
      <c r="K173" s="531"/>
      <c r="L173" s="531"/>
      <c r="N173" s="530"/>
      <c r="O173" s="530"/>
      <c r="P173" s="530"/>
      <c r="Q173" s="530"/>
      <c r="R173" s="530"/>
      <c r="S173" s="530"/>
      <c r="T173" s="530"/>
      <c r="U173" s="530"/>
      <c r="V173" s="530"/>
      <c r="W173" s="530"/>
      <c r="X173" s="530"/>
      <c r="Y173" s="530"/>
      <c r="Z173" s="530"/>
      <c r="AA173" s="530"/>
      <c r="AC173" s="530"/>
      <c r="AD173" s="530"/>
      <c r="AE173" s="530"/>
      <c r="AF173" s="530"/>
      <c r="AG173" s="530"/>
      <c r="AH173" s="530"/>
      <c r="AI173" s="530"/>
      <c r="AJ173" s="530"/>
      <c r="AK173" s="530"/>
      <c r="AL173" s="530"/>
      <c r="AM173" s="530"/>
    </row>
    <row r="174" spans="8:39" s="419" customFormat="1" ht="15" customHeight="1">
      <c r="H174" s="531"/>
      <c r="I174" s="531"/>
      <c r="J174" s="531"/>
      <c r="K174" s="531"/>
      <c r="L174" s="531"/>
      <c r="N174" s="530"/>
      <c r="O174" s="530"/>
      <c r="P174" s="530"/>
      <c r="Q174" s="530"/>
      <c r="R174" s="530"/>
      <c r="S174" s="530"/>
      <c r="T174" s="530"/>
      <c r="U174" s="530"/>
      <c r="V174" s="530"/>
      <c r="W174" s="530"/>
      <c r="X174" s="530"/>
      <c r="Y174" s="530"/>
      <c r="Z174" s="530"/>
      <c r="AA174" s="530"/>
      <c r="AC174" s="530"/>
      <c r="AD174" s="530"/>
      <c r="AE174" s="530"/>
      <c r="AF174" s="530"/>
      <c r="AG174" s="530"/>
      <c r="AH174" s="530"/>
      <c r="AI174" s="530"/>
      <c r="AJ174" s="530"/>
      <c r="AK174" s="530"/>
      <c r="AL174" s="530"/>
      <c r="AM174" s="530"/>
    </row>
    <row r="175" spans="8:39" s="419" customFormat="1" ht="15" customHeight="1">
      <c r="H175" s="531"/>
      <c r="I175" s="531"/>
      <c r="J175" s="531"/>
      <c r="K175" s="531"/>
      <c r="L175" s="531"/>
      <c r="N175" s="530"/>
      <c r="O175" s="530"/>
      <c r="P175" s="530"/>
      <c r="Q175" s="530"/>
      <c r="R175" s="530"/>
      <c r="S175" s="530"/>
      <c r="T175" s="530"/>
      <c r="U175" s="530"/>
      <c r="V175" s="530"/>
      <c r="W175" s="530"/>
      <c r="X175" s="530"/>
      <c r="Y175" s="530"/>
      <c r="Z175" s="530"/>
      <c r="AA175" s="530"/>
      <c r="AC175" s="530"/>
      <c r="AD175" s="530"/>
      <c r="AE175" s="530"/>
      <c r="AF175" s="530"/>
      <c r="AG175" s="530"/>
      <c r="AH175" s="530"/>
      <c r="AI175" s="530"/>
      <c r="AJ175" s="530"/>
      <c r="AK175" s="530"/>
      <c r="AL175" s="530"/>
      <c r="AM175" s="530"/>
    </row>
    <row r="176" spans="8:39" s="419" customFormat="1" ht="15" customHeight="1">
      <c r="H176" s="531"/>
      <c r="I176" s="531"/>
      <c r="J176" s="531"/>
      <c r="K176" s="531"/>
      <c r="L176" s="531"/>
      <c r="N176" s="530"/>
      <c r="O176" s="530"/>
      <c r="P176" s="530"/>
      <c r="Q176" s="530"/>
      <c r="R176" s="530"/>
      <c r="S176" s="530"/>
      <c r="T176" s="530"/>
      <c r="U176" s="530"/>
      <c r="V176" s="530"/>
      <c r="W176" s="530"/>
      <c r="X176" s="530"/>
      <c r="Y176" s="530"/>
      <c r="Z176" s="530"/>
      <c r="AA176" s="530"/>
      <c r="AC176" s="530"/>
      <c r="AD176" s="530"/>
      <c r="AE176" s="530"/>
      <c r="AF176" s="530"/>
      <c r="AG176" s="530"/>
      <c r="AH176" s="530"/>
      <c r="AI176" s="530"/>
      <c r="AJ176" s="530"/>
      <c r="AK176" s="530"/>
      <c r="AL176" s="530"/>
      <c r="AM176" s="530"/>
    </row>
    <row r="177" spans="8:39" s="419" customFormat="1" ht="15" customHeight="1">
      <c r="H177" s="531"/>
      <c r="I177" s="531"/>
      <c r="J177" s="531"/>
      <c r="K177" s="531"/>
      <c r="L177" s="531"/>
      <c r="N177" s="530"/>
      <c r="O177" s="530"/>
      <c r="P177" s="530"/>
      <c r="Q177" s="530"/>
      <c r="R177" s="530"/>
      <c r="S177" s="530"/>
      <c r="T177" s="530"/>
      <c r="U177" s="530"/>
      <c r="V177" s="530"/>
      <c r="W177" s="530"/>
      <c r="X177" s="530"/>
      <c r="Y177" s="530"/>
      <c r="Z177" s="530"/>
      <c r="AA177" s="530"/>
      <c r="AC177" s="530"/>
      <c r="AD177" s="530"/>
      <c r="AE177" s="530"/>
      <c r="AF177" s="530"/>
      <c r="AG177" s="530"/>
      <c r="AH177" s="530"/>
      <c r="AI177" s="530"/>
      <c r="AJ177" s="530"/>
      <c r="AK177" s="530"/>
      <c r="AL177" s="530"/>
      <c r="AM177" s="530"/>
    </row>
    <row r="178" spans="8:39" s="419" customFormat="1" ht="15" customHeight="1">
      <c r="H178" s="531"/>
      <c r="I178" s="531"/>
      <c r="J178" s="531"/>
      <c r="K178" s="531"/>
      <c r="L178" s="531"/>
      <c r="N178" s="530"/>
      <c r="O178" s="530"/>
      <c r="P178" s="530"/>
      <c r="Q178" s="530"/>
      <c r="R178" s="530"/>
      <c r="S178" s="530"/>
      <c r="T178" s="530"/>
      <c r="U178" s="530"/>
      <c r="V178" s="530"/>
      <c r="W178" s="530"/>
      <c r="X178" s="530"/>
      <c r="Y178" s="530"/>
      <c r="Z178" s="530"/>
      <c r="AA178" s="530"/>
      <c r="AC178" s="530"/>
      <c r="AD178" s="530"/>
      <c r="AE178" s="530"/>
      <c r="AF178" s="530"/>
      <c r="AG178" s="530"/>
      <c r="AH178" s="530"/>
      <c r="AI178" s="530"/>
      <c r="AJ178" s="530"/>
      <c r="AK178" s="530"/>
      <c r="AL178" s="530"/>
      <c r="AM178" s="530"/>
    </row>
    <row r="179" spans="8:39" s="419" customFormat="1" ht="15" customHeight="1">
      <c r="H179" s="531"/>
      <c r="I179" s="531"/>
      <c r="J179" s="531"/>
      <c r="K179" s="531"/>
      <c r="L179" s="531"/>
      <c r="N179" s="530"/>
      <c r="O179" s="530"/>
      <c r="P179" s="530"/>
      <c r="Q179" s="530"/>
      <c r="R179" s="530"/>
      <c r="S179" s="530"/>
      <c r="T179" s="530"/>
      <c r="U179" s="530"/>
      <c r="V179" s="530"/>
      <c r="W179" s="530"/>
      <c r="X179" s="530"/>
      <c r="Y179" s="530"/>
      <c r="Z179" s="530"/>
      <c r="AA179" s="530"/>
      <c r="AC179" s="530"/>
      <c r="AD179" s="530"/>
      <c r="AE179" s="530"/>
      <c r="AF179" s="530"/>
      <c r="AG179" s="530"/>
      <c r="AH179" s="530"/>
      <c r="AI179" s="530"/>
      <c r="AJ179" s="530"/>
      <c r="AK179" s="530"/>
      <c r="AL179" s="530"/>
      <c r="AM179" s="530"/>
    </row>
    <row r="180" spans="8:39" s="419" customFormat="1" ht="15" customHeight="1">
      <c r="H180" s="531"/>
      <c r="I180" s="531"/>
      <c r="J180" s="531"/>
      <c r="K180" s="531"/>
      <c r="L180" s="531"/>
      <c r="N180" s="530"/>
      <c r="O180" s="530"/>
      <c r="P180" s="530"/>
      <c r="Q180" s="530"/>
      <c r="R180" s="530"/>
      <c r="S180" s="530"/>
      <c r="T180" s="530"/>
      <c r="U180" s="530"/>
      <c r="V180" s="530"/>
      <c r="W180" s="530"/>
      <c r="X180" s="530"/>
      <c r="Y180" s="530"/>
      <c r="Z180" s="530"/>
      <c r="AA180" s="530"/>
      <c r="AC180" s="530"/>
      <c r="AD180" s="530"/>
      <c r="AE180" s="530"/>
      <c r="AF180" s="530"/>
      <c r="AG180" s="530"/>
      <c r="AH180" s="530"/>
      <c r="AI180" s="530"/>
      <c r="AJ180" s="530"/>
      <c r="AK180" s="530"/>
      <c r="AL180" s="530"/>
      <c r="AM180" s="530"/>
    </row>
    <row r="181" spans="8:39" s="419" customFormat="1" ht="15" customHeight="1">
      <c r="H181" s="531"/>
      <c r="I181" s="531"/>
      <c r="J181" s="531"/>
      <c r="K181" s="531"/>
      <c r="L181" s="531"/>
      <c r="N181" s="530"/>
      <c r="O181" s="530"/>
      <c r="P181" s="530"/>
      <c r="Q181" s="530"/>
      <c r="R181" s="530"/>
      <c r="S181" s="530"/>
      <c r="T181" s="530"/>
      <c r="U181" s="530"/>
      <c r="V181" s="530"/>
      <c r="W181" s="530"/>
      <c r="X181" s="530"/>
      <c r="Y181" s="530"/>
      <c r="Z181" s="530"/>
      <c r="AA181" s="530"/>
      <c r="AC181" s="530"/>
      <c r="AD181" s="530"/>
      <c r="AE181" s="530"/>
      <c r="AF181" s="530"/>
      <c r="AG181" s="530"/>
      <c r="AH181" s="530"/>
      <c r="AI181" s="530"/>
      <c r="AJ181" s="530"/>
      <c r="AK181" s="530"/>
      <c r="AL181" s="530"/>
      <c r="AM181" s="530"/>
    </row>
    <row r="182" spans="8:39" s="419" customFormat="1" ht="15" customHeight="1">
      <c r="H182" s="531"/>
      <c r="I182" s="531"/>
      <c r="J182" s="531"/>
      <c r="K182" s="531"/>
      <c r="L182" s="531"/>
      <c r="N182" s="530"/>
      <c r="O182" s="530"/>
      <c r="P182" s="530"/>
      <c r="Q182" s="530"/>
      <c r="R182" s="530"/>
      <c r="S182" s="530"/>
      <c r="T182" s="530"/>
      <c r="U182" s="530"/>
      <c r="V182" s="530"/>
      <c r="W182" s="530"/>
      <c r="X182" s="530"/>
      <c r="Y182" s="530"/>
      <c r="Z182" s="530"/>
      <c r="AA182" s="530"/>
      <c r="AC182" s="530"/>
      <c r="AD182" s="530"/>
      <c r="AE182" s="530"/>
      <c r="AF182" s="530"/>
      <c r="AG182" s="530"/>
      <c r="AH182" s="530"/>
      <c r="AI182" s="530"/>
      <c r="AJ182" s="530"/>
      <c r="AK182" s="530"/>
      <c r="AL182" s="530"/>
      <c r="AM182" s="530"/>
    </row>
    <row r="183" spans="8:39" s="419" customFormat="1" ht="15" customHeight="1">
      <c r="H183" s="531"/>
      <c r="I183" s="531"/>
      <c r="J183" s="531"/>
      <c r="K183" s="531"/>
      <c r="L183" s="531"/>
      <c r="N183" s="530"/>
      <c r="O183" s="530"/>
      <c r="P183" s="530"/>
      <c r="Q183" s="530"/>
      <c r="R183" s="530"/>
      <c r="S183" s="530"/>
      <c r="T183" s="530"/>
      <c r="U183" s="530"/>
      <c r="V183" s="530"/>
      <c r="W183" s="530"/>
      <c r="X183" s="530"/>
      <c r="Y183" s="530"/>
      <c r="Z183" s="530"/>
      <c r="AA183" s="530"/>
      <c r="AC183" s="530"/>
      <c r="AD183" s="530"/>
      <c r="AE183" s="530"/>
      <c r="AF183" s="530"/>
      <c r="AG183" s="530"/>
      <c r="AH183" s="530"/>
      <c r="AI183" s="530"/>
      <c r="AJ183" s="530"/>
      <c r="AK183" s="530"/>
      <c r="AL183" s="530"/>
      <c r="AM183" s="530"/>
    </row>
    <row r="184" spans="8:39" s="419" customFormat="1" ht="15" customHeight="1">
      <c r="H184" s="531"/>
      <c r="I184" s="531"/>
      <c r="J184" s="531"/>
      <c r="K184" s="531"/>
      <c r="L184" s="531"/>
      <c r="N184" s="530"/>
      <c r="O184" s="530"/>
      <c r="P184" s="530"/>
      <c r="Q184" s="530"/>
      <c r="R184" s="530"/>
      <c r="S184" s="530"/>
      <c r="T184" s="530"/>
      <c r="U184" s="530"/>
      <c r="V184" s="530"/>
      <c r="W184" s="530"/>
      <c r="X184" s="530"/>
      <c r="Y184" s="530"/>
      <c r="Z184" s="530"/>
      <c r="AA184" s="530"/>
      <c r="AC184" s="530"/>
      <c r="AD184" s="530"/>
      <c r="AE184" s="530"/>
      <c r="AF184" s="530"/>
      <c r="AG184" s="530"/>
      <c r="AH184" s="530"/>
      <c r="AI184" s="530"/>
      <c r="AJ184" s="530"/>
      <c r="AK184" s="530"/>
      <c r="AL184" s="530"/>
      <c r="AM184" s="530"/>
    </row>
    <row r="185" spans="8:39" s="419" customFormat="1" ht="15" customHeight="1">
      <c r="H185" s="531"/>
      <c r="I185" s="531"/>
      <c r="J185" s="531"/>
      <c r="K185" s="531"/>
      <c r="L185" s="531"/>
      <c r="N185" s="530"/>
      <c r="O185" s="530"/>
      <c r="P185" s="530"/>
      <c r="Q185" s="530"/>
      <c r="R185" s="530"/>
      <c r="S185" s="530"/>
      <c r="T185" s="530"/>
      <c r="U185" s="530"/>
      <c r="V185" s="530"/>
      <c r="W185" s="530"/>
      <c r="X185" s="530"/>
      <c r="Y185" s="530"/>
      <c r="Z185" s="530"/>
      <c r="AA185" s="530"/>
      <c r="AC185" s="530"/>
      <c r="AD185" s="530"/>
      <c r="AE185" s="530"/>
      <c r="AF185" s="530"/>
      <c r="AG185" s="530"/>
      <c r="AH185" s="530"/>
      <c r="AI185" s="530"/>
      <c r="AJ185" s="530"/>
      <c r="AK185" s="530"/>
      <c r="AL185" s="530"/>
      <c r="AM185" s="530"/>
    </row>
    <row r="186" spans="8:39" s="419" customFormat="1" ht="15" customHeight="1">
      <c r="H186" s="531"/>
      <c r="I186" s="531"/>
      <c r="J186" s="531"/>
      <c r="K186" s="531"/>
      <c r="L186" s="531"/>
      <c r="N186" s="530"/>
      <c r="O186" s="530"/>
      <c r="P186" s="530"/>
      <c r="Q186" s="530"/>
      <c r="R186" s="530"/>
      <c r="S186" s="530"/>
      <c r="T186" s="530"/>
      <c r="U186" s="530"/>
      <c r="V186" s="530"/>
      <c r="W186" s="530"/>
      <c r="X186" s="530"/>
      <c r="Y186" s="530"/>
      <c r="Z186" s="530"/>
      <c r="AA186" s="530"/>
      <c r="AC186" s="530"/>
      <c r="AD186" s="530"/>
      <c r="AE186" s="530"/>
      <c r="AF186" s="530"/>
      <c r="AG186" s="530"/>
      <c r="AH186" s="530"/>
      <c r="AI186" s="530"/>
      <c r="AJ186" s="530"/>
      <c r="AK186" s="530"/>
      <c r="AL186" s="530"/>
      <c r="AM186" s="530"/>
    </row>
    <row r="187" spans="8:39" s="419" customFormat="1" ht="15" customHeight="1">
      <c r="H187" s="531"/>
      <c r="I187" s="531"/>
      <c r="J187" s="531"/>
      <c r="K187" s="531"/>
      <c r="L187" s="531"/>
      <c r="N187" s="530"/>
      <c r="O187" s="530"/>
      <c r="P187" s="530"/>
      <c r="Q187" s="530"/>
      <c r="R187" s="530"/>
      <c r="S187" s="530"/>
      <c r="T187" s="530"/>
      <c r="U187" s="530"/>
      <c r="V187" s="530"/>
      <c r="W187" s="530"/>
      <c r="X187" s="530"/>
      <c r="Y187" s="530"/>
      <c r="Z187" s="530"/>
      <c r="AA187" s="530"/>
      <c r="AC187" s="530"/>
      <c r="AD187" s="530"/>
      <c r="AE187" s="530"/>
      <c r="AF187" s="530"/>
      <c r="AG187" s="530"/>
      <c r="AH187" s="530"/>
      <c r="AI187" s="530"/>
      <c r="AJ187" s="530"/>
      <c r="AK187" s="530"/>
      <c r="AL187" s="530"/>
      <c r="AM187" s="530"/>
    </row>
    <row r="188" spans="8:39" s="419" customFormat="1" ht="15" customHeight="1">
      <c r="H188" s="531"/>
      <c r="I188" s="531"/>
      <c r="J188" s="531"/>
      <c r="K188" s="531"/>
      <c r="L188" s="531"/>
      <c r="N188" s="530"/>
      <c r="O188" s="530"/>
      <c r="P188" s="530"/>
      <c r="Q188" s="530"/>
      <c r="R188" s="530"/>
      <c r="S188" s="530"/>
      <c r="T188" s="530"/>
      <c r="U188" s="530"/>
      <c r="V188" s="530"/>
      <c r="W188" s="530"/>
      <c r="X188" s="530"/>
      <c r="Y188" s="530"/>
      <c r="Z188" s="530"/>
      <c r="AA188" s="530"/>
      <c r="AC188" s="530"/>
      <c r="AD188" s="530"/>
      <c r="AE188" s="530"/>
      <c r="AF188" s="530"/>
      <c r="AG188" s="530"/>
      <c r="AH188" s="530"/>
      <c r="AI188" s="530"/>
      <c r="AJ188" s="530"/>
      <c r="AK188" s="530"/>
      <c r="AL188" s="530"/>
      <c r="AM188" s="530"/>
    </row>
    <row r="189" spans="8:39" s="419" customFormat="1" ht="15" customHeight="1">
      <c r="H189" s="531"/>
      <c r="I189" s="531"/>
      <c r="J189" s="531"/>
      <c r="K189" s="531"/>
      <c r="L189" s="531"/>
      <c r="N189" s="530"/>
      <c r="O189" s="530"/>
      <c r="P189" s="530"/>
      <c r="Q189" s="530"/>
      <c r="R189" s="530"/>
      <c r="S189" s="530"/>
      <c r="T189" s="530"/>
      <c r="U189" s="530"/>
      <c r="V189" s="530"/>
      <c r="W189" s="530"/>
      <c r="X189" s="530"/>
      <c r="Y189" s="530"/>
      <c r="Z189" s="530"/>
      <c r="AA189" s="530"/>
      <c r="AC189" s="530"/>
      <c r="AD189" s="530"/>
      <c r="AE189" s="530"/>
      <c r="AF189" s="530"/>
      <c r="AG189" s="530"/>
      <c r="AH189" s="530"/>
      <c r="AI189" s="530"/>
      <c r="AJ189" s="530"/>
      <c r="AK189" s="530"/>
      <c r="AL189" s="530"/>
      <c r="AM189" s="530"/>
    </row>
    <row r="190" spans="8:39" s="419" customFormat="1" ht="15" customHeight="1">
      <c r="H190" s="531"/>
      <c r="I190" s="531"/>
      <c r="J190" s="531"/>
      <c r="K190" s="531"/>
      <c r="L190" s="531"/>
      <c r="N190" s="530"/>
      <c r="O190" s="530"/>
      <c r="P190" s="530"/>
      <c r="Q190" s="530"/>
      <c r="R190" s="530"/>
      <c r="S190" s="530"/>
      <c r="T190" s="530"/>
      <c r="U190" s="530"/>
      <c r="V190" s="530"/>
      <c r="W190" s="530"/>
      <c r="X190" s="530"/>
      <c r="Y190" s="530"/>
      <c r="Z190" s="530"/>
      <c r="AA190" s="530"/>
      <c r="AC190" s="530"/>
      <c r="AD190" s="530"/>
      <c r="AE190" s="530"/>
      <c r="AF190" s="530"/>
      <c r="AG190" s="530"/>
      <c r="AH190" s="530"/>
      <c r="AI190" s="530"/>
      <c r="AJ190" s="530"/>
      <c r="AK190" s="530"/>
      <c r="AL190" s="530"/>
      <c r="AM190" s="530"/>
    </row>
    <row r="191" spans="8:39" s="419" customFormat="1" ht="15" customHeight="1">
      <c r="H191" s="531"/>
      <c r="I191" s="531"/>
      <c r="J191" s="531"/>
      <c r="K191" s="531"/>
      <c r="L191" s="531"/>
      <c r="N191" s="530"/>
      <c r="O191" s="530"/>
      <c r="P191" s="530"/>
      <c r="Q191" s="530"/>
      <c r="R191" s="530"/>
      <c r="S191" s="530"/>
      <c r="T191" s="530"/>
      <c r="U191" s="530"/>
      <c r="V191" s="530"/>
      <c r="W191" s="530"/>
      <c r="X191" s="530"/>
      <c r="Y191" s="530"/>
      <c r="Z191" s="530"/>
      <c r="AA191" s="530"/>
      <c r="AC191" s="530"/>
      <c r="AD191" s="530"/>
      <c r="AE191" s="530"/>
      <c r="AF191" s="530"/>
      <c r="AG191" s="530"/>
      <c r="AH191" s="530"/>
      <c r="AI191" s="530"/>
      <c r="AJ191" s="530"/>
      <c r="AK191" s="530"/>
      <c r="AL191" s="530"/>
      <c r="AM191" s="530"/>
    </row>
    <row r="192" spans="8:39" s="419" customFormat="1" ht="15" customHeight="1">
      <c r="H192" s="531"/>
      <c r="I192" s="531"/>
      <c r="J192" s="531"/>
      <c r="K192" s="531"/>
      <c r="L192" s="531"/>
      <c r="N192" s="530"/>
      <c r="O192" s="530"/>
      <c r="P192" s="530"/>
      <c r="Q192" s="530"/>
      <c r="R192" s="530"/>
      <c r="S192" s="530"/>
      <c r="T192" s="530"/>
      <c r="U192" s="530"/>
      <c r="V192" s="530"/>
      <c r="W192" s="530"/>
      <c r="X192" s="530"/>
      <c r="Y192" s="530"/>
      <c r="Z192" s="530"/>
      <c r="AA192" s="530"/>
      <c r="AC192" s="530"/>
      <c r="AD192" s="530"/>
      <c r="AE192" s="530"/>
      <c r="AF192" s="530"/>
      <c r="AG192" s="530"/>
      <c r="AH192" s="530"/>
      <c r="AI192" s="530"/>
      <c r="AJ192" s="530"/>
      <c r="AK192" s="530"/>
      <c r="AL192" s="530"/>
      <c r="AM192" s="530"/>
    </row>
    <row r="193" spans="8:39" s="419" customFormat="1" ht="15" customHeight="1">
      <c r="H193" s="531"/>
      <c r="I193" s="531"/>
      <c r="J193" s="531"/>
      <c r="K193" s="531"/>
      <c r="L193" s="531"/>
      <c r="N193" s="530"/>
      <c r="O193" s="530"/>
      <c r="P193" s="530"/>
      <c r="Q193" s="530"/>
      <c r="R193" s="530"/>
      <c r="S193" s="530"/>
      <c r="T193" s="530"/>
      <c r="U193" s="530"/>
      <c r="V193" s="530"/>
      <c r="W193" s="530"/>
      <c r="X193" s="530"/>
      <c r="Y193" s="530"/>
      <c r="Z193" s="530"/>
      <c r="AA193" s="530"/>
      <c r="AC193" s="530"/>
      <c r="AD193" s="530"/>
      <c r="AE193" s="530"/>
      <c r="AF193" s="530"/>
      <c r="AG193" s="530"/>
      <c r="AH193" s="530"/>
      <c r="AI193" s="530"/>
      <c r="AJ193" s="530"/>
      <c r="AK193" s="530"/>
      <c r="AL193" s="530"/>
      <c r="AM193" s="530"/>
    </row>
    <row r="194" spans="8:39" s="419" customFormat="1" ht="15" customHeight="1">
      <c r="H194" s="531"/>
      <c r="I194" s="531"/>
      <c r="J194" s="531"/>
      <c r="K194" s="531"/>
      <c r="L194" s="531"/>
      <c r="N194" s="530"/>
      <c r="O194" s="530"/>
      <c r="P194" s="530"/>
      <c r="Q194" s="530"/>
      <c r="R194" s="530"/>
      <c r="S194" s="530"/>
      <c r="T194" s="530"/>
      <c r="U194" s="530"/>
      <c r="V194" s="530"/>
      <c r="W194" s="530"/>
      <c r="X194" s="530"/>
      <c r="Y194" s="530"/>
      <c r="Z194" s="530"/>
      <c r="AA194" s="530"/>
      <c r="AC194" s="530"/>
      <c r="AD194" s="530"/>
      <c r="AE194" s="530"/>
      <c r="AF194" s="530"/>
      <c r="AG194" s="530"/>
      <c r="AH194" s="530"/>
      <c r="AI194" s="530"/>
      <c r="AJ194" s="530"/>
      <c r="AK194" s="530"/>
      <c r="AL194" s="530"/>
      <c r="AM194" s="530"/>
    </row>
    <row r="195" spans="8:39" s="419" customFormat="1" ht="15" customHeight="1">
      <c r="H195" s="531"/>
      <c r="I195" s="531"/>
      <c r="J195" s="531"/>
      <c r="K195" s="531"/>
      <c r="L195" s="531"/>
      <c r="N195" s="530"/>
      <c r="O195" s="530"/>
      <c r="P195" s="530"/>
      <c r="Q195" s="530"/>
      <c r="R195" s="530"/>
      <c r="S195" s="530"/>
      <c r="T195" s="530"/>
      <c r="U195" s="530"/>
      <c r="V195" s="530"/>
      <c r="W195" s="530"/>
      <c r="X195" s="530"/>
      <c r="Y195" s="530"/>
      <c r="Z195" s="530"/>
      <c r="AA195" s="530"/>
      <c r="AC195" s="530"/>
      <c r="AD195" s="530"/>
      <c r="AE195" s="530"/>
      <c r="AF195" s="530"/>
      <c r="AG195" s="530"/>
      <c r="AH195" s="530"/>
      <c r="AI195" s="530"/>
      <c r="AJ195" s="530"/>
      <c r="AK195" s="530"/>
      <c r="AL195" s="530"/>
      <c r="AM195" s="530"/>
    </row>
    <row r="196" spans="8:39" s="419" customFormat="1" ht="15" customHeight="1">
      <c r="H196" s="531"/>
      <c r="I196" s="531"/>
      <c r="J196" s="531"/>
      <c r="K196" s="531"/>
      <c r="L196" s="531"/>
      <c r="N196" s="530"/>
      <c r="O196" s="530"/>
      <c r="P196" s="530"/>
      <c r="Q196" s="530"/>
      <c r="R196" s="530"/>
      <c r="S196" s="530"/>
      <c r="T196" s="530"/>
      <c r="U196" s="530"/>
      <c r="V196" s="530"/>
      <c r="W196" s="530"/>
      <c r="X196" s="530"/>
      <c r="Y196" s="530"/>
      <c r="Z196" s="530"/>
      <c r="AA196" s="530"/>
      <c r="AC196" s="530"/>
      <c r="AD196" s="530"/>
      <c r="AE196" s="530"/>
      <c r="AF196" s="530"/>
      <c r="AG196" s="530"/>
      <c r="AH196" s="530"/>
      <c r="AI196" s="530"/>
      <c r="AJ196" s="530"/>
      <c r="AK196" s="530"/>
      <c r="AL196" s="530"/>
      <c r="AM196" s="530"/>
    </row>
    <row r="197" spans="8:39" s="419" customFormat="1" ht="15" customHeight="1">
      <c r="H197" s="531"/>
      <c r="I197" s="531"/>
      <c r="J197" s="531"/>
      <c r="K197" s="531"/>
      <c r="L197" s="531"/>
      <c r="N197" s="530"/>
      <c r="O197" s="530"/>
      <c r="P197" s="530"/>
      <c r="Q197" s="530"/>
      <c r="R197" s="530"/>
      <c r="S197" s="530"/>
      <c r="T197" s="530"/>
      <c r="U197" s="530"/>
      <c r="V197" s="530"/>
      <c r="W197" s="530"/>
      <c r="X197" s="530"/>
      <c r="Y197" s="530"/>
      <c r="Z197" s="530"/>
      <c r="AA197" s="530"/>
      <c r="AC197" s="530"/>
      <c r="AD197" s="530"/>
      <c r="AE197" s="530"/>
      <c r="AF197" s="530"/>
      <c r="AG197" s="530"/>
      <c r="AH197" s="530"/>
      <c r="AI197" s="530"/>
      <c r="AJ197" s="530"/>
      <c r="AK197" s="530"/>
      <c r="AL197" s="530"/>
      <c r="AM197" s="530"/>
    </row>
    <row r="198" spans="8:39" s="419" customFormat="1" ht="15" customHeight="1">
      <c r="H198" s="531"/>
      <c r="I198" s="531"/>
      <c r="J198" s="531"/>
      <c r="K198" s="531"/>
      <c r="L198" s="531"/>
      <c r="N198" s="530"/>
      <c r="O198" s="530"/>
      <c r="P198" s="530"/>
      <c r="Q198" s="530"/>
      <c r="R198" s="530"/>
      <c r="S198" s="530"/>
      <c r="T198" s="530"/>
      <c r="U198" s="530"/>
      <c r="V198" s="530"/>
      <c r="W198" s="530"/>
      <c r="X198" s="530"/>
      <c r="Y198" s="530"/>
      <c r="Z198" s="530"/>
      <c r="AA198" s="530"/>
      <c r="AC198" s="530"/>
      <c r="AD198" s="530"/>
      <c r="AE198" s="530"/>
      <c r="AF198" s="530"/>
      <c r="AG198" s="530"/>
      <c r="AH198" s="530"/>
      <c r="AI198" s="530"/>
      <c r="AJ198" s="530"/>
      <c r="AK198" s="530"/>
      <c r="AL198" s="530"/>
      <c r="AM198" s="530"/>
    </row>
    <row r="199" spans="8:39" s="419" customFormat="1" ht="15" customHeight="1">
      <c r="H199" s="531"/>
      <c r="I199" s="531"/>
      <c r="J199" s="531"/>
      <c r="K199" s="531"/>
      <c r="L199" s="531"/>
      <c r="N199" s="530"/>
      <c r="O199" s="530"/>
      <c r="P199" s="530"/>
      <c r="Q199" s="530"/>
      <c r="R199" s="530"/>
      <c r="S199" s="530"/>
      <c r="T199" s="530"/>
      <c r="U199" s="530"/>
      <c r="V199" s="530"/>
      <c r="W199" s="530"/>
      <c r="X199" s="530"/>
      <c r="Y199" s="530"/>
      <c r="Z199" s="530"/>
      <c r="AA199" s="530"/>
      <c r="AC199" s="530"/>
      <c r="AD199" s="530"/>
      <c r="AE199" s="530"/>
      <c r="AF199" s="530"/>
      <c r="AG199" s="530"/>
      <c r="AH199" s="530"/>
      <c r="AI199" s="530"/>
      <c r="AJ199" s="530"/>
      <c r="AK199" s="530"/>
      <c r="AL199" s="530"/>
      <c r="AM199" s="530"/>
    </row>
    <row r="200" spans="8:39" s="419" customFormat="1" ht="15" customHeight="1">
      <c r="H200" s="531"/>
      <c r="I200" s="531"/>
      <c r="J200" s="531"/>
      <c r="K200" s="531"/>
      <c r="L200" s="531"/>
      <c r="N200" s="530"/>
      <c r="O200" s="530"/>
      <c r="P200" s="530"/>
      <c r="Q200" s="530"/>
      <c r="R200" s="530"/>
      <c r="S200" s="530"/>
      <c r="T200" s="530"/>
      <c r="U200" s="530"/>
      <c r="V200" s="530"/>
      <c r="W200" s="530"/>
      <c r="X200" s="530"/>
      <c r="Y200" s="530"/>
      <c r="Z200" s="530"/>
      <c r="AA200" s="530"/>
      <c r="AC200" s="530"/>
      <c r="AD200" s="530"/>
      <c r="AE200" s="530"/>
      <c r="AF200" s="530"/>
      <c r="AG200" s="530"/>
      <c r="AH200" s="530"/>
      <c r="AI200" s="530"/>
      <c r="AJ200" s="530"/>
      <c r="AK200" s="530"/>
      <c r="AL200" s="530"/>
      <c r="AM200" s="530"/>
    </row>
    <row r="201" spans="8:39" s="419" customFormat="1" ht="15" customHeight="1">
      <c r="H201" s="531"/>
      <c r="I201" s="531"/>
      <c r="J201" s="531"/>
      <c r="K201" s="531"/>
      <c r="L201" s="531"/>
      <c r="N201" s="530"/>
      <c r="O201" s="530"/>
      <c r="P201" s="530"/>
      <c r="Q201" s="530"/>
      <c r="R201" s="530"/>
      <c r="S201" s="530"/>
      <c r="T201" s="530"/>
      <c r="U201" s="530"/>
      <c r="V201" s="530"/>
      <c r="W201" s="530"/>
      <c r="X201" s="530"/>
      <c r="Y201" s="530"/>
      <c r="Z201" s="530"/>
      <c r="AA201" s="530"/>
      <c r="AC201" s="530"/>
      <c r="AD201" s="530"/>
      <c r="AE201" s="530"/>
      <c r="AF201" s="530"/>
      <c r="AG201" s="530"/>
      <c r="AH201" s="530"/>
      <c r="AI201" s="530"/>
      <c r="AJ201" s="530"/>
      <c r="AK201" s="530"/>
      <c r="AL201" s="530"/>
      <c r="AM201" s="530"/>
    </row>
    <row r="202" spans="8:39" s="419" customFormat="1" ht="15" customHeight="1">
      <c r="H202" s="531"/>
      <c r="I202" s="531"/>
      <c r="J202" s="531"/>
      <c r="K202" s="531"/>
      <c r="L202" s="531"/>
      <c r="N202" s="530"/>
      <c r="O202" s="530"/>
      <c r="P202" s="530"/>
      <c r="Q202" s="530"/>
      <c r="R202" s="530"/>
      <c r="S202" s="530"/>
      <c r="T202" s="530"/>
      <c r="U202" s="530"/>
      <c r="V202" s="530"/>
      <c r="W202" s="530"/>
      <c r="X202" s="530"/>
      <c r="Y202" s="530"/>
      <c r="Z202" s="530"/>
      <c r="AA202" s="530"/>
      <c r="AC202" s="530"/>
      <c r="AD202" s="530"/>
      <c r="AE202" s="530"/>
      <c r="AF202" s="530"/>
      <c r="AG202" s="530"/>
      <c r="AH202" s="530"/>
      <c r="AI202" s="530"/>
      <c r="AJ202" s="530"/>
      <c r="AK202" s="530"/>
      <c r="AL202" s="530"/>
      <c r="AM202" s="530"/>
    </row>
    <row r="203" spans="8:39" s="419" customFormat="1" ht="15" customHeight="1">
      <c r="H203" s="531"/>
      <c r="I203" s="531"/>
      <c r="J203" s="531"/>
      <c r="K203" s="531"/>
      <c r="L203" s="531"/>
      <c r="N203" s="530"/>
      <c r="O203" s="530"/>
      <c r="P203" s="530"/>
      <c r="Q203" s="530"/>
      <c r="R203" s="530"/>
      <c r="S203" s="530"/>
      <c r="T203" s="530"/>
      <c r="U203" s="530"/>
      <c r="V203" s="530"/>
      <c r="W203" s="530"/>
      <c r="X203" s="530"/>
      <c r="Y203" s="530"/>
      <c r="Z203" s="530"/>
      <c r="AA203" s="530"/>
      <c r="AC203" s="530"/>
      <c r="AD203" s="530"/>
      <c r="AE203" s="530"/>
      <c r="AF203" s="530"/>
      <c r="AG203" s="530"/>
      <c r="AH203" s="530"/>
      <c r="AI203" s="530"/>
      <c r="AJ203" s="530"/>
      <c r="AK203" s="530"/>
      <c r="AL203" s="530"/>
      <c r="AM203" s="530"/>
    </row>
    <row r="204" spans="8:39" s="419" customFormat="1" ht="15" customHeight="1">
      <c r="H204" s="531"/>
      <c r="I204" s="531"/>
      <c r="J204" s="531"/>
      <c r="K204" s="531"/>
      <c r="L204" s="531"/>
      <c r="N204" s="530"/>
      <c r="O204" s="530"/>
      <c r="P204" s="530"/>
      <c r="Q204" s="530"/>
      <c r="R204" s="530"/>
      <c r="S204" s="530"/>
      <c r="T204" s="530"/>
      <c r="U204" s="530"/>
      <c r="V204" s="530"/>
      <c r="W204" s="530"/>
      <c r="X204" s="530"/>
      <c r="Y204" s="530"/>
      <c r="Z204" s="530"/>
      <c r="AA204" s="530"/>
      <c r="AC204" s="530"/>
      <c r="AD204" s="530"/>
      <c r="AE204" s="530"/>
      <c r="AF204" s="530"/>
      <c r="AG204" s="530"/>
      <c r="AH204" s="530"/>
      <c r="AI204" s="530"/>
      <c r="AJ204" s="530"/>
      <c r="AK204" s="530"/>
      <c r="AL204" s="530"/>
      <c r="AM204" s="530"/>
    </row>
    <row r="205" spans="8:39" s="419" customFormat="1" ht="15" customHeight="1">
      <c r="H205" s="531"/>
      <c r="I205" s="531"/>
      <c r="J205" s="531"/>
      <c r="K205" s="531"/>
      <c r="L205" s="531"/>
      <c r="N205" s="530"/>
      <c r="O205" s="530"/>
      <c r="P205" s="530"/>
      <c r="Q205" s="530"/>
      <c r="R205" s="530"/>
      <c r="S205" s="530"/>
      <c r="T205" s="530"/>
      <c r="U205" s="530"/>
      <c r="V205" s="530"/>
      <c r="W205" s="530"/>
      <c r="X205" s="530"/>
      <c r="Y205" s="530"/>
      <c r="Z205" s="530"/>
      <c r="AA205" s="530"/>
      <c r="AC205" s="530"/>
      <c r="AD205" s="530"/>
      <c r="AE205" s="530"/>
      <c r="AF205" s="530"/>
      <c r="AG205" s="530"/>
      <c r="AH205" s="530"/>
      <c r="AI205" s="530"/>
      <c r="AJ205" s="530"/>
      <c r="AK205" s="530"/>
      <c r="AL205" s="530"/>
      <c r="AM205" s="530"/>
    </row>
    <row r="206" spans="8:39" s="419" customFormat="1" ht="15" customHeight="1">
      <c r="H206" s="531"/>
      <c r="I206" s="531"/>
      <c r="J206" s="531"/>
      <c r="K206" s="531"/>
      <c r="L206" s="531"/>
      <c r="N206" s="530"/>
      <c r="O206" s="530"/>
      <c r="P206" s="530"/>
      <c r="Q206" s="530"/>
      <c r="R206" s="530"/>
      <c r="S206" s="530"/>
      <c r="T206" s="530"/>
      <c r="U206" s="530"/>
      <c r="V206" s="530"/>
      <c r="W206" s="530"/>
      <c r="X206" s="530"/>
      <c r="Y206" s="530"/>
      <c r="Z206" s="530"/>
      <c r="AA206" s="530"/>
      <c r="AC206" s="530"/>
      <c r="AD206" s="530"/>
      <c r="AE206" s="530"/>
      <c r="AF206" s="530"/>
      <c r="AG206" s="530"/>
      <c r="AH206" s="530"/>
      <c r="AI206" s="530"/>
      <c r="AJ206" s="530"/>
      <c r="AK206" s="530"/>
      <c r="AL206" s="530"/>
      <c r="AM206" s="530"/>
    </row>
    <row r="207" spans="8:39" s="419" customFormat="1" ht="15" customHeight="1">
      <c r="H207" s="531"/>
      <c r="I207" s="531"/>
      <c r="J207" s="531"/>
      <c r="K207" s="531"/>
      <c r="L207" s="531"/>
      <c r="N207" s="530"/>
      <c r="O207" s="530"/>
      <c r="P207" s="530"/>
      <c r="Q207" s="530"/>
      <c r="R207" s="530"/>
      <c r="S207" s="530"/>
      <c r="T207" s="530"/>
      <c r="U207" s="530"/>
      <c r="V207" s="530"/>
      <c r="W207" s="530"/>
      <c r="X207" s="530"/>
      <c r="Y207" s="530"/>
      <c r="Z207" s="530"/>
      <c r="AA207" s="530"/>
      <c r="AC207" s="530"/>
      <c r="AD207" s="530"/>
      <c r="AE207" s="530"/>
      <c r="AF207" s="530"/>
      <c r="AG207" s="530"/>
      <c r="AH207" s="530"/>
      <c r="AI207" s="530"/>
      <c r="AJ207" s="530"/>
      <c r="AK207" s="530"/>
      <c r="AL207" s="530"/>
      <c r="AM207" s="530"/>
    </row>
    <row r="208" spans="8:39" s="419" customFormat="1" ht="15" customHeight="1">
      <c r="H208" s="531"/>
      <c r="I208" s="531"/>
      <c r="J208" s="531"/>
      <c r="K208" s="531"/>
      <c r="L208" s="531"/>
      <c r="N208" s="530"/>
      <c r="O208" s="530"/>
      <c r="P208" s="530"/>
      <c r="Q208" s="530"/>
      <c r="R208" s="530"/>
      <c r="S208" s="530"/>
      <c r="T208" s="530"/>
      <c r="U208" s="530"/>
      <c r="V208" s="530"/>
      <c r="W208" s="530"/>
      <c r="X208" s="530"/>
      <c r="Y208" s="530"/>
      <c r="Z208" s="530"/>
      <c r="AA208" s="530"/>
      <c r="AC208" s="530"/>
      <c r="AD208" s="530"/>
      <c r="AE208" s="530"/>
      <c r="AF208" s="530"/>
      <c r="AG208" s="530"/>
      <c r="AH208" s="530"/>
      <c r="AI208" s="530"/>
      <c r="AJ208" s="530"/>
      <c r="AK208" s="530"/>
      <c r="AL208" s="530"/>
      <c r="AM208" s="530"/>
    </row>
    <row r="209" spans="8:39" s="419" customFormat="1" ht="15" customHeight="1">
      <c r="H209" s="531"/>
      <c r="I209" s="531"/>
      <c r="J209" s="531"/>
      <c r="K209" s="531"/>
      <c r="L209" s="531"/>
      <c r="N209" s="530"/>
      <c r="O209" s="530"/>
      <c r="P209" s="530"/>
      <c r="Q209" s="530"/>
      <c r="R209" s="530"/>
      <c r="S209" s="530"/>
      <c r="T209" s="530"/>
      <c r="U209" s="530"/>
      <c r="V209" s="530"/>
      <c r="W209" s="530"/>
      <c r="X209" s="530"/>
      <c r="Y209" s="530"/>
      <c r="Z209" s="530"/>
      <c r="AA209" s="530"/>
      <c r="AC209" s="530"/>
      <c r="AD209" s="530"/>
      <c r="AE209" s="530"/>
      <c r="AF209" s="530"/>
      <c r="AG209" s="530"/>
      <c r="AH209" s="530"/>
      <c r="AI209" s="530"/>
      <c r="AJ209" s="530"/>
      <c r="AK209" s="530"/>
      <c r="AL209" s="530"/>
      <c r="AM209" s="530"/>
    </row>
    <row r="210" spans="8:39" s="419" customFormat="1" ht="15" customHeight="1">
      <c r="H210" s="531"/>
      <c r="I210" s="531"/>
      <c r="J210" s="531"/>
      <c r="K210" s="531"/>
      <c r="L210" s="531"/>
      <c r="N210" s="530"/>
      <c r="O210" s="530"/>
      <c r="P210" s="530"/>
      <c r="Q210" s="530"/>
      <c r="R210" s="530"/>
      <c r="S210" s="530"/>
      <c r="T210" s="530"/>
      <c r="U210" s="530"/>
      <c r="V210" s="530"/>
      <c r="W210" s="530"/>
      <c r="X210" s="530"/>
      <c r="Y210" s="530"/>
      <c r="Z210" s="530"/>
      <c r="AA210" s="530"/>
      <c r="AC210" s="530"/>
      <c r="AD210" s="530"/>
      <c r="AE210" s="530"/>
      <c r="AF210" s="530"/>
      <c r="AG210" s="530"/>
      <c r="AH210" s="530"/>
      <c r="AI210" s="530"/>
      <c r="AJ210" s="530"/>
      <c r="AK210" s="530"/>
      <c r="AL210" s="530"/>
      <c r="AM210" s="530"/>
    </row>
    <row r="211" spans="8:39" s="419" customFormat="1" ht="15" customHeight="1">
      <c r="H211" s="531"/>
      <c r="I211" s="531"/>
      <c r="J211" s="531"/>
      <c r="K211" s="531"/>
      <c r="L211" s="531"/>
      <c r="N211" s="530"/>
      <c r="O211" s="530"/>
      <c r="P211" s="530"/>
      <c r="Q211" s="530"/>
      <c r="R211" s="530"/>
      <c r="S211" s="530"/>
      <c r="T211" s="530"/>
      <c r="U211" s="530"/>
      <c r="V211" s="530"/>
      <c r="W211" s="530"/>
      <c r="X211" s="530"/>
      <c r="Y211" s="530"/>
      <c r="Z211" s="530"/>
      <c r="AA211" s="530"/>
      <c r="AC211" s="530"/>
      <c r="AD211" s="530"/>
      <c r="AE211" s="530"/>
      <c r="AF211" s="530"/>
      <c r="AG211" s="530"/>
      <c r="AH211" s="530"/>
      <c r="AI211" s="530"/>
      <c r="AJ211" s="530"/>
      <c r="AK211" s="530"/>
      <c r="AL211" s="530"/>
      <c r="AM211" s="530"/>
    </row>
    <row r="212" spans="8:39" s="419" customFormat="1" ht="15" customHeight="1">
      <c r="H212" s="531"/>
      <c r="I212" s="531"/>
      <c r="J212" s="531"/>
      <c r="K212" s="531"/>
      <c r="L212" s="531"/>
      <c r="N212" s="530"/>
      <c r="O212" s="530"/>
      <c r="P212" s="530"/>
      <c r="Q212" s="530"/>
      <c r="R212" s="530"/>
      <c r="S212" s="530"/>
      <c r="T212" s="530"/>
      <c r="U212" s="530"/>
      <c r="V212" s="530"/>
      <c r="W212" s="530"/>
      <c r="X212" s="530"/>
      <c r="Y212" s="530"/>
      <c r="Z212" s="530"/>
      <c r="AA212" s="530"/>
      <c r="AC212" s="530"/>
      <c r="AD212" s="530"/>
      <c r="AE212" s="530"/>
      <c r="AF212" s="530"/>
      <c r="AG212" s="530"/>
      <c r="AH212" s="530"/>
      <c r="AI212" s="530"/>
      <c r="AJ212" s="530"/>
      <c r="AK212" s="530"/>
      <c r="AL212" s="530"/>
      <c r="AM212" s="530"/>
    </row>
    <row r="213" spans="8:39" s="419" customFormat="1" ht="15" customHeight="1">
      <c r="H213" s="531"/>
      <c r="I213" s="531"/>
      <c r="J213" s="531"/>
      <c r="K213" s="531"/>
      <c r="L213" s="531"/>
      <c r="N213" s="530"/>
      <c r="O213" s="530"/>
      <c r="P213" s="530"/>
      <c r="Q213" s="530"/>
      <c r="R213" s="530"/>
      <c r="S213" s="530"/>
      <c r="T213" s="530"/>
      <c r="U213" s="530"/>
      <c r="V213" s="530"/>
      <c r="W213" s="530"/>
      <c r="X213" s="530"/>
      <c r="Y213" s="530"/>
      <c r="Z213" s="530"/>
      <c r="AA213" s="530"/>
      <c r="AC213" s="530"/>
      <c r="AD213" s="530"/>
      <c r="AE213" s="530"/>
      <c r="AF213" s="530"/>
      <c r="AG213" s="530"/>
      <c r="AH213" s="530"/>
      <c r="AI213" s="530"/>
      <c r="AJ213" s="530"/>
      <c r="AK213" s="530"/>
      <c r="AL213" s="530"/>
      <c r="AM213" s="530"/>
    </row>
    <row r="214" spans="8:39" s="419" customFormat="1" ht="15" customHeight="1">
      <c r="H214" s="531"/>
      <c r="I214" s="531"/>
      <c r="J214" s="531"/>
      <c r="K214" s="531"/>
      <c r="L214" s="531"/>
      <c r="N214" s="530"/>
      <c r="O214" s="530"/>
      <c r="P214" s="530"/>
      <c r="Q214" s="530"/>
      <c r="R214" s="530"/>
      <c r="S214" s="530"/>
      <c r="T214" s="530"/>
      <c r="U214" s="530"/>
      <c r="V214" s="530"/>
      <c r="W214" s="530"/>
      <c r="X214" s="530"/>
      <c r="Y214" s="530"/>
      <c r="Z214" s="530"/>
      <c r="AA214" s="530"/>
      <c r="AC214" s="530"/>
      <c r="AD214" s="530"/>
      <c r="AE214" s="530"/>
      <c r="AF214" s="530"/>
      <c r="AG214" s="530"/>
      <c r="AH214" s="530"/>
      <c r="AI214" s="530"/>
      <c r="AJ214" s="530"/>
      <c r="AK214" s="530"/>
      <c r="AL214" s="530"/>
      <c r="AM214" s="530"/>
    </row>
    <row r="215" spans="8:39" s="419" customFormat="1" ht="15" customHeight="1">
      <c r="H215" s="531"/>
      <c r="I215" s="531"/>
      <c r="J215" s="531"/>
      <c r="K215" s="531"/>
      <c r="L215" s="531"/>
      <c r="N215" s="530"/>
      <c r="O215" s="530"/>
      <c r="P215" s="530"/>
      <c r="Q215" s="530"/>
      <c r="R215" s="530"/>
      <c r="S215" s="530"/>
      <c r="T215" s="530"/>
      <c r="U215" s="530"/>
      <c r="V215" s="530"/>
      <c r="W215" s="530"/>
      <c r="X215" s="530"/>
      <c r="Y215" s="530"/>
      <c r="Z215" s="530"/>
      <c r="AA215" s="530"/>
      <c r="AC215" s="530"/>
      <c r="AD215" s="530"/>
      <c r="AE215" s="530"/>
      <c r="AF215" s="530"/>
      <c r="AG215" s="530"/>
      <c r="AH215" s="530"/>
      <c r="AI215" s="530"/>
      <c r="AJ215" s="530"/>
      <c r="AK215" s="530"/>
      <c r="AL215" s="530"/>
      <c r="AM215" s="530"/>
    </row>
    <row r="216" spans="8:39" s="419" customFormat="1" ht="15" customHeight="1">
      <c r="H216" s="531"/>
      <c r="I216" s="531"/>
      <c r="J216" s="531"/>
      <c r="K216" s="531"/>
      <c r="L216" s="531"/>
      <c r="N216" s="530"/>
      <c r="O216" s="530"/>
      <c r="P216" s="530"/>
      <c r="Q216" s="530"/>
      <c r="R216" s="530"/>
      <c r="S216" s="530"/>
      <c r="T216" s="530"/>
      <c r="U216" s="530"/>
      <c r="V216" s="530"/>
      <c r="W216" s="530"/>
      <c r="X216" s="530"/>
      <c r="Y216" s="530"/>
      <c r="Z216" s="530"/>
      <c r="AA216" s="530"/>
      <c r="AC216" s="530"/>
      <c r="AD216" s="530"/>
      <c r="AE216" s="530"/>
      <c r="AF216" s="530"/>
      <c r="AG216" s="530"/>
      <c r="AH216" s="530"/>
      <c r="AI216" s="530"/>
      <c r="AJ216" s="530"/>
      <c r="AK216" s="530"/>
      <c r="AL216" s="530"/>
      <c r="AM216" s="530"/>
    </row>
  </sheetData>
  <mergeCells count="20">
    <mergeCell ref="A5:AD5"/>
    <mergeCell ref="A6:F6"/>
    <mergeCell ref="H6:L6"/>
    <mergeCell ref="N6:X6"/>
    <mergeCell ref="Z6:AA6"/>
    <mergeCell ref="AC6:AD6"/>
    <mergeCell ref="AJ6:AK6"/>
    <mergeCell ref="N8:O8"/>
    <mergeCell ref="Q8:R8"/>
    <mergeCell ref="T8:U8"/>
    <mergeCell ref="W8:X8"/>
    <mergeCell ref="Z8:AA8"/>
    <mergeCell ref="AC8:AD8"/>
    <mergeCell ref="AF8:AG8"/>
    <mergeCell ref="AI8:AK8"/>
    <mergeCell ref="AO8:AQ8"/>
    <mergeCell ref="AS8:AU8"/>
    <mergeCell ref="AW8:AY8"/>
    <mergeCell ref="BA8:BC8"/>
    <mergeCell ref="I9:L9"/>
  </mergeCells>
  <dataValidations count="2">
    <dataValidation allowBlank="1" showInputMessage="1" errorTitle="DontRemoveTheErrorMessage" error="_41__FDSAUDITLINK__" sqref="I1:I4" xr:uid="{C2995179-463A-48FF-AB43-CE51AAB9B09E}"/>
    <dataValidation allowBlank="1" showInputMessage="1" errorTitle="DontRemoveTheErrorMessage" error="_3__FDSAUDITLINK__" sqref="J1:J4" xr:uid="{F6D97B20-B9F7-4E7F-97C4-50E33E3AB836}"/>
  </dataValidations>
  <pageMargins left="0.44999999999999996" right="0.44999999999999996" top="0.5" bottom="0.5" header="0.3" footer="0.3"/>
  <pageSetup scale="73" orientation="landscape" r:id="rId1"/>
  <colBreaks count="1" manualBreakCount="1">
    <brk id="4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756B4-0B62-4147-B48E-52F458A84720}">
  <dimension ref="A1:AV28"/>
  <sheetViews>
    <sheetView workbookViewId="0">
      <selection activeCell="A10" sqref="A10:AM28"/>
    </sheetView>
  </sheetViews>
  <sheetFormatPr defaultColWidth="10.6640625" defaultRowHeight="14.25" outlineLevelRow="1" outlineLevelCol="1"/>
  <cols>
    <col min="1" max="1" width="10.6640625" style="316"/>
    <col min="2" max="2" width="33.1640625" style="316" customWidth="1"/>
    <col min="3" max="3" width="20.33203125" style="316" customWidth="1"/>
    <col min="4" max="4" width="22.5" style="316" customWidth="1"/>
    <col min="5" max="5" width="11.6640625" style="316" hidden="1" customWidth="1" outlineLevel="1"/>
    <col min="6" max="8" width="11.5" style="316" hidden="1" customWidth="1" outlineLevel="1"/>
    <col min="9" max="9" width="11.5" style="316" hidden="1" customWidth="1" collapsed="1"/>
    <col min="10" max="24" width="11.5" style="316" hidden="1" customWidth="1"/>
    <col min="25" max="25" width="11.33203125" style="316" hidden="1" customWidth="1"/>
    <col min="26" max="28" width="10.6640625" style="316" hidden="1" customWidth="1"/>
    <col min="29" max="29" width="10.6640625" style="316"/>
    <col min="30" max="33" width="10.6640625" style="316" hidden="1" customWidth="1"/>
    <col min="34" max="34" width="10.6640625" style="316"/>
    <col min="35" max="38" width="10.6640625" style="316" hidden="1" customWidth="1"/>
    <col min="39" max="42" width="10.6640625" style="316"/>
    <col min="43" max="43" width="27.5" style="316" bestFit="1" customWidth="1"/>
    <col min="44" max="44" width="21.5" style="316" bestFit="1" customWidth="1"/>
    <col min="45" max="45" width="13" style="316" customWidth="1"/>
    <col min="46" max="16384" width="10.6640625" style="316"/>
  </cols>
  <sheetData>
    <row r="1" spans="1:48" ht="20.25">
      <c r="A1" s="313"/>
      <c r="B1" s="313"/>
      <c r="C1" s="314" t="s">
        <v>521</v>
      </c>
      <c r="D1" s="313"/>
      <c r="E1" s="313"/>
      <c r="F1" s="315"/>
      <c r="G1" s="315"/>
      <c r="H1" s="313"/>
      <c r="I1" s="315"/>
      <c r="J1" s="313"/>
      <c r="K1" s="313"/>
      <c r="L1" s="313"/>
      <c r="M1" s="313"/>
      <c r="N1" s="313"/>
      <c r="O1" s="313"/>
      <c r="P1" s="313"/>
      <c r="Q1" s="313"/>
      <c r="R1" s="313"/>
      <c r="S1" s="313"/>
      <c r="T1" s="313"/>
      <c r="U1" s="313"/>
      <c r="V1" s="313"/>
      <c r="W1" s="313"/>
      <c r="X1" s="313"/>
      <c r="AQ1" s="317" t="s">
        <v>522</v>
      </c>
      <c r="AR1" s="318"/>
      <c r="AS1" s="319"/>
      <c r="AT1" s="320"/>
      <c r="AU1" s="320"/>
      <c r="AV1" s="321"/>
    </row>
    <row r="2" spans="1:48" ht="15" thickBot="1">
      <c r="A2" s="322"/>
      <c r="B2" s="322"/>
      <c r="C2" s="322"/>
      <c r="D2" s="322"/>
      <c r="E2" s="322"/>
      <c r="F2" s="322"/>
      <c r="G2" s="322"/>
      <c r="H2" s="322"/>
      <c r="I2" s="322"/>
      <c r="J2" s="322"/>
      <c r="K2" s="322"/>
      <c r="L2" s="322"/>
      <c r="M2" s="322"/>
      <c r="N2" s="322"/>
      <c r="O2" s="322"/>
      <c r="P2" s="322"/>
      <c r="Q2" s="322"/>
      <c r="R2" s="322"/>
      <c r="S2" s="322"/>
      <c r="T2" s="322"/>
      <c r="U2" s="322"/>
      <c r="V2" s="322"/>
      <c r="W2" s="322"/>
      <c r="X2" s="322"/>
      <c r="AQ2" s="323"/>
      <c r="AR2" s="324"/>
      <c r="AS2" s="325"/>
      <c r="AT2" s="326"/>
      <c r="AU2" s="326"/>
      <c r="AV2" s="327"/>
    </row>
    <row r="3" spans="1:48" ht="15" thickBot="1">
      <c r="AQ3" s="328" t="s">
        <v>487</v>
      </c>
      <c r="AR3" s="329" t="s">
        <v>523</v>
      </c>
      <c r="AS3" s="330" t="s">
        <v>524</v>
      </c>
      <c r="AT3" s="326"/>
      <c r="AV3" s="327"/>
    </row>
    <row r="4" spans="1:48" ht="15.75">
      <c r="A4" s="331" t="s">
        <v>525</v>
      </c>
      <c r="B4" s="332"/>
      <c r="C4" s="332"/>
      <c r="D4" s="332"/>
      <c r="E4" s="332"/>
      <c r="F4" s="332"/>
      <c r="G4" s="332"/>
      <c r="H4" s="332"/>
      <c r="I4" s="332"/>
      <c r="J4" s="332"/>
      <c r="K4" s="332"/>
      <c r="L4" s="332"/>
      <c r="M4" s="332"/>
      <c r="N4" s="332"/>
      <c r="O4" s="332"/>
      <c r="P4" s="332"/>
      <c r="Q4" s="332"/>
      <c r="R4" s="332"/>
      <c r="S4" s="332"/>
      <c r="T4" s="332"/>
      <c r="U4" s="332"/>
      <c r="V4" s="332"/>
      <c r="W4" s="332"/>
      <c r="X4" s="332"/>
      <c r="AQ4" s="323" t="s">
        <v>526</v>
      </c>
      <c r="AR4" s="324"/>
      <c r="AS4" s="325"/>
      <c r="AT4" s="326"/>
      <c r="AV4" s="327"/>
    </row>
    <row r="5" spans="1:48" ht="15" outlineLevel="1" thickBot="1">
      <c r="A5" s="333"/>
      <c r="B5" s="334"/>
      <c r="C5" s="334"/>
      <c r="D5" s="334"/>
      <c r="E5" s="334"/>
      <c r="F5" s="334"/>
      <c r="G5" s="334"/>
      <c r="H5" s="334"/>
      <c r="I5" s="334"/>
      <c r="J5" s="334"/>
      <c r="K5" s="334"/>
      <c r="L5" s="334"/>
      <c r="M5" s="334"/>
      <c r="N5" s="334"/>
      <c r="O5" s="334"/>
      <c r="P5" s="334"/>
      <c r="Q5" s="334"/>
      <c r="R5" s="334"/>
      <c r="S5" s="334"/>
      <c r="T5" s="334"/>
      <c r="U5" s="334"/>
      <c r="V5" s="334"/>
      <c r="W5" s="334"/>
      <c r="X5" s="334"/>
      <c r="AQ5" s="323" t="s">
        <v>527</v>
      </c>
      <c r="AR5" s="324"/>
      <c r="AS5" s="325"/>
      <c r="AT5" s="326"/>
      <c r="AV5" s="327"/>
    </row>
    <row r="6" spans="1:48" ht="15" outlineLevel="1" thickBot="1">
      <c r="A6" s="333"/>
      <c r="B6" s="335" t="s">
        <v>528</v>
      </c>
      <c r="C6" s="293" t="s">
        <v>514</v>
      </c>
      <c r="D6" s="336" t="s">
        <v>529</v>
      </c>
      <c r="E6" s="337"/>
      <c r="F6" s="337"/>
      <c r="G6" s="334"/>
      <c r="H6" s="334"/>
      <c r="I6" s="334"/>
      <c r="J6" s="338" t="s">
        <v>530</v>
      </c>
      <c r="K6" s="334"/>
      <c r="L6" s="334"/>
      <c r="M6" s="334"/>
      <c r="N6" s="334"/>
      <c r="O6" s="334"/>
      <c r="P6" s="334"/>
      <c r="Q6" s="334"/>
      <c r="R6" s="334"/>
      <c r="S6" s="334"/>
      <c r="T6" s="334"/>
      <c r="U6" s="334"/>
      <c r="V6" s="334"/>
      <c r="W6" s="334"/>
      <c r="X6" s="334"/>
      <c r="AQ6" s="323" t="s">
        <v>531</v>
      </c>
      <c r="AR6" s="339" t="s">
        <v>532</v>
      </c>
      <c r="AS6" s="325" t="s">
        <v>533</v>
      </c>
      <c r="AT6" s="326"/>
      <c r="AV6" s="327"/>
    </row>
    <row r="7" spans="1:48" outlineLevel="1">
      <c r="B7" s="340" t="s">
        <v>534</v>
      </c>
      <c r="C7" s="341" t="s">
        <v>535</v>
      </c>
      <c r="D7" s="340" t="s">
        <v>536</v>
      </c>
      <c r="E7" s="342" t="s">
        <v>537</v>
      </c>
      <c r="F7" s="343"/>
      <c r="G7" s="344"/>
      <c r="H7" s="344"/>
      <c r="I7" s="345"/>
      <c r="J7" s="1083" t="s">
        <v>538</v>
      </c>
      <c r="K7" s="1084"/>
      <c r="L7" s="1084"/>
      <c r="M7" s="1084"/>
      <c r="N7" s="1084"/>
      <c r="O7" s="1084"/>
      <c r="P7" s="1085"/>
      <c r="AQ7" s="323" t="s">
        <v>539</v>
      </c>
      <c r="AR7" s="339" t="s">
        <v>540</v>
      </c>
      <c r="AS7" s="325" t="s">
        <v>541</v>
      </c>
      <c r="AT7" s="326"/>
      <c r="AV7" s="327"/>
    </row>
    <row r="8" spans="1:48" ht="15" outlineLevel="1" thickBot="1">
      <c r="A8" s="346"/>
      <c r="B8" s="347" t="s">
        <v>542</v>
      </c>
      <c r="C8" s="294" t="s">
        <v>526</v>
      </c>
      <c r="D8" s="348" t="s">
        <v>543</v>
      </c>
      <c r="E8" s="349" t="str">
        <f>_xll.BLUEMATRIX2("/servlet/excelData",C8, $C$6,$D8)</f>
        <v>#</v>
      </c>
      <c r="F8" s="350"/>
      <c r="G8" s="351"/>
      <c r="H8" s="351"/>
      <c r="I8" s="352"/>
      <c r="J8" s="1086"/>
      <c r="K8" s="1087"/>
      <c r="L8" s="1087"/>
      <c r="M8" s="1087"/>
      <c r="N8" s="1087"/>
      <c r="O8" s="1087"/>
      <c r="P8" s="1088"/>
      <c r="AQ8" s="353"/>
      <c r="AR8" s="339" t="s">
        <v>544</v>
      </c>
      <c r="AS8" s="325" t="s">
        <v>545</v>
      </c>
      <c r="AT8" s="326"/>
      <c r="AV8" s="327"/>
    </row>
    <row r="9" spans="1:48">
      <c r="AQ9" s="353"/>
      <c r="AR9" s="339" t="s">
        <v>546</v>
      </c>
      <c r="AS9" s="325" t="s">
        <v>547</v>
      </c>
    </row>
    <row r="10" spans="1:48" ht="15.75">
      <c r="A10" s="331" t="s">
        <v>548</v>
      </c>
      <c r="B10" s="332"/>
      <c r="C10" s="332"/>
      <c r="D10" s="332"/>
      <c r="E10" s="332"/>
      <c r="F10" s="332"/>
      <c r="G10" s="332"/>
      <c r="H10" s="332"/>
      <c r="I10" s="332"/>
      <c r="J10" s="332"/>
      <c r="K10" s="332"/>
      <c r="L10" s="332"/>
      <c r="M10" s="332"/>
      <c r="N10" s="332"/>
      <c r="O10" s="332"/>
      <c r="P10" s="332"/>
      <c r="Q10" s="332"/>
      <c r="R10" s="332"/>
      <c r="S10" s="332"/>
      <c r="T10" s="332"/>
      <c r="U10" s="332"/>
      <c r="V10" s="332"/>
      <c r="W10" s="332"/>
      <c r="X10" s="332"/>
      <c r="AQ10" s="353"/>
      <c r="AR10" s="339" t="s">
        <v>549</v>
      </c>
      <c r="AS10" s="325" t="s">
        <v>550</v>
      </c>
    </row>
    <row r="11" spans="1:48" ht="15" outlineLevel="1" thickBot="1">
      <c r="E11" s="336" t="s">
        <v>551</v>
      </c>
      <c r="AQ11" s="353"/>
      <c r="AR11" s="339" t="s">
        <v>552</v>
      </c>
      <c r="AS11" s="325" t="s">
        <v>553</v>
      </c>
    </row>
    <row r="12" spans="1:48" s="360" customFormat="1" ht="15" outlineLevel="1" thickBot="1">
      <c r="A12" s="354"/>
      <c r="B12" s="295"/>
      <c r="C12" s="316"/>
      <c r="D12" s="1089" t="s">
        <v>554</v>
      </c>
      <c r="E12" s="355">
        <f>$C$12-3</f>
        <v>-3</v>
      </c>
      <c r="F12" s="356">
        <f>$C$12-3</f>
        <v>-3</v>
      </c>
      <c r="G12" s="356">
        <f>$C$12-3</f>
        <v>-3</v>
      </c>
      <c r="H12" s="356">
        <f>$C$12-3</f>
        <v>-3</v>
      </c>
      <c r="I12" s="357">
        <f>$C$12-3</f>
        <v>-3</v>
      </c>
      <c r="J12" s="355">
        <v>2022</v>
      </c>
      <c r="K12" s="356">
        <v>2022</v>
      </c>
      <c r="L12" s="356">
        <v>2022</v>
      </c>
      <c r="M12" s="356">
        <v>2022</v>
      </c>
      <c r="N12" s="358">
        <v>2022</v>
      </c>
      <c r="O12" s="359">
        <v>2023</v>
      </c>
      <c r="P12" s="356">
        <v>2023</v>
      </c>
      <c r="Q12" s="356">
        <v>2023</v>
      </c>
      <c r="R12" s="356">
        <v>2023</v>
      </c>
      <c r="S12" s="357">
        <v>2023</v>
      </c>
      <c r="T12" s="355">
        <v>2024</v>
      </c>
      <c r="U12" s="356">
        <v>2024</v>
      </c>
      <c r="V12" s="356">
        <v>2024</v>
      </c>
      <c r="W12" s="356">
        <v>2024</v>
      </c>
      <c r="X12" s="358">
        <v>2024</v>
      </c>
      <c r="Y12" s="355">
        <v>2025</v>
      </c>
      <c r="Z12" s="356">
        <v>2025</v>
      </c>
      <c r="AA12" s="356">
        <v>2025</v>
      </c>
      <c r="AB12" s="356">
        <v>2025</v>
      </c>
      <c r="AC12" s="358">
        <v>2025</v>
      </c>
      <c r="AD12" s="355">
        <v>2026</v>
      </c>
      <c r="AE12" s="356">
        <v>2026</v>
      </c>
      <c r="AF12" s="356">
        <v>2026</v>
      </c>
      <c r="AG12" s="356">
        <v>2026</v>
      </c>
      <c r="AH12" s="358">
        <v>2026</v>
      </c>
      <c r="AI12" s="355">
        <v>2027</v>
      </c>
      <c r="AJ12" s="355">
        <v>2027</v>
      </c>
      <c r="AK12" s="355">
        <v>2027</v>
      </c>
      <c r="AL12" s="355">
        <v>2027</v>
      </c>
      <c r="AM12" s="355">
        <v>2027</v>
      </c>
      <c r="AQ12" s="361"/>
      <c r="AR12" s="339" t="s">
        <v>555</v>
      </c>
      <c r="AS12" s="325" t="s">
        <v>556</v>
      </c>
    </row>
    <row r="13" spans="1:48" s="360" customFormat="1" outlineLevel="1">
      <c r="A13" s="354"/>
      <c r="B13" s="295" t="s">
        <v>557</v>
      </c>
      <c r="C13" s="296">
        <v>2018</v>
      </c>
      <c r="D13" s="1090"/>
      <c r="E13" s="362" t="str">
        <f>IF( E12 &lt; $C13,   "A",   IF(E12 &gt; $C13,   "E",   IF( RIGHT($C14,1) &lt;&gt; "4", IF( RIGHT(E15,1) &lt;= RIGHT($C14,1),   "A",   "E" ), "E"   )   )   )</f>
        <v>A</v>
      </c>
      <c r="F13" s="363" t="str">
        <f>IF( F12 &lt; $C13,   "A",   IF(F12 &gt; $C13,   "E",   IF( RIGHT($C14,1) &lt;&gt; "4", IF( RIGHT(F15,1) &lt;= RIGHT($C14,1),   "A",   "E" ), "E"   )   )   )</f>
        <v>A</v>
      </c>
      <c r="G13" s="363" t="str">
        <f>IF( G12 &lt; $C13,   "A",   IF(G12 &gt; $C13,   "E",   IF( RIGHT($C14,1) &lt;&gt; "4", IF( RIGHT(G15,1) &lt;= RIGHT($C14,1),   "A",   "E" ), "E"   )   )   )</f>
        <v>A</v>
      </c>
      <c r="H13" s="363" t="str">
        <f>IF( H12 &lt; $C13,   "A",   IF(H12 &gt; $C13,   "E",   IF( RIGHT($C14,1) &lt;&gt; "4", IF( RIGHT(H15,1) &lt;= RIGHT($C14,1),   "A",   "E" ), "E"   )   )   )</f>
        <v>A</v>
      </c>
      <c r="I13" s="364" t="str">
        <f>IF( H13="A", "A", IF(H13="E", "E", "ERR") )</f>
        <v>A</v>
      </c>
      <c r="J13" s="362" t="s">
        <v>558</v>
      </c>
      <c r="K13" s="363" t="s">
        <v>558</v>
      </c>
      <c r="L13" s="363" t="s">
        <v>558</v>
      </c>
      <c r="M13" s="363" t="s">
        <v>558</v>
      </c>
      <c r="N13" s="365" t="s">
        <v>558</v>
      </c>
      <c r="O13" s="366" t="s">
        <v>403</v>
      </c>
      <c r="P13" s="367" t="s">
        <v>403</v>
      </c>
      <c r="Q13" s="367" t="s">
        <v>403</v>
      </c>
      <c r="R13" s="367" t="s">
        <v>403</v>
      </c>
      <c r="S13" s="368" t="s">
        <v>558</v>
      </c>
      <c r="T13" s="369" t="s">
        <v>403</v>
      </c>
      <c r="U13" s="367" t="s">
        <v>403</v>
      </c>
      <c r="V13" s="367" t="s">
        <v>403</v>
      </c>
      <c r="W13" s="367" t="s">
        <v>403</v>
      </c>
      <c r="X13" s="370" t="s">
        <v>558</v>
      </c>
      <c r="Y13" s="369" t="s">
        <v>558</v>
      </c>
      <c r="Z13" s="367" t="s">
        <v>558</v>
      </c>
      <c r="AA13" s="367" t="s">
        <v>558</v>
      </c>
      <c r="AB13" s="367" t="s">
        <v>558</v>
      </c>
      <c r="AC13" s="370" t="s">
        <v>558</v>
      </c>
      <c r="AD13" s="369" t="s">
        <v>403</v>
      </c>
      <c r="AE13" s="367" t="s">
        <v>403</v>
      </c>
      <c r="AF13" s="367" t="s">
        <v>403</v>
      </c>
      <c r="AG13" s="367" t="s">
        <v>403</v>
      </c>
      <c r="AH13" s="370" t="s">
        <v>403</v>
      </c>
      <c r="AI13" s="369" t="s">
        <v>403</v>
      </c>
      <c r="AJ13" s="367" t="s">
        <v>403</v>
      </c>
      <c r="AK13" s="367" t="s">
        <v>403</v>
      </c>
      <c r="AL13" s="367" t="s">
        <v>403</v>
      </c>
      <c r="AM13" s="370" t="s">
        <v>403</v>
      </c>
      <c r="AQ13" s="361"/>
      <c r="AR13" s="339" t="s">
        <v>559</v>
      </c>
      <c r="AS13" s="325" t="s">
        <v>560</v>
      </c>
    </row>
    <row r="14" spans="1:48" s="360" customFormat="1" outlineLevel="1">
      <c r="A14" s="354"/>
      <c r="B14" s="295" t="s">
        <v>561</v>
      </c>
      <c r="C14" s="297" t="s">
        <v>402</v>
      </c>
      <c r="D14" s="1090"/>
      <c r="E14" s="298" t="str">
        <f>E12&amp;E13&amp;":"&amp;E15</f>
        <v>-3A:Q1</v>
      </c>
      <c r="F14" s="299" t="str">
        <f t="shared" ref="F14:X14" si="0">F12&amp;F13&amp;":"&amp;F15</f>
        <v>-3A:Q2</v>
      </c>
      <c r="G14" s="299" t="str">
        <f t="shared" si="0"/>
        <v>-3A:Q3</v>
      </c>
      <c r="H14" s="299" t="str">
        <f t="shared" si="0"/>
        <v>-3A:Q4</v>
      </c>
      <c r="I14" s="300" t="str">
        <f t="shared" si="0"/>
        <v>-3A:AN</v>
      </c>
      <c r="J14" s="298" t="str">
        <f>J12&amp;J13&amp;":"&amp;J15</f>
        <v>2022A:Q1</v>
      </c>
      <c r="K14" s="299" t="str">
        <f t="shared" si="0"/>
        <v>2022A:Q2</v>
      </c>
      <c r="L14" s="299" t="str">
        <f t="shared" si="0"/>
        <v>2022A:Q3</v>
      </c>
      <c r="M14" s="299" t="str">
        <f t="shared" si="0"/>
        <v>2022A:Q4</v>
      </c>
      <c r="N14" s="301" t="str">
        <f t="shared" si="0"/>
        <v>2022A:AN</v>
      </c>
      <c r="O14" s="302" t="str">
        <f t="shared" si="0"/>
        <v>2023E:Q1</v>
      </c>
      <c r="P14" s="299" t="str">
        <f t="shared" si="0"/>
        <v>2023E:Q2</v>
      </c>
      <c r="Q14" s="299" t="str">
        <f t="shared" si="0"/>
        <v>2023E:Q3</v>
      </c>
      <c r="R14" s="299" t="str">
        <f t="shared" si="0"/>
        <v>2023E:Q4</v>
      </c>
      <c r="S14" s="300" t="str">
        <f t="shared" si="0"/>
        <v>2023A:AN</v>
      </c>
      <c r="T14" s="298" t="str">
        <f t="shared" si="0"/>
        <v>2024E:Q1</v>
      </c>
      <c r="U14" s="299" t="str">
        <f t="shared" si="0"/>
        <v>2024E:Q2</v>
      </c>
      <c r="V14" s="299" t="str">
        <f t="shared" si="0"/>
        <v>2024E:Q3</v>
      </c>
      <c r="W14" s="299" t="str">
        <f t="shared" si="0"/>
        <v>2024E:Q4</v>
      </c>
      <c r="X14" s="301" t="str">
        <f t="shared" si="0"/>
        <v>2024A:AN</v>
      </c>
      <c r="Y14" s="298" t="str">
        <f t="shared" ref="Y14:AC14" si="1">Y12&amp;Y13&amp;":"&amp;Y15</f>
        <v>2025A:Q1</v>
      </c>
      <c r="Z14" s="299" t="str">
        <f t="shared" si="1"/>
        <v>2025A:Q2</v>
      </c>
      <c r="AA14" s="299" t="str">
        <f t="shared" si="1"/>
        <v>2025A:Q3</v>
      </c>
      <c r="AB14" s="299" t="str">
        <f t="shared" si="1"/>
        <v>2025A:Q4</v>
      </c>
      <c r="AC14" s="301" t="str">
        <f t="shared" si="1"/>
        <v>2025A:AN</v>
      </c>
      <c r="AD14" s="298" t="str">
        <f t="shared" ref="AD14:AH14" si="2">AD12&amp;AD13&amp;":"&amp;AD15</f>
        <v>2026E:Q1</v>
      </c>
      <c r="AE14" s="299" t="str">
        <f t="shared" si="2"/>
        <v>2026E:Q2</v>
      </c>
      <c r="AF14" s="299" t="str">
        <f t="shared" si="2"/>
        <v>2026E:Q3</v>
      </c>
      <c r="AG14" s="299" t="str">
        <f t="shared" si="2"/>
        <v>2026E:Q4</v>
      </c>
      <c r="AH14" s="301" t="str">
        <f t="shared" si="2"/>
        <v>2026E:AN</v>
      </c>
      <c r="AI14" s="298" t="str">
        <f t="shared" ref="AI14:AM14" si="3">AI12&amp;AI13&amp;":"&amp;AI15</f>
        <v>2027E:Q1</v>
      </c>
      <c r="AJ14" s="299" t="str">
        <f t="shared" si="3"/>
        <v>2027E:Q2</v>
      </c>
      <c r="AK14" s="299" t="str">
        <f t="shared" si="3"/>
        <v>2027E:Q3</v>
      </c>
      <c r="AL14" s="299" t="str">
        <f t="shared" si="3"/>
        <v>2027E:Q4</v>
      </c>
      <c r="AM14" s="301" t="str">
        <f t="shared" si="3"/>
        <v>2027E:AN</v>
      </c>
      <c r="AQ14" s="361"/>
      <c r="AR14" s="339" t="s">
        <v>562</v>
      </c>
      <c r="AS14" s="325" t="s">
        <v>563</v>
      </c>
    </row>
    <row r="15" spans="1:48" s="360" customFormat="1" ht="15" outlineLevel="1" thickBot="1">
      <c r="A15" s="354"/>
      <c r="B15" s="303" t="s">
        <v>564</v>
      </c>
      <c r="C15" s="304" t="s">
        <v>565</v>
      </c>
      <c r="D15" s="1090"/>
      <c r="E15" s="371" t="s">
        <v>402</v>
      </c>
      <c r="F15" s="372" t="s">
        <v>404</v>
      </c>
      <c r="G15" s="372" t="s">
        <v>405</v>
      </c>
      <c r="H15" s="372" t="s">
        <v>406</v>
      </c>
      <c r="I15" s="373" t="s">
        <v>566</v>
      </c>
      <c r="J15" s="371" t="s">
        <v>402</v>
      </c>
      <c r="K15" s="372" t="s">
        <v>404</v>
      </c>
      <c r="L15" s="372" t="s">
        <v>405</v>
      </c>
      <c r="M15" s="372" t="s">
        <v>406</v>
      </c>
      <c r="N15" s="374" t="s">
        <v>566</v>
      </c>
      <c r="O15" s="375" t="s">
        <v>402</v>
      </c>
      <c r="P15" s="372" t="s">
        <v>404</v>
      </c>
      <c r="Q15" s="372" t="s">
        <v>405</v>
      </c>
      <c r="R15" s="372" t="s">
        <v>406</v>
      </c>
      <c r="S15" s="373" t="s">
        <v>566</v>
      </c>
      <c r="T15" s="371" t="s">
        <v>402</v>
      </c>
      <c r="U15" s="372" t="s">
        <v>404</v>
      </c>
      <c r="V15" s="372" t="s">
        <v>405</v>
      </c>
      <c r="W15" s="372" t="s">
        <v>406</v>
      </c>
      <c r="X15" s="374" t="s">
        <v>566</v>
      </c>
      <c r="Y15" s="371" t="s">
        <v>402</v>
      </c>
      <c r="Z15" s="372" t="s">
        <v>404</v>
      </c>
      <c r="AA15" s="372" t="s">
        <v>405</v>
      </c>
      <c r="AB15" s="372" t="s">
        <v>406</v>
      </c>
      <c r="AC15" s="374" t="s">
        <v>566</v>
      </c>
      <c r="AD15" s="371" t="s">
        <v>402</v>
      </c>
      <c r="AE15" s="372" t="s">
        <v>404</v>
      </c>
      <c r="AF15" s="372" t="s">
        <v>405</v>
      </c>
      <c r="AG15" s="372" t="s">
        <v>406</v>
      </c>
      <c r="AH15" s="374" t="s">
        <v>566</v>
      </c>
      <c r="AI15" s="371" t="s">
        <v>402</v>
      </c>
      <c r="AJ15" s="372" t="s">
        <v>404</v>
      </c>
      <c r="AK15" s="372" t="s">
        <v>405</v>
      </c>
      <c r="AL15" s="372" t="s">
        <v>406</v>
      </c>
      <c r="AM15" s="374" t="s">
        <v>566</v>
      </c>
      <c r="AQ15" s="361"/>
      <c r="AR15" s="339" t="s">
        <v>567</v>
      </c>
      <c r="AS15" s="325" t="s">
        <v>568</v>
      </c>
    </row>
    <row r="16" spans="1:48" s="360" customFormat="1" ht="13.5" outlineLevel="1" thickBot="1">
      <c r="A16" s="1092" t="s">
        <v>569</v>
      </c>
      <c r="B16" s="340" t="s">
        <v>570</v>
      </c>
      <c r="C16" s="342" t="s">
        <v>571</v>
      </c>
      <c r="D16" s="1091"/>
      <c r="E16" s="305" t="s">
        <v>572</v>
      </c>
      <c r="F16" s="306" t="s">
        <v>572</v>
      </c>
      <c r="G16" s="306" t="s">
        <v>572</v>
      </c>
      <c r="H16" s="306" t="s">
        <v>572</v>
      </c>
      <c r="I16" s="307" t="s">
        <v>573</v>
      </c>
      <c r="J16" s="305" t="s">
        <v>572</v>
      </c>
      <c r="K16" s="306" t="s">
        <v>572</v>
      </c>
      <c r="L16" s="306" t="s">
        <v>572</v>
      </c>
      <c r="M16" s="306" t="s">
        <v>572</v>
      </c>
      <c r="N16" s="308" t="s">
        <v>573</v>
      </c>
      <c r="O16" s="376" t="s">
        <v>572</v>
      </c>
      <c r="P16" s="306" t="s">
        <v>572</v>
      </c>
      <c r="Q16" s="306" t="s">
        <v>572</v>
      </c>
      <c r="R16" s="306" t="s">
        <v>572</v>
      </c>
      <c r="S16" s="307" t="s">
        <v>573</v>
      </c>
      <c r="T16" s="305" t="s">
        <v>572</v>
      </c>
      <c r="U16" s="306" t="s">
        <v>572</v>
      </c>
      <c r="V16" s="306" t="s">
        <v>572</v>
      </c>
      <c r="W16" s="306" t="s">
        <v>572</v>
      </c>
      <c r="X16" s="308" t="s">
        <v>573</v>
      </c>
      <c r="Y16" s="305" t="s">
        <v>572</v>
      </c>
      <c r="Z16" s="306" t="s">
        <v>572</v>
      </c>
      <c r="AA16" s="306" t="s">
        <v>572</v>
      </c>
      <c r="AB16" s="306" t="s">
        <v>572</v>
      </c>
      <c r="AC16" s="308" t="s">
        <v>573</v>
      </c>
      <c r="AD16" s="305" t="s">
        <v>572</v>
      </c>
      <c r="AE16" s="306" t="s">
        <v>572</v>
      </c>
      <c r="AF16" s="306" t="s">
        <v>572</v>
      </c>
      <c r="AG16" s="306" t="s">
        <v>572</v>
      </c>
      <c r="AH16" s="308" t="s">
        <v>573</v>
      </c>
      <c r="AI16" s="305" t="s">
        <v>572</v>
      </c>
      <c r="AJ16" s="306" t="s">
        <v>572</v>
      </c>
      <c r="AK16" s="306" t="s">
        <v>572</v>
      </c>
      <c r="AL16" s="306" t="s">
        <v>572</v>
      </c>
      <c r="AM16" s="308" t="s">
        <v>573</v>
      </c>
      <c r="AQ16" s="361"/>
      <c r="AR16" s="339" t="s">
        <v>574</v>
      </c>
      <c r="AS16" s="325" t="s">
        <v>575</v>
      </c>
    </row>
    <row r="17" spans="1:45" s="360" customFormat="1" ht="15" outlineLevel="1" thickBot="1">
      <c r="A17" s="1092"/>
      <c r="B17" s="377" t="s">
        <v>576</v>
      </c>
      <c r="C17" s="378" t="s">
        <v>482</v>
      </c>
      <c r="D17" s="379" t="s">
        <v>577</v>
      </c>
      <c r="E17" s="380"/>
      <c r="F17" s="380"/>
      <c r="G17" s="380"/>
      <c r="H17" s="380"/>
      <c r="I17" s="381" t="e">
        <f>VLOOKUP(#REF!,   '[47]WB QTRLY &amp; ANNUAL'!$B$10:$UVB$199,   MATCH(CONCATENATE("FY ",I$12,IF(I$13="E","E","")),   '[47]WB QTRLY &amp; ANNUAL'!$B$6:$UVB$6,   0),   FALSE)</f>
        <v>#REF!</v>
      </c>
      <c r="J17" s="380"/>
      <c r="K17" s="380"/>
      <c r="L17" s="380"/>
      <c r="M17" s="380"/>
      <c r="N17" s="381">
        <f>CW_IS!AZ135</f>
        <v>8.1297711543188331</v>
      </c>
      <c r="O17" s="380"/>
      <c r="P17" s="380"/>
      <c r="Q17" s="380"/>
      <c r="R17" s="380"/>
      <c r="S17" s="381">
        <f>CW_IS!BE135</f>
        <v>9.4373986271685695</v>
      </c>
      <c r="T17" s="380"/>
      <c r="U17" s="380"/>
      <c r="V17" s="380"/>
      <c r="W17" s="380"/>
      <c r="X17" s="381">
        <f>CW_IS!BJ135</f>
        <v>10.90067775591201</v>
      </c>
      <c r="Y17" s="380"/>
      <c r="Z17" s="380"/>
      <c r="AA17" s="380"/>
      <c r="AB17" s="380"/>
      <c r="AC17" s="381">
        <f>CW_IS!BO135</f>
        <v>13.232776818320879</v>
      </c>
      <c r="AD17" s="380"/>
      <c r="AE17" s="380"/>
      <c r="AF17" s="380"/>
      <c r="AG17" s="380"/>
      <c r="AH17" s="381">
        <f>CW_IS!BT135</f>
        <v>14.922333117307641</v>
      </c>
      <c r="AI17" s="380"/>
      <c r="AJ17" s="380"/>
      <c r="AK17" s="380"/>
      <c r="AL17" s="380"/>
      <c r="AM17" s="381">
        <f>CW_IS!BY135</f>
        <v>16.292061052105204</v>
      </c>
      <c r="AQ17" s="361"/>
      <c r="AR17" s="339" t="s">
        <v>578</v>
      </c>
      <c r="AS17" s="325" t="s">
        <v>565</v>
      </c>
    </row>
    <row r="18" spans="1:45" s="360" customFormat="1" ht="13.5" outlineLevel="1" thickBot="1">
      <c r="A18" s="1092"/>
      <c r="B18" s="382" t="s">
        <v>579</v>
      </c>
      <c r="C18" s="383" t="s">
        <v>540</v>
      </c>
      <c r="D18" s="384" t="s">
        <v>580</v>
      </c>
      <c r="E18" s="309" t="str">
        <f>_xll.BLUEMATRIX2("/servlet/excelData",E17, $C$6,$C17&amp;":"&amp;E$14&amp;":"&amp;$C18)</f>
        <v>#</v>
      </c>
      <c r="F18" s="309" t="str">
        <f>_xll.BLUEMATRIX2("/servlet/excelData",F17, $C$6,$C17&amp;":"&amp;F$14&amp;":"&amp;$C18)</f>
        <v>#</v>
      </c>
      <c r="G18" s="309" t="str">
        <f>_xll.BLUEMATRIX2("/servlet/excelData",G17, $C$6,$C17&amp;":"&amp;G$14&amp;":"&amp;$C18)</f>
        <v>#</v>
      </c>
      <c r="H18" s="309" t="str">
        <f>_xll.BLUEMATRIX2("/servlet/excelData",H17, $C$6,$C17&amp;":"&amp;H$14&amp;":"&amp;$C18)</f>
        <v>#</v>
      </c>
      <c r="I18" s="310" t="e">
        <f>_xll.BLUEMATRIX2("/servlet/excelData",I17, $C$6,$C17&amp;":"&amp;I$14&amp;":"&amp;$C18)</f>
        <v>#VALUE!</v>
      </c>
      <c r="J18" s="309" t="str">
        <f>_xll.BLUEMATRIX2("/servlet/excelData",J17, $C$6,$C17&amp;":"&amp;J$14&amp;":"&amp;$C18)</f>
        <v>#</v>
      </c>
      <c r="K18" s="309" t="str">
        <f>_xll.BLUEMATRIX2("/servlet/excelData",K17, $C$6,$C17&amp;":"&amp;K$14&amp;":"&amp;$C18)</f>
        <v>#</v>
      </c>
      <c r="L18" s="309" t="str">
        <f>_xll.BLUEMATRIX2("/servlet/excelData",L17, $C$6,$C17&amp;":"&amp;L$14&amp;":"&amp;$C18)</f>
        <v>#</v>
      </c>
      <c r="M18" s="309" t="str">
        <f>_xll.BLUEMATRIX2("/servlet/excelData",M17, $C$6,$C17&amp;":"&amp;M$14&amp;":"&amp;$C18)</f>
        <v>#</v>
      </c>
      <c r="N18" s="311" t="str">
        <f>_xll.BLUEMATRIX2("/servlet/excelData",N17, $C$6,$C17&amp;":"&amp;N$14&amp;":"&amp;$C18)</f>
        <v>UPDATED: 2/12/2026 1:12:24 PM</v>
      </c>
      <c r="O18" s="312" t="str">
        <f>_xll.BLUEMATRIX2("/servlet/excelData",O17, $C$6,$C17&amp;":"&amp;O$14&amp;":"&amp;$C18)</f>
        <v>#</v>
      </c>
      <c r="P18" s="309" t="str">
        <f>_xll.BLUEMATRIX2("/servlet/excelData",P17, $C$6,$C17&amp;":"&amp;P$14&amp;":"&amp;$C18)</f>
        <v>#</v>
      </c>
      <c r="Q18" s="309" t="str">
        <f>_xll.BLUEMATRIX2("/servlet/excelData",Q17, $C$6,$C17&amp;":"&amp;Q$14&amp;":"&amp;$C18)</f>
        <v>#</v>
      </c>
      <c r="R18" s="309" t="str">
        <f>_xll.BLUEMATRIX2("/servlet/excelData",R17, $C$6,$C17&amp;":"&amp;R$14&amp;":"&amp;$C18)</f>
        <v>#</v>
      </c>
      <c r="S18" s="310" t="str">
        <f>_xll.BLUEMATRIX2("/servlet/excelData",S17, $C$6,$C17&amp;":"&amp;S$14&amp;":"&amp;$C18)</f>
        <v>UPDATED: 2/12/2026 1:12:24 PM</v>
      </c>
      <c r="T18" s="309"/>
      <c r="U18" s="309"/>
      <c r="V18" s="309"/>
      <c r="W18" s="309"/>
      <c r="X18" s="311" t="str">
        <f>_xll.BLUEMATRIX2("/servlet/excelData",X17, $C$6,$C17&amp;":"&amp;X$14&amp;":"&amp;$C18)</f>
        <v>UPDATED: 2/12/2026 1:12:24 PM</v>
      </c>
      <c r="Y18" s="309"/>
      <c r="Z18" s="309"/>
      <c r="AA18" s="309"/>
      <c r="AB18" s="309"/>
      <c r="AC18" s="311" t="str">
        <f>_xll.BLUEMATRIX2("/servlet/excelData",AC17, $C$6,$C17&amp;":"&amp;AC$14&amp;":"&amp;$C18)</f>
        <v>UPDATED: 2/12/2026 1:12:24 PM</v>
      </c>
      <c r="AD18" s="309"/>
      <c r="AE18" s="309"/>
      <c r="AF18" s="309"/>
      <c r="AG18" s="309"/>
      <c r="AH18" s="311" t="e">
        <f ca="1">_xll.BLUEMATRIX2("/servlet/excelData",AH17, $C$6,$C17&amp;":"&amp;AH$14&amp;":"&amp;$C18)</f>
        <v>#NAME?</v>
      </c>
      <c r="AI18" s="309"/>
      <c r="AJ18" s="309"/>
      <c r="AK18" s="309"/>
      <c r="AL18" s="309"/>
      <c r="AM18" s="311" t="e">
        <f ca="1">_xll.BLUEMATRIX2("/servlet/excelData",AM17, $C$6,$C17&amp;":"&amp;AM$14&amp;":"&amp;$C18)</f>
        <v>#NAME?</v>
      </c>
      <c r="AQ18" s="361"/>
      <c r="AR18" s="339" t="s">
        <v>581</v>
      </c>
      <c r="AS18" s="385"/>
    </row>
    <row r="19" spans="1:45" ht="15" outlineLevel="1" thickBot="1">
      <c r="A19" s="1092"/>
      <c r="B19" s="377" t="s">
        <v>582</v>
      </c>
      <c r="C19" s="386" t="s">
        <v>482</v>
      </c>
      <c r="D19" s="379" t="s">
        <v>577</v>
      </c>
      <c r="E19" s="387"/>
      <c r="F19" s="387"/>
      <c r="G19" s="387"/>
      <c r="H19" s="387"/>
      <c r="I19" s="387"/>
      <c r="J19" s="387"/>
      <c r="K19" s="387"/>
      <c r="L19" s="387"/>
      <c r="M19" s="387"/>
      <c r="N19" s="387"/>
      <c r="O19" s="387"/>
      <c r="P19" s="387"/>
      <c r="Q19" s="387"/>
      <c r="R19" s="387"/>
      <c r="S19" s="387"/>
      <c r="T19" s="387"/>
      <c r="U19" s="387"/>
      <c r="V19" s="387"/>
      <c r="W19" s="387"/>
      <c r="X19" s="387"/>
      <c r="Y19" s="387"/>
      <c r="Z19" s="387"/>
      <c r="AA19" s="387"/>
      <c r="AB19" s="387"/>
      <c r="AC19" s="387"/>
      <c r="AD19" s="387"/>
      <c r="AE19" s="387"/>
      <c r="AF19" s="387"/>
      <c r="AG19" s="387"/>
      <c r="AH19" s="387"/>
      <c r="AI19" s="387"/>
      <c r="AJ19" s="387"/>
      <c r="AK19" s="387"/>
      <c r="AL19" s="387"/>
      <c r="AM19" s="387"/>
      <c r="AQ19" s="353"/>
      <c r="AR19" s="339" t="s">
        <v>583</v>
      </c>
      <c r="AS19" s="388"/>
    </row>
    <row r="20" spans="1:45" ht="15" outlineLevel="1" thickBot="1">
      <c r="A20" s="1092"/>
      <c r="B20" s="382" t="s">
        <v>579</v>
      </c>
      <c r="C20" s="383" t="s">
        <v>559</v>
      </c>
      <c r="D20" s="384" t="s">
        <v>580</v>
      </c>
      <c r="E20" s="309" t="str">
        <f>_xll.BLUEMATRIX2("/servlet/excelData",E19, $C$6,$C19&amp;":"&amp;E$14&amp;":"&amp;$C20)</f>
        <v>#</v>
      </c>
      <c r="F20" s="309" t="str">
        <f>_xll.BLUEMATRIX2("/servlet/excelData",F19, $C$6,$C19&amp;":"&amp;F$14&amp;":"&amp;$C20)</f>
        <v>#</v>
      </c>
      <c r="G20" s="309" t="str">
        <f>_xll.BLUEMATRIX2("/servlet/excelData",G19, $C$6,$C19&amp;":"&amp;G$14&amp;":"&amp;$C20)</f>
        <v>#</v>
      </c>
      <c r="H20" s="309" t="str">
        <f>_xll.BLUEMATRIX2("/servlet/excelData",H19, $C$6,$C19&amp;":"&amp;H$14&amp;":"&amp;$C20)</f>
        <v>#</v>
      </c>
      <c r="I20" s="310" t="str">
        <f>_xll.BLUEMATRIX2("/servlet/excelData",I19, $C$6,$C19&amp;":"&amp;I$14&amp;":"&amp;$C20)</f>
        <v>#</v>
      </c>
      <c r="J20" s="309" t="str">
        <f>_xll.BLUEMATRIX2("/servlet/excelData",J19, $C$6,$C19&amp;":"&amp;J$14&amp;":"&amp;$C20)</f>
        <v>#</v>
      </c>
      <c r="K20" s="309" t="str">
        <f>_xll.BLUEMATRIX2("/servlet/excelData",K19, $C$6,$C19&amp;":"&amp;K$14&amp;":"&amp;$C20)</f>
        <v>#</v>
      </c>
      <c r="L20" s="309" t="str">
        <f>_xll.BLUEMATRIX2("/servlet/excelData",L19, $C$6,$C19&amp;":"&amp;L$14&amp;":"&amp;$C20)</f>
        <v>#</v>
      </c>
      <c r="M20" s="309" t="str">
        <f>_xll.BLUEMATRIX2("/servlet/excelData",M19, $C$6,$C19&amp;":"&amp;M$14&amp;":"&amp;$C20)</f>
        <v>#</v>
      </c>
      <c r="N20" s="311" t="str">
        <f>_xll.BLUEMATRIX2("/servlet/excelData",N19, $C$6,$C19&amp;":"&amp;N$14&amp;":"&amp;$C20)</f>
        <v>#</v>
      </c>
      <c r="O20" s="312" t="str">
        <f>_xll.BLUEMATRIX2("/servlet/excelData",O19, $C$6,$C19&amp;":"&amp;O$14&amp;":"&amp;$C20)</f>
        <v>#</v>
      </c>
      <c r="P20" s="309" t="str">
        <f>_xll.BLUEMATRIX2("/servlet/excelData",P19, $C$6,$C19&amp;":"&amp;P$14&amp;":"&amp;$C20)</f>
        <v>#</v>
      </c>
      <c r="Q20" s="309" t="str">
        <f>_xll.BLUEMATRIX2("/servlet/excelData",Q19, $C$6,$C19&amp;":"&amp;Q$14&amp;":"&amp;$C20)</f>
        <v>#</v>
      </c>
      <c r="R20" s="309" t="str">
        <f>_xll.BLUEMATRIX2("/servlet/excelData",R19, $C$6,$C19&amp;":"&amp;R$14&amp;":"&amp;$C20)</f>
        <v>#</v>
      </c>
      <c r="S20" s="310" t="str">
        <f>_xll.BLUEMATRIX2("/servlet/excelData",S19, $C$6,$C19&amp;":"&amp;S$14&amp;":"&amp;$C20)</f>
        <v>#</v>
      </c>
      <c r="T20" s="309"/>
      <c r="U20" s="309"/>
      <c r="V20" s="309"/>
      <c r="W20" s="309"/>
      <c r="X20" s="311" t="str">
        <f>_xll.BLUEMATRIX2("/servlet/excelData",X19, $C$6,$C19&amp;":"&amp;X$14&amp;":"&amp;$C20)</f>
        <v>#</v>
      </c>
      <c r="Y20" s="309"/>
      <c r="Z20" s="309"/>
      <c r="AA20" s="309"/>
      <c r="AB20" s="309"/>
      <c r="AC20" s="311" t="str">
        <f>_xll.BLUEMATRIX2("/servlet/excelData",AC19, $C$6,$C19&amp;":"&amp;AC$14&amp;":"&amp;$C20)</f>
        <v>#</v>
      </c>
      <c r="AD20" s="309"/>
      <c r="AE20" s="309"/>
      <c r="AF20" s="309"/>
      <c r="AG20" s="309"/>
      <c r="AH20" s="311" t="str">
        <f>_xll.BLUEMATRIX2("/servlet/excelData",AH19, $C$6,$C19&amp;":"&amp;AH$14&amp;":"&amp;$C20)</f>
        <v>#</v>
      </c>
      <c r="AI20" s="309"/>
      <c r="AJ20" s="309"/>
      <c r="AK20" s="309"/>
      <c r="AL20" s="309"/>
      <c r="AM20" s="311" t="str">
        <f>_xll.BLUEMATRIX2("/servlet/excelData",AM19, $C$6,$C19&amp;":"&amp;AM$14&amp;":"&amp;$C20)</f>
        <v>#</v>
      </c>
      <c r="AQ20" s="353"/>
      <c r="AR20" s="339" t="s">
        <v>584</v>
      </c>
      <c r="AS20" s="388"/>
    </row>
    <row r="21" spans="1:45" ht="15" outlineLevel="1" thickBot="1">
      <c r="A21" s="1092"/>
      <c r="B21" s="377" t="s">
        <v>585</v>
      </c>
      <c r="C21" s="386" t="s">
        <v>586</v>
      </c>
      <c r="D21" s="379" t="s">
        <v>577</v>
      </c>
      <c r="E21" s="389"/>
      <c r="F21" s="389"/>
      <c r="G21" s="389"/>
      <c r="H21" s="389"/>
      <c r="I21" s="390" t="e">
        <f>VLOOKUP(#REF!,   '[47]WB QTRLY &amp; ANNUAL'!$B$10:$UVB$199,   MATCH(CONCATENATE("FY ",I$12,IF(I$13="E","E","")),   '[47]WB QTRLY &amp; ANNUAL'!$B$6:$UVB$6,   0),   FALSE)</f>
        <v>#REF!</v>
      </c>
      <c r="J21" s="389"/>
      <c r="K21" s="389"/>
      <c r="L21" s="389"/>
      <c r="M21" s="389"/>
      <c r="N21" s="390">
        <f>CW_IS!AZ91</f>
        <v>2557.0259999999998</v>
      </c>
      <c r="O21" s="389"/>
      <c r="P21" s="389"/>
      <c r="Q21" s="389"/>
      <c r="R21" s="389"/>
      <c r="S21" s="390">
        <f>CW_IS!BE91</f>
        <v>2845.3730000000005</v>
      </c>
      <c r="T21" s="389"/>
      <c r="U21" s="389"/>
      <c r="V21" s="389"/>
      <c r="W21" s="389"/>
      <c r="X21" s="390">
        <f>CW_IS!BJ91</f>
        <v>3121.1889999999999</v>
      </c>
      <c r="Y21" s="389"/>
      <c r="Z21" s="389"/>
      <c r="AA21" s="389"/>
      <c r="AB21" s="389"/>
      <c r="AC21" s="390">
        <f>CW_IS!BO91</f>
        <v>3498.3720000000003</v>
      </c>
      <c r="AD21" s="389"/>
      <c r="AE21" s="389"/>
      <c r="AF21" s="389"/>
      <c r="AG21" s="389"/>
      <c r="AH21" s="390">
        <f>CW_IS!BT91</f>
        <v>3739.0819900000001</v>
      </c>
      <c r="AI21" s="389"/>
      <c r="AJ21" s="389"/>
      <c r="AK21" s="389"/>
      <c r="AL21" s="389"/>
      <c r="AM21" s="390">
        <f>CW_IS!BY91</f>
        <v>3958.0567810000007</v>
      </c>
      <c r="AQ21" s="353"/>
      <c r="AR21" s="339" t="s">
        <v>587</v>
      </c>
      <c r="AS21" s="388"/>
    </row>
    <row r="22" spans="1:45" ht="15" outlineLevel="1" thickBot="1">
      <c r="A22" s="1092"/>
      <c r="B22" s="382" t="s">
        <v>579</v>
      </c>
      <c r="C22" s="383" t="s">
        <v>532</v>
      </c>
      <c r="D22" s="384" t="s">
        <v>580</v>
      </c>
      <c r="E22" s="309" t="str">
        <f>_xll.BLUEMATRIX2("/servlet/excelData",E21, $C$6,$C21&amp;":"&amp;E$14&amp;":"&amp;$C22)</f>
        <v>#</v>
      </c>
      <c r="F22" s="309" t="str">
        <f>_xll.BLUEMATRIX2("/servlet/excelData",F21, $C$6,$C21&amp;":"&amp;F$14&amp;":"&amp;$C22)</f>
        <v>#</v>
      </c>
      <c r="G22" s="309" t="str">
        <f>_xll.BLUEMATRIX2("/servlet/excelData",G21, $C$6,$C21&amp;":"&amp;G$14&amp;":"&amp;$C22)</f>
        <v>#</v>
      </c>
      <c r="H22" s="309" t="str">
        <f>_xll.BLUEMATRIX2("/servlet/excelData",H21, $C$6,$C21&amp;":"&amp;H$14&amp;":"&amp;$C22)</f>
        <v>#</v>
      </c>
      <c r="I22" s="310" t="e">
        <f>_xll.BLUEMATRIX2("/servlet/excelData",I21, $C$6,$C21&amp;":"&amp;I$14&amp;":"&amp;$C22)</f>
        <v>#VALUE!</v>
      </c>
      <c r="J22" s="309" t="str">
        <f>_xll.BLUEMATRIX2("/servlet/excelData",J21, $C$6,$C21&amp;":"&amp;J$14&amp;":"&amp;$C22)</f>
        <v>#</v>
      </c>
      <c r="K22" s="309" t="str">
        <f>_xll.BLUEMATRIX2("/servlet/excelData",K21, $C$6,$C21&amp;":"&amp;K$14&amp;":"&amp;$C22)</f>
        <v>#</v>
      </c>
      <c r="L22" s="309" t="str">
        <f>_xll.BLUEMATRIX2("/servlet/excelData",L21, $C$6,$C21&amp;":"&amp;L$14&amp;":"&amp;$C22)</f>
        <v>#</v>
      </c>
      <c r="M22" s="309" t="str">
        <f>_xll.BLUEMATRIX2("/servlet/excelData",M21, $C$6,$C21&amp;":"&amp;M$14&amp;":"&amp;$C22)</f>
        <v>#</v>
      </c>
      <c r="N22" s="311" t="e">
        <f ca="1">_xll.BLUEMATRIX2("/servlet/excelData",N21, $C$6,$C21&amp;":"&amp;N$14&amp;":"&amp;$C22)</f>
        <v>#NAME?</v>
      </c>
      <c r="O22" s="312" t="str">
        <f>_xll.BLUEMATRIX2("/servlet/excelData",O21, $C$6,$C21&amp;":"&amp;O$14&amp;":"&amp;$C22)</f>
        <v>#</v>
      </c>
      <c r="P22" s="309" t="str">
        <f>_xll.BLUEMATRIX2("/servlet/excelData",P21, $C$6,$C21&amp;":"&amp;P$14&amp;":"&amp;$C22)</f>
        <v>#</v>
      </c>
      <c r="Q22" s="309" t="str">
        <f>_xll.BLUEMATRIX2("/servlet/excelData",Q21, $C$6,$C21&amp;":"&amp;Q$14&amp;":"&amp;$C22)</f>
        <v>#</v>
      </c>
      <c r="R22" s="309" t="str">
        <f>_xll.BLUEMATRIX2("/servlet/excelData",R21, $C$6,$C21&amp;":"&amp;R$14&amp;":"&amp;$C22)</f>
        <v>#</v>
      </c>
      <c r="S22" s="310" t="e">
        <f ca="1">_xll.BLUEMATRIX2("/servlet/excelData",S21, $C$6,$C21&amp;":"&amp;S$14&amp;":"&amp;$C22)</f>
        <v>#NAME?</v>
      </c>
      <c r="T22" s="309" t="str">
        <f>_xll.BLUEMATRIX2("/servlet/excelData",T21, $C$6,$C21&amp;":"&amp;T$14&amp;":"&amp;$C22)</f>
        <v>#</v>
      </c>
      <c r="U22" s="309" t="str">
        <f>_xll.BLUEMATRIX2("/servlet/excelData",U21, $C$6,$C21&amp;":"&amp;U$14&amp;":"&amp;$C22)</f>
        <v>#</v>
      </c>
      <c r="V22" s="309" t="str">
        <f>_xll.BLUEMATRIX2("/servlet/excelData",V21, $C$6,$C21&amp;":"&amp;V$14&amp;":"&amp;$C22)</f>
        <v>#</v>
      </c>
      <c r="W22" s="309" t="str">
        <f>_xll.BLUEMATRIX2("/servlet/excelData",W21, $C$6,$C21&amp;":"&amp;W$14&amp;":"&amp;$C22)</f>
        <v>#</v>
      </c>
      <c r="X22" s="311" t="e">
        <f ca="1">_xll.BLUEMATRIX2("/servlet/excelData",X21, $C$6,$C21&amp;":"&amp;X$14&amp;":"&amp;$C22)</f>
        <v>#NAME?</v>
      </c>
      <c r="Y22" s="309" t="str">
        <f>_xll.BLUEMATRIX2("/servlet/excelData",Y21, $C$6,$C21&amp;":"&amp;Y$14&amp;":"&amp;$C22)</f>
        <v>#</v>
      </c>
      <c r="Z22" s="309" t="str">
        <f>_xll.BLUEMATRIX2("/servlet/excelData",Z21, $C$6,$C21&amp;":"&amp;Z$14&amp;":"&amp;$C22)</f>
        <v>#</v>
      </c>
      <c r="AA22" s="309" t="str">
        <f>_xll.BLUEMATRIX2("/servlet/excelData",AA21, $C$6,$C21&amp;":"&amp;AA$14&amp;":"&amp;$C22)</f>
        <v>#</v>
      </c>
      <c r="AB22" s="309" t="str">
        <f>_xll.BLUEMATRIX2("/servlet/excelData",AB21, $C$6,$C21&amp;":"&amp;AB$14&amp;":"&amp;$C22)</f>
        <v>#</v>
      </c>
      <c r="AC22" s="311" t="e">
        <f ca="1">_xll.BLUEMATRIX2("/servlet/excelData",AC21, $C$6,$C21&amp;":"&amp;AC$14&amp;":"&amp;$C22)</f>
        <v>#NAME?</v>
      </c>
      <c r="AD22" s="309" t="str">
        <f>_xll.BLUEMATRIX2("/servlet/excelData",AD21, $C$6,$C21&amp;":"&amp;AD$14&amp;":"&amp;$C22)</f>
        <v>#</v>
      </c>
      <c r="AE22" s="309" t="str">
        <f>_xll.BLUEMATRIX2("/servlet/excelData",AE21, $C$6,$C21&amp;":"&amp;AE$14&amp;":"&amp;$C22)</f>
        <v>#</v>
      </c>
      <c r="AF22" s="309" t="str">
        <f>_xll.BLUEMATRIX2("/servlet/excelData",AF21, $C$6,$C21&amp;":"&amp;AF$14&amp;":"&amp;$C22)</f>
        <v>#</v>
      </c>
      <c r="AG22" s="309" t="str">
        <f>_xll.BLUEMATRIX2("/servlet/excelData",AG21, $C$6,$C21&amp;":"&amp;AG$14&amp;":"&amp;$C22)</f>
        <v>#</v>
      </c>
      <c r="AH22" s="311" t="e">
        <f ca="1">_xll.BLUEMATRIX2("/servlet/excelData",AH21, $C$6,$C21&amp;":"&amp;AH$14&amp;":"&amp;$C22)</f>
        <v>#NAME?</v>
      </c>
      <c r="AI22" s="309" t="str">
        <f>_xll.BLUEMATRIX2("/servlet/excelData",AI21, $C$6,$C21&amp;":"&amp;AI$14&amp;":"&amp;$C22)</f>
        <v>#</v>
      </c>
      <c r="AJ22" s="309" t="str">
        <f>_xll.BLUEMATRIX2("/servlet/excelData",AJ21, $C$6,$C21&amp;":"&amp;AJ$14&amp;":"&amp;$C22)</f>
        <v>#</v>
      </c>
      <c r="AK22" s="309" t="str">
        <f>_xll.BLUEMATRIX2("/servlet/excelData",AK21, $C$6,$C21&amp;":"&amp;AK$14&amp;":"&amp;$C22)</f>
        <v>#</v>
      </c>
      <c r="AL22" s="309" t="str">
        <f>_xll.BLUEMATRIX2("/servlet/excelData",AL21, $C$6,$C21&amp;":"&amp;AL$14&amp;":"&amp;$C22)</f>
        <v>#</v>
      </c>
      <c r="AM22" s="311" t="e">
        <f ca="1">_xll.BLUEMATRIX2("/servlet/excelData",AM21, $C$6,$C21&amp;":"&amp;AM$14&amp;":"&amp;$C22)</f>
        <v>#NAME?</v>
      </c>
      <c r="AQ22" s="353"/>
      <c r="AR22" s="339" t="s">
        <v>588</v>
      </c>
      <c r="AS22" s="388"/>
    </row>
    <row r="23" spans="1:45" ht="15" outlineLevel="1" thickBot="1">
      <c r="A23" s="1092"/>
      <c r="B23" s="391" t="s">
        <v>589</v>
      </c>
      <c r="C23" s="386" t="s">
        <v>586</v>
      </c>
      <c r="D23" s="379" t="s">
        <v>577</v>
      </c>
      <c r="E23" s="387"/>
      <c r="F23" s="387"/>
      <c r="G23" s="387"/>
      <c r="H23" s="387"/>
      <c r="I23" s="387"/>
      <c r="J23" s="387"/>
      <c r="K23" s="387"/>
      <c r="L23" s="387"/>
      <c r="M23" s="387"/>
      <c r="N23" s="387"/>
      <c r="O23" s="387"/>
      <c r="P23" s="387"/>
      <c r="Q23" s="387"/>
      <c r="R23" s="387"/>
      <c r="S23" s="387"/>
      <c r="T23" s="387"/>
      <c r="U23" s="387"/>
      <c r="V23" s="387"/>
      <c r="W23" s="387"/>
      <c r="X23" s="387"/>
      <c r="Y23" s="387"/>
      <c r="Z23" s="387"/>
      <c r="AA23" s="387"/>
      <c r="AB23" s="387"/>
      <c r="AC23" s="387"/>
      <c r="AD23" s="387"/>
      <c r="AE23" s="387"/>
      <c r="AF23" s="387"/>
      <c r="AG23" s="387"/>
      <c r="AH23" s="387"/>
      <c r="AI23" s="387"/>
      <c r="AJ23" s="387"/>
      <c r="AK23" s="387"/>
      <c r="AL23" s="387"/>
      <c r="AM23" s="387"/>
      <c r="AQ23" s="353"/>
      <c r="AR23" s="339" t="s">
        <v>590</v>
      </c>
      <c r="AS23" s="388"/>
    </row>
    <row r="24" spans="1:45" ht="15" outlineLevel="1" thickBot="1">
      <c r="A24" s="1092"/>
      <c r="B24" s="382" t="s">
        <v>579</v>
      </c>
      <c r="C24" s="383" t="s">
        <v>559</v>
      </c>
      <c r="D24" s="384" t="s">
        <v>580</v>
      </c>
      <c r="E24" s="309" t="str">
        <f>_xll.BLUEMATRIX2("/servlet/excelData",E23, $C$6,$C23&amp;":"&amp;E$14&amp;":"&amp;$C24)</f>
        <v>#</v>
      </c>
      <c r="F24" s="309" t="str">
        <f>_xll.BLUEMATRIX2("/servlet/excelData",F23, $C$6,$C23&amp;":"&amp;F$14&amp;":"&amp;$C24)</f>
        <v>#</v>
      </c>
      <c r="G24" s="309" t="str">
        <f>_xll.BLUEMATRIX2("/servlet/excelData",G23, $C$6,$C23&amp;":"&amp;G$14&amp;":"&amp;$C24)</f>
        <v>#</v>
      </c>
      <c r="H24" s="309" t="str">
        <f>_xll.BLUEMATRIX2("/servlet/excelData",H23, $C$6,$C23&amp;":"&amp;H$14&amp;":"&amp;$C24)</f>
        <v>#</v>
      </c>
      <c r="I24" s="310" t="str">
        <f>_xll.BLUEMATRIX2("/servlet/excelData",I23, $C$6,$C23&amp;":"&amp;I$14&amp;":"&amp;$C24)</f>
        <v>#</v>
      </c>
      <c r="J24" s="309" t="str">
        <f>_xll.BLUEMATRIX2("/servlet/excelData",J23, $C$6,$C23&amp;":"&amp;J$14&amp;":"&amp;$C24)</f>
        <v>#</v>
      </c>
      <c r="K24" s="309" t="str">
        <f>_xll.BLUEMATRIX2("/servlet/excelData",K23, $C$6,$C23&amp;":"&amp;K$14&amp;":"&amp;$C24)</f>
        <v>#</v>
      </c>
      <c r="L24" s="309" t="str">
        <f>_xll.BLUEMATRIX2("/servlet/excelData",L23, $C$6,$C23&amp;":"&amp;L$14&amp;":"&amp;$C24)</f>
        <v>#</v>
      </c>
      <c r="M24" s="309" t="str">
        <f>_xll.BLUEMATRIX2("/servlet/excelData",M23, $C$6,$C23&amp;":"&amp;M$14&amp;":"&amp;$C24)</f>
        <v>#</v>
      </c>
      <c r="N24" s="311" t="str">
        <f>_xll.BLUEMATRIX2("/servlet/excelData",N23, $C$6,$C23&amp;":"&amp;N$14&amp;":"&amp;$C24)</f>
        <v>#</v>
      </c>
      <c r="O24" s="312" t="str">
        <f>_xll.BLUEMATRIX2("/servlet/excelData",O23, $C$6,$C23&amp;":"&amp;O$14&amp;":"&amp;$C24)</f>
        <v>#</v>
      </c>
      <c r="P24" s="309" t="str">
        <f>_xll.BLUEMATRIX2("/servlet/excelData",P23, $C$6,$C23&amp;":"&amp;P$14&amp;":"&amp;$C24)</f>
        <v>#</v>
      </c>
      <c r="Q24" s="309" t="str">
        <f>_xll.BLUEMATRIX2("/servlet/excelData",Q23, $C$6,$C23&amp;":"&amp;Q$14&amp;":"&amp;$C24)</f>
        <v>#</v>
      </c>
      <c r="R24" s="309" t="str">
        <f>_xll.BLUEMATRIX2("/servlet/excelData",R23, $C$6,$C23&amp;":"&amp;R$14&amp;":"&amp;$C24)</f>
        <v>#</v>
      </c>
      <c r="S24" s="310" t="str">
        <f>_xll.BLUEMATRIX2("/servlet/excelData",S23, $C$6,$C23&amp;":"&amp;S$14&amp;":"&amp;$C24)</f>
        <v>#</v>
      </c>
      <c r="T24" s="309" t="str">
        <f>_xll.BLUEMATRIX2("/servlet/excelData",T23, $C$6,$C23&amp;":"&amp;T$14&amp;":"&amp;$C24)</f>
        <v>#</v>
      </c>
      <c r="U24" s="309" t="str">
        <f>_xll.BLUEMATRIX2("/servlet/excelData",U23, $C$6,$C23&amp;":"&amp;U$14&amp;":"&amp;$C24)</f>
        <v>#</v>
      </c>
      <c r="V24" s="309" t="str">
        <f>_xll.BLUEMATRIX2("/servlet/excelData",V23, $C$6,$C23&amp;":"&amp;V$14&amp;":"&amp;$C24)</f>
        <v>#</v>
      </c>
      <c r="W24" s="309" t="str">
        <f>_xll.BLUEMATRIX2("/servlet/excelData",W23, $C$6,$C23&amp;":"&amp;W$14&amp;":"&amp;$C24)</f>
        <v>#</v>
      </c>
      <c r="X24" s="311" t="str">
        <f>_xll.BLUEMATRIX2("/servlet/excelData",X23, $C$6,$C23&amp;":"&amp;X$14&amp;":"&amp;$C24)</f>
        <v>#</v>
      </c>
      <c r="Y24" s="309" t="str">
        <f>_xll.BLUEMATRIX2("/servlet/excelData",Y23, $C$6,$C23&amp;":"&amp;Y$14&amp;":"&amp;$C24)</f>
        <v>#</v>
      </c>
      <c r="Z24" s="309" t="str">
        <f>_xll.BLUEMATRIX2("/servlet/excelData",Z23, $C$6,$C23&amp;":"&amp;Z$14&amp;":"&amp;$C24)</f>
        <v>#</v>
      </c>
      <c r="AA24" s="309" t="str">
        <f>_xll.BLUEMATRIX2("/servlet/excelData",AA23, $C$6,$C23&amp;":"&amp;AA$14&amp;":"&amp;$C24)</f>
        <v>#</v>
      </c>
      <c r="AB24" s="309" t="str">
        <f>_xll.BLUEMATRIX2("/servlet/excelData",AB23, $C$6,$C23&amp;":"&amp;AB$14&amp;":"&amp;$C24)</f>
        <v>#</v>
      </c>
      <c r="AC24" s="311" t="str">
        <f>_xll.BLUEMATRIX2("/servlet/excelData",AC23, $C$6,$C23&amp;":"&amp;AC$14&amp;":"&amp;$C24)</f>
        <v>#</v>
      </c>
      <c r="AD24" s="309" t="str">
        <f>_xll.BLUEMATRIX2("/servlet/excelData",AD23, $C$6,$C23&amp;":"&amp;AD$14&amp;":"&amp;$C24)</f>
        <v>#</v>
      </c>
      <c r="AE24" s="309" t="str">
        <f>_xll.BLUEMATRIX2("/servlet/excelData",AE23, $C$6,$C23&amp;":"&amp;AE$14&amp;":"&amp;$C24)</f>
        <v>#</v>
      </c>
      <c r="AF24" s="309" t="str">
        <f>_xll.BLUEMATRIX2("/servlet/excelData",AF23, $C$6,$C23&amp;":"&amp;AF$14&amp;":"&amp;$C24)</f>
        <v>#</v>
      </c>
      <c r="AG24" s="309" t="str">
        <f>_xll.BLUEMATRIX2("/servlet/excelData",AG23, $C$6,$C23&amp;":"&amp;AG$14&amp;":"&amp;$C24)</f>
        <v>#</v>
      </c>
      <c r="AH24" s="311" t="str">
        <f>_xll.BLUEMATRIX2("/servlet/excelData",AH23, $C$6,$C23&amp;":"&amp;AH$14&amp;":"&amp;$C24)</f>
        <v>#</v>
      </c>
      <c r="AI24" s="309" t="str">
        <f>_xll.BLUEMATRIX2("/servlet/excelData",AI23, $C$6,$C23&amp;":"&amp;AI$14&amp;":"&amp;$C24)</f>
        <v>#</v>
      </c>
      <c r="AJ24" s="309" t="str">
        <f>_xll.BLUEMATRIX2("/servlet/excelData",AJ23, $C$6,$C23&amp;":"&amp;AJ$14&amp;":"&amp;$C24)</f>
        <v>#</v>
      </c>
      <c r="AK24" s="309" t="str">
        <f>_xll.BLUEMATRIX2("/servlet/excelData",AK23, $C$6,$C23&amp;":"&amp;AK$14&amp;":"&amp;$C24)</f>
        <v>#</v>
      </c>
      <c r="AL24" s="309" t="str">
        <f>_xll.BLUEMATRIX2("/servlet/excelData",AL23, $C$6,$C23&amp;":"&amp;AL$14&amp;":"&amp;$C24)</f>
        <v>#</v>
      </c>
      <c r="AM24" s="311" t="str">
        <f>_xll.BLUEMATRIX2("/servlet/excelData",AM23, $C$6,$C23&amp;":"&amp;AM$14&amp;":"&amp;$C24)</f>
        <v>#</v>
      </c>
      <c r="AQ24" s="392"/>
      <c r="AR24" s="393" t="s">
        <v>591</v>
      </c>
      <c r="AS24" s="394"/>
    </row>
    <row r="25" spans="1:45" ht="15" thickBot="1">
      <c r="A25" s="1092"/>
      <c r="B25" s="391" t="s">
        <v>592</v>
      </c>
      <c r="C25" s="386" t="s">
        <v>456</v>
      </c>
      <c r="D25" s="379" t="s">
        <v>577</v>
      </c>
      <c r="E25" s="387"/>
      <c r="F25" s="387"/>
      <c r="G25" s="387"/>
      <c r="H25" s="387"/>
      <c r="I25" s="387"/>
      <c r="J25" s="387"/>
      <c r="K25" s="387"/>
      <c r="L25" s="387"/>
      <c r="M25" s="387"/>
      <c r="N25" s="864">
        <f>CW_IS!AZ118</f>
        <v>570.48900000000003</v>
      </c>
      <c r="O25" s="864"/>
      <c r="P25" s="864"/>
      <c r="Q25" s="864"/>
      <c r="R25" s="864"/>
      <c r="S25" s="864">
        <f>CW_IS!BE118</f>
        <v>627.25233333333335</v>
      </c>
      <c r="T25" s="864"/>
      <c r="U25" s="864"/>
      <c r="V25" s="864"/>
      <c r="W25" s="864"/>
      <c r="X25" s="864">
        <f>CW_IS!BJ118</f>
        <v>671.12866666666662</v>
      </c>
      <c r="Y25" s="864"/>
      <c r="Z25" s="864"/>
      <c r="AA25" s="864"/>
      <c r="AB25" s="864"/>
      <c r="AC25" s="864">
        <f>CW_IS!BO118</f>
        <v>797.33199999999999</v>
      </c>
      <c r="AD25" s="864"/>
      <c r="AE25" s="864"/>
      <c r="AF25" s="864"/>
      <c r="AG25" s="864"/>
      <c r="AH25" s="864">
        <f>CW_IS!BT118</f>
        <v>854.01948733999996</v>
      </c>
      <c r="AI25" s="864"/>
      <c r="AJ25" s="864"/>
      <c r="AK25" s="864"/>
      <c r="AL25" s="864"/>
      <c r="AM25" s="864">
        <f>CW_IS!BY118</f>
        <v>919.76344412520007</v>
      </c>
    </row>
    <row r="26" spans="1:45" ht="15" thickBot="1">
      <c r="A26" s="1092"/>
      <c r="B26" s="382" t="s">
        <v>579</v>
      </c>
      <c r="C26" s="383" t="s">
        <v>532</v>
      </c>
      <c r="D26" s="384" t="s">
        <v>580</v>
      </c>
      <c r="E26" s="309" t="str">
        <f>_xll.BLUEMATRIX2("/servlet/excelData",E25, $C$6,$C25&amp;":"&amp;E$14&amp;":"&amp;$C26)</f>
        <v>#</v>
      </c>
      <c r="F26" s="309" t="str">
        <f>_xll.BLUEMATRIX2("/servlet/excelData",F25, $C$6,$C25&amp;":"&amp;F$14&amp;":"&amp;$C26)</f>
        <v>#</v>
      </c>
      <c r="G26" s="309" t="str">
        <f>_xll.BLUEMATRIX2("/servlet/excelData",G25, $C$6,$C25&amp;":"&amp;G$14&amp;":"&amp;$C26)</f>
        <v>#</v>
      </c>
      <c r="H26" s="309" t="str">
        <f>_xll.BLUEMATRIX2("/servlet/excelData",H25, $C$6,$C25&amp;":"&amp;H$14&amp;":"&amp;$C26)</f>
        <v>#</v>
      </c>
      <c r="I26" s="310" t="str">
        <f>_xll.BLUEMATRIX2("/servlet/excelData",I25, $C$6,$C25&amp;":"&amp;I$14&amp;":"&amp;$C26)</f>
        <v>#</v>
      </c>
      <c r="J26" s="309" t="str">
        <f>_xll.BLUEMATRIX2("/servlet/excelData",J25, $C$6,$C25&amp;":"&amp;J$14&amp;":"&amp;$C26)</f>
        <v>#</v>
      </c>
      <c r="K26" s="309" t="str">
        <f>_xll.BLUEMATRIX2("/servlet/excelData",K25, $C$6,$C25&amp;":"&amp;K$14&amp;":"&amp;$C26)</f>
        <v>#</v>
      </c>
      <c r="L26" s="309" t="str">
        <f>_xll.BLUEMATRIX2("/servlet/excelData",L25, $C$6,$C25&amp;":"&amp;L$14&amp;":"&amp;$C26)</f>
        <v>#</v>
      </c>
      <c r="M26" s="309" t="str">
        <f>_xll.BLUEMATRIX2("/servlet/excelData",M25, $C$6,$C25&amp;":"&amp;M$14&amp;":"&amp;$C26)</f>
        <v>#</v>
      </c>
      <c r="N26" s="311" t="str">
        <f>_xll.BLUEMATRIX2("/servlet/excelData",N25, $C$6,$C25&amp;":"&amp;N$14&amp;":"&amp;$C26)</f>
        <v>UPDATED: 2/12/2026 1:12:24 PM</v>
      </c>
      <c r="O26" s="312" t="str">
        <f>_xll.BLUEMATRIX2("/servlet/excelData",O25, $C$6,$C25&amp;":"&amp;O$14&amp;":"&amp;$C26)</f>
        <v>#</v>
      </c>
      <c r="P26" s="309" t="str">
        <f>_xll.BLUEMATRIX2("/servlet/excelData",P25, $C$6,$C25&amp;":"&amp;P$14&amp;":"&amp;$C26)</f>
        <v>#</v>
      </c>
      <c r="Q26" s="309" t="str">
        <f>_xll.BLUEMATRIX2("/servlet/excelData",Q25, $C$6,$C25&amp;":"&amp;Q$14&amp;":"&amp;$C26)</f>
        <v>#</v>
      </c>
      <c r="R26" s="309" t="str">
        <f>_xll.BLUEMATRIX2("/servlet/excelData",R25, $C$6,$C25&amp;":"&amp;R$14&amp;":"&amp;$C26)</f>
        <v>#</v>
      </c>
      <c r="S26" s="310" t="str">
        <f>_xll.BLUEMATRIX2("/servlet/excelData",S25, $C$6,$C25&amp;":"&amp;S$14&amp;":"&amp;$C26)</f>
        <v>UPDATED: 2/12/2026 1:12:24 PM</v>
      </c>
      <c r="T26" s="309" t="str">
        <f>_xll.BLUEMATRIX2("/servlet/excelData",T25, $C$6,$C25&amp;":"&amp;T$14&amp;":"&amp;$C26)</f>
        <v>#</v>
      </c>
      <c r="U26" s="309" t="str">
        <f>_xll.BLUEMATRIX2("/servlet/excelData",U25, $C$6,$C25&amp;":"&amp;U$14&amp;":"&amp;$C26)</f>
        <v>#</v>
      </c>
      <c r="V26" s="309" t="str">
        <f>_xll.BLUEMATRIX2("/servlet/excelData",V25, $C$6,$C25&amp;":"&amp;V$14&amp;":"&amp;$C26)</f>
        <v>#</v>
      </c>
      <c r="W26" s="309" t="str">
        <f>_xll.BLUEMATRIX2("/servlet/excelData",W25, $C$6,$C25&amp;":"&amp;W$14&amp;":"&amp;$C26)</f>
        <v>#</v>
      </c>
      <c r="X26" s="311" t="str">
        <f>_xll.BLUEMATRIX2("/servlet/excelData",X25, $C$6,$C25&amp;":"&amp;X$14&amp;":"&amp;$C26)</f>
        <v>UPDATED: 2/12/2026 1:12:24 PM</v>
      </c>
      <c r="Y26" s="309" t="str">
        <f>_xll.BLUEMATRIX2("/servlet/excelData",Y25, $C$6,$C25&amp;":"&amp;Y$14&amp;":"&amp;$C26)</f>
        <v>#</v>
      </c>
      <c r="Z26" s="309" t="str">
        <f>_xll.BLUEMATRIX2("/servlet/excelData",Z25, $C$6,$C25&amp;":"&amp;Z$14&amp;":"&amp;$C26)</f>
        <v>#</v>
      </c>
      <c r="AA26" s="309" t="str">
        <f>_xll.BLUEMATRIX2("/servlet/excelData",AA25, $C$6,$C25&amp;":"&amp;AA$14&amp;":"&amp;$C26)</f>
        <v>#</v>
      </c>
      <c r="AB26" s="309" t="str">
        <f>_xll.BLUEMATRIX2("/servlet/excelData",AB25, $C$6,$C25&amp;":"&amp;AB$14&amp;":"&amp;$C26)</f>
        <v>#</v>
      </c>
      <c r="AC26" s="311" t="e">
        <f ca="1">_xll.BLUEMATRIX2("/servlet/excelData",AC25, $C$6,$C25&amp;":"&amp;AC$14&amp;":"&amp;$C26)</f>
        <v>#NAME?</v>
      </c>
      <c r="AD26" s="309" t="str">
        <f>_xll.BLUEMATRIX2("/servlet/excelData",AD25, $C$6,$C25&amp;":"&amp;AD$14&amp;":"&amp;$C26)</f>
        <v>#</v>
      </c>
      <c r="AE26" s="309" t="str">
        <f>_xll.BLUEMATRIX2("/servlet/excelData",AE25, $C$6,$C25&amp;":"&amp;AE$14&amp;":"&amp;$C26)</f>
        <v>#</v>
      </c>
      <c r="AF26" s="309" t="str">
        <f>_xll.BLUEMATRIX2("/servlet/excelData",AF25, $C$6,$C25&amp;":"&amp;AF$14&amp;":"&amp;$C26)</f>
        <v>#</v>
      </c>
      <c r="AG26" s="309" t="str">
        <f>_xll.BLUEMATRIX2("/servlet/excelData",AG25, $C$6,$C25&amp;":"&amp;AG$14&amp;":"&amp;$C26)</f>
        <v>#</v>
      </c>
      <c r="AH26" s="311" t="e">
        <f ca="1">_xll.BLUEMATRIX2("/servlet/excelData",AH25, $C$6,$C25&amp;":"&amp;AH$14&amp;":"&amp;$C26)</f>
        <v>#NAME?</v>
      </c>
      <c r="AI26" s="309" t="str">
        <f>_xll.BLUEMATRIX2("/servlet/excelData",AI25, $C$6,$C25&amp;":"&amp;AI$14&amp;":"&amp;$C26)</f>
        <v>#</v>
      </c>
      <c r="AJ26" s="309" t="str">
        <f>_xll.BLUEMATRIX2("/servlet/excelData",AJ25, $C$6,$C25&amp;":"&amp;AJ$14&amp;":"&amp;$C26)</f>
        <v>#</v>
      </c>
      <c r="AK26" s="309" t="str">
        <f>_xll.BLUEMATRIX2("/servlet/excelData",AK25, $C$6,$C25&amp;":"&amp;AK$14&amp;":"&amp;$C26)</f>
        <v>#</v>
      </c>
      <c r="AL26" s="309" t="str">
        <f>_xll.BLUEMATRIX2("/servlet/excelData",AL25, $C$6,$C25&amp;":"&amp;AL$14&amp;":"&amp;$C26)</f>
        <v>#</v>
      </c>
      <c r="AM26" s="311" t="e">
        <f ca="1">_xll.BLUEMATRIX2("/servlet/excelData",AM25, $C$6,$C25&amp;":"&amp;AM$14&amp;":"&amp;$C26)</f>
        <v>#NAME?</v>
      </c>
    </row>
    <row r="27" spans="1:45" ht="15" thickBot="1">
      <c r="A27" s="1092"/>
      <c r="B27" s="391" t="s">
        <v>593</v>
      </c>
      <c r="C27" s="386" t="s">
        <v>456</v>
      </c>
      <c r="D27" s="379" t="s">
        <v>577</v>
      </c>
      <c r="E27" s="387"/>
      <c r="F27" s="387"/>
      <c r="G27" s="387"/>
      <c r="H27" s="387"/>
      <c r="I27" s="387"/>
      <c r="J27" s="387"/>
      <c r="K27" s="387"/>
      <c r="L27" s="387"/>
      <c r="M27" s="387"/>
      <c r="N27" s="387"/>
      <c r="O27" s="387"/>
      <c r="P27" s="387"/>
      <c r="Q27" s="387"/>
      <c r="R27" s="387"/>
      <c r="S27" s="387"/>
      <c r="T27" s="387"/>
      <c r="U27" s="387"/>
      <c r="V27" s="387"/>
      <c r="W27" s="387"/>
      <c r="X27" s="387"/>
      <c r="Y27" s="387"/>
      <c r="Z27" s="387"/>
      <c r="AA27" s="387"/>
      <c r="AB27" s="387"/>
      <c r="AC27" s="387"/>
      <c r="AD27" s="387"/>
      <c r="AE27" s="387"/>
      <c r="AF27" s="387"/>
      <c r="AG27" s="387"/>
      <c r="AH27" s="387"/>
      <c r="AI27" s="387"/>
      <c r="AJ27" s="387"/>
      <c r="AK27" s="387"/>
      <c r="AL27" s="387"/>
      <c r="AM27" s="387"/>
    </row>
    <row r="28" spans="1:45" ht="15" thickBot="1">
      <c r="A28" s="1092"/>
      <c r="B28" s="382" t="s">
        <v>579</v>
      </c>
      <c r="C28" s="383" t="s">
        <v>559</v>
      </c>
      <c r="D28" s="384" t="s">
        <v>580</v>
      </c>
      <c r="E28" s="309" t="str">
        <f>_xll.BLUEMATRIX2("/servlet/excelData",E27, $C$6,$C27&amp;":"&amp;E$14&amp;":"&amp;$C28)</f>
        <v>#</v>
      </c>
      <c r="F28" s="309" t="str">
        <f>_xll.BLUEMATRIX2("/servlet/excelData",F27, $C$6,$C27&amp;":"&amp;F$14&amp;":"&amp;$C28)</f>
        <v>#</v>
      </c>
      <c r="G28" s="309" t="str">
        <f>_xll.BLUEMATRIX2("/servlet/excelData",G27, $C$6,$C27&amp;":"&amp;G$14&amp;":"&amp;$C28)</f>
        <v>#</v>
      </c>
      <c r="H28" s="309" t="str">
        <f>_xll.BLUEMATRIX2("/servlet/excelData",H27, $C$6,$C27&amp;":"&amp;H$14&amp;":"&amp;$C28)</f>
        <v>#</v>
      </c>
      <c r="I28" s="310" t="str">
        <f>_xll.BLUEMATRIX2("/servlet/excelData",I27, $C$6,$C27&amp;":"&amp;I$14&amp;":"&amp;$C28)</f>
        <v>#</v>
      </c>
      <c r="J28" s="309" t="str">
        <f>_xll.BLUEMATRIX2("/servlet/excelData",J27, $C$6,$C27&amp;":"&amp;J$14&amp;":"&amp;$C28)</f>
        <v>#</v>
      </c>
      <c r="K28" s="309" t="str">
        <f>_xll.BLUEMATRIX2("/servlet/excelData",K27, $C$6,$C27&amp;":"&amp;K$14&amp;":"&amp;$C28)</f>
        <v>#</v>
      </c>
      <c r="L28" s="309" t="str">
        <f>_xll.BLUEMATRIX2("/servlet/excelData",L27, $C$6,$C27&amp;":"&amp;L$14&amp;":"&amp;$C28)</f>
        <v>#</v>
      </c>
      <c r="M28" s="309" t="str">
        <f>_xll.BLUEMATRIX2("/servlet/excelData",M27, $C$6,$C27&amp;":"&amp;M$14&amp;":"&amp;$C28)</f>
        <v>#</v>
      </c>
      <c r="N28" s="311" t="str">
        <f>_xll.BLUEMATRIX2("/servlet/excelData",N27, $C$6,$C27&amp;":"&amp;N$14&amp;":"&amp;$C28)</f>
        <v>#</v>
      </c>
      <c r="O28" s="312" t="str">
        <f>_xll.BLUEMATRIX2("/servlet/excelData",O27, $C$6,$C27&amp;":"&amp;O$14&amp;":"&amp;$C28)</f>
        <v>#</v>
      </c>
      <c r="P28" s="309" t="str">
        <f>_xll.BLUEMATRIX2("/servlet/excelData",P27, $C$6,$C27&amp;":"&amp;P$14&amp;":"&amp;$C28)</f>
        <v>#</v>
      </c>
      <c r="Q28" s="309" t="str">
        <f>_xll.BLUEMATRIX2("/servlet/excelData",Q27, $C$6,$C27&amp;":"&amp;Q$14&amp;":"&amp;$C28)</f>
        <v>#</v>
      </c>
      <c r="R28" s="309" t="str">
        <f>_xll.BLUEMATRIX2("/servlet/excelData",R27, $C$6,$C27&amp;":"&amp;R$14&amp;":"&amp;$C28)</f>
        <v>#</v>
      </c>
      <c r="S28" s="310" t="str">
        <f>_xll.BLUEMATRIX2("/servlet/excelData",S27, $C$6,$C27&amp;":"&amp;S$14&amp;":"&amp;$C28)</f>
        <v>#</v>
      </c>
      <c r="T28" s="309" t="str">
        <f>_xll.BLUEMATRIX2("/servlet/excelData",T27, $C$6,$C27&amp;":"&amp;T$14&amp;":"&amp;$C28)</f>
        <v>#</v>
      </c>
      <c r="U28" s="309" t="str">
        <f>_xll.BLUEMATRIX2("/servlet/excelData",U27, $C$6,$C27&amp;":"&amp;U$14&amp;":"&amp;$C28)</f>
        <v>#</v>
      </c>
      <c r="V28" s="309" t="str">
        <f>_xll.BLUEMATRIX2("/servlet/excelData",V27, $C$6,$C27&amp;":"&amp;V$14&amp;":"&amp;$C28)</f>
        <v>#</v>
      </c>
      <c r="W28" s="309" t="str">
        <f>_xll.BLUEMATRIX2("/servlet/excelData",W27, $C$6,$C27&amp;":"&amp;W$14&amp;":"&amp;$C28)</f>
        <v>#</v>
      </c>
      <c r="X28" s="311" t="str">
        <f>_xll.BLUEMATRIX2("/servlet/excelData",X27, $C$6,$C27&amp;":"&amp;X$14&amp;":"&amp;$C28)</f>
        <v>#</v>
      </c>
      <c r="Y28" s="309" t="str">
        <f>_xll.BLUEMATRIX2("/servlet/excelData",Y27, $C$6,$C27&amp;":"&amp;Y$14&amp;":"&amp;$C28)</f>
        <v>#</v>
      </c>
      <c r="Z28" s="309" t="str">
        <f>_xll.BLUEMATRIX2("/servlet/excelData",Z27, $C$6,$C27&amp;":"&amp;Z$14&amp;":"&amp;$C28)</f>
        <v>#</v>
      </c>
      <c r="AA28" s="309" t="str">
        <f>_xll.BLUEMATRIX2("/servlet/excelData",AA27, $C$6,$C27&amp;":"&amp;AA$14&amp;":"&amp;$C28)</f>
        <v>#</v>
      </c>
      <c r="AB28" s="309" t="str">
        <f>_xll.BLUEMATRIX2("/servlet/excelData",AB27, $C$6,$C27&amp;":"&amp;AB$14&amp;":"&amp;$C28)</f>
        <v>#</v>
      </c>
      <c r="AC28" s="311" t="str">
        <f>_xll.BLUEMATRIX2("/servlet/excelData",AC27, $C$6,$C27&amp;":"&amp;AC$14&amp;":"&amp;$C28)</f>
        <v>#</v>
      </c>
      <c r="AD28" s="309" t="str">
        <f>_xll.BLUEMATRIX2("/servlet/excelData",AD27, $C$6,$C27&amp;":"&amp;AD$14&amp;":"&amp;$C28)</f>
        <v>#</v>
      </c>
      <c r="AE28" s="309" t="str">
        <f>_xll.BLUEMATRIX2("/servlet/excelData",AE27, $C$6,$C27&amp;":"&amp;AE$14&amp;":"&amp;$C28)</f>
        <v>#</v>
      </c>
      <c r="AF28" s="309" t="str">
        <f>_xll.BLUEMATRIX2("/servlet/excelData",AF27, $C$6,$C27&amp;":"&amp;AF$14&amp;":"&amp;$C28)</f>
        <v>#</v>
      </c>
      <c r="AG28" s="309" t="str">
        <f>_xll.BLUEMATRIX2("/servlet/excelData",AG27, $C$6,$C27&amp;":"&amp;AG$14&amp;":"&amp;$C28)</f>
        <v>#</v>
      </c>
      <c r="AH28" s="311" t="str">
        <f>_xll.BLUEMATRIX2("/servlet/excelData",AH27, $C$6,$C27&amp;":"&amp;AH$14&amp;":"&amp;$C28)</f>
        <v>#</v>
      </c>
      <c r="AI28" s="309" t="str">
        <f>_xll.BLUEMATRIX2("/servlet/excelData",AI27, $C$6,$C27&amp;":"&amp;AI$14&amp;":"&amp;$C28)</f>
        <v>#</v>
      </c>
      <c r="AJ28" s="309" t="str">
        <f>_xll.BLUEMATRIX2("/servlet/excelData",AJ27, $C$6,$C27&amp;":"&amp;AJ$14&amp;":"&amp;$C28)</f>
        <v>#</v>
      </c>
      <c r="AK28" s="309" t="str">
        <f>_xll.BLUEMATRIX2("/servlet/excelData",AK27, $C$6,$C27&amp;":"&amp;AK$14&amp;":"&amp;$C28)</f>
        <v>#</v>
      </c>
      <c r="AL28" s="309" t="str">
        <f>_xll.BLUEMATRIX2("/servlet/excelData",AL27, $C$6,$C27&amp;":"&amp;AL$14&amp;":"&amp;$C28)</f>
        <v>#</v>
      </c>
      <c r="AM28" s="311" t="str">
        <f>_xll.BLUEMATRIX2("/servlet/excelData",AM27, $C$6,$C27&amp;":"&amp;AM$14&amp;":"&amp;$C28)</f>
        <v>#</v>
      </c>
    </row>
  </sheetData>
  <mergeCells count="3">
    <mergeCell ref="J7:P8"/>
    <mergeCell ref="D12:D16"/>
    <mergeCell ref="A16:A28"/>
  </mergeCells>
  <conditionalFormatting sqref="B8">
    <cfRule type="duplicateValues" dxfId="1" priority="4"/>
  </conditionalFormatting>
  <conditionalFormatting sqref="E13:AM13">
    <cfRule type="containsText" dxfId="0" priority="1" operator="containsText" text="E">
      <formula>NOT(ISERROR(SEARCH("E",E13)))</formula>
    </cfRule>
  </conditionalFormatting>
  <dataValidations count="2">
    <dataValidation type="list" allowBlank="1" showInputMessage="1" showErrorMessage="1" sqref="C18 C26 C24 C22 C20 C28" xr:uid="{EB13A2A5-942B-4FF9-89DA-496FA851054D}">
      <formula1>$AR$5:$AR$24</formula1>
    </dataValidation>
    <dataValidation type="list" showInputMessage="1" showErrorMessage="1" sqref="C15" xr:uid="{9A5E7624-F2D2-4E5A-84FE-24287C16936A}">
      <formula1>#REF!</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C6CF5-65F8-4465-B3F2-E4527DD947D4}">
  <dimension ref="C4"/>
  <sheetViews>
    <sheetView zoomScaleNormal="100" workbookViewId="0">
      <selection activeCell="E2" sqref="E2"/>
    </sheetView>
  </sheetViews>
  <sheetFormatPr defaultColWidth="11.6640625" defaultRowHeight="12.75"/>
  <cols>
    <col min="1" max="2" width="11.6640625" style="402"/>
    <col min="3" max="3" width="81.6640625" style="402" customWidth="1"/>
    <col min="4" max="16384" width="11.6640625" style="402"/>
  </cols>
  <sheetData>
    <row r="4" spans="3:3" ht="306">
      <c r="C4" s="853" t="s">
        <v>594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EE03-D1BD-46C2-9880-047D250A4DF6}">
  <sheetPr>
    <pageSetUpPr fitToPage="1"/>
  </sheetPr>
  <dimension ref="A1:R58"/>
  <sheetViews>
    <sheetView topLeftCell="A9" zoomScaleNormal="100" workbookViewId="0">
      <selection activeCell="K46" sqref="K46"/>
    </sheetView>
  </sheetViews>
  <sheetFormatPr defaultColWidth="9.6640625" defaultRowHeight="12.75"/>
  <cols>
    <col min="1" max="3" width="9.6640625" style="1006"/>
    <col min="4" max="4" width="9.6640625" style="1006" customWidth="1"/>
    <col min="5" max="16384" width="9.6640625" style="1006"/>
  </cols>
  <sheetData>
    <row r="1" spans="1:18">
      <c r="A1" s="1006">
        <v>1</v>
      </c>
    </row>
    <row r="3" spans="1:18" ht="12" customHeight="1"/>
    <row r="6" spans="1:18" ht="14.1" customHeight="1">
      <c r="D6" s="1093"/>
      <c r="E6" s="1093"/>
      <c r="F6" s="1093"/>
      <c r="G6" s="1093"/>
      <c r="H6" s="1093"/>
      <c r="I6" s="1093"/>
      <c r="J6" s="1093"/>
      <c r="K6" s="1093"/>
      <c r="L6" s="1093"/>
      <c r="M6" s="1093"/>
      <c r="N6" s="1093"/>
      <c r="O6" s="1093"/>
      <c r="P6" s="1093"/>
      <c r="Q6" s="1093"/>
      <c r="R6" s="1093"/>
    </row>
    <row r="7" spans="1:18" ht="13.35" customHeight="1">
      <c r="D7" s="1093"/>
      <c r="E7" s="1093"/>
      <c r="F7" s="1093"/>
      <c r="G7" s="1093"/>
      <c r="H7" s="1093"/>
      <c r="I7" s="1093"/>
      <c r="J7" s="1093"/>
      <c r="K7" s="1093"/>
      <c r="L7" s="1093"/>
      <c r="M7" s="1093"/>
      <c r="N7" s="1093"/>
      <c r="O7" s="1093"/>
      <c r="P7" s="1093"/>
      <c r="Q7" s="1093"/>
      <c r="R7" s="1093"/>
    </row>
    <row r="8" spans="1:18" ht="15.6" customHeight="1">
      <c r="B8" s="1007"/>
      <c r="C8" s="1007"/>
      <c r="D8" s="1007"/>
      <c r="E8" s="1007"/>
      <c r="F8" s="1007"/>
      <c r="G8" s="1007"/>
      <c r="H8" s="1007"/>
      <c r="I8" s="1007"/>
      <c r="J8" s="1007"/>
      <c r="K8" s="1007"/>
      <c r="L8" s="1007"/>
      <c r="M8" s="1007"/>
      <c r="N8" s="1007"/>
      <c r="O8" s="1007"/>
      <c r="P8" s="1007"/>
    </row>
    <row r="12" spans="1:18">
      <c r="B12" s="1094" t="s">
        <v>595</v>
      </c>
      <c r="C12" s="1094"/>
      <c r="D12" s="1094"/>
      <c r="E12" s="1094"/>
      <c r="F12" s="1094"/>
      <c r="G12" s="1094"/>
      <c r="H12" s="1094"/>
      <c r="I12" s="1094"/>
      <c r="J12" s="1094"/>
      <c r="K12" s="1094"/>
      <c r="L12" s="1094"/>
      <c r="M12" s="1094"/>
      <c r="N12" s="1094"/>
      <c r="O12" s="1094"/>
      <c r="P12" s="1094"/>
      <c r="Q12" s="1094"/>
    </row>
    <row r="13" spans="1:18">
      <c r="B13" s="1094" t="s">
        <v>596</v>
      </c>
      <c r="C13" s="1094"/>
      <c r="D13" s="1094"/>
      <c r="E13" s="1094"/>
      <c r="F13" s="1094"/>
      <c r="G13" s="1094"/>
      <c r="H13" s="1094"/>
      <c r="I13" s="1094"/>
      <c r="J13" s="1094"/>
      <c r="K13" s="1094"/>
      <c r="L13" s="1094"/>
      <c r="M13" s="1094"/>
      <c r="N13" s="1094"/>
      <c r="O13" s="1094"/>
      <c r="P13" s="1094"/>
      <c r="Q13" s="1094"/>
    </row>
    <row r="14" spans="1:18">
      <c r="B14" s="1094"/>
      <c r="C14" s="1094"/>
      <c r="D14" s="1094"/>
      <c r="E14" s="1094"/>
      <c r="F14" s="1094"/>
      <c r="G14" s="1094"/>
      <c r="H14" s="1094"/>
      <c r="I14" s="1094"/>
      <c r="J14" s="1094"/>
      <c r="K14" s="1094"/>
      <c r="L14" s="1094"/>
      <c r="M14" s="1094"/>
      <c r="N14" s="1094"/>
      <c r="O14" s="1094"/>
      <c r="P14" s="1094"/>
      <c r="Q14" s="1094"/>
    </row>
    <row r="43" spans="2:2">
      <c r="B43" s="1008" t="s">
        <v>597</v>
      </c>
    </row>
    <row r="58" spans="4:4">
      <c r="D58" s="1009" t="s">
        <v>598</v>
      </c>
    </row>
  </sheetData>
  <mergeCells count="5">
    <mergeCell ref="D6:R6"/>
    <mergeCell ref="D7:R7"/>
    <mergeCell ref="B12:Q12"/>
    <mergeCell ref="B13:Q13"/>
    <mergeCell ref="B14:Q14"/>
  </mergeCells>
  <pageMargins left="0.7" right="0.7" top="0.75" bottom="0.75" header="0.3" footer="0.3"/>
  <pageSetup scale="7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3BA6-9732-4589-8344-41638A55089D}">
  <sheetPr>
    <pageSetUpPr fitToPage="1"/>
  </sheetPr>
  <dimension ref="A1:R58"/>
  <sheetViews>
    <sheetView zoomScaleNormal="100" workbookViewId="0">
      <selection activeCell="I21" sqref="I21"/>
    </sheetView>
  </sheetViews>
  <sheetFormatPr defaultColWidth="9.6640625" defaultRowHeight="12.75"/>
  <cols>
    <col min="1" max="3" width="9.6640625" style="687"/>
    <col min="4" max="4" width="9.6640625" style="687" customWidth="1"/>
    <col min="5" max="16384" width="9.6640625" style="687"/>
  </cols>
  <sheetData>
    <row r="1" spans="1:18">
      <c r="A1" s="687">
        <v>1</v>
      </c>
    </row>
    <row r="3" spans="1:18" ht="12" customHeight="1"/>
    <row r="6" spans="1:18" ht="14.1" customHeight="1">
      <c r="D6" s="1096"/>
      <c r="E6" s="1096"/>
      <c r="F6" s="1096"/>
      <c r="G6" s="1096"/>
      <c r="H6" s="1096"/>
      <c r="I6" s="1096"/>
      <c r="J6" s="1096"/>
      <c r="K6" s="1096"/>
      <c r="L6" s="1096"/>
      <c r="M6" s="1096"/>
      <c r="N6" s="1096"/>
      <c r="O6" s="1096"/>
      <c r="P6" s="1096"/>
      <c r="Q6" s="1096"/>
      <c r="R6" s="1096"/>
    </row>
    <row r="7" spans="1:18" ht="13.35" customHeight="1">
      <c r="D7" s="1096"/>
      <c r="E7" s="1096"/>
      <c r="F7" s="1096"/>
      <c r="G7" s="1096"/>
      <c r="H7" s="1096"/>
      <c r="I7" s="1096"/>
      <c r="J7" s="1096"/>
      <c r="K7" s="1096"/>
      <c r="L7" s="1096"/>
      <c r="M7" s="1096"/>
      <c r="N7" s="1096"/>
      <c r="O7" s="1096"/>
      <c r="P7" s="1096"/>
      <c r="Q7" s="1096"/>
      <c r="R7" s="1096"/>
    </row>
    <row r="8" spans="1:18" ht="15.75">
      <c r="B8" s="862"/>
      <c r="C8" s="862"/>
      <c r="D8" s="862"/>
      <c r="E8" s="862"/>
      <c r="F8" s="862"/>
      <c r="G8" s="862"/>
      <c r="H8" s="862"/>
      <c r="I8" s="862"/>
      <c r="J8" s="862"/>
      <c r="K8" s="862"/>
      <c r="L8" s="862"/>
      <c r="M8" s="862"/>
      <c r="N8" s="862"/>
      <c r="O8" s="862"/>
      <c r="P8" s="862"/>
    </row>
    <row r="12" spans="1:18" ht="13.35" customHeight="1">
      <c r="B12" s="1095" t="s">
        <v>595</v>
      </c>
      <c r="C12" s="1095"/>
      <c r="D12" s="1095"/>
      <c r="E12" s="1095"/>
      <c r="F12" s="1095"/>
      <c r="G12" s="1095"/>
      <c r="H12" s="1095"/>
      <c r="I12" s="1095"/>
      <c r="J12" s="1095"/>
      <c r="K12" s="1095"/>
      <c r="L12" s="1095"/>
      <c r="M12" s="1095"/>
      <c r="N12" s="1095"/>
      <c r="O12" s="1095"/>
      <c r="P12" s="1095"/>
      <c r="Q12" s="1095"/>
    </row>
    <row r="13" spans="1:18" ht="13.35" customHeight="1">
      <c r="B13" s="1095" t="s">
        <v>596</v>
      </c>
      <c r="C13" s="1095"/>
      <c r="D13" s="1095"/>
      <c r="E13" s="1095"/>
      <c r="F13" s="1095"/>
      <c r="G13" s="1095"/>
      <c r="H13" s="1095"/>
      <c r="I13" s="1095"/>
      <c r="J13" s="1095"/>
      <c r="K13" s="1095"/>
      <c r="L13" s="1095"/>
      <c r="M13" s="1095"/>
      <c r="N13" s="1095"/>
      <c r="O13" s="1095"/>
      <c r="P13" s="1095"/>
      <c r="Q13" s="1095"/>
    </row>
    <row r="14" spans="1:18">
      <c r="B14" s="1095"/>
      <c r="C14" s="1095"/>
      <c r="D14" s="1095"/>
      <c r="E14" s="1095"/>
      <c r="F14" s="1095"/>
      <c r="G14" s="1095"/>
      <c r="H14" s="1095"/>
      <c r="I14" s="1095"/>
      <c r="J14" s="1095"/>
      <c r="K14" s="1095"/>
      <c r="L14" s="1095"/>
      <c r="M14" s="1095"/>
      <c r="N14" s="1095"/>
      <c r="O14" s="1095"/>
      <c r="P14" s="1095"/>
      <c r="Q14" s="1095"/>
    </row>
    <row r="45" spans="2:2">
      <c r="B45" s="863" t="s">
        <v>597</v>
      </c>
    </row>
    <row r="58" spans="4:4">
      <c r="D58" s="688" t="s">
        <v>598</v>
      </c>
    </row>
  </sheetData>
  <mergeCells count="5">
    <mergeCell ref="B13:Q13"/>
    <mergeCell ref="D6:R6"/>
    <mergeCell ref="D7:R7"/>
    <mergeCell ref="B14:Q14"/>
    <mergeCell ref="B12:Q12"/>
  </mergeCells>
  <pageMargins left="0.7" right="0.7" top="0.75" bottom="0.75" header="0.3" footer="0.3"/>
  <pageSetup scale="7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0AC7-2C58-46E5-A074-F412849937AC}">
  <dimension ref="A1"/>
  <sheetViews>
    <sheetView zoomScaleNormal="100" workbookViewId="0"/>
  </sheetViews>
  <sheetFormatPr defaultColWidth="11.6640625" defaultRowHeight="12.75"/>
  <cols>
    <col min="1" max="16384" width="11.6640625" style="402"/>
  </cols>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8E2A3-A1B8-4B64-BFBB-3B2AC10D50C2}">
  <dimension ref="B4:P27"/>
  <sheetViews>
    <sheetView workbookViewId="0">
      <selection activeCell="C27" sqref="C27"/>
    </sheetView>
  </sheetViews>
  <sheetFormatPr defaultRowHeight="11.25"/>
  <cols>
    <col min="2" max="2" width="50.33203125" customWidth="1"/>
    <col min="16" max="16" width="11.33203125" customWidth="1"/>
  </cols>
  <sheetData>
    <row r="4" spans="2:11" ht="12.75">
      <c r="C4" s="402"/>
    </row>
    <row r="5" spans="2:11" ht="12.75">
      <c r="B5" s="402" t="s">
        <v>599</v>
      </c>
      <c r="C5" s="402"/>
      <c r="E5" s="402"/>
      <c r="F5" s="402" t="s">
        <v>600</v>
      </c>
      <c r="G5" s="402"/>
      <c r="H5" s="402"/>
      <c r="I5" s="402"/>
      <c r="J5" s="402"/>
      <c r="K5" s="402"/>
    </row>
    <row r="6" spans="2:11" ht="12.75">
      <c r="B6" s="402" t="s">
        <v>601</v>
      </c>
      <c r="C6" s="402"/>
    </row>
    <row r="8" spans="2:11" ht="12.75">
      <c r="B8" s="402" t="s">
        <v>602</v>
      </c>
    </row>
    <row r="9" spans="2:11" ht="12.75">
      <c r="B9" s="402" t="s">
        <v>603</v>
      </c>
    </row>
    <row r="10" spans="2:11" ht="12.75">
      <c r="B10" s="402" t="s">
        <v>604</v>
      </c>
    </row>
    <row r="14" spans="2:11">
      <c r="B14">
        <v>25</v>
      </c>
      <c r="C14" t="s">
        <v>605</v>
      </c>
      <c r="D14">
        <v>4</v>
      </c>
      <c r="E14" t="s">
        <v>606</v>
      </c>
      <c r="F14" s="1004">
        <v>30</v>
      </c>
      <c r="G14" s="1005" t="s">
        <v>607</v>
      </c>
      <c r="H14" s="1004">
        <f>B14*D14*F14</f>
        <v>3000</v>
      </c>
    </row>
    <row r="15" spans="2:11">
      <c r="F15" t="s">
        <v>606</v>
      </c>
    </row>
    <row r="17" spans="2:16">
      <c r="B17">
        <v>10</v>
      </c>
      <c r="C17" t="s">
        <v>608</v>
      </c>
      <c r="D17">
        <v>100</v>
      </c>
      <c r="E17" t="s">
        <v>609</v>
      </c>
      <c r="F17">
        <v>0.25</v>
      </c>
      <c r="H17">
        <f>B17*D17*F17</f>
        <v>250</v>
      </c>
      <c r="I17" s="1005" t="s">
        <v>607</v>
      </c>
      <c r="J17">
        <v>60</v>
      </c>
      <c r="K17" t="s">
        <v>609</v>
      </c>
      <c r="L17" t="s">
        <v>610</v>
      </c>
      <c r="M17">
        <f>20*J17</f>
        <v>1200</v>
      </c>
    </row>
    <row r="18" spans="2:16">
      <c r="E18" t="s">
        <v>611</v>
      </c>
      <c r="H18" t="s">
        <v>612</v>
      </c>
      <c r="L18" t="s">
        <v>613</v>
      </c>
    </row>
    <row r="20" spans="2:16">
      <c r="B20" s="1037"/>
      <c r="C20" s="1039" t="s">
        <v>1251</v>
      </c>
      <c r="D20" s="1039">
        <v>1</v>
      </c>
      <c r="E20" s="1039">
        <v>2</v>
      </c>
      <c r="F20" s="1039">
        <v>3</v>
      </c>
      <c r="G20" s="1039">
        <v>4</v>
      </c>
      <c r="H20" s="1039">
        <v>5</v>
      </c>
      <c r="I20" s="1039">
        <v>6</v>
      </c>
      <c r="J20" s="1039">
        <v>7</v>
      </c>
      <c r="K20" s="1039">
        <v>8</v>
      </c>
      <c r="L20" s="1039">
        <v>9</v>
      </c>
      <c r="M20" s="1039">
        <v>10</v>
      </c>
      <c r="N20" s="1039">
        <v>11</v>
      </c>
      <c r="O20" s="1037"/>
      <c r="P20" s="1037"/>
    </row>
    <row r="21" spans="2:16">
      <c r="B21" s="1037"/>
      <c r="C21" s="1039">
        <v>2025</v>
      </c>
      <c r="D21" s="1039">
        <v>2026</v>
      </c>
      <c r="E21" s="1039">
        <f t="shared" ref="E21:M21" si="0">D21+1</f>
        <v>2027</v>
      </c>
      <c r="F21" s="1039">
        <f t="shared" si="0"/>
        <v>2028</v>
      </c>
      <c r="G21" s="1039">
        <f t="shared" si="0"/>
        <v>2029</v>
      </c>
      <c r="H21" s="1039">
        <f t="shared" si="0"/>
        <v>2030</v>
      </c>
      <c r="I21" s="1039">
        <f t="shared" si="0"/>
        <v>2031</v>
      </c>
      <c r="J21" s="1039">
        <f t="shared" si="0"/>
        <v>2032</v>
      </c>
      <c r="K21" s="1039">
        <f t="shared" si="0"/>
        <v>2033</v>
      </c>
      <c r="L21" s="1039">
        <f t="shared" si="0"/>
        <v>2034</v>
      </c>
      <c r="M21" s="1039">
        <f t="shared" si="0"/>
        <v>2035</v>
      </c>
      <c r="N21" s="1039">
        <v>2036</v>
      </c>
      <c r="O21" s="1037"/>
      <c r="P21" s="1037"/>
    </row>
    <row r="22" spans="2:16">
      <c r="B22" s="1037" t="s">
        <v>1106</v>
      </c>
      <c r="C22" s="1038">
        <v>300</v>
      </c>
      <c r="D22" s="1038">
        <f t="shared" ref="D22:M22" si="1">C22*1.1</f>
        <v>330</v>
      </c>
      <c r="E22" s="1038">
        <f t="shared" si="1"/>
        <v>363.00000000000006</v>
      </c>
      <c r="F22" s="1038">
        <f t="shared" si="1"/>
        <v>399.30000000000007</v>
      </c>
      <c r="G22" s="1038">
        <f t="shared" si="1"/>
        <v>439.23000000000013</v>
      </c>
      <c r="H22" s="1038">
        <f t="shared" si="1"/>
        <v>483.15300000000019</v>
      </c>
      <c r="I22" s="1038">
        <f t="shared" si="1"/>
        <v>531.46830000000023</v>
      </c>
      <c r="J22" s="1038">
        <f t="shared" si="1"/>
        <v>584.61513000000025</v>
      </c>
      <c r="K22" s="1038">
        <f t="shared" si="1"/>
        <v>643.07664300000033</v>
      </c>
      <c r="L22" s="1038">
        <f t="shared" si="1"/>
        <v>707.38430730000039</v>
      </c>
      <c r="M22" s="1038">
        <f t="shared" si="1"/>
        <v>778.12273803000051</v>
      </c>
      <c r="N22" s="1038"/>
      <c r="O22" s="1037"/>
      <c r="P22" s="1037"/>
    </row>
    <row r="23" spans="2:16">
      <c r="B23" s="1037" t="s">
        <v>1252</v>
      </c>
      <c r="C23" s="1038">
        <v>0</v>
      </c>
      <c r="D23" s="1038">
        <f>C23+80</f>
        <v>80</v>
      </c>
      <c r="E23" s="1038">
        <f t="shared" ref="E23:M23" si="2">D23+80</f>
        <v>160</v>
      </c>
      <c r="F23" s="1038">
        <f t="shared" si="2"/>
        <v>240</v>
      </c>
      <c r="G23" s="1038">
        <f t="shared" si="2"/>
        <v>320</v>
      </c>
      <c r="H23" s="1038">
        <f t="shared" si="2"/>
        <v>400</v>
      </c>
      <c r="I23" s="1038">
        <f t="shared" si="2"/>
        <v>480</v>
      </c>
      <c r="J23" s="1038">
        <f t="shared" si="2"/>
        <v>560</v>
      </c>
      <c r="K23" s="1038">
        <f t="shared" si="2"/>
        <v>640</v>
      </c>
      <c r="L23" s="1038">
        <f t="shared" si="2"/>
        <v>720</v>
      </c>
      <c r="M23" s="1038">
        <f t="shared" si="2"/>
        <v>800</v>
      </c>
      <c r="N23" s="1038"/>
      <c r="O23" s="1037"/>
      <c r="P23" s="1037"/>
    </row>
    <row r="24" spans="2:16">
      <c r="B24" s="1037" t="s">
        <v>1256</v>
      </c>
      <c r="C24" s="1038"/>
      <c r="D24" s="1038">
        <f t="shared" ref="D24:M24" si="3">D23*0.23</f>
        <v>18.400000000000002</v>
      </c>
      <c r="E24" s="1038">
        <f t="shared" si="3"/>
        <v>36.800000000000004</v>
      </c>
      <c r="F24" s="1038">
        <f t="shared" si="3"/>
        <v>55.2</v>
      </c>
      <c r="G24" s="1038">
        <f t="shared" si="3"/>
        <v>73.600000000000009</v>
      </c>
      <c r="H24" s="1038">
        <f t="shared" si="3"/>
        <v>92</v>
      </c>
      <c r="I24" s="1038">
        <f t="shared" si="3"/>
        <v>110.4</v>
      </c>
      <c r="J24" s="1038">
        <f t="shared" si="3"/>
        <v>128.80000000000001</v>
      </c>
      <c r="K24" s="1038">
        <f t="shared" si="3"/>
        <v>147.20000000000002</v>
      </c>
      <c r="L24" s="1038">
        <f t="shared" si="3"/>
        <v>165.6</v>
      </c>
      <c r="M24" s="1038">
        <f t="shared" si="3"/>
        <v>184</v>
      </c>
      <c r="N24" s="1038">
        <f>35*M24</f>
        <v>6440</v>
      </c>
      <c r="O24" s="1037" t="s">
        <v>1255</v>
      </c>
      <c r="P24" s="1037"/>
    </row>
    <row r="25" spans="2:16">
      <c r="B25" s="1037" t="s">
        <v>1254</v>
      </c>
      <c r="C25" s="1038"/>
      <c r="D25" s="1038">
        <f t="shared" ref="D25:N25" si="4">D24/(1.06)^D20</f>
        <v>17.358490566037737</v>
      </c>
      <c r="E25" s="1038">
        <f t="shared" si="4"/>
        <v>32.751868992524031</v>
      </c>
      <c r="F25" s="1038">
        <f t="shared" si="4"/>
        <v>46.346984423383049</v>
      </c>
      <c r="G25" s="1038">
        <f t="shared" si="4"/>
        <v>58.298093614318311</v>
      </c>
      <c r="H25" s="1038">
        <f t="shared" si="4"/>
        <v>68.747751903677241</v>
      </c>
      <c r="I25" s="1038">
        <f t="shared" si="4"/>
        <v>77.827643664540261</v>
      </c>
      <c r="J25" s="1038">
        <f t="shared" si="4"/>
        <v>85.659356234556881</v>
      </c>
      <c r="K25" s="1038">
        <f t="shared" si="4"/>
        <v>92.355101061516876</v>
      </c>
      <c r="L25" s="1038">
        <f t="shared" si="4"/>
        <v>98.018385560572142</v>
      </c>
      <c r="M25" s="1038">
        <f t="shared" si="4"/>
        <v>102.74463895238169</v>
      </c>
      <c r="N25" s="1038">
        <f t="shared" si="4"/>
        <v>3392.5116635220365</v>
      </c>
      <c r="O25" s="1037"/>
      <c r="P25" s="1037"/>
    </row>
    <row r="26" spans="2:16">
      <c r="B26" s="1037"/>
      <c r="C26" s="1037"/>
      <c r="D26" s="1037"/>
      <c r="E26" s="1037"/>
      <c r="F26" s="1037"/>
      <c r="G26" s="1037"/>
      <c r="H26" s="1037"/>
      <c r="I26" s="1037"/>
      <c r="J26" s="1037"/>
      <c r="K26" s="1037"/>
      <c r="L26" s="1037"/>
      <c r="M26" s="1037"/>
      <c r="N26" s="1037"/>
      <c r="O26" s="1037"/>
      <c r="P26" s="1037"/>
    </row>
    <row r="27" spans="2:16">
      <c r="B27" s="1040" t="s">
        <v>1253</v>
      </c>
      <c r="C27" s="1041">
        <f>SUM(D25:N25)</f>
        <v>4072.6199784955447</v>
      </c>
      <c r="D27" s="1037"/>
      <c r="E27" s="1037"/>
      <c r="F27" s="1037"/>
      <c r="G27" s="1037"/>
      <c r="H27" s="1037"/>
      <c r="I27" s="1037"/>
      <c r="J27" s="1037"/>
      <c r="K27" s="1037"/>
      <c r="L27" s="1037"/>
      <c r="M27" s="1037"/>
      <c r="N27" s="1037"/>
      <c r="O27" s="1037"/>
      <c r="P27" s="103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4F83E-1D89-4890-A8CF-B2B02FC23FF1}">
  <dimension ref="B4:J16"/>
  <sheetViews>
    <sheetView workbookViewId="0">
      <selection activeCell="E18" sqref="E18"/>
    </sheetView>
  </sheetViews>
  <sheetFormatPr defaultRowHeight="11.25"/>
  <cols>
    <col min="2" max="2" width="27" customWidth="1"/>
    <col min="3" max="3" width="14.1640625" customWidth="1"/>
    <col min="4" max="4" width="17.83203125" customWidth="1"/>
    <col min="5" max="5" width="52.1640625" customWidth="1"/>
  </cols>
  <sheetData>
    <row r="4" spans="2:10" ht="12.75">
      <c r="B4" s="686" t="s">
        <v>708</v>
      </c>
      <c r="C4" s="402" t="s">
        <v>709</v>
      </c>
      <c r="D4" s="402"/>
      <c r="E4" s="402" t="s">
        <v>710</v>
      </c>
      <c r="F4" s="402"/>
      <c r="G4" s="402" t="s">
        <v>711</v>
      </c>
      <c r="H4" s="402"/>
      <c r="I4" s="402"/>
      <c r="J4" s="402"/>
    </row>
    <row r="5" spans="2:10" ht="12.75">
      <c r="B5" s="686" t="s">
        <v>712</v>
      </c>
      <c r="C5" s="402" t="s">
        <v>713</v>
      </c>
      <c r="D5" s="402"/>
      <c r="E5" s="402" t="s">
        <v>714</v>
      </c>
      <c r="F5" s="402"/>
      <c r="G5" s="402" t="s">
        <v>715</v>
      </c>
      <c r="H5" s="402" t="s">
        <v>716</v>
      </c>
      <c r="I5" s="402"/>
      <c r="J5" s="402"/>
    </row>
    <row r="6" spans="2:10" ht="12.75">
      <c r="B6" s="686" t="s">
        <v>717</v>
      </c>
      <c r="C6" s="402" t="s">
        <v>718</v>
      </c>
      <c r="D6" s="402"/>
      <c r="E6" s="402" t="s">
        <v>719</v>
      </c>
      <c r="F6" s="402"/>
      <c r="G6" s="402" t="s">
        <v>715</v>
      </c>
      <c r="H6" s="402"/>
      <c r="I6" s="402"/>
      <c r="J6" s="402"/>
    </row>
    <row r="9" spans="2:10" ht="12.6" customHeight="1">
      <c r="B9" s="1098" t="s">
        <v>1263</v>
      </c>
      <c r="C9" s="1097" t="s">
        <v>1264</v>
      </c>
      <c r="D9" s="1097"/>
      <c r="E9" s="1099" t="s">
        <v>1257</v>
      </c>
      <c r="F9" s="869"/>
    </row>
    <row r="10" spans="2:10">
      <c r="B10" s="1098"/>
      <c r="C10" s="1046">
        <v>2022</v>
      </c>
      <c r="D10" s="1046">
        <v>2025</v>
      </c>
      <c r="E10" s="1099"/>
      <c r="F10" s="869"/>
    </row>
    <row r="11" spans="2:10" ht="25.5">
      <c r="B11" s="1042" t="s">
        <v>1260</v>
      </c>
      <c r="C11" s="1048">
        <v>115</v>
      </c>
      <c r="D11" s="1048">
        <v>140</v>
      </c>
      <c r="E11" s="1044" t="s">
        <v>1258</v>
      </c>
      <c r="F11" s="869"/>
    </row>
    <row r="12" spans="2:10" ht="22.5">
      <c r="B12" s="1045" t="s">
        <v>1261</v>
      </c>
      <c r="C12" s="1049">
        <v>75</v>
      </c>
      <c r="D12" s="1049">
        <v>85</v>
      </c>
      <c r="E12" s="1047" t="s">
        <v>1259</v>
      </c>
      <c r="F12" s="869"/>
    </row>
    <row r="13" spans="2:10" ht="12.75">
      <c r="B13" s="1042" t="s">
        <v>1262</v>
      </c>
      <c r="C13" s="1048">
        <v>400</v>
      </c>
      <c r="D13" s="1048">
        <v>450</v>
      </c>
      <c r="E13" s="1043"/>
      <c r="F13" s="869"/>
    </row>
    <row r="14" spans="2:10">
      <c r="B14" s="869"/>
      <c r="C14" s="869"/>
      <c r="D14" s="869"/>
      <c r="E14" s="869"/>
      <c r="F14" s="869"/>
    </row>
    <row r="15" spans="2:10">
      <c r="B15" s="869"/>
      <c r="C15" s="869"/>
      <c r="D15" s="869"/>
      <c r="E15" s="869"/>
      <c r="F15" s="869"/>
    </row>
    <row r="16" spans="2:10">
      <c r="B16" s="869"/>
      <c r="C16" s="869"/>
      <c r="D16" s="869"/>
      <c r="E16" s="869"/>
      <c r="F16" s="869"/>
    </row>
  </sheetData>
  <mergeCells count="3">
    <mergeCell ref="C9:D9"/>
    <mergeCell ref="B9:B10"/>
    <mergeCell ref="E9:E10"/>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0DE7C-D40C-41F7-81EC-3D894A666F9E}">
  <dimension ref="A3:W960"/>
  <sheetViews>
    <sheetView topLeftCell="A51" zoomScaleNormal="100" workbookViewId="0">
      <selection activeCell="B54" sqref="B54"/>
    </sheetView>
  </sheetViews>
  <sheetFormatPr defaultColWidth="11.6640625" defaultRowHeight="12.75" outlineLevelRow="1"/>
  <cols>
    <col min="1" max="1" width="11.6640625" style="402"/>
    <col min="2" max="2" width="14" style="402" bestFit="1" customWidth="1"/>
    <col min="3" max="4" width="11.6640625" style="402"/>
    <col min="5" max="5" width="17" style="402" customWidth="1"/>
    <col min="6" max="16384" width="11.6640625" style="402"/>
  </cols>
  <sheetData>
    <row r="3" spans="1:2">
      <c r="B3" s="685" t="s">
        <v>614</v>
      </c>
    </row>
    <row r="4" spans="1:2" hidden="1" outlineLevel="1"/>
    <row r="5" spans="1:2" hidden="1" outlineLevel="1"/>
    <row r="6" spans="1:2" hidden="1" outlineLevel="1">
      <c r="B6" s="684" t="s">
        <v>1174</v>
      </c>
    </row>
    <row r="7" spans="1:2" hidden="1" outlineLevel="1">
      <c r="B7" s="402" t="s">
        <v>615</v>
      </c>
    </row>
    <row r="8" spans="1:2" hidden="1" outlineLevel="1">
      <c r="B8" s="402" t="s">
        <v>616</v>
      </c>
    </row>
    <row r="9" spans="1:2" hidden="1" outlineLevel="1">
      <c r="B9" s="402" t="s">
        <v>1188</v>
      </c>
    </row>
    <row r="10" spans="1:2" hidden="1" outlineLevel="1"/>
    <row r="11" spans="1:2" hidden="1" outlineLevel="1">
      <c r="B11" s="402" t="s">
        <v>884</v>
      </c>
    </row>
    <row r="12" spans="1:2" hidden="1" outlineLevel="1">
      <c r="A12" s="402" t="s">
        <v>885</v>
      </c>
    </row>
    <row r="13" spans="1:2" hidden="1" outlineLevel="1"/>
    <row r="14" spans="1:2" hidden="1" outlineLevel="1"/>
    <row r="15" spans="1:2" hidden="1" outlineLevel="1">
      <c r="B15" s="684" t="s">
        <v>82</v>
      </c>
    </row>
    <row r="16" spans="1:2" hidden="1" outlineLevel="1">
      <c r="B16" s="402" t="s">
        <v>615</v>
      </c>
    </row>
    <row r="17" spans="2:23" hidden="1" outlineLevel="1">
      <c r="B17" s="402" t="s">
        <v>616</v>
      </c>
    </row>
    <row r="18" spans="2:23" hidden="1" outlineLevel="1">
      <c r="B18" s="402" t="s">
        <v>617</v>
      </c>
    </row>
    <row r="19" spans="2:23" hidden="1" outlineLevel="1"/>
    <row r="20" spans="2:23" hidden="1" outlineLevel="1"/>
    <row r="21" spans="2:23" hidden="1" outlineLevel="1"/>
    <row r="22" spans="2:23" hidden="1" outlineLevel="1">
      <c r="B22" s="684" t="s">
        <v>76</v>
      </c>
    </row>
    <row r="23" spans="2:23" hidden="1" outlineLevel="1">
      <c r="B23" s="402" t="s">
        <v>618</v>
      </c>
    </row>
    <row r="24" spans="2:23" hidden="1" outlineLevel="1">
      <c r="B24" s="871" t="s">
        <v>619</v>
      </c>
    </row>
    <row r="25" spans="2:23" hidden="1" outlineLevel="1"/>
    <row r="26" spans="2:23" hidden="1" outlineLevel="1"/>
    <row r="27" spans="2:23" hidden="1" outlineLevel="1">
      <c r="B27" s="684" t="s">
        <v>75</v>
      </c>
    </row>
    <row r="28" spans="2:23" hidden="1" outlineLevel="1">
      <c r="B28" s="402" t="s">
        <v>618</v>
      </c>
    </row>
    <row r="29" spans="2:23" hidden="1" outlineLevel="1">
      <c r="B29" s="871" t="s">
        <v>620</v>
      </c>
    </row>
    <row r="30" spans="2:23" hidden="1" outlineLevel="1"/>
    <row r="31" spans="2:23" hidden="1" outlineLevel="1">
      <c r="B31" s="866">
        <v>45117</v>
      </c>
      <c r="C31" s="402" t="s">
        <v>621</v>
      </c>
      <c r="H31" s="867" t="s">
        <v>622</v>
      </c>
    </row>
    <row r="32" spans="2:23" hidden="1" outlineLevel="1">
      <c r="B32" s="866">
        <v>45097</v>
      </c>
      <c r="C32" s="402" t="s">
        <v>623</v>
      </c>
      <c r="W32" s="867" t="s">
        <v>624</v>
      </c>
    </row>
    <row r="33" spans="2:5" hidden="1" outlineLevel="1"/>
    <row r="34" spans="2:5" hidden="1" outlineLevel="1">
      <c r="B34" s="684" t="s">
        <v>74</v>
      </c>
    </row>
    <row r="35" spans="2:5" hidden="1" outlineLevel="1">
      <c r="B35" s="402" t="s">
        <v>625</v>
      </c>
    </row>
    <row r="36" spans="2:5" hidden="1" outlineLevel="1"/>
    <row r="37" spans="2:5" hidden="1" outlineLevel="1">
      <c r="B37" s="684" t="s">
        <v>626</v>
      </c>
    </row>
    <row r="38" spans="2:5" hidden="1" outlineLevel="1">
      <c r="B38" s="402" t="s">
        <v>627</v>
      </c>
    </row>
    <row r="39" spans="2:5" hidden="1" outlineLevel="1">
      <c r="B39" s="402" t="s">
        <v>628</v>
      </c>
    </row>
    <row r="40" spans="2:5" hidden="1" outlineLevel="1">
      <c r="B40" s="402" t="s">
        <v>629</v>
      </c>
    </row>
    <row r="41" spans="2:5" hidden="1" outlineLevel="1">
      <c r="B41" s="402" t="s">
        <v>630</v>
      </c>
    </row>
    <row r="42" spans="2:5" hidden="1" outlineLevel="1">
      <c r="B42" s="402" t="s">
        <v>631</v>
      </c>
    </row>
    <row r="43" spans="2:5" hidden="1" outlineLevel="1"/>
    <row r="44" spans="2:5" hidden="1" outlineLevel="1">
      <c r="B44" s="684" t="s">
        <v>632</v>
      </c>
    </row>
    <row r="45" spans="2:5" hidden="1" outlineLevel="1">
      <c r="B45" s="402" t="s">
        <v>633</v>
      </c>
    </row>
    <row r="46" spans="2:5" hidden="1" outlineLevel="1">
      <c r="B46" s="686" t="s">
        <v>634</v>
      </c>
      <c r="E46" s="402" t="s">
        <v>635</v>
      </c>
    </row>
    <row r="47" spans="2:5" hidden="1" outlineLevel="1">
      <c r="B47" s="686" t="s">
        <v>636</v>
      </c>
      <c r="E47" s="402" t="s">
        <v>637</v>
      </c>
    </row>
    <row r="48" spans="2:5" hidden="1" outlineLevel="1">
      <c r="B48" s="686" t="s">
        <v>638</v>
      </c>
      <c r="E48" s="402" t="s">
        <v>639</v>
      </c>
    </row>
    <row r="49" spans="2:15" hidden="1" outlineLevel="1">
      <c r="B49" s="686" t="s">
        <v>640</v>
      </c>
      <c r="E49" s="402" t="s">
        <v>641</v>
      </c>
    </row>
    <row r="50" spans="2:15" hidden="1" outlineLevel="1"/>
    <row r="51" spans="2:15" collapsed="1">
      <c r="B51" s="685" t="s">
        <v>642</v>
      </c>
    </row>
    <row r="52" spans="2:15" hidden="1" outlineLevel="1">
      <c r="B52" s="684"/>
    </row>
    <row r="53" spans="2:15" hidden="1" outlineLevel="1">
      <c r="B53" s="866">
        <v>46062</v>
      </c>
      <c r="C53" s="402" t="s">
        <v>1275</v>
      </c>
      <c r="D53"/>
      <c r="E53"/>
      <c r="F53"/>
      <c r="G53"/>
      <c r="H53"/>
      <c r="I53"/>
      <c r="J53" s="867" t="s">
        <v>1276</v>
      </c>
    </row>
    <row r="54" spans="2:15" hidden="1" outlineLevel="1">
      <c r="B54" s="866"/>
      <c r="D54"/>
      <c r="E54"/>
      <c r="F54"/>
      <c r="G54"/>
      <c r="H54"/>
      <c r="I54"/>
      <c r="J54" s="867"/>
    </row>
    <row r="55" spans="2:15" hidden="1" outlineLevel="1">
      <c r="B55" s="866">
        <v>45943</v>
      </c>
      <c r="C55" s="402" t="s">
        <v>1223</v>
      </c>
      <c r="D55"/>
      <c r="E55"/>
      <c r="F55"/>
      <c r="G55"/>
      <c r="H55"/>
      <c r="I55"/>
      <c r="J55"/>
      <c r="K55"/>
      <c r="L55" s="867" t="s">
        <v>1224</v>
      </c>
      <c r="M55"/>
      <c r="O55"/>
    </row>
    <row r="56" spans="2:15" hidden="1" outlineLevel="1">
      <c r="B56" s="684"/>
    </row>
    <row r="57" spans="2:15" hidden="1" outlineLevel="1">
      <c r="B57" s="684" t="s">
        <v>1174</v>
      </c>
    </row>
    <row r="58" spans="2:15" hidden="1" outlineLevel="1">
      <c r="B58" s="402" t="s">
        <v>1189</v>
      </c>
    </row>
    <row r="59" spans="2:15" hidden="1" outlineLevel="1">
      <c r="B59" s="402" t="s">
        <v>646</v>
      </c>
    </row>
    <row r="60" spans="2:15" hidden="1" outlineLevel="1">
      <c r="B60" s="402" t="s">
        <v>647</v>
      </c>
    </row>
    <row r="61" spans="2:15" hidden="1" outlineLevel="1">
      <c r="B61" s="684"/>
    </row>
    <row r="62" spans="2:15" hidden="1" outlineLevel="1">
      <c r="B62" s="684"/>
    </row>
    <row r="63" spans="2:15" hidden="1" outlineLevel="1">
      <c r="B63" s="866">
        <v>45833</v>
      </c>
      <c r="C63" s="402" t="s">
        <v>1170</v>
      </c>
      <c r="D63"/>
      <c r="E63"/>
      <c r="F63"/>
      <c r="I63" t="s">
        <v>1169</v>
      </c>
    </row>
    <row r="64" spans="2:15" hidden="1" outlineLevel="1">
      <c r="B64" s="866">
        <v>45820</v>
      </c>
      <c r="C64" s="402" t="s">
        <v>643</v>
      </c>
      <c r="D64"/>
      <c r="E64"/>
      <c r="F64"/>
      <c r="G64"/>
      <c r="H64"/>
      <c r="I64" t="s">
        <v>644</v>
      </c>
    </row>
    <row r="65" spans="2:2" hidden="1" outlineLevel="1">
      <c r="B65" s="684"/>
    </row>
    <row r="66" spans="2:2" hidden="1" outlineLevel="1">
      <c r="B66" s="684"/>
    </row>
    <row r="67" spans="2:2" hidden="1" outlineLevel="1">
      <c r="B67" s="684" t="s">
        <v>82</v>
      </c>
    </row>
    <row r="68" spans="2:2" hidden="1" outlineLevel="1">
      <c r="B68" s="402" t="s">
        <v>645</v>
      </c>
    </row>
    <row r="69" spans="2:2" hidden="1" outlineLevel="1">
      <c r="B69" s="402" t="s">
        <v>646</v>
      </c>
    </row>
    <row r="70" spans="2:2" hidden="1" outlineLevel="1">
      <c r="B70" s="402" t="s">
        <v>647</v>
      </c>
    </row>
    <row r="71" spans="2:2" hidden="1" outlineLevel="1">
      <c r="B71" s="684"/>
    </row>
    <row r="72" spans="2:2" hidden="1" outlineLevel="1">
      <c r="B72" s="684"/>
    </row>
    <row r="73" spans="2:2" hidden="1" outlineLevel="1">
      <c r="B73" s="684"/>
    </row>
    <row r="74" spans="2:2" hidden="1" outlineLevel="1">
      <c r="B74" s="684" t="s">
        <v>76</v>
      </c>
    </row>
    <row r="75" spans="2:2" hidden="1" outlineLevel="1">
      <c r="B75" s="402" t="s">
        <v>618</v>
      </c>
    </row>
    <row r="76" spans="2:2" hidden="1" outlineLevel="1">
      <c r="B76" s="871" t="s">
        <v>648</v>
      </c>
    </row>
    <row r="77" spans="2:2" hidden="1" outlineLevel="1">
      <c r="B77" s="871" t="s">
        <v>649</v>
      </c>
    </row>
    <row r="78" spans="2:2" hidden="1" outlineLevel="1">
      <c r="B78" s="684"/>
    </row>
    <row r="79" spans="2:2" hidden="1" outlineLevel="1">
      <c r="B79" s="684"/>
    </row>
    <row r="80" spans="2:2" hidden="1" outlineLevel="1">
      <c r="B80" s="684" t="s">
        <v>75</v>
      </c>
    </row>
    <row r="81" spans="2:17" hidden="1" outlineLevel="1">
      <c r="B81" s="402" t="s">
        <v>618</v>
      </c>
    </row>
    <row r="82" spans="2:17" hidden="1" outlineLevel="1">
      <c r="B82" s="871" t="s">
        <v>649</v>
      </c>
    </row>
    <row r="83" spans="2:17" hidden="1" outlineLevel="1">
      <c r="B83" s="871" t="s">
        <v>650</v>
      </c>
    </row>
    <row r="84" spans="2:17" hidden="1" outlineLevel="1">
      <c r="B84" s="684"/>
    </row>
    <row r="85" spans="2:17" hidden="1" outlineLevel="1">
      <c r="B85" s="684"/>
    </row>
    <row r="86" spans="2:17" hidden="1" outlineLevel="1">
      <c r="B86" s="684" t="s">
        <v>74</v>
      </c>
    </row>
    <row r="87" spans="2:17" hidden="1" outlineLevel="1">
      <c r="B87" s="861" t="s">
        <v>651</v>
      </c>
      <c r="C87" s="402" t="s">
        <v>652</v>
      </c>
      <c r="O87" s="402" t="s">
        <v>653</v>
      </c>
      <c r="Q87" s="402" t="s">
        <v>654</v>
      </c>
    </row>
    <row r="88" spans="2:17" hidden="1" outlineLevel="1">
      <c r="B88" s="402" t="s">
        <v>655</v>
      </c>
    </row>
    <row r="89" spans="2:17" hidden="1" outlineLevel="1">
      <c r="B89" s="402" t="s">
        <v>656</v>
      </c>
    </row>
    <row r="90" spans="2:17" hidden="1" outlineLevel="1"/>
    <row r="91" spans="2:17" hidden="1" outlineLevel="1">
      <c r="B91" s="684" t="s">
        <v>626</v>
      </c>
    </row>
    <row r="92" spans="2:17" hidden="1" outlineLevel="1">
      <c r="B92" s="402" t="s">
        <v>657</v>
      </c>
    </row>
    <row r="93" spans="2:17" hidden="1" outlineLevel="1">
      <c r="B93" s="402" t="s">
        <v>658</v>
      </c>
    </row>
    <row r="94" spans="2:17" hidden="1" outlineLevel="1">
      <c r="B94" s="402" t="s">
        <v>659</v>
      </c>
    </row>
    <row r="95" spans="2:17" hidden="1" outlineLevel="1">
      <c r="B95" s="402" t="s">
        <v>660</v>
      </c>
    </row>
    <row r="96" spans="2:17" hidden="1" outlineLevel="1">
      <c r="B96" s="402" t="s">
        <v>661</v>
      </c>
    </row>
    <row r="97" spans="2:15" hidden="1" outlineLevel="1"/>
    <row r="98" spans="2:15" hidden="1" outlineLevel="1">
      <c r="B98" s="684"/>
    </row>
    <row r="99" spans="2:15" collapsed="1">
      <c r="B99" s="685" t="s">
        <v>662</v>
      </c>
    </row>
    <row r="100" spans="2:15" hidden="1" outlineLevel="1"/>
    <row r="101" spans="2:15" hidden="1" outlineLevel="1">
      <c r="B101" s="866">
        <v>45944</v>
      </c>
      <c r="C101" s="402" t="s">
        <v>1225</v>
      </c>
      <c r="D101"/>
      <c r="E101"/>
      <c r="F101"/>
      <c r="G101"/>
      <c r="H101"/>
      <c r="I101"/>
      <c r="J101"/>
      <c r="K101"/>
      <c r="L101"/>
      <c r="M101" s="867" t="s">
        <v>1226</v>
      </c>
      <c r="N101"/>
    </row>
    <row r="102" spans="2:15" hidden="1" outlineLevel="1">
      <c r="B102" s="866">
        <v>45880</v>
      </c>
      <c r="C102" s="402" t="s">
        <v>1217</v>
      </c>
      <c r="D102"/>
      <c r="E102"/>
      <c r="F102"/>
      <c r="G102"/>
      <c r="H102"/>
      <c r="I102"/>
      <c r="J102"/>
      <c r="K102"/>
      <c r="L102"/>
      <c r="M102" s="867" t="s">
        <v>1218</v>
      </c>
      <c r="N102"/>
      <c r="O102"/>
    </row>
    <row r="103" spans="2:15" hidden="1" outlineLevel="1"/>
    <row r="104" spans="2:15" hidden="1" outlineLevel="1">
      <c r="B104" s="684" t="s">
        <v>1174</v>
      </c>
    </row>
    <row r="105" spans="2:15" hidden="1" outlineLevel="1"/>
    <row r="106" spans="2:15" hidden="1" outlineLevel="1">
      <c r="B106" s="402" t="s">
        <v>663</v>
      </c>
    </row>
    <row r="107" spans="2:15" hidden="1" outlineLevel="1">
      <c r="B107" s="402" t="s">
        <v>1190</v>
      </c>
    </row>
    <row r="108" spans="2:15" hidden="1" outlineLevel="1">
      <c r="B108" s="402" t="s">
        <v>1191</v>
      </c>
    </row>
    <row r="109" spans="2:15" hidden="1" outlineLevel="1"/>
    <row r="110" spans="2:15" hidden="1" outlineLevel="1">
      <c r="B110" s="684" t="s">
        <v>82</v>
      </c>
    </row>
    <row r="111" spans="2:15" hidden="1" outlineLevel="1"/>
    <row r="112" spans="2:15" hidden="1" outlineLevel="1">
      <c r="B112" s="402" t="s">
        <v>663</v>
      </c>
    </row>
    <row r="113" spans="2:17" hidden="1" outlineLevel="1">
      <c r="B113" s="402" t="s">
        <v>664</v>
      </c>
    </row>
    <row r="114" spans="2:17" hidden="1" outlineLevel="1">
      <c r="B114" s="402" t="s">
        <v>665</v>
      </c>
    </row>
    <row r="115" spans="2:17" hidden="1" outlineLevel="1"/>
    <row r="116" spans="2:17" hidden="1" outlineLevel="1"/>
    <row r="117" spans="2:17" hidden="1" outlineLevel="1"/>
    <row r="118" spans="2:17" hidden="1" outlineLevel="1">
      <c r="B118" s="684" t="s">
        <v>76</v>
      </c>
    </row>
    <row r="119" spans="2:17" hidden="1" outlineLevel="1">
      <c r="B119" s="402" t="s">
        <v>618</v>
      </c>
    </row>
    <row r="120" spans="2:17" hidden="1" outlineLevel="1">
      <c r="B120" s="871" t="s">
        <v>666</v>
      </c>
    </row>
    <row r="121" spans="2:17" hidden="1" outlineLevel="1"/>
    <row r="122" spans="2:17" hidden="1" outlineLevel="1"/>
    <row r="123" spans="2:17" hidden="1" outlineLevel="1"/>
    <row r="124" spans="2:17" hidden="1" outlineLevel="1">
      <c r="B124" s="866">
        <v>45209</v>
      </c>
      <c r="C124" s="402" t="s">
        <v>667</v>
      </c>
      <c r="D124"/>
      <c r="E124"/>
      <c r="F124"/>
      <c r="G124"/>
      <c r="H124"/>
      <c r="I124"/>
      <c r="J124"/>
      <c r="K124"/>
      <c r="L124"/>
      <c r="M124"/>
      <c r="N124"/>
      <c r="O124"/>
      <c r="P124"/>
      <c r="Q124" s="867" t="s">
        <v>668</v>
      </c>
    </row>
    <row r="125" spans="2:17" hidden="1" outlineLevel="1"/>
    <row r="126" spans="2:17" hidden="1" outlineLevel="1">
      <c r="B126" s="684" t="s">
        <v>75</v>
      </c>
    </row>
    <row r="127" spans="2:17" hidden="1" outlineLevel="1">
      <c r="B127" s="402" t="s">
        <v>669</v>
      </c>
    </row>
    <row r="128" spans="2:17" hidden="1" outlineLevel="1">
      <c r="B128" s="871" t="s">
        <v>666</v>
      </c>
    </row>
    <row r="129" spans="2:4" hidden="1" outlineLevel="1"/>
    <row r="130" spans="2:4" hidden="1" outlineLevel="1">
      <c r="B130" s="684" t="s">
        <v>74</v>
      </c>
    </row>
    <row r="131" spans="2:4" hidden="1" outlineLevel="1">
      <c r="B131" s="402" t="s">
        <v>670</v>
      </c>
    </row>
    <row r="132" spans="2:4" hidden="1" outlineLevel="1">
      <c r="B132" s="402" t="s">
        <v>671</v>
      </c>
    </row>
    <row r="133" spans="2:4" hidden="1" outlineLevel="1"/>
    <row r="134" spans="2:4" hidden="1" outlineLevel="1"/>
    <row r="135" spans="2:4" hidden="1" outlineLevel="1"/>
    <row r="136" spans="2:4" hidden="1" outlineLevel="1">
      <c r="B136" s="684" t="s">
        <v>626</v>
      </c>
    </row>
    <row r="137" spans="2:4" hidden="1" outlineLevel="1">
      <c r="B137" s="402" t="s">
        <v>672</v>
      </c>
    </row>
    <row r="138" spans="2:4" hidden="1" outlineLevel="1">
      <c r="B138" s="402" t="s">
        <v>658</v>
      </c>
    </row>
    <row r="139" spans="2:4" hidden="1" outlineLevel="1">
      <c r="B139" s="402" t="s">
        <v>659</v>
      </c>
    </row>
    <row r="140" spans="2:4" hidden="1" outlineLevel="1">
      <c r="B140" s="402" t="s">
        <v>673</v>
      </c>
    </row>
    <row r="141" spans="2:4" hidden="1" outlineLevel="1"/>
    <row r="142" spans="2:4" hidden="1" outlineLevel="1"/>
    <row r="143" spans="2:4" hidden="1" outlineLevel="1"/>
    <row r="144" spans="2:4" hidden="1" outlineLevel="1">
      <c r="B144" s="686" t="s">
        <v>674</v>
      </c>
      <c r="D144" s="402" t="s">
        <v>675</v>
      </c>
    </row>
    <row r="145" spans="2:13" hidden="1" outlineLevel="1">
      <c r="B145" s="402" t="s">
        <v>676</v>
      </c>
    </row>
    <row r="146" spans="2:13" hidden="1" outlineLevel="1"/>
    <row r="147" spans="2:13" hidden="1" outlineLevel="1">
      <c r="B147" s="684" t="s">
        <v>632</v>
      </c>
    </row>
    <row r="148" spans="2:13" hidden="1" outlineLevel="1">
      <c r="B148" s="402" t="s">
        <v>677</v>
      </c>
    </row>
    <row r="149" spans="2:13" hidden="1" outlineLevel="1">
      <c r="B149" s="686" t="s">
        <v>678</v>
      </c>
      <c r="D149" s="402" t="s">
        <v>679</v>
      </c>
    </row>
    <row r="150" spans="2:13" hidden="1" outlineLevel="1"/>
    <row r="151" spans="2:13" hidden="1" outlineLevel="1"/>
    <row r="152" spans="2:13" hidden="1" outlineLevel="1"/>
    <row r="153" spans="2:13" collapsed="1">
      <c r="B153" s="685" t="s">
        <v>680</v>
      </c>
    </row>
    <row r="154" spans="2:13" hidden="1" outlineLevel="1"/>
    <row r="155" spans="2:13" hidden="1" outlineLevel="1">
      <c r="B155" s="866">
        <v>46037</v>
      </c>
      <c r="C155" s="402" t="s">
        <v>1265</v>
      </c>
      <c r="M155" s="867" t="s">
        <v>1266</v>
      </c>
    </row>
    <row r="156" spans="2:13" hidden="1" outlineLevel="1">
      <c r="B156" s="866">
        <v>46020</v>
      </c>
      <c r="C156" s="402" t="s">
        <v>1245</v>
      </c>
      <c r="H156" s="867" t="s">
        <v>1246</v>
      </c>
    </row>
    <row r="157" spans="2:13" hidden="1" outlineLevel="1"/>
    <row r="158" spans="2:13" hidden="1" outlineLevel="1"/>
    <row r="159" spans="2:13" hidden="1" outlineLevel="1"/>
    <row r="160" spans="2:13" hidden="1" outlineLevel="1"/>
    <row r="161" spans="2:6" hidden="1" outlineLevel="1"/>
    <row r="162" spans="2:6" hidden="1" outlineLevel="1">
      <c r="B162" s="684" t="s">
        <v>1174</v>
      </c>
    </row>
    <row r="163" spans="2:6" hidden="1" outlineLevel="1">
      <c r="B163" s="402" t="s">
        <v>1192</v>
      </c>
    </row>
    <row r="164" spans="2:6" hidden="1" outlineLevel="1">
      <c r="B164" s="402" t="s">
        <v>1193</v>
      </c>
    </row>
    <row r="165" spans="2:6" hidden="1" outlineLevel="1">
      <c r="B165" s="402" t="s">
        <v>1194</v>
      </c>
    </row>
    <row r="166" spans="2:6" hidden="1" outlineLevel="1"/>
    <row r="167" spans="2:6" hidden="1" outlineLevel="1"/>
    <row r="168" spans="2:6" hidden="1" outlineLevel="1"/>
    <row r="169" spans="2:6" hidden="1" outlineLevel="1">
      <c r="B169" s="866">
        <v>45820</v>
      </c>
      <c r="C169" s="402" t="s">
        <v>681</v>
      </c>
      <c r="D169"/>
      <c r="E169"/>
      <c r="F169" t="s">
        <v>682</v>
      </c>
    </row>
    <row r="170" spans="2:6" hidden="1" outlineLevel="1"/>
    <row r="171" spans="2:6" hidden="1" outlineLevel="1">
      <c r="B171" s="684" t="s">
        <v>82</v>
      </c>
    </row>
    <row r="172" spans="2:6" hidden="1" outlineLevel="1">
      <c r="B172" s="402" t="s">
        <v>683</v>
      </c>
    </row>
    <row r="173" spans="2:6" hidden="1" outlineLevel="1">
      <c r="B173" s="402" t="s">
        <v>684</v>
      </c>
    </row>
    <row r="174" spans="2:6" hidden="1" outlineLevel="1">
      <c r="B174" s="402" t="s">
        <v>685</v>
      </c>
    </row>
    <row r="175" spans="2:6" hidden="1" outlineLevel="1"/>
    <row r="176" spans="2:6" hidden="1" outlineLevel="1"/>
    <row r="177" spans="2:21" hidden="1" outlineLevel="1"/>
    <row r="178" spans="2:21" hidden="1" outlineLevel="1"/>
    <row r="179" spans="2:21" hidden="1" outlineLevel="1">
      <c r="B179" s="684" t="s">
        <v>76</v>
      </c>
    </row>
    <row r="180" spans="2:21" hidden="1" outlineLevel="1">
      <c r="B180" s="402" t="s">
        <v>618</v>
      </c>
    </row>
    <row r="181" spans="2:21" hidden="1" outlineLevel="1">
      <c r="B181" s="871" t="s">
        <v>686</v>
      </c>
    </row>
    <row r="182" spans="2:21" hidden="1" outlineLevel="1"/>
    <row r="183" spans="2:21" hidden="1" outlineLevel="1"/>
    <row r="184" spans="2:21" hidden="1" outlineLevel="1">
      <c r="B184" s="684" t="s">
        <v>75</v>
      </c>
    </row>
    <row r="185" spans="2:21" hidden="1" outlineLevel="1">
      <c r="B185" s="402" t="s">
        <v>687</v>
      </c>
    </row>
    <row r="186" spans="2:21" hidden="1" outlineLevel="1">
      <c r="B186" s="402" t="s">
        <v>688</v>
      </c>
    </row>
    <row r="187" spans="2:21" hidden="1" outlineLevel="1">
      <c r="B187" s="402" t="s">
        <v>669</v>
      </c>
    </row>
    <row r="188" spans="2:21" hidden="1" outlineLevel="1">
      <c r="B188" s="871" t="s">
        <v>689</v>
      </c>
    </row>
    <row r="189" spans="2:21" hidden="1" outlineLevel="1"/>
    <row r="190" spans="2:21" hidden="1" outlineLevel="1"/>
    <row r="191" spans="2:21" hidden="1" outlineLevel="1">
      <c r="B191" s="866">
        <v>45138</v>
      </c>
      <c r="C191" s="402" t="s">
        <v>690</v>
      </c>
      <c r="U191" s="867" t="s">
        <v>691</v>
      </c>
    </row>
    <row r="192" spans="2:21" hidden="1" outlineLevel="1">
      <c r="B192" s="866">
        <v>45106</v>
      </c>
      <c r="C192" s="402" t="s">
        <v>692</v>
      </c>
    </row>
    <row r="193" spans="2:22" hidden="1" outlineLevel="1">
      <c r="B193" s="866">
        <v>45105</v>
      </c>
      <c r="C193" s="402" t="s">
        <v>693</v>
      </c>
      <c r="M193" s="867" t="s">
        <v>694</v>
      </c>
      <c r="V193" s="867" t="s">
        <v>695</v>
      </c>
    </row>
    <row r="194" spans="2:22" hidden="1" outlineLevel="1">
      <c r="B194" s="866"/>
      <c r="C194" s="402" t="s">
        <v>696</v>
      </c>
      <c r="M194" s="867"/>
    </row>
    <row r="195" spans="2:22" hidden="1" outlineLevel="1">
      <c r="B195" s="866"/>
      <c r="C195" s="402" t="s">
        <v>697</v>
      </c>
      <c r="M195" s="867"/>
    </row>
    <row r="196" spans="2:22" hidden="1" outlineLevel="1">
      <c r="B196" s="866"/>
      <c r="C196" s="402" t="s">
        <v>698</v>
      </c>
      <c r="M196" s="867"/>
    </row>
    <row r="197" spans="2:22" hidden="1" outlineLevel="1"/>
    <row r="198" spans="2:22" hidden="1" outlineLevel="1">
      <c r="B198" s="684" t="s">
        <v>74</v>
      </c>
    </row>
    <row r="199" spans="2:22" hidden="1" outlineLevel="1">
      <c r="B199" s="402" t="s">
        <v>699</v>
      </c>
    </row>
    <row r="200" spans="2:22" hidden="1" outlineLevel="1"/>
    <row r="201" spans="2:22" hidden="1" outlineLevel="1">
      <c r="B201" s="684" t="s">
        <v>626</v>
      </c>
    </row>
    <row r="202" spans="2:22" hidden="1" outlineLevel="1">
      <c r="B202" s="402" t="s">
        <v>700</v>
      </c>
    </row>
    <row r="203" spans="2:22" hidden="1" outlineLevel="1">
      <c r="B203" s="402" t="s">
        <v>658</v>
      </c>
    </row>
    <row r="204" spans="2:22" hidden="1" outlineLevel="1">
      <c r="B204" s="402" t="s">
        <v>659</v>
      </c>
    </row>
    <row r="205" spans="2:22" hidden="1" outlineLevel="1">
      <c r="B205" s="402" t="s">
        <v>701</v>
      </c>
    </row>
    <row r="206" spans="2:22" hidden="1" outlineLevel="1">
      <c r="B206" s="402" t="s">
        <v>702</v>
      </c>
    </row>
    <row r="207" spans="2:22" hidden="1" outlineLevel="1">
      <c r="B207" s="402" t="s">
        <v>703</v>
      </c>
    </row>
    <row r="208" spans="2:22" hidden="1" outlineLevel="1">
      <c r="B208" s="402" t="s">
        <v>704</v>
      </c>
    </row>
    <row r="209" spans="2:12" hidden="1" outlineLevel="1">
      <c r="B209" s="686" t="s">
        <v>496</v>
      </c>
      <c r="C209" s="402" t="s">
        <v>705</v>
      </c>
    </row>
    <row r="210" spans="2:12" hidden="1" outlineLevel="1">
      <c r="B210" s="402" t="s">
        <v>706</v>
      </c>
    </row>
    <row r="211" spans="2:12" hidden="1" outlineLevel="1"/>
    <row r="212" spans="2:12" hidden="1" outlineLevel="1">
      <c r="L212" s="402">
        <f>280*1.15</f>
        <v>322</v>
      </c>
    </row>
    <row r="213" spans="2:12" hidden="1" outlineLevel="1">
      <c r="B213" s="684" t="s">
        <v>632</v>
      </c>
    </row>
    <row r="214" spans="2:12" hidden="1" outlineLevel="1">
      <c r="B214" s="402" t="s">
        <v>707</v>
      </c>
    </row>
    <row r="215" spans="2:12" hidden="1" outlineLevel="1">
      <c r="C215" s="402">
        <v>2025</v>
      </c>
      <c r="E215" s="402">
        <v>2023</v>
      </c>
    </row>
    <row r="216" spans="2:12" hidden="1" outlineLevel="1">
      <c r="B216" s="686" t="s">
        <v>708</v>
      </c>
      <c r="C216" s="402" t="s">
        <v>709</v>
      </c>
      <c r="E216" s="402" t="s">
        <v>710</v>
      </c>
      <c r="G216" s="402" t="s">
        <v>711</v>
      </c>
    </row>
    <row r="217" spans="2:12" hidden="1" outlineLevel="1">
      <c r="B217" s="686" t="s">
        <v>712</v>
      </c>
      <c r="C217" s="402" t="s">
        <v>713</v>
      </c>
      <c r="E217" s="402" t="s">
        <v>714</v>
      </c>
      <c r="G217" s="402" t="s">
        <v>715</v>
      </c>
      <c r="H217" s="402" t="s">
        <v>716</v>
      </c>
    </row>
    <row r="218" spans="2:12" hidden="1" outlineLevel="1">
      <c r="B218" s="686" t="s">
        <v>717</v>
      </c>
      <c r="C218" s="402" t="s">
        <v>718</v>
      </c>
      <c r="E218" s="402" t="s">
        <v>719</v>
      </c>
      <c r="G218" s="402" t="s">
        <v>715</v>
      </c>
    </row>
    <row r="219" spans="2:12" hidden="1" outlineLevel="1">
      <c r="B219" s="686" t="s">
        <v>720</v>
      </c>
      <c r="C219" s="402" t="s">
        <v>721</v>
      </c>
    </row>
    <row r="220" spans="2:12" hidden="1" outlineLevel="1">
      <c r="B220" s="402" t="s">
        <v>722</v>
      </c>
    </row>
    <row r="221" spans="2:12" hidden="1" outlineLevel="1"/>
    <row r="222" spans="2:12" hidden="1" outlineLevel="1"/>
    <row r="223" spans="2:12" hidden="1" outlineLevel="1"/>
    <row r="224" spans="2:12" hidden="1" outlineLevel="1"/>
    <row r="225" spans="2:2" collapsed="1">
      <c r="B225" s="685" t="s">
        <v>723</v>
      </c>
    </row>
    <row r="226" spans="2:2" hidden="1" outlineLevel="1"/>
    <row r="227" spans="2:2" hidden="1" outlineLevel="1">
      <c r="B227" s="684" t="s">
        <v>1174</v>
      </c>
    </row>
    <row r="228" spans="2:2" hidden="1" outlineLevel="1">
      <c r="B228" s="402" t="s">
        <v>724</v>
      </c>
    </row>
    <row r="229" spans="2:2" hidden="1" outlineLevel="1">
      <c r="B229" s="402" t="s">
        <v>725</v>
      </c>
    </row>
    <row r="230" spans="2:2" hidden="1" outlineLevel="1">
      <c r="B230" s="402" t="s">
        <v>726</v>
      </c>
    </row>
    <row r="231" spans="2:2" hidden="1" outlineLevel="1">
      <c r="B231" s="402" t="s">
        <v>727</v>
      </c>
    </row>
    <row r="232" spans="2:2" hidden="1" outlineLevel="1"/>
    <row r="233" spans="2:2" hidden="1" outlineLevel="1"/>
    <row r="234" spans="2:2" hidden="1" outlineLevel="1">
      <c r="B234" s="684" t="s">
        <v>82</v>
      </c>
    </row>
    <row r="235" spans="2:2" hidden="1" outlineLevel="1">
      <c r="B235" s="402" t="s">
        <v>724</v>
      </c>
    </row>
    <row r="236" spans="2:2" hidden="1" outlineLevel="1">
      <c r="B236" s="402" t="s">
        <v>725</v>
      </c>
    </row>
    <row r="237" spans="2:2" hidden="1" outlineLevel="1">
      <c r="B237" s="402" t="s">
        <v>726</v>
      </c>
    </row>
    <row r="238" spans="2:2" hidden="1" outlineLevel="1">
      <c r="B238" s="402" t="s">
        <v>727</v>
      </c>
    </row>
    <row r="239" spans="2:2" hidden="1" outlineLevel="1"/>
    <row r="240" spans="2:2" hidden="1" outlineLevel="1"/>
    <row r="241" spans="2:16" collapsed="1">
      <c r="B241" s="685" t="s">
        <v>728</v>
      </c>
    </row>
    <row r="242" spans="2:16" hidden="1" outlineLevel="1"/>
    <row r="243" spans="2:16" hidden="1" outlineLevel="1">
      <c r="B243" s="684" t="s">
        <v>1174</v>
      </c>
    </row>
    <row r="244" spans="2:16" hidden="1" outlineLevel="1">
      <c r="B244" s="402" t="s">
        <v>729</v>
      </c>
    </row>
    <row r="245" spans="2:16" hidden="1" outlineLevel="1">
      <c r="B245" s="402" t="s">
        <v>1195</v>
      </c>
    </row>
    <row r="246" spans="2:16" hidden="1" outlineLevel="1"/>
    <row r="247" spans="2:16" hidden="1" outlineLevel="1">
      <c r="B247" s="684" t="s">
        <v>82</v>
      </c>
    </row>
    <row r="248" spans="2:16" hidden="1" outlineLevel="1">
      <c r="B248" s="402" t="s">
        <v>729</v>
      </c>
    </row>
    <row r="249" spans="2:16" hidden="1" outlineLevel="1">
      <c r="B249" s="402" t="s">
        <v>730</v>
      </c>
    </row>
    <row r="250" spans="2:16" hidden="1" outlineLevel="1"/>
    <row r="251" spans="2:16" hidden="1" outlineLevel="1"/>
    <row r="252" spans="2:16" hidden="1" outlineLevel="1"/>
    <row r="253" spans="2:16" collapsed="1">
      <c r="B253" s="685" t="s">
        <v>731</v>
      </c>
    </row>
    <row r="254" spans="2:16" hidden="1" outlineLevel="1"/>
    <row r="255" spans="2:16" hidden="1" outlineLevel="1">
      <c r="B255" s="866">
        <v>45262</v>
      </c>
      <c r="C255" s="402" t="s">
        <v>732</v>
      </c>
      <c r="D255"/>
      <c r="E255"/>
      <c r="F255"/>
      <c r="G255"/>
      <c r="H255"/>
      <c r="I255"/>
      <c r="J255"/>
      <c r="K255"/>
      <c r="L255"/>
      <c r="M255" s="867" t="s">
        <v>733</v>
      </c>
      <c r="N255"/>
      <c r="O255"/>
      <c r="P255" s="867" t="s">
        <v>733</v>
      </c>
    </row>
    <row r="256" spans="2:16" hidden="1" outlineLevel="1"/>
    <row r="257" spans="2:2" hidden="1" outlineLevel="1">
      <c r="B257" s="684" t="s">
        <v>734</v>
      </c>
    </row>
    <row r="258" spans="2:2" hidden="1" outlineLevel="1">
      <c r="B258" s="402" t="s">
        <v>735</v>
      </c>
    </row>
    <row r="259" spans="2:2" hidden="1" outlineLevel="1">
      <c r="B259" s="402" t="s">
        <v>736</v>
      </c>
    </row>
    <row r="260" spans="2:2" hidden="1" outlineLevel="1"/>
    <row r="261" spans="2:2" hidden="1" outlineLevel="1"/>
    <row r="262" spans="2:2" hidden="1" outlineLevel="1">
      <c r="B262" s="684" t="s">
        <v>75</v>
      </c>
    </row>
    <row r="263" spans="2:2" hidden="1" outlineLevel="1">
      <c r="B263" s="402" t="s">
        <v>737</v>
      </c>
    </row>
    <row r="264" spans="2:2" hidden="1" outlineLevel="1"/>
    <row r="265" spans="2:2" hidden="1" outlineLevel="1">
      <c r="B265" s="684" t="s">
        <v>74</v>
      </c>
    </row>
    <row r="266" spans="2:2" hidden="1" outlineLevel="1">
      <c r="B266" s="402" t="s">
        <v>738</v>
      </c>
    </row>
    <row r="267" spans="2:2" hidden="1" outlineLevel="1">
      <c r="B267" s="402" t="s">
        <v>739</v>
      </c>
    </row>
    <row r="268" spans="2:2" hidden="1" outlineLevel="1"/>
    <row r="269" spans="2:2" hidden="1" outlineLevel="1"/>
    <row r="270" spans="2:2" hidden="1" outlineLevel="1">
      <c r="B270" s="684" t="s">
        <v>626</v>
      </c>
    </row>
    <row r="271" spans="2:2" hidden="1" outlineLevel="1">
      <c r="B271" s="402" t="s">
        <v>740</v>
      </c>
    </row>
    <row r="272" spans="2:2" hidden="1" outlineLevel="1">
      <c r="B272" s="402" t="s">
        <v>741</v>
      </c>
    </row>
    <row r="273" spans="2:2" hidden="1" outlineLevel="1"/>
    <row r="274" spans="2:2" hidden="1" outlineLevel="1"/>
    <row r="275" spans="2:2" hidden="1" outlineLevel="1">
      <c r="B275" s="684" t="s">
        <v>632</v>
      </c>
    </row>
    <row r="276" spans="2:2" hidden="1" outlineLevel="1">
      <c r="B276" s="402" t="s">
        <v>742</v>
      </c>
    </row>
    <row r="277" spans="2:2" hidden="1" outlineLevel="1">
      <c r="B277" s="402" t="s">
        <v>743</v>
      </c>
    </row>
    <row r="278" spans="2:2" hidden="1" outlineLevel="1">
      <c r="B278" s="402" t="s">
        <v>744</v>
      </c>
    </row>
    <row r="279" spans="2:2" hidden="1" outlineLevel="1">
      <c r="B279" s="402" t="s">
        <v>745</v>
      </c>
    </row>
    <row r="280" spans="2:2" hidden="1" outlineLevel="1">
      <c r="B280" s="402" t="s">
        <v>746</v>
      </c>
    </row>
    <row r="281" spans="2:2" hidden="1" outlineLevel="1">
      <c r="B281" s="402" t="s">
        <v>747</v>
      </c>
    </row>
    <row r="282" spans="2:2" hidden="1" outlineLevel="1">
      <c r="B282" s="402" t="s">
        <v>748</v>
      </c>
    </row>
    <row r="283" spans="2:2" hidden="1" outlineLevel="1">
      <c r="B283" s="402" t="s">
        <v>749</v>
      </c>
    </row>
    <row r="284" spans="2:2" hidden="1" outlineLevel="1">
      <c r="B284" s="402" t="s">
        <v>750</v>
      </c>
    </row>
    <row r="285" spans="2:2" hidden="1" outlineLevel="1">
      <c r="B285" s="402" t="s">
        <v>751</v>
      </c>
    </row>
    <row r="286" spans="2:2" hidden="1" outlineLevel="1">
      <c r="B286" s="402" t="s">
        <v>752</v>
      </c>
    </row>
    <row r="287" spans="2:2" hidden="1" outlineLevel="1"/>
    <row r="288" spans="2:2" collapsed="1">
      <c r="B288" s="685" t="s">
        <v>753</v>
      </c>
    </row>
    <row r="289" spans="2:11" hidden="1" outlineLevel="1"/>
    <row r="290" spans="2:11" hidden="1" outlineLevel="1"/>
    <row r="291" spans="2:11" hidden="1" outlineLevel="1">
      <c r="B291" s="684" t="s">
        <v>1240</v>
      </c>
      <c r="C291" s="867" t="s">
        <v>1241</v>
      </c>
    </row>
    <row r="292" spans="2:11" hidden="1" outlineLevel="1"/>
    <row r="293" spans="2:11" hidden="1" outlineLevel="1">
      <c r="C293" s="402" t="s">
        <v>1243</v>
      </c>
    </row>
    <row r="294" spans="2:11" hidden="1" outlineLevel="1">
      <c r="C294" s="402" t="s">
        <v>1242</v>
      </c>
    </row>
    <row r="295" spans="2:11" hidden="1" outlineLevel="1">
      <c r="C295" s="402" t="s">
        <v>1244</v>
      </c>
    </row>
    <row r="296" spans="2:11" hidden="1" outlineLevel="1"/>
    <row r="297" spans="2:11" hidden="1" outlineLevel="1"/>
    <row r="298" spans="2:11" hidden="1" outlineLevel="1"/>
    <row r="299" spans="2:11" hidden="1" outlineLevel="1">
      <c r="B299" s="866">
        <v>46043</v>
      </c>
      <c r="C299" s="402" t="s">
        <v>1272</v>
      </c>
      <c r="K299" s="867" t="s">
        <v>1273</v>
      </c>
    </row>
    <row r="300" spans="2:11" hidden="1" outlineLevel="1">
      <c r="B300" s="866"/>
      <c r="K300" s="867" t="s">
        <v>1274</v>
      </c>
    </row>
    <row r="301" spans="2:11" hidden="1" outlineLevel="1">
      <c r="B301" s="866">
        <v>45963</v>
      </c>
      <c r="C301" s="402" t="s">
        <v>1228</v>
      </c>
      <c r="H301" s="867" t="s">
        <v>1229</v>
      </c>
    </row>
    <row r="302" spans="2:11" hidden="1" outlineLevel="1"/>
    <row r="303" spans="2:11" hidden="1" outlineLevel="1"/>
    <row r="304" spans="2:11" hidden="1" outlineLevel="1"/>
    <row r="305" spans="2:11" hidden="1" outlineLevel="1"/>
    <row r="306" spans="2:11" hidden="1" outlineLevel="1">
      <c r="B306" s="402" t="s">
        <v>599</v>
      </c>
      <c r="D306" s="402" t="s">
        <v>600</v>
      </c>
    </row>
    <row r="307" spans="2:11" hidden="1" outlineLevel="1"/>
    <row r="308" spans="2:11" hidden="1" outlineLevel="1"/>
    <row r="309" spans="2:11" hidden="1" outlineLevel="1"/>
    <row r="310" spans="2:11" hidden="1" outlineLevel="1"/>
    <row r="311" spans="2:11" hidden="1" outlineLevel="1">
      <c r="B311" s="686" t="s">
        <v>754</v>
      </c>
      <c r="C311" s="402" t="s">
        <v>755</v>
      </c>
      <c r="K311" s="867" t="s">
        <v>756</v>
      </c>
    </row>
    <row r="312" spans="2:11" hidden="1" outlineLevel="1">
      <c r="C312" s="402" t="s">
        <v>757</v>
      </c>
    </row>
    <row r="313" spans="2:11" hidden="1" outlineLevel="1"/>
    <row r="314" spans="2:11" hidden="1" outlineLevel="1"/>
    <row r="315" spans="2:11" hidden="1" outlineLevel="1"/>
    <row r="316" spans="2:11" hidden="1" outlineLevel="1">
      <c r="B316" s="684" t="s">
        <v>758</v>
      </c>
    </row>
    <row r="317" spans="2:11" hidden="1" outlineLevel="1">
      <c r="B317" s="686" t="s">
        <v>754</v>
      </c>
      <c r="C317" s="402" t="s">
        <v>759</v>
      </c>
    </row>
    <row r="318" spans="2:11" hidden="1" outlineLevel="1">
      <c r="C318" s="402" t="s">
        <v>760</v>
      </c>
    </row>
    <row r="319" spans="2:11" hidden="1" outlineLevel="1">
      <c r="C319" s="402" t="s">
        <v>761</v>
      </c>
    </row>
    <row r="320" spans="2:11" hidden="1" outlineLevel="1">
      <c r="B320" s="686" t="s">
        <v>762</v>
      </c>
      <c r="C320" s="402" t="s">
        <v>763</v>
      </c>
    </row>
    <row r="321" spans="2:18" hidden="1" outlineLevel="1">
      <c r="B321" s="686" t="s">
        <v>764</v>
      </c>
      <c r="C321" s="402" t="s">
        <v>765</v>
      </c>
    </row>
    <row r="322" spans="2:18" hidden="1" outlineLevel="1">
      <c r="C322" s="402" t="s">
        <v>603</v>
      </c>
    </row>
    <row r="323" spans="2:18" hidden="1" outlineLevel="1">
      <c r="C323" s="402" t="s">
        <v>604</v>
      </c>
    </row>
    <row r="324" spans="2:18" hidden="1" outlineLevel="1">
      <c r="C324" s="402" t="s">
        <v>766</v>
      </c>
    </row>
    <row r="325" spans="2:18" hidden="1" outlineLevel="1"/>
    <row r="326" spans="2:18" hidden="1" outlineLevel="1">
      <c r="B326" s="686" t="s">
        <v>767</v>
      </c>
      <c r="D326" s="402" t="s">
        <v>768</v>
      </c>
    </row>
    <row r="327" spans="2:18" hidden="1" outlineLevel="1"/>
    <row r="328" spans="2:18" hidden="1" outlineLevel="1"/>
    <row r="329" spans="2:18" hidden="1" outlineLevel="1">
      <c r="B329" s="684" t="s">
        <v>734</v>
      </c>
    </row>
    <row r="330" spans="2:18" hidden="1" outlineLevel="1">
      <c r="B330" s="402" t="s">
        <v>769</v>
      </c>
    </row>
    <row r="331" spans="2:18" hidden="1" outlineLevel="1">
      <c r="B331" s="402" t="s">
        <v>770</v>
      </c>
    </row>
    <row r="332" spans="2:18" hidden="1" outlineLevel="1"/>
    <row r="333" spans="2:18" hidden="1" outlineLevel="1"/>
    <row r="334" spans="2:18" hidden="1" outlineLevel="1">
      <c r="B334" s="866">
        <v>45196</v>
      </c>
      <c r="C334" s="402" t="s">
        <v>771</v>
      </c>
      <c r="R334" s="867" t="s">
        <v>772</v>
      </c>
    </row>
    <row r="335" spans="2:18" hidden="1" outlineLevel="1">
      <c r="C335" s="402" t="s">
        <v>773</v>
      </c>
    </row>
    <row r="336" spans="2:18" hidden="1" outlineLevel="1"/>
    <row r="337" spans="2:3" hidden="1" outlineLevel="1"/>
    <row r="338" spans="2:3" hidden="1" outlineLevel="1">
      <c r="B338" s="684" t="s">
        <v>75</v>
      </c>
    </row>
    <row r="339" spans="2:3" hidden="1" outlineLevel="1">
      <c r="B339" s="402" t="s">
        <v>774</v>
      </c>
    </row>
    <row r="340" spans="2:3" hidden="1" outlineLevel="1"/>
    <row r="341" spans="2:3" hidden="1" outlineLevel="1">
      <c r="B341" s="684" t="s">
        <v>74</v>
      </c>
    </row>
    <row r="342" spans="2:3" hidden="1" outlineLevel="1"/>
    <row r="343" spans="2:3" hidden="1" outlineLevel="1"/>
    <row r="344" spans="2:3" hidden="1" outlineLevel="1"/>
    <row r="345" spans="2:3" hidden="1" outlineLevel="1">
      <c r="B345" s="684" t="s">
        <v>626</v>
      </c>
    </row>
    <row r="346" spans="2:3" hidden="1" outlineLevel="1">
      <c r="B346" s="684"/>
    </row>
    <row r="347" spans="2:3" hidden="1" outlineLevel="1">
      <c r="B347" s="402" t="s">
        <v>775</v>
      </c>
    </row>
    <row r="348" spans="2:3" hidden="1" outlineLevel="1">
      <c r="B348" s="402" t="s">
        <v>776</v>
      </c>
    </row>
    <row r="349" spans="2:3" hidden="1" outlineLevel="1">
      <c r="B349" s="402" t="s">
        <v>777</v>
      </c>
    </row>
    <row r="350" spans="2:3" hidden="1" outlineLevel="1">
      <c r="B350" s="686" t="s">
        <v>778</v>
      </c>
      <c r="C350" s="402" t="s">
        <v>779</v>
      </c>
    </row>
    <row r="351" spans="2:3" hidden="1" outlineLevel="1">
      <c r="B351" s="684"/>
      <c r="C351" s="402" t="s">
        <v>780</v>
      </c>
    </row>
    <row r="352" spans="2:3" hidden="1" outlineLevel="1">
      <c r="B352" s="684"/>
      <c r="C352" s="402" t="s">
        <v>781</v>
      </c>
    </row>
    <row r="353" spans="2:5" hidden="1" outlineLevel="1">
      <c r="B353" s="684"/>
      <c r="C353" s="402" t="s">
        <v>782</v>
      </c>
    </row>
    <row r="354" spans="2:5" hidden="1" outlineLevel="1">
      <c r="B354" s="684"/>
      <c r="C354" s="402" t="s">
        <v>783</v>
      </c>
    </row>
    <row r="355" spans="2:5" hidden="1" outlineLevel="1">
      <c r="B355" s="684"/>
    </row>
    <row r="356" spans="2:5" hidden="1" outlineLevel="1">
      <c r="B356" s="684"/>
    </row>
    <row r="357" spans="2:5" hidden="1" outlineLevel="1">
      <c r="B357" s="684"/>
    </row>
    <row r="358" spans="2:5" hidden="1" outlineLevel="1">
      <c r="B358" s="402" t="s">
        <v>784</v>
      </c>
    </row>
    <row r="359" spans="2:5" hidden="1" outlineLevel="1">
      <c r="B359" s="402" t="s">
        <v>785</v>
      </c>
    </row>
    <row r="360" spans="2:5" hidden="1" outlineLevel="1">
      <c r="B360" s="402" t="s">
        <v>786</v>
      </c>
    </row>
    <row r="361" spans="2:5" hidden="1" outlineLevel="1">
      <c r="B361" s="402" t="s">
        <v>787</v>
      </c>
    </row>
    <row r="362" spans="2:5" hidden="1" outlineLevel="1">
      <c r="B362" s="402" t="s">
        <v>788</v>
      </c>
    </row>
    <row r="363" spans="2:5" hidden="1" outlineLevel="1">
      <c r="B363" s="402" t="s">
        <v>789</v>
      </c>
    </row>
    <row r="364" spans="2:5" hidden="1" outlineLevel="1">
      <c r="B364" s="686" t="s">
        <v>790</v>
      </c>
      <c r="E364" s="402" t="s">
        <v>791</v>
      </c>
    </row>
    <row r="365" spans="2:5" hidden="1" outlineLevel="1">
      <c r="E365" s="402" t="s">
        <v>792</v>
      </c>
    </row>
    <row r="366" spans="2:5" hidden="1" outlineLevel="1">
      <c r="E366" s="402" t="s">
        <v>793</v>
      </c>
    </row>
    <row r="367" spans="2:5" hidden="1" outlineLevel="1">
      <c r="B367" s="684" t="s">
        <v>632</v>
      </c>
    </row>
    <row r="368" spans="2:5" hidden="1" outlineLevel="1">
      <c r="B368" s="402" t="s">
        <v>794</v>
      </c>
    </row>
    <row r="369" spans="2:18" hidden="1" outlineLevel="1">
      <c r="B369" s="686" t="s">
        <v>754</v>
      </c>
      <c r="C369" s="402" t="s">
        <v>795</v>
      </c>
    </row>
    <row r="370" spans="2:18" hidden="1" outlineLevel="1"/>
    <row r="371" spans="2:18" collapsed="1">
      <c r="B371" s="685" t="s">
        <v>796</v>
      </c>
    </row>
    <row r="372" spans="2:18" hidden="1" outlineLevel="1"/>
    <row r="373" spans="2:18" hidden="1" outlineLevel="1">
      <c r="B373" s="866">
        <v>46016</v>
      </c>
      <c r="C373" s="402" t="s">
        <v>1249</v>
      </c>
      <c r="R373" s="867" t="s">
        <v>1250</v>
      </c>
    </row>
    <row r="374" spans="2:18" hidden="1" outlineLevel="1"/>
    <row r="375" spans="2:18" hidden="1" outlineLevel="1">
      <c r="B375" s="866">
        <v>45887</v>
      </c>
      <c r="C375" s="402" t="s">
        <v>1219</v>
      </c>
      <c r="N375" s="867" t="s">
        <v>1220</v>
      </c>
    </row>
    <row r="376" spans="2:18" hidden="1" outlineLevel="1"/>
    <row r="377" spans="2:18" hidden="1" outlineLevel="1"/>
    <row r="378" spans="2:18" hidden="1" outlineLevel="1">
      <c r="B378" s="684" t="s">
        <v>1177</v>
      </c>
    </row>
    <row r="379" spans="2:18" hidden="1" outlineLevel="1">
      <c r="B379" s="866">
        <v>45870</v>
      </c>
      <c r="C379" s="402" t="s">
        <v>1175</v>
      </c>
      <c r="D379"/>
      <c r="E379"/>
      <c r="F379"/>
      <c r="G379"/>
      <c r="H379"/>
      <c r="I379" s="867" t="s">
        <v>1176</v>
      </c>
    </row>
    <row r="380" spans="2:18" hidden="1" outlineLevel="1"/>
    <row r="381" spans="2:18" hidden="1" outlineLevel="1"/>
    <row r="382" spans="2:18" hidden="1" outlineLevel="1">
      <c r="B382" s="684" t="s">
        <v>797</v>
      </c>
    </row>
    <row r="383" spans="2:18" hidden="1" outlineLevel="1">
      <c r="B383" s="994" t="s">
        <v>798</v>
      </c>
    </row>
    <row r="384" spans="2:18" hidden="1" outlineLevel="1">
      <c r="B384" s="867" t="s">
        <v>799</v>
      </c>
    </row>
    <row r="385" spans="2:7" hidden="1" outlineLevel="1">
      <c r="B385" s="867" t="s">
        <v>800</v>
      </c>
    </row>
    <row r="386" spans="2:7" hidden="1" outlineLevel="1"/>
    <row r="387" spans="2:7" hidden="1" outlineLevel="1"/>
    <row r="388" spans="2:7" hidden="1" outlineLevel="1">
      <c r="B388" s="684" t="s">
        <v>801</v>
      </c>
    </row>
    <row r="389" spans="2:7" hidden="1" outlineLevel="1">
      <c r="B389" s="684"/>
    </row>
    <row r="390" spans="2:7" hidden="1" outlineLevel="1">
      <c r="B390" s="866">
        <v>45828</v>
      </c>
      <c r="C390" s="402" t="s">
        <v>802</v>
      </c>
      <c r="D390"/>
      <c r="E390"/>
      <c r="F390" t="s">
        <v>803</v>
      </c>
      <c r="G390"/>
    </row>
    <row r="391" spans="2:7" hidden="1" outlineLevel="1">
      <c r="B391" s="684"/>
    </row>
    <row r="392" spans="2:7" hidden="1" outlineLevel="1">
      <c r="B392" s="402" t="s">
        <v>804</v>
      </c>
    </row>
    <row r="393" spans="2:7" hidden="1" outlineLevel="1">
      <c r="B393" s="402" t="s">
        <v>805</v>
      </c>
    </row>
    <row r="394" spans="2:7" hidden="1" outlineLevel="1">
      <c r="B394" s="402" t="s">
        <v>806</v>
      </c>
    </row>
    <row r="395" spans="2:7" hidden="1" outlineLevel="1">
      <c r="B395" s="867" t="s">
        <v>807</v>
      </c>
    </row>
    <row r="396" spans="2:7" hidden="1" outlineLevel="1"/>
    <row r="397" spans="2:7" hidden="1" outlineLevel="1"/>
    <row r="398" spans="2:7" hidden="1" outlineLevel="1">
      <c r="B398" s="684" t="s">
        <v>808</v>
      </c>
    </row>
    <row r="399" spans="2:7" hidden="1" outlineLevel="1">
      <c r="B399" s="686" t="s">
        <v>809</v>
      </c>
      <c r="C399" s="402" t="s">
        <v>810</v>
      </c>
    </row>
    <row r="400" spans="2:7" hidden="1" outlineLevel="1">
      <c r="B400" s="686" t="s">
        <v>811</v>
      </c>
      <c r="C400" s="402" t="s">
        <v>812</v>
      </c>
    </row>
    <row r="401" spans="2:15" hidden="1" outlineLevel="1"/>
    <row r="402" spans="2:15" hidden="1" outlineLevel="1"/>
    <row r="403" spans="2:15" hidden="1" outlineLevel="1">
      <c r="B403" s="684" t="s">
        <v>813</v>
      </c>
    </row>
    <row r="404" spans="2:15" hidden="1" outlineLevel="1">
      <c r="B404" s="402" t="s">
        <v>814</v>
      </c>
    </row>
    <row r="405" spans="2:15" hidden="1" outlineLevel="1">
      <c r="B405" s="402" t="s">
        <v>815</v>
      </c>
    </row>
    <row r="406" spans="2:15" hidden="1" outlineLevel="1">
      <c r="B406" s="402" t="s">
        <v>816</v>
      </c>
    </row>
    <row r="407" spans="2:15" hidden="1" outlineLevel="1">
      <c r="B407" s="402" t="s">
        <v>817</v>
      </c>
    </row>
    <row r="408" spans="2:15" hidden="1" outlineLevel="1">
      <c r="B408" s="402" t="s">
        <v>818</v>
      </c>
    </row>
    <row r="409" spans="2:15" hidden="1" outlineLevel="1">
      <c r="B409" s="402" t="s">
        <v>819</v>
      </c>
    </row>
    <row r="410" spans="2:15" hidden="1" outlineLevel="1"/>
    <row r="411" spans="2:15" hidden="1" outlineLevel="1">
      <c r="B411" s="684" t="s">
        <v>76</v>
      </c>
    </row>
    <row r="412" spans="2:15" hidden="1" outlineLevel="1">
      <c r="B412" s="402" t="s">
        <v>820</v>
      </c>
    </row>
    <row r="413" spans="2:15" hidden="1" outlineLevel="1">
      <c r="B413" s="871" t="s">
        <v>821</v>
      </c>
    </row>
    <row r="414" spans="2:15" hidden="1" outlineLevel="1"/>
    <row r="415" spans="2:15" hidden="1" outlineLevel="1">
      <c r="B415" s="866">
        <v>45182</v>
      </c>
      <c r="C415" s="402" t="s">
        <v>822</v>
      </c>
      <c r="O415" s="867" t="s">
        <v>823</v>
      </c>
    </row>
    <row r="416" spans="2:15" hidden="1" outlineLevel="1"/>
    <row r="417" spans="2:20" hidden="1" outlineLevel="1">
      <c r="B417" s="684" t="s">
        <v>75</v>
      </c>
    </row>
    <row r="418" spans="2:20" hidden="1" outlineLevel="1">
      <c r="B418" s="402" t="s">
        <v>824</v>
      </c>
    </row>
    <row r="419" spans="2:20" hidden="1" outlineLevel="1"/>
    <row r="420" spans="2:20" hidden="1" outlineLevel="1"/>
    <row r="421" spans="2:20" hidden="1" outlineLevel="1">
      <c r="B421" s="866">
        <v>45126</v>
      </c>
      <c r="C421" s="402" t="s">
        <v>825</v>
      </c>
      <c r="G421" s="867" t="s">
        <v>826</v>
      </c>
    </row>
    <row r="422" spans="2:20" hidden="1" outlineLevel="1">
      <c r="B422" s="866">
        <v>45126</v>
      </c>
      <c r="C422" s="402" t="s">
        <v>827</v>
      </c>
      <c r="I422" s="867" t="s">
        <v>828</v>
      </c>
    </row>
    <row r="423" spans="2:20" hidden="1" outlineLevel="1">
      <c r="B423" s="866">
        <v>45118</v>
      </c>
      <c r="C423" s="402" t="s">
        <v>829</v>
      </c>
      <c r="J423" s="867" t="s">
        <v>830</v>
      </c>
    </row>
    <row r="424" spans="2:20" hidden="1" outlineLevel="1">
      <c r="B424" s="866"/>
      <c r="C424" s="402" t="s">
        <v>831</v>
      </c>
      <c r="J424" s="867"/>
    </row>
    <row r="425" spans="2:20" hidden="1" outlineLevel="1">
      <c r="B425" s="866">
        <v>45117</v>
      </c>
      <c r="C425" s="402" t="s">
        <v>832</v>
      </c>
      <c r="E425"/>
      <c r="F425"/>
      <c r="G425"/>
      <c r="H425"/>
      <c r="I425"/>
      <c r="J425"/>
      <c r="K425"/>
      <c r="L425"/>
      <c r="M425"/>
      <c r="N425"/>
      <c r="O425"/>
      <c r="P425"/>
      <c r="Q425"/>
      <c r="R425"/>
      <c r="S425"/>
      <c r="T425" s="867" t="s">
        <v>833</v>
      </c>
    </row>
    <row r="426" spans="2:20" hidden="1" outlineLevel="1">
      <c r="B426" s="866">
        <v>45105</v>
      </c>
      <c r="C426" s="402" t="s">
        <v>834</v>
      </c>
    </row>
    <row r="427" spans="2:20" hidden="1" outlineLevel="1"/>
    <row r="428" spans="2:20" hidden="1" outlineLevel="1"/>
    <row r="429" spans="2:20" hidden="1" outlineLevel="1">
      <c r="B429" s="684" t="s">
        <v>74</v>
      </c>
    </row>
    <row r="430" spans="2:20" hidden="1" outlineLevel="1"/>
    <row r="431" spans="2:20" hidden="1" outlineLevel="1"/>
    <row r="432" spans="2:20" hidden="1" outlineLevel="1"/>
    <row r="433" spans="2:18" hidden="1" outlineLevel="1">
      <c r="B433" s="684" t="s">
        <v>626</v>
      </c>
    </row>
    <row r="434" spans="2:18" hidden="1" outlineLevel="1">
      <c r="B434" s="402" t="s">
        <v>835</v>
      </c>
    </row>
    <row r="435" spans="2:18" hidden="1" outlineLevel="1">
      <c r="B435" s="402" t="s">
        <v>836</v>
      </c>
    </row>
    <row r="436" spans="2:18" hidden="1" outlineLevel="1">
      <c r="B436" s="402" t="s">
        <v>837</v>
      </c>
    </row>
    <row r="437" spans="2:18" hidden="1" outlineLevel="1">
      <c r="B437" s="402" t="s">
        <v>838</v>
      </c>
    </row>
    <row r="438" spans="2:18" hidden="1" outlineLevel="1">
      <c r="B438" s="686" t="s">
        <v>839</v>
      </c>
      <c r="C438" s="402" t="s">
        <v>840</v>
      </c>
    </row>
    <row r="439" spans="2:18" hidden="1" outlineLevel="1">
      <c r="B439" s="402" t="s">
        <v>841</v>
      </c>
    </row>
    <row r="440" spans="2:18" hidden="1" outlineLevel="1">
      <c r="B440" s="402" t="s">
        <v>842</v>
      </c>
      <c r="R440" s="402" t="s">
        <v>843</v>
      </c>
    </row>
    <row r="441" spans="2:18" hidden="1" outlineLevel="1">
      <c r="B441" s="686" t="s">
        <v>844</v>
      </c>
      <c r="D441" s="402" t="s">
        <v>845</v>
      </c>
      <c r="K441" s="402" t="s">
        <v>846</v>
      </c>
    </row>
    <row r="442" spans="2:18" hidden="1" outlineLevel="1">
      <c r="B442" s="686" t="s">
        <v>847</v>
      </c>
      <c r="D442" s="402" t="s">
        <v>848</v>
      </c>
    </row>
    <row r="443" spans="2:18" hidden="1" outlineLevel="1">
      <c r="B443" s="686"/>
      <c r="D443" s="402" t="s">
        <v>849</v>
      </c>
    </row>
    <row r="444" spans="2:18" hidden="1" outlineLevel="1">
      <c r="B444" s="686"/>
      <c r="D444" s="402" t="s">
        <v>850</v>
      </c>
    </row>
    <row r="445" spans="2:18" hidden="1" outlineLevel="1">
      <c r="B445" s="686"/>
      <c r="D445" s="402" t="s">
        <v>851</v>
      </c>
    </row>
    <row r="446" spans="2:18" hidden="1" outlineLevel="1">
      <c r="B446" s="686"/>
      <c r="D446" s="402" t="s">
        <v>852</v>
      </c>
    </row>
    <row r="447" spans="2:18" hidden="1" outlineLevel="1">
      <c r="B447" s="686"/>
      <c r="D447" s="402" t="s">
        <v>853</v>
      </c>
    </row>
    <row r="448" spans="2:18" hidden="1" outlineLevel="1">
      <c r="B448" s="686"/>
      <c r="D448" s="402" t="s">
        <v>854</v>
      </c>
    </row>
    <row r="449" spans="2:5" hidden="1" outlineLevel="1">
      <c r="B449" s="686"/>
    </row>
    <row r="450" spans="2:5" hidden="1" outlineLevel="1">
      <c r="B450" s="684" t="s">
        <v>855</v>
      </c>
    </row>
    <row r="451" spans="2:5" hidden="1" outlineLevel="1">
      <c r="B451" s="994" t="s">
        <v>856</v>
      </c>
    </row>
    <row r="452" spans="2:5" hidden="1" outlineLevel="1">
      <c r="E452" s="995"/>
    </row>
    <row r="453" spans="2:5" hidden="1" outlineLevel="1">
      <c r="B453" s="684" t="s">
        <v>632</v>
      </c>
    </row>
    <row r="454" spans="2:5" hidden="1" outlineLevel="1">
      <c r="B454" s="402" t="s">
        <v>857</v>
      </c>
    </row>
    <row r="455" spans="2:5" hidden="1" outlineLevel="1">
      <c r="B455" s="686" t="s">
        <v>858</v>
      </c>
      <c r="D455" s="402" t="s">
        <v>859</v>
      </c>
    </row>
    <row r="456" spans="2:5" hidden="1" outlineLevel="1">
      <c r="B456" s="686" t="s">
        <v>860</v>
      </c>
      <c r="D456" s="402" t="s">
        <v>861</v>
      </c>
    </row>
    <row r="457" spans="2:5" hidden="1" outlineLevel="1">
      <c r="B457" s="402" t="s">
        <v>862</v>
      </c>
    </row>
    <row r="458" spans="2:5" hidden="1" outlineLevel="1">
      <c r="B458" s="402" t="s">
        <v>863</v>
      </c>
    </row>
    <row r="459" spans="2:5" hidden="1" outlineLevel="1">
      <c r="B459" s="402" t="s">
        <v>864</v>
      </c>
    </row>
    <row r="460" spans="2:5" hidden="1" outlineLevel="1">
      <c r="B460" s="402" t="s">
        <v>865</v>
      </c>
    </row>
    <row r="461" spans="2:5" hidden="1" outlineLevel="1"/>
    <row r="462" spans="2:5" collapsed="1">
      <c r="B462" s="685" t="s">
        <v>866</v>
      </c>
    </row>
    <row r="463" spans="2:5" hidden="1" outlineLevel="1"/>
    <row r="464" spans="2:5" hidden="1" outlineLevel="1">
      <c r="B464" s="684" t="s">
        <v>75</v>
      </c>
    </row>
    <row r="465" spans="2:2" hidden="1" outlineLevel="1">
      <c r="B465" s="402" t="s">
        <v>867</v>
      </c>
    </row>
    <row r="466" spans="2:2" hidden="1" outlineLevel="1"/>
    <row r="467" spans="2:2" hidden="1" outlineLevel="1">
      <c r="B467" s="684" t="s">
        <v>74</v>
      </c>
    </row>
    <row r="468" spans="2:2" hidden="1" outlineLevel="1">
      <c r="B468" s="402" t="s">
        <v>868</v>
      </c>
    </row>
    <row r="469" spans="2:2" hidden="1" outlineLevel="1">
      <c r="B469" s="402" t="s">
        <v>869</v>
      </c>
    </row>
    <row r="470" spans="2:2" hidden="1" outlineLevel="1">
      <c r="B470" s="402" t="s">
        <v>870</v>
      </c>
    </row>
    <row r="471" spans="2:2" hidden="1" outlineLevel="1"/>
    <row r="472" spans="2:2" hidden="1" outlineLevel="1">
      <c r="B472" s="684" t="s">
        <v>626</v>
      </c>
    </row>
    <row r="473" spans="2:2" hidden="1" outlineLevel="1">
      <c r="B473" s="402" t="s">
        <v>871</v>
      </c>
    </row>
    <row r="474" spans="2:2" hidden="1" outlineLevel="1">
      <c r="B474" s="402" t="s">
        <v>872</v>
      </c>
    </row>
    <row r="475" spans="2:2" hidden="1" outlineLevel="1"/>
    <row r="476" spans="2:2" hidden="1" outlineLevel="1"/>
    <row r="477" spans="2:2" hidden="1" outlineLevel="1"/>
    <row r="478" spans="2:2" hidden="1" outlineLevel="1">
      <c r="B478" s="684" t="s">
        <v>632</v>
      </c>
    </row>
    <row r="479" spans="2:2" hidden="1" outlineLevel="1">
      <c r="B479" s="402" t="s">
        <v>873</v>
      </c>
    </row>
    <row r="480" spans="2:2" hidden="1" outlineLevel="1">
      <c r="B480" s="402" t="s">
        <v>874</v>
      </c>
    </row>
    <row r="481" spans="2:2" hidden="1" outlineLevel="1"/>
    <row r="482" spans="2:2" collapsed="1">
      <c r="B482" s="685" t="s">
        <v>875</v>
      </c>
    </row>
    <row r="483" spans="2:2" hidden="1" outlineLevel="1"/>
    <row r="484" spans="2:2" hidden="1" outlineLevel="1">
      <c r="B484" s="684" t="s">
        <v>75</v>
      </c>
    </row>
    <row r="485" spans="2:2" hidden="1" outlineLevel="1">
      <c r="B485" s="402" t="s">
        <v>867</v>
      </c>
    </row>
    <row r="486" spans="2:2" hidden="1" outlineLevel="1"/>
    <row r="487" spans="2:2" hidden="1" outlineLevel="1">
      <c r="B487" s="870"/>
    </row>
    <row r="488" spans="2:2" hidden="1" outlineLevel="1">
      <c r="B488" s="684" t="s">
        <v>74</v>
      </c>
    </row>
    <row r="489" spans="2:2" hidden="1" outlineLevel="1"/>
    <row r="490" spans="2:2" hidden="1" outlineLevel="1"/>
    <row r="491" spans="2:2" hidden="1" outlineLevel="1"/>
    <row r="492" spans="2:2" hidden="1" outlineLevel="1">
      <c r="B492" s="684" t="s">
        <v>876</v>
      </c>
    </row>
    <row r="493" spans="2:2" hidden="1" outlineLevel="1">
      <c r="B493" s="402" t="s">
        <v>877</v>
      </c>
    </row>
    <row r="494" spans="2:2" hidden="1" outlineLevel="1">
      <c r="B494" s="402" t="s">
        <v>878</v>
      </c>
    </row>
    <row r="495" spans="2:2" hidden="1" outlineLevel="1"/>
    <row r="496" spans="2:2" collapsed="1">
      <c r="B496" s="685" t="s">
        <v>879</v>
      </c>
    </row>
    <row r="497" spans="2:2" hidden="1" outlineLevel="1"/>
    <row r="498" spans="2:2" hidden="1" outlineLevel="1">
      <c r="B498" s="684" t="s">
        <v>76</v>
      </c>
    </row>
    <row r="499" spans="2:2" hidden="1" outlineLevel="1">
      <c r="B499" s="402" t="s">
        <v>880</v>
      </c>
    </row>
    <row r="500" spans="2:2" hidden="1" outlineLevel="1"/>
    <row r="501" spans="2:2" hidden="1" outlineLevel="1">
      <c r="B501" s="684" t="s">
        <v>75</v>
      </c>
    </row>
    <row r="502" spans="2:2" hidden="1" outlineLevel="1">
      <c r="B502" s="871" t="s">
        <v>881</v>
      </c>
    </row>
    <row r="503" spans="2:2" hidden="1" outlineLevel="1"/>
    <row r="504" spans="2:2" hidden="1" outlineLevel="1">
      <c r="B504" s="684" t="s">
        <v>876</v>
      </c>
    </row>
    <row r="505" spans="2:2" hidden="1" outlineLevel="1">
      <c r="B505" s="402" t="s">
        <v>882</v>
      </c>
    </row>
    <row r="506" spans="2:2" hidden="1" outlineLevel="1">
      <c r="B506" s="684"/>
    </row>
    <row r="507" spans="2:2" hidden="1" outlineLevel="1">
      <c r="B507" s="684"/>
    </row>
    <row r="508" spans="2:2" hidden="1" outlineLevel="1">
      <c r="B508" s="684"/>
    </row>
    <row r="509" spans="2:2" hidden="1" outlineLevel="1">
      <c r="B509" s="684"/>
    </row>
    <row r="510" spans="2:2" hidden="1" outlineLevel="1"/>
    <row r="511" spans="2:2" hidden="1" outlineLevel="1"/>
    <row r="512" spans="2:2" collapsed="1">
      <c r="B512" s="685" t="s">
        <v>883</v>
      </c>
    </row>
    <row r="513" spans="1:2" hidden="1" outlineLevel="1"/>
    <row r="514" spans="1:2" hidden="1" outlineLevel="1">
      <c r="B514" s="684" t="s">
        <v>1174</v>
      </c>
    </row>
    <row r="515" spans="1:2" hidden="1" outlineLevel="1">
      <c r="B515" s="874" t="s">
        <v>884</v>
      </c>
    </row>
    <row r="516" spans="1:2" hidden="1" outlineLevel="1">
      <c r="A516" s="874" t="s">
        <v>885</v>
      </c>
      <c r="B516" s="402" t="s">
        <v>1196</v>
      </c>
    </row>
    <row r="517" spans="1:2" hidden="1" outlineLevel="1">
      <c r="B517" s="402" t="s">
        <v>1197</v>
      </c>
    </row>
    <row r="518" spans="1:2" hidden="1" outlineLevel="1">
      <c r="B518" s="402" t="s">
        <v>1198</v>
      </c>
    </row>
    <row r="519" spans="1:2" hidden="1" outlineLevel="1"/>
    <row r="520" spans="1:2" hidden="1" outlineLevel="1">
      <c r="A520" s="874" t="s">
        <v>465</v>
      </c>
      <c r="B520" s="402" t="s">
        <v>889</v>
      </c>
    </row>
    <row r="521" spans="1:2" hidden="1" outlineLevel="1"/>
    <row r="522" spans="1:2" hidden="1" outlineLevel="1">
      <c r="B522" s="874" t="s">
        <v>820</v>
      </c>
    </row>
    <row r="523" spans="1:2" hidden="1" outlineLevel="1">
      <c r="A523" s="874" t="s">
        <v>885</v>
      </c>
      <c r="B523" s="402" t="s">
        <v>1199</v>
      </c>
    </row>
    <row r="524" spans="1:2" hidden="1" outlineLevel="1">
      <c r="B524" s="402" t="s">
        <v>1200</v>
      </c>
    </row>
    <row r="525" spans="1:2" hidden="1" outlineLevel="1"/>
    <row r="526" spans="1:2" hidden="1" outlineLevel="1">
      <c r="A526" s="874" t="s">
        <v>465</v>
      </c>
      <c r="B526" s="402" t="s">
        <v>1201</v>
      </c>
    </row>
    <row r="527" spans="1:2" hidden="1" outlineLevel="1">
      <c r="B527" s="402" t="s">
        <v>1202</v>
      </c>
    </row>
    <row r="528" spans="1:2" hidden="1" outlineLevel="1"/>
    <row r="529" spans="1:2" hidden="1" outlineLevel="1"/>
    <row r="530" spans="1:2" hidden="1" outlineLevel="1"/>
    <row r="531" spans="1:2" hidden="1" outlineLevel="1">
      <c r="B531" s="684" t="s">
        <v>82</v>
      </c>
    </row>
    <row r="532" spans="1:2" hidden="1" outlineLevel="1">
      <c r="B532" s="874" t="s">
        <v>884</v>
      </c>
    </row>
    <row r="533" spans="1:2" hidden="1" outlineLevel="1">
      <c r="A533" s="874" t="s">
        <v>885</v>
      </c>
      <c r="B533" s="871" t="s">
        <v>886</v>
      </c>
    </row>
    <row r="534" spans="1:2" hidden="1" outlineLevel="1">
      <c r="B534" s="871" t="s">
        <v>887</v>
      </c>
    </row>
    <row r="535" spans="1:2" hidden="1" outlineLevel="1">
      <c r="B535" s="871" t="s">
        <v>888</v>
      </c>
    </row>
    <row r="536" spans="1:2" hidden="1" outlineLevel="1"/>
    <row r="537" spans="1:2" hidden="1" outlineLevel="1">
      <c r="A537" s="874" t="s">
        <v>465</v>
      </c>
      <c r="B537" s="402" t="s">
        <v>889</v>
      </c>
    </row>
    <row r="538" spans="1:2" hidden="1" outlineLevel="1">
      <c r="B538" s="402" t="s">
        <v>890</v>
      </c>
    </row>
    <row r="539" spans="1:2" hidden="1" outlineLevel="1"/>
    <row r="540" spans="1:2" hidden="1" outlineLevel="1"/>
    <row r="541" spans="1:2" hidden="1" outlineLevel="1">
      <c r="B541" s="874" t="s">
        <v>820</v>
      </c>
    </row>
    <row r="542" spans="1:2" hidden="1" outlineLevel="1">
      <c r="A542" s="874" t="s">
        <v>885</v>
      </c>
      <c r="B542" s="871" t="s">
        <v>891</v>
      </c>
    </row>
    <row r="543" spans="1:2" hidden="1" outlineLevel="1">
      <c r="A543" s="874"/>
      <c r="B543" s="871" t="s">
        <v>888</v>
      </c>
    </row>
    <row r="544" spans="1:2" hidden="1" outlineLevel="1">
      <c r="A544" s="874" t="s">
        <v>465</v>
      </c>
      <c r="B544" s="871" t="s">
        <v>892</v>
      </c>
    </row>
    <row r="545" spans="2:3" hidden="1" outlineLevel="1">
      <c r="B545" s="871" t="s">
        <v>893</v>
      </c>
    </row>
    <row r="546" spans="2:3" hidden="1" outlineLevel="1"/>
    <row r="547" spans="2:3" hidden="1" outlineLevel="1"/>
    <row r="548" spans="2:3" hidden="1" outlineLevel="1">
      <c r="B548" s="684" t="s">
        <v>76</v>
      </c>
    </row>
    <row r="549" spans="2:3" hidden="1" outlineLevel="1">
      <c r="B549" s="402" t="s">
        <v>894</v>
      </c>
    </row>
    <row r="550" spans="2:3" hidden="1" outlineLevel="1">
      <c r="B550" s="402" t="s">
        <v>895</v>
      </c>
    </row>
    <row r="551" spans="2:3" hidden="1" outlineLevel="1">
      <c r="B551" s="402" t="s">
        <v>896</v>
      </c>
    </row>
    <row r="552" spans="2:3" hidden="1" outlineLevel="1">
      <c r="B552" s="874" t="s">
        <v>897</v>
      </c>
      <c r="C552" s="402" t="s">
        <v>898</v>
      </c>
    </row>
    <row r="553" spans="2:3" hidden="1" outlineLevel="1">
      <c r="B553" s="874" t="s">
        <v>897</v>
      </c>
      <c r="C553" s="402" t="s">
        <v>899</v>
      </c>
    </row>
    <row r="554" spans="2:3" hidden="1" outlineLevel="1">
      <c r="B554" s="874" t="s">
        <v>820</v>
      </c>
      <c r="C554" s="402" t="s">
        <v>900</v>
      </c>
    </row>
    <row r="555" spans="2:3" hidden="1" outlineLevel="1">
      <c r="C555" s="402" t="s">
        <v>901</v>
      </c>
    </row>
    <row r="556" spans="2:3" hidden="1" outlineLevel="1">
      <c r="C556" s="402" t="s">
        <v>902</v>
      </c>
    </row>
    <row r="557" spans="2:3" hidden="1" outlineLevel="1"/>
    <row r="558" spans="2:3" hidden="1" outlineLevel="1"/>
    <row r="559" spans="2:3" hidden="1" outlineLevel="1"/>
    <row r="560" spans="2:3" hidden="1" outlineLevel="1"/>
    <row r="561" spans="2:2" hidden="1" outlineLevel="1">
      <c r="B561" s="684" t="s">
        <v>75</v>
      </c>
    </row>
    <row r="562" spans="2:2" hidden="1" outlineLevel="1">
      <c r="B562" s="402" t="s">
        <v>618</v>
      </c>
    </row>
    <row r="563" spans="2:2" hidden="1" outlineLevel="1">
      <c r="B563" s="871" t="s">
        <v>900</v>
      </c>
    </row>
    <row r="564" spans="2:2" hidden="1" outlineLevel="1">
      <c r="B564" s="872" t="s">
        <v>903</v>
      </c>
    </row>
    <row r="565" spans="2:2" hidden="1" outlineLevel="1">
      <c r="B565" s="871" t="s">
        <v>901</v>
      </c>
    </row>
    <row r="566" spans="2:2" hidden="1" outlineLevel="1">
      <c r="B566" s="871" t="s">
        <v>902</v>
      </c>
    </row>
    <row r="567" spans="2:2" hidden="1" outlineLevel="1">
      <c r="B567" s="871"/>
    </row>
    <row r="568" spans="2:2" hidden="1" outlineLevel="1">
      <c r="B568" s="871"/>
    </row>
    <row r="569" spans="2:2" hidden="1" outlineLevel="1">
      <c r="B569" s="871"/>
    </row>
    <row r="570" spans="2:2" hidden="1" outlineLevel="1">
      <c r="B570" s="871"/>
    </row>
    <row r="571" spans="2:2" hidden="1" outlineLevel="1"/>
    <row r="572" spans="2:2" hidden="1" outlineLevel="1">
      <c r="B572" s="684" t="s">
        <v>74</v>
      </c>
    </row>
    <row r="573" spans="2:2" hidden="1" outlineLevel="1"/>
    <row r="574" spans="2:2" hidden="1" outlineLevel="1"/>
    <row r="575" spans="2:2" hidden="1" outlineLevel="1"/>
    <row r="576" spans="2:2" hidden="1" outlineLevel="1">
      <c r="B576" s="684" t="s">
        <v>626</v>
      </c>
    </row>
    <row r="577" spans="1:13" hidden="1" outlineLevel="1">
      <c r="B577" s="402" t="s">
        <v>904</v>
      </c>
    </row>
    <row r="578" spans="1:13" hidden="1" outlineLevel="1"/>
    <row r="579" spans="1:13" hidden="1" outlineLevel="1"/>
    <row r="580" spans="1:13" hidden="1" outlineLevel="1"/>
    <row r="581" spans="1:13" collapsed="1">
      <c r="B581" s="685" t="s">
        <v>905</v>
      </c>
    </row>
    <row r="582" spans="1:13" hidden="1" outlineLevel="1">
      <c r="B582" s="684"/>
    </row>
    <row r="583" spans="1:13" hidden="1" outlineLevel="1">
      <c r="B583" s="866">
        <v>46062</v>
      </c>
      <c r="C583" s="402" t="s">
        <v>1275</v>
      </c>
      <c r="D583"/>
      <c r="E583"/>
      <c r="F583"/>
      <c r="G583"/>
      <c r="H583"/>
      <c r="I583"/>
      <c r="J583" s="867" t="s">
        <v>1276</v>
      </c>
      <c r="K583"/>
      <c r="L583"/>
    </row>
    <row r="584" spans="1:13" hidden="1" outlineLevel="1">
      <c r="B584" s="684"/>
    </row>
    <row r="585" spans="1:13" hidden="1" outlineLevel="1">
      <c r="B585" s="866">
        <v>45944</v>
      </c>
      <c r="C585" s="402" t="s">
        <v>1225</v>
      </c>
      <c r="D585"/>
      <c r="E585"/>
      <c r="F585"/>
      <c r="G585"/>
      <c r="H585"/>
      <c r="I585"/>
      <c r="J585"/>
      <c r="K585"/>
      <c r="L585"/>
      <c r="M585" s="867" t="s">
        <v>1226</v>
      </c>
    </row>
    <row r="586" spans="1:13" hidden="1" outlineLevel="1">
      <c r="B586" s="866">
        <v>45943</v>
      </c>
      <c r="C586" s="402" t="s">
        <v>1223</v>
      </c>
      <c r="D586"/>
      <c r="E586"/>
      <c r="F586"/>
      <c r="G586"/>
      <c r="H586"/>
      <c r="I586"/>
      <c r="J586"/>
      <c r="K586"/>
      <c r="M586" s="867" t="s">
        <v>1224</v>
      </c>
    </row>
    <row r="587" spans="1:13" hidden="1" outlineLevel="1">
      <c r="B587" s="866">
        <v>45880</v>
      </c>
      <c r="C587" s="402" t="s">
        <v>1217</v>
      </c>
      <c r="D587"/>
      <c r="E587"/>
      <c r="F587"/>
      <c r="G587"/>
      <c r="H587"/>
      <c r="I587"/>
      <c r="J587"/>
      <c r="K587"/>
      <c r="L587"/>
      <c r="M587" s="867" t="s">
        <v>1218</v>
      </c>
    </row>
    <row r="588" spans="1:13" hidden="1" outlineLevel="1">
      <c r="B588" s="684"/>
    </row>
    <row r="589" spans="1:13" hidden="1" outlineLevel="1">
      <c r="B589" s="684" t="s">
        <v>1174</v>
      </c>
    </row>
    <row r="590" spans="1:13" hidden="1" outlineLevel="1">
      <c r="B590" s="874" t="s">
        <v>884</v>
      </c>
    </row>
    <row r="591" spans="1:13" hidden="1" outlineLevel="1">
      <c r="A591" s="874" t="s">
        <v>885</v>
      </c>
      <c r="B591" s="871" t="s">
        <v>1203</v>
      </c>
    </row>
    <row r="592" spans="1:13" hidden="1" outlineLevel="1">
      <c r="B592" s="684"/>
    </row>
    <row r="593" spans="1:2" hidden="1" outlineLevel="1">
      <c r="A593" s="874" t="s">
        <v>465</v>
      </c>
      <c r="B593" s="402" t="s">
        <v>910</v>
      </c>
    </row>
    <row r="594" spans="1:2" hidden="1" outlineLevel="1">
      <c r="B594" s="402" t="s">
        <v>1204</v>
      </c>
    </row>
    <row r="595" spans="1:2" hidden="1" outlineLevel="1">
      <c r="B595" s="684"/>
    </row>
    <row r="596" spans="1:2" hidden="1" outlineLevel="1">
      <c r="B596" s="874" t="s">
        <v>820</v>
      </c>
    </row>
    <row r="597" spans="1:2" hidden="1" outlineLevel="1">
      <c r="A597" s="874" t="s">
        <v>885</v>
      </c>
      <c r="B597" s="402" t="s">
        <v>1206</v>
      </c>
    </row>
    <row r="598" spans="1:2" hidden="1" outlineLevel="1">
      <c r="B598" s="402" t="s">
        <v>1205</v>
      </c>
    </row>
    <row r="599" spans="1:2" hidden="1" outlineLevel="1"/>
    <row r="600" spans="1:2" hidden="1" outlineLevel="1">
      <c r="A600" s="874" t="s">
        <v>465</v>
      </c>
      <c r="B600" s="402" t="s">
        <v>1207</v>
      </c>
    </row>
    <row r="601" spans="1:2" hidden="1" outlineLevel="1">
      <c r="A601" s="874"/>
      <c r="B601" s="402" t="s">
        <v>1208</v>
      </c>
    </row>
    <row r="602" spans="1:2" hidden="1" outlineLevel="1">
      <c r="A602" s="874"/>
      <c r="B602" s="402" t="s">
        <v>912</v>
      </c>
    </row>
    <row r="603" spans="1:2" hidden="1" outlineLevel="1">
      <c r="A603" s="874"/>
    </row>
    <row r="604" spans="1:2" hidden="1" outlineLevel="1">
      <c r="A604" s="874"/>
      <c r="B604" s="684"/>
    </row>
    <row r="605" spans="1:2" hidden="1" outlineLevel="1">
      <c r="B605" s="684"/>
    </row>
    <row r="606" spans="1:2" hidden="1" outlineLevel="1">
      <c r="B606" s="684" t="s">
        <v>82</v>
      </c>
    </row>
    <row r="607" spans="1:2" hidden="1" outlineLevel="1">
      <c r="B607" s="874" t="s">
        <v>884</v>
      </c>
    </row>
    <row r="608" spans="1:2" hidden="1" outlineLevel="1">
      <c r="A608" s="874" t="s">
        <v>885</v>
      </c>
      <c r="B608" s="871" t="s">
        <v>906</v>
      </c>
    </row>
    <row r="609" spans="1:3" hidden="1" outlineLevel="1">
      <c r="A609" s="874" t="s">
        <v>465</v>
      </c>
      <c r="B609" s="871" t="s">
        <v>907</v>
      </c>
    </row>
    <row r="610" spans="1:3" hidden="1" outlineLevel="1">
      <c r="B610" s="684"/>
    </row>
    <row r="611" spans="1:3" hidden="1" outlineLevel="1">
      <c r="B611" s="874" t="s">
        <v>820</v>
      </c>
    </row>
    <row r="612" spans="1:3" hidden="1" outlineLevel="1">
      <c r="A612" s="874" t="s">
        <v>885</v>
      </c>
      <c r="B612" s="871" t="s">
        <v>908</v>
      </c>
    </row>
    <row r="613" spans="1:3" hidden="1" outlineLevel="1">
      <c r="B613" s="871" t="s">
        <v>909</v>
      </c>
    </row>
    <row r="614" spans="1:3" hidden="1" outlineLevel="1"/>
    <row r="615" spans="1:3" hidden="1" outlineLevel="1">
      <c r="A615" s="874" t="s">
        <v>465</v>
      </c>
      <c r="B615" s="402" t="s">
        <v>910</v>
      </c>
    </row>
    <row r="616" spans="1:3" hidden="1" outlineLevel="1">
      <c r="B616" s="402" t="s">
        <v>911</v>
      </c>
    </row>
    <row r="617" spans="1:3" hidden="1" outlineLevel="1">
      <c r="B617" s="402" t="s">
        <v>912</v>
      </c>
    </row>
    <row r="618" spans="1:3" hidden="1" outlineLevel="1">
      <c r="B618" s="684"/>
    </row>
    <row r="619" spans="1:3" hidden="1" outlineLevel="1">
      <c r="B619" s="684"/>
    </row>
    <row r="620" spans="1:3" hidden="1" outlineLevel="1">
      <c r="B620" s="684"/>
    </row>
    <row r="621" spans="1:3" hidden="1" outlineLevel="1">
      <c r="B621" s="684"/>
    </row>
    <row r="622" spans="1:3" hidden="1" outlineLevel="1">
      <c r="B622" s="684" t="s">
        <v>734</v>
      </c>
    </row>
    <row r="623" spans="1:3" hidden="1" outlineLevel="1">
      <c r="B623" s="877" t="s">
        <v>913</v>
      </c>
      <c r="C623" s="402" t="s">
        <v>914</v>
      </c>
    </row>
    <row r="624" spans="1:3" hidden="1" outlineLevel="1">
      <c r="B624" s="877" t="s">
        <v>913</v>
      </c>
      <c r="C624" s="402" t="s">
        <v>915</v>
      </c>
    </row>
    <row r="625" spans="2:20" hidden="1" outlineLevel="1">
      <c r="B625" s="878" t="s">
        <v>916</v>
      </c>
    </row>
    <row r="626" spans="2:20" hidden="1" outlineLevel="1">
      <c r="B626" s="878" t="s">
        <v>917</v>
      </c>
    </row>
    <row r="627" spans="2:20" hidden="1" outlineLevel="1">
      <c r="B627" s="684"/>
    </row>
    <row r="628" spans="2:20" hidden="1" outlineLevel="1">
      <c r="B628" s="684" t="s">
        <v>76</v>
      </c>
    </row>
    <row r="629" spans="2:20" hidden="1" outlineLevel="1">
      <c r="B629" s="402" t="s">
        <v>918</v>
      </c>
    </row>
    <row r="630" spans="2:20" hidden="1" outlineLevel="1">
      <c r="B630" s="874" t="s">
        <v>897</v>
      </c>
      <c r="C630" s="402" t="s">
        <v>919</v>
      </c>
    </row>
    <row r="631" spans="2:20" hidden="1" outlineLevel="1">
      <c r="B631" s="874" t="s">
        <v>920</v>
      </c>
      <c r="C631" s="402" t="s">
        <v>921</v>
      </c>
    </row>
    <row r="632" spans="2:20" hidden="1" outlineLevel="1">
      <c r="B632" s="871"/>
      <c r="C632" s="402" t="s">
        <v>922</v>
      </c>
    </row>
    <row r="633" spans="2:20" hidden="1" outlineLevel="1">
      <c r="B633" s="871"/>
      <c r="C633" s="402" t="s">
        <v>923</v>
      </c>
    </row>
    <row r="634" spans="2:20" hidden="1" outlineLevel="1">
      <c r="B634" s="871"/>
    </row>
    <row r="635" spans="2:20" hidden="1" outlineLevel="1">
      <c r="B635" s="684"/>
    </row>
    <row r="636" spans="2:20" hidden="1" outlineLevel="1">
      <c r="B636" s="866">
        <v>45209</v>
      </c>
      <c r="C636" s="402" t="s">
        <v>667</v>
      </c>
      <c r="D636"/>
      <c r="E636"/>
      <c r="F636"/>
      <c r="G636"/>
      <c r="H636"/>
      <c r="I636"/>
      <c r="J636"/>
      <c r="K636"/>
      <c r="L636"/>
      <c r="M636"/>
      <c r="N636"/>
      <c r="O636"/>
      <c r="P636"/>
      <c r="Q636" s="867" t="s">
        <v>668</v>
      </c>
      <c r="R636"/>
      <c r="S636"/>
      <c r="T636"/>
    </row>
    <row r="637" spans="2:20" hidden="1" outlineLevel="1">
      <c r="B637" s="866">
        <v>45181</v>
      </c>
      <c r="C637" s="402" t="s">
        <v>924</v>
      </c>
      <c r="D637"/>
      <c r="E637"/>
      <c r="F637"/>
      <c r="G637"/>
      <c r="H637"/>
      <c r="I637"/>
      <c r="J637"/>
      <c r="K637"/>
      <c r="L637"/>
      <c r="M637"/>
      <c r="N637" s="867" t="s">
        <v>925</v>
      </c>
      <c r="O637"/>
      <c r="P637"/>
    </row>
    <row r="638" spans="2:20" hidden="1" outlineLevel="1">
      <c r="B638" s="684"/>
    </row>
    <row r="639" spans="2:20" hidden="1" outlineLevel="1">
      <c r="B639" s="684" t="s">
        <v>75</v>
      </c>
    </row>
    <row r="640" spans="2:20" hidden="1" outlineLevel="1">
      <c r="B640" s="402" t="s">
        <v>926</v>
      </c>
    </row>
    <row r="641" spans="1:2" hidden="1" outlineLevel="1"/>
    <row r="642" spans="1:2" hidden="1" outlineLevel="1">
      <c r="B642" s="402" t="s">
        <v>618</v>
      </c>
    </row>
    <row r="643" spans="1:2" hidden="1" outlineLevel="1">
      <c r="B643" s="871" t="s">
        <v>921</v>
      </c>
    </row>
    <row r="644" spans="1:2" hidden="1" outlineLevel="1">
      <c r="B644" s="871" t="s">
        <v>927</v>
      </c>
    </row>
    <row r="645" spans="1:2" hidden="1" outlineLevel="1">
      <c r="B645" s="872" t="s">
        <v>903</v>
      </c>
    </row>
    <row r="646" spans="1:2" hidden="1" outlineLevel="1">
      <c r="B646" s="871" t="s">
        <v>923</v>
      </c>
    </row>
    <row r="647" spans="1:2" hidden="1" outlineLevel="1">
      <c r="B647" s="871"/>
    </row>
    <row r="648" spans="1:2" hidden="1" outlineLevel="1">
      <c r="B648" s="684"/>
    </row>
    <row r="649" spans="1:2" collapsed="1">
      <c r="B649" s="685" t="s">
        <v>928</v>
      </c>
    </row>
    <row r="650" spans="1:2" hidden="1" outlineLevel="1">
      <c r="B650" s="684"/>
    </row>
    <row r="651" spans="1:2" hidden="1" outlineLevel="1">
      <c r="B651" s="684"/>
    </row>
    <row r="652" spans="1:2" hidden="1" outlineLevel="1">
      <c r="B652" s="684"/>
    </row>
    <row r="653" spans="1:2" hidden="1" outlineLevel="1">
      <c r="B653" s="684" t="s">
        <v>1174</v>
      </c>
    </row>
    <row r="654" spans="1:2" hidden="1" outlineLevel="1">
      <c r="B654" s="874" t="s">
        <v>884</v>
      </c>
    </row>
    <row r="655" spans="1:2" hidden="1" outlineLevel="1">
      <c r="A655" s="874" t="s">
        <v>885</v>
      </c>
      <c r="B655" s="402" t="s">
        <v>1209</v>
      </c>
    </row>
    <row r="656" spans="1:2" hidden="1" outlineLevel="1">
      <c r="B656" s="402" t="s">
        <v>1210</v>
      </c>
    </row>
    <row r="657" spans="1:2" hidden="1" outlineLevel="1"/>
    <row r="658" spans="1:2" hidden="1" outlineLevel="1">
      <c r="A658" s="874" t="s">
        <v>465</v>
      </c>
      <c r="B658" s="402" t="s">
        <v>1211</v>
      </c>
    </row>
    <row r="659" spans="1:2" hidden="1" outlineLevel="1">
      <c r="B659" s="402" t="s">
        <v>1212</v>
      </c>
    </row>
    <row r="660" spans="1:2" hidden="1" outlineLevel="1">
      <c r="B660" s="402" t="s">
        <v>1213</v>
      </c>
    </row>
    <row r="661" spans="1:2" hidden="1" outlineLevel="1">
      <c r="B661" s="684"/>
    </row>
    <row r="662" spans="1:2" hidden="1" outlineLevel="1">
      <c r="B662" s="874" t="s">
        <v>820</v>
      </c>
    </row>
    <row r="663" spans="1:2" hidden="1" outlineLevel="1">
      <c r="A663" s="874" t="s">
        <v>885</v>
      </c>
      <c r="B663" s="402" t="s">
        <v>1215</v>
      </c>
    </row>
    <row r="664" spans="1:2" hidden="1" outlineLevel="1">
      <c r="B664" s="402" t="s">
        <v>1214</v>
      </c>
    </row>
    <row r="665" spans="1:2" hidden="1" outlineLevel="1">
      <c r="B665" s="684"/>
    </row>
    <row r="666" spans="1:2" hidden="1" outlineLevel="1">
      <c r="A666" s="874" t="s">
        <v>465</v>
      </c>
      <c r="B666" s="402" t="s">
        <v>936</v>
      </c>
    </row>
    <row r="667" spans="1:2" hidden="1" outlineLevel="1">
      <c r="B667" s="402" t="s">
        <v>937</v>
      </c>
    </row>
    <row r="668" spans="1:2" hidden="1" outlineLevel="1">
      <c r="B668" s="402" t="s">
        <v>1216</v>
      </c>
    </row>
    <row r="669" spans="1:2" hidden="1" outlineLevel="1">
      <c r="B669" s="684"/>
    </row>
    <row r="670" spans="1:2" hidden="1" outlineLevel="1">
      <c r="B670" s="684"/>
    </row>
    <row r="671" spans="1:2" hidden="1" outlineLevel="1">
      <c r="B671" s="684"/>
    </row>
    <row r="672" spans="1:2" hidden="1" outlineLevel="1">
      <c r="B672" s="684" t="s">
        <v>82</v>
      </c>
    </row>
    <row r="673" spans="1:2" hidden="1" outlineLevel="1">
      <c r="B673" s="874" t="s">
        <v>884</v>
      </c>
    </row>
    <row r="674" spans="1:2" hidden="1" outlineLevel="1">
      <c r="A674" s="874" t="s">
        <v>885</v>
      </c>
      <c r="B674" s="402" t="s">
        <v>929</v>
      </c>
    </row>
    <row r="675" spans="1:2" hidden="1" outlineLevel="1">
      <c r="B675" s="402" t="s">
        <v>930</v>
      </c>
    </row>
    <row r="676" spans="1:2" hidden="1" outlineLevel="1">
      <c r="B676" s="402" t="s">
        <v>931</v>
      </c>
    </row>
    <row r="677" spans="1:2" hidden="1" outlineLevel="1"/>
    <row r="678" spans="1:2" hidden="1" outlineLevel="1">
      <c r="A678" s="874" t="s">
        <v>465</v>
      </c>
      <c r="B678" s="402" t="s">
        <v>932</v>
      </c>
    </row>
    <row r="679" spans="1:2" hidden="1" outlineLevel="1">
      <c r="B679" s="402" t="s">
        <v>933</v>
      </c>
    </row>
    <row r="680" spans="1:2" hidden="1" outlineLevel="1"/>
    <row r="681" spans="1:2" hidden="1" outlineLevel="1"/>
    <row r="682" spans="1:2" hidden="1" outlineLevel="1">
      <c r="B682" s="874" t="s">
        <v>820</v>
      </c>
    </row>
    <row r="683" spans="1:2" hidden="1" outlineLevel="1">
      <c r="A683" s="874" t="s">
        <v>885</v>
      </c>
      <c r="B683" s="402" t="s">
        <v>934</v>
      </c>
    </row>
    <row r="684" spans="1:2" hidden="1" outlineLevel="1">
      <c r="B684" s="402" t="s">
        <v>935</v>
      </c>
    </row>
    <row r="685" spans="1:2" hidden="1" outlineLevel="1"/>
    <row r="686" spans="1:2" hidden="1" outlineLevel="1">
      <c r="A686" s="874" t="s">
        <v>465</v>
      </c>
      <c r="B686" s="402" t="s">
        <v>936</v>
      </c>
    </row>
    <row r="687" spans="1:2" hidden="1" outlineLevel="1">
      <c r="B687" s="402" t="s">
        <v>937</v>
      </c>
    </row>
    <row r="688" spans="1:2" hidden="1" outlineLevel="1">
      <c r="B688" s="402" t="s">
        <v>938</v>
      </c>
    </row>
    <row r="689" spans="2:2" hidden="1" outlineLevel="1"/>
    <row r="690" spans="2:2" hidden="1" outlineLevel="1"/>
    <row r="691" spans="2:2" hidden="1" outlineLevel="1"/>
    <row r="692" spans="2:2" hidden="1" outlineLevel="1"/>
    <row r="693" spans="2:2" collapsed="1">
      <c r="B693" s="685" t="s">
        <v>939</v>
      </c>
    </row>
    <row r="694" spans="2:2" hidden="1" outlineLevel="1"/>
    <row r="695" spans="2:2" hidden="1" outlineLevel="1">
      <c r="B695" s="684" t="s">
        <v>82</v>
      </c>
    </row>
    <row r="696" spans="2:2" hidden="1" outlineLevel="1">
      <c r="B696" s="402" t="s">
        <v>940</v>
      </c>
    </row>
    <row r="697" spans="2:2" hidden="1" outlineLevel="1"/>
    <row r="698" spans="2:2" hidden="1" outlineLevel="1"/>
    <row r="699" spans="2:2" hidden="1" outlineLevel="1"/>
    <row r="700" spans="2:2" hidden="1" outlineLevel="1"/>
    <row r="701" spans="2:2" hidden="1" outlineLevel="1"/>
    <row r="702" spans="2:2" hidden="1" outlineLevel="1">
      <c r="B702" s="684" t="s">
        <v>734</v>
      </c>
    </row>
    <row r="703" spans="2:2" hidden="1" outlineLevel="1">
      <c r="B703" s="402" t="s">
        <v>941</v>
      </c>
    </row>
    <row r="704" spans="2:2" hidden="1" outlineLevel="1">
      <c r="B704" s="871" t="s">
        <v>942</v>
      </c>
    </row>
    <row r="705" spans="2:2" hidden="1" outlineLevel="1">
      <c r="B705" s="872" t="s">
        <v>943</v>
      </c>
    </row>
    <row r="706" spans="2:2" hidden="1" outlineLevel="1"/>
    <row r="707" spans="2:2" hidden="1" outlineLevel="1">
      <c r="B707" s="684" t="s">
        <v>76</v>
      </c>
    </row>
    <row r="708" spans="2:2" hidden="1" outlineLevel="1">
      <c r="B708" s="402" t="s">
        <v>944</v>
      </c>
    </row>
    <row r="709" spans="2:2" hidden="1" outlineLevel="1">
      <c r="B709" s="402" t="s">
        <v>945</v>
      </c>
    </row>
    <row r="710" spans="2:2" hidden="1" outlineLevel="1"/>
    <row r="711" spans="2:2" hidden="1" outlineLevel="1">
      <c r="B711" s="684" t="s">
        <v>75</v>
      </c>
    </row>
    <row r="712" spans="2:2" hidden="1" outlineLevel="1">
      <c r="B712" s="402" t="s">
        <v>944</v>
      </c>
    </row>
    <row r="713" spans="2:2" hidden="1" outlineLevel="1">
      <c r="B713" s="402" t="s">
        <v>946</v>
      </c>
    </row>
    <row r="714" spans="2:2" hidden="1" outlineLevel="1"/>
    <row r="715" spans="2:2" hidden="1" outlineLevel="1"/>
    <row r="716" spans="2:2" hidden="1" outlineLevel="1"/>
    <row r="717" spans="2:2" hidden="1" outlineLevel="1"/>
    <row r="718" spans="2:2" hidden="1" outlineLevel="1">
      <c r="B718" s="684" t="s">
        <v>74</v>
      </c>
    </row>
    <row r="719" spans="2:2" hidden="1" outlineLevel="1">
      <c r="B719" s="402" t="s">
        <v>947</v>
      </c>
    </row>
    <row r="720" spans="2:2" hidden="1" outlineLevel="1">
      <c r="B720" s="402" t="s">
        <v>948</v>
      </c>
    </row>
    <row r="721" spans="2:8" hidden="1" outlineLevel="1">
      <c r="B721" s="402" t="s">
        <v>949</v>
      </c>
    </row>
    <row r="722" spans="2:8" hidden="1" outlineLevel="1">
      <c r="B722" s="865" t="s">
        <v>950</v>
      </c>
    </row>
    <row r="723" spans="2:8" hidden="1" outlineLevel="1">
      <c r="B723" s="402" t="s">
        <v>951</v>
      </c>
    </row>
    <row r="724" spans="2:8" hidden="1" outlineLevel="1">
      <c r="B724" s="402" t="s">
        <v>952</v>
      </c>
    </row>
    <row r="725" spans="2:8" hidden="1" outlineLevel="1">
      <c r="B725" s="402" t="s">
        <v>953</v>
      </c>
    </row>
    <row r="726" spans="2:8" hidden="1" outlineLevel="1">
      <c r="B726" s="402" t="s">
        <v>954</v>
      </c>
      <c r="H726" s="402" t="s">
        <v>955</v>
      </c>
    </row>
    <row r="727" spans="2:8" hidden="1" outlineLevel="1">
      <c r="B727" s="402" t="s">
        <v>956</v>
      </c>
    </row>
    <row r="728" spans="2:8" hidden="1" outlineLevel="1">
      <c r="B728" s="865"/>
    </row>
    <row r="729" spans="2:8" hidden="1" outlineLevel="1"/>
    <row r="730" spans="2:8" hidden="1" outlineLevel="1"/>
    <row r="731" spans="2:8" hidden="1" outlineLevel="1"/>
    <row r="732" spans="2:8" hidden="1" outlineLevel="1">
      <c r="B732" s="684" t="s">
        <v>626</v>
      </c>
    </row>
    <row r="733" spans="2:8" hidden="1" outlineLevel="1">
      <c r="B733" s="402" t="s">
        <v>957</v>
      </c>
    </row>
    <row r="734" spans="2:8" hidden="1" outlineLevel="1">
      <c r="B734" s="402" t="s">
        <v>958</v>
      </c>
    </row>
    <row r="735" spans="2:8" hidden="1" outlineLevel="1"/>
    <row r="736" spans="2:8" hidden="1" outlineLevel="1">
      <c r="B736" s="684" t="s">
        <v>632</v>
      </c>
    </row>
    <row r="737" spans="2:16" hidden="1" outlineLevel="1">
      <c r="B737" s="402" t="s">
        <v>959</v>
      </c>
    </row>
    <row r="738" spans="2:16" hidden="1" outlineLevel="1">
      <c r="B738" s="402" t="s">
        <v>960</v>
      </c>
    </row>
    <row r="739" spans="2:16" hidden="1" outlineLevel="1"/>
    <row r="740" spans="2:16" hidden="1" outlineLevel="1"/>
    <row r="741" spans="2:16" collapsed="1">
      <c r="B741" s="685" t="s">
        <v>961</v>
      </c>
    </row>
    <row r="742" spans="2:16" hidden="1" outlineLevel="1"/>
    <row r="743" spans="2:16" hidden="1" outlineLevel="1">
      <c r="B743" s="684" t="s">
        <v>75</v>
      </c>
    </row>
    <row r="744" spans="2:16" hidden="1" outlineLevel="1"/>
    <row r="745" spans="2:16" hidden="1" outlineLevel="1"/>
    <row r="746" spans="2:16" hidden="1" outlineLevel="1">
      <c r="B746" s="684" t="s">
        <v>74</v>
      </c>
    </row>
    <row r="747" spans="2:16" hidden="1" outlineLevel="1">
      <c r="B747" s="402" t="s">
        <v>962</v>
      </c>
      <c r="K747" s="402" t="s">
        <v>963</v>
      </c>
      <c r="P747" s="402" t="s">
        <v>964</v>
      </c>
    </row>
    <row r="748" spans="2:16" hidden="1" outlineLevel="1">
      <c r="B748" s="402" t="s">
        <v>965</v>
      </c>
    </row>
    <row r="749" spans="2:16" hidden="1" outlineLevel="1"/>
    <row r="750" spans="2:16" hidden="1" outlineLevel="1"/>
    <row r="751" spans="2:16" hidden="1" outlineLevel="1"/>
    <row r="752" spans="2:16" hidden="1" outlineLevel="1"/>
    <row r="753" spans="2:10" collapsed="1">
      <c r="B753" s="685" t="s">
        <v>966</v>
      </c>
    </row>
    <row r="754" spans="2:10" hidden="1" outlineLevel="1"/>
    <row r="755" spans="2:10" hidden="1" outlineLevel="1">
      <c r="B755" s="866">
        <v>45910</v>
      </c>
      <c r="C755" s="402" t="s">
        <v>1221</v>
      </c>
      <c r="D755"/>
      <c r="E755"/>
      <c r="F755"/>
      <c r="G755"/>
      <c r="H755"/>
      <c r="I755"/>
      <c r="J755" s="867" t="s">
        <v>1222</v>
      </c>
    </row>
    <row r="756" spans="2:10" hidden="1" outlineLevel="1"/>
    <row r="757" spans="2:10" hidden="1" outlineLevel="1"/>
    <row r="758" spans="2:10" hidden="1" outlineLevel="1">
      <c r="B758" s="684" t="s">
        <v>734</v>
      </c>
    </row>
    <row r="759" spans="2:10" hidden="1" outlineLevel="1">
      <c r="B759" s="402" t="s">
        <v>941</v>
      </c>
    </row>
    <row r="760" spans="2:10" hidden="1" outlineLevel="1">
      <c r="B760" s="871" t="s">
        <v>942</v>
      </c>
    </row>
    <row r="761" spans="2:10" hidden="1" outlineLevel="1"/>
    <row r="762" spans="2:10" hidden="1" outlineLevel="1"/>
    <row r="763" spans="2:10" hidden="1" outlineLevel="1">
      <c r="B763" s="684" t="s">
        <v>76</v>
      </c>
    </row>
    <row r="764" spans="2:10" hidden="1" outlineLevel="1">
      <c r="B764" s="402" t="s">
        <v>967</v>
      </c>
    </row>
    <row r="765" spans="2:10" hidden="1" outlineLevel="1">
      <c r="B765" s="402" t="s">
        <v>968</v>
      </c>
    </row>
    <row r="766" spans="2:10" hidden="1" outlineLevel="1"/>
    <row r="767" spans="2:10" hidden="1" outlineLevel="1">
      <c r="B767" s="684" t="s">
        <v>75</v>
      </c>
    </row>
    <row r="768" spans="2:10" hidden="1" outlineLevel="1">
      <c r="B768" s="402" t="s">
        <v>969</v>
      </c>
    </row>
    <row r="769" spans="2:2" hidden="1" outlineLevel="1">
      <c r="B769" s="402" t="s">
        <v>970</v>
      </c>
    </row>
    <row r="770" spans="2:2" hidden="1" outlineLevel="1"/>
    <row r="771" spans="2:2" hidden="1" outlineLevel="1"/>
    <row r="772" spans="2:2" hidden="1" outlineLevel="1"/>
    <row r="773" spans="2:2" hidden="1" outlineLevel="1">
      <c r="B773" s="684" t="s">
        <v>74</v>
      </c>
    </row>
    <row r="774" spans="2:2" hidden="1" outlineLevel="1"/>
    <row r="775" spans="2:2" hidden="1" outlineLevel="1"/>
    <row r="776" spans="2:2" hidden="1" outlineLevel="1"/>
    <row r="777" spans="2:2" hidden="1" outlineLevel="1">
      <c r="B777" s="684" t="s">
        <v>626</v>
      </c>
    </row>
    <row r="778" spans="2:2" hidden="1" outlineLevel="1">
      <c r="B778" s="402" t="s">
        <v>971</v>
      </c>
    </row>
    <row r="779" spans="2:2" hidden="1" outlineLevel="1"/>
    <row r="780" spans="2:2" hidden="1" outlineLevel="1"/>
    <row r="781" spans="2:2" hidden="1" outlineLevel="1">
      <c r="B781" s="684" t="s">
        <v>632</v>
      </c>
    </row>
    <row r="782" spans="2:2" hidden="1" outlineLevel="1">
      <c r="B782" s="402" t="s">
        <v>972</v>
      </c>
    </row>
    <row r="783" spans="2:2" hidden="1" outlineLevel="1">
      <c r="B783" s="402" t="s">
        <v>865</v>
      </c>
    </row>
    <row r="784" spans="2:2" hidden="1" outlineLevel="1"/>
    <row r="785" spans="2:2" hidden="1" outlineLevel="1"/>
    <row r="786" spans="2:2" collapsed="1">
      <c r="B786" s="685" t="s">
        <v>973</v>
      </c>
    </row>
    <row r="787" spans="2:2" hidden="1" outlineLevel="1"/>
    <row r="788" spans="2:2" hidden="1" outlineLevel="1">
      <c r="B788" s="684" t="s">
        <v>75</v>
      </c>
    </row>
    <row r="789" spans="2:2" hidden="1" outlineLevel="1"/>
    <row r="790" spans="2:2" hidden="1" outlineLevel="1"/>
    <row r="791" spans="2:2" hidden="1" outlineLevel="1">
      <c r="B791" s="684" t="s">
        <v>74</v>
      </c>
    </row>
    <row r="792" spans="2:2" hidden="1" outlineLevel="1"/>
    <row r="793" spans="2:2" hidden="1" outlineLevel="1"/>
    <row r="794" spans="2:2" hidden="1" outlineLevel="1"/>
    <row r="795" spans="2:2" hidden="1" outlineLevel="1">
      <c r="B795" s="684" t="s">
        <v>632</v>
      </c>
    </row>
    <row r="796" spans="2:2" hidden="1" outlineLevel="1">
      <c r="B796" s="402" t="s">
        <v>974</v>
      </c>
    </row>
    <row r="797" spans="2:2" hidden="1" outlineLevel="1">
      <c r="B797" s="402" t="s">
        <v>975</v>
      </c>
    </row>
    <row r="798" spans="2:2" hidden="1" outlineLevel="1"/>
    <row r="799" spans="2:2" hidden="1" outlineLevel="1"/>
    <row r="800" spans="2:2" hidden="1" outlineLevel="1"/>
    <row r="801" spans="2:2" hidden="1" outlineLevel="1"/>
    <row r="802" spans="2:2" collapsed="1">
      <c r="B802" s="685" t="s">
        <v>391</v>
      </c>
    </row>
    <row r="803" spans="2:2" hidden="1" outlineLevel="1"/>
    <row r="804" spans="2:2" hidden="1" outlineLevel="1">
      <c r="B804" s="684" t="s">
        <v>76</v>
      </c>
    </row>
    <row r="805" spans="2:2" hidden="1" outlineLevel="1">
      <c r="B805" s="402" t="s">
        <v>976</v>
      </c>
    </row>
    <row r="806" spans="2:2" hidden="1" outlineLevel="1"/>
    <row r="807" spans="2:2" hidden="1" outlineLevel="1"/>
    <row r="808" spans="2:2" hidden="1" outlineLevel="1">
      <c r="B808" s="684" t="s">
        <v>75</v>
      </c>
    </row>
    <row r="809" spans="2:2" hidden="1" outlineLevel="1">
      <c r="B809" s="402" t="s">
        <v>977</v>
      </c>
    </row>
    <row r="810" spans="2:2" hidden="1" outlineLevel="1">
      <c r="B810" s="402" t="s">
        <v>978</v>
      </c>
    </row>
    <row r="811" spans="2:2" hidden="1" outlineLevel="1">
      <c r="B811" s="402" t="s">
        <v>979</v>
      </c>
    </row>
    <row r="812" spans="2:2" hidden="1" outlineLevel="1"/>
    <row r="813" spans="2:2" hidden="1" outlineLevel="1"/>
    <row r="814" spans="2:2" hidden="1" outlineLevel="1"/>
    <row r="815" spans="2:2" hidden="1" outlineLevel="1">
      <c r="B815" s="684" t="s">
        <v>74</v>
      </c>
    </row>
    <row r="816" spans="2:2" hidden="1" outlineLevel="1"/>
    <row r="817" spans="2:5" hidden="1" outlineLevel="1"/>
    <row r="818" spans="2:5" hidden="1" outlineLevel="1"/>
    <row r="819" spans="2:5" hidden="1" outlineLevel="1">
      <c r="B819" s="684" t="s">
        <v>632</v>
      </c>
    </row>
    <row r="820" spans="2:5" hidden="1" outlineLevel="1">
      <c r="B820" s="402" t="s">
        <v>980</v>
      </c>
    </row>
    <row r="821" spans="2:5" hidden="1" outlineLevel="1">
      <c r="B821" s="402" t="s">
        <v>981</v>
      </c>
    </row>
    <row r="822" spans="2:5" hidden="1" outlineLevel="1">
      <c r="B822" s="402" t="s">
        <v>982</v>
      </c>
    </row>
    <row r="823" spans="2:5" hidden="1" outlineLevel="1">
      <c r="B823" s="402" t="s">
        <v>983</v>
      </c>
    </row>
    <row r="824" spans="2:5" hidden="1" outlineLevel="1">
      <c r="B824" s="686" t="s">
        <v>984</v>
      </c>
      <c r="E824" s="402" t="s">
        <v>878</v>
      </c>
    </row>
    <row r="825" spans="2:5" hidden="1" outlineLevel="1"/>
    <row r="826" spans="2:5" hidden="1" outlineLevel="1"/>
    <row r="827" spans="2:5" hidden="1" outlineLevel="1"/>
    <row r="828" spans="2:5" hidden="1" outlineLevel="1"/>
    <row r="829" spans="2:5" hidden="1" outlineLevel="1"/>
    <row r="830" spans="2:5" hidden="1" outlineLevel="1"/>
    <row r="831" spans="2:5" collapsed="1">
      <c r="B831" s="685" t="s">
        <v>985</v>
      </c>
    </row>
    <row r="832" spans="2:5" hidden="1" outlineLevel="1"/>
    <row r="833" spans="2:2" hidden="1" outlineLevel="1">
      <c r="B833" s="684" t="s">
        <v>75</v>
      </c>
    </row>
    <row r="834" spans="2:2" hidden="1" outlineLevel="1"/>
    <row r="835" spans="2:2" hidden="1" outlineLevel="1"/>
    <row r="836" spans="2:2" hidden="1" outlineLevel="1">
      <c r="B836" s="684" t="s">
        <v>74</v>
      </c>
    </row>
    <row r="837" spans="2:2" hidden="1" outlineLevel="1"/>
    <row r="838" spans="2:2" hidden="1" outlineLevel="1"/>
    <row r="839" spans="2:2" hidden="1" outlineLevel="1"/>
    <row r="840" spans="2:2" hidden="1" outlineLevel="1">
      <c r="B840" s="684" t="s">
        <v>626</v>
      </c>
    </row>
    <row r="841" spans="2:2" hidden="1" outlineLevel="1">
      <c r="B841" s="402" t="s">
        <v>986</v>
      </c>
    </row>
    <row r="842" spans="2:2" hidden="1" outlineLevel="1"/>
    <row r="843" spans="2:2" hidden="1" outlineLevel="1"/>
    <row r="844" spans="2:2" hidden="1" outlineLevel="1"/>
    <row r="845" spans="2:2" hidden="1" outlineLevel="1"/>
    <row r="846" spans="2:2" collapsed="1">
      <c r="B846" s="685" t="s">
        <v>987</v>
      </c>
    </row>
    <row r="847" spans="2:2" hidden="1" outlineLevel="1"/>
    <row r="848" spans="2:2" hidden="1" outlineLevel="1">
      <c r="B848" s="684" t="s">
        <v>76</v>
      </c>
    </row>
    <row r="849" spans="2:4" hidden="1" outlineLevel="1">
      <c r="B849" s="402" t="s">
        <v>988</v>
      </c>
    </row>
    <row r="850" spans="2:4" hidden="1" outlineLevel="1">
      <c r="B850" s="402" t="s">
        <v>989</v>
      </c>
    </row>
    <row r="851" spans="2:4" hidden="1" outlineLevel="1">
      <c r="B851" s="874" t="s">
        <v>897</v>
      </c>
      <c r="C851" s="402" t="s">
        <v>990</v>
      </c>
    </row>
    <row r="852" spans="2:4" hidden="1" outlineLevel="1">
      <c r="B852" s="874" t="s">
        <v>897</v>
      </c>
      <c r="C852" s="402" t="s">
        <v>991</v>
      </c>
    </row>
    <row r="853" spans="2:4" hidden="1" outlineLevel="1">
      <c r="B853" s="402" t="s">
        <v>992</v>
      </c>
    </row>
    <row r="854" spans="2:4" hidden="1" outlineLevel="1">
      <c r="C854" s="402" t="s">
        <v>993</v>
      </c>
    </row>
    <row r="855" spans="2:4" hidden="1" outlineLevel="1">
      <c r="C855" s="402" t="s">
        <v>994</v>
      </c>
    </row>
    <row r="856" spans="2:4" hidden="1" outlineLevel="1">
      <c r="C856" s="402" t="s">
        <v>995</v>
      </c>
    </row>
    <row r="857" spans="2:4" hidden="1" outlineLevel="1">
      <c r="B857" s="875" t="s">
        <v>996</v>
      </c>
      <c r="D857" s="871" t="s">
        <v>997</v>
      </c>
    </row>
    <row r="858" spans="2:4" hidden="1" outlineLevel="1">
      <c r="D858" s="871" t="s">
        <v>998</v>
      </c>
    </row>
    <row r="859" spans="2:4" hidden="1" outlineLevel="1">
      <c r="D859" s="871" t="s">
        <v>999</v>
      </c>
    </row>
    <row r="860" spans="2:4" hidden="1" outlineLevel="1"/>
    <row r="861" spans="2:4" hidden="1" outlineLevel="1"/>
    <row r="862" spans="2:4" hidden="1" outlineLevel="1">
      <c r="B862" s="684" t="s">
        <v>75</v>
      </c>
    </row>
    <row r="863" spans="2:4" hidden="1" outlineLevel="1">
      <c r="B863" s="402" t="s">
        <v>618</v>
      </c>
    </row>
    <row r="864" spans="2:4" hidden="1" outlineLevel="1">
      <c r="B864" s="871" t="s">
        <v>993</v>
      </c>
    </row>
    <row r="865" spans="2:2" hidden="1" outlineLevel="1">
      <c r="B865" s="871" t="s">
        <v>1000</v>
      </c>
    </row>
    <row r="866" spans="2:2" hidden="1" outlineLevel="1">
      <c r="B866" s="871" t="s">
        <v>1001</v>
      </c>
    </row>
    <row r="867" spans="2:2" hidden="1" outlineLevel="1">
      <c r="B867" s="402" t="s">
        <v>903</v>
      </c>
    </row>
    <row r="868" spans="2:2" hidden="1" outlineLevel="1">
      <c r="B868" s="871" t="s">
        <v>997</v>
      </c>
    </row>
    <row r="869" spans="2:2" hidden="1" outlineLevel="1">
      <c r="B869" s="871" t="s">
        <v>998</v>
      </c>
    </row>
    <row r="870" spans="2:2" hidden="1" outlineLevel="1">
      <c r="B870" s="871" t="s">
        <v>1002</v>
      </c>
    </row>
    <row r="871" spans="2:2" hidden="1" outlineLevel="1"/>
    <row r="872" spans="2:2" hidden="1" outlineLevel="1"/>
    <row r="873" spans="2:2" hidden="1" outlineLevel="1"/>
    <row r="874" spans="2:2" hidden="1" outlineLevel="1"/>
    <row r="875" spans="2:2" hidden="1" outlineLevel="1">
      <c r="B875" s="684" t="s">
        <v>74</v>
      </c>
    </row>
    <row r="876" spans="2:2" hidden="1" outlineLevel="1"/>
    <row r="877" spans="2:2" hidden="1" outlineLevel="1"/>
    <row r="878" spans="2:2" hidden="1" outlineLevel="1"/>
    <row r="879" spans="2:2" hidden="1" outlineLevel="1"/>
    <row r="880" spans="2:2" hidden="1" outlineLevel="1">
      <c r="B880" s="684" t="s">
        <v>626</v>
      </c>
    </row>
    <row r="881" spans="2:2" hidden="1" outlineLevel="1">
      <c r="B881" s="402" t="s">
        <v>700</v>
      </c>
    </row>
    <row r="882" spans="2:2" hidden="1" outlineLevel="1">
      <c r="B882" s="402" t="s">
        <v>1003</v>
      </c>
    </row>
    <row r="883" spans="2:2" hidden="1" outlineLevel="1">
      <c r="B883" s="402" t="s">
        <v>701</v>
      </c>
    </row>
    <row r="884" spans="2:2" hidden="1" outlineLevel="1">
      <c r="B884" s="402" t="s">
        <v>702</v>
      </c>
    </row>
    <row r="885" spans="2:2" hidden="1" outlineLevel="1">
      <c r="B885" s="402" t="s">
        <v>703</v>
      </c>
    </row>
    <row r="886" spans="2:2" hidden="1" outlineLevel="1">
      <c r="B886" s="402" t="s">
        <v>704</v>
      </c>
    </row>
    <row r="887" spans="2:2" hidden="1" outlineLevel="1">
      <c r="B887" s="686" t="s">
        <v>496</v>
      </c>
    </row>
    <row r="888" spans="2:2" hidden="1" outlineLevel="1">
      <c r="B888" s="402" t="s">
        <v>706</v>
      </c>
    </row>
    <row r="889" spans="2:2" hidden="1" outlineLevel="1"/>
    <row r="890" spans="2:2" hidden="1" outlineLevel="1"/>
    <row r="891" spans="2:2" collapsed="1">
      <c r="B891" s="685" t="s">
        <v>1004</v>
      </c>
    </row>
    <row r="892" spans="2:2" hidden="1" outlineLevel="1"/>
    <row r="893" spans="2:2" hidden="1" outlineLevel="1">
      <c r="B893" s="684" t="s">
        <v>734</v>
      </c>
    </row>
    <row r="894" spans="2:2" hidden="1" outlineLevel="1">
      <c r="B894" s="402" t="s">
        <v>1005</v>
      </c>
    </row>
    <row r="895" spans="2:2" hidden="1" outlineLevel="1">
      <c r="B895" s="871" t="s">
        <v>1006</v>
      </c>
    </row>
    <row r="896" spans="2:2" hidden="1" outlineLevel="1">
      <c r="B896" s="402" t="s">
        <v>1007</v>
      </c>
    </row>
    <row r="897" spans="2:2" hidden="1" outlineLevel="1">
      <c r="B897" s="402" t="s">
        <v>1008</v>
      </c>
    </row>
    <row r="898" spans="2:2" hidden="1" outlineLevel="1"/>
    <row r="899" spans="2:2" hidden="1" outlineLevel="1"/>
    <row r="900" spans="2:2" collapsed="1">
      <c r="B900" s="685" t="s">
        <v>1009</v>
      </c>
    </row>
    <row r="901" spans="2:2" hidden="1" outlineLevel="1"/>
    <row r="902" spans="2:2" hidden="1" outlineLevel="1">
      <c r="B902" s="684" t="s">
        <v>75</v>
      </c>
    </row>
    <row r="903" spans="2:2" hidden="1" outlineLevel="1"/>
    <row r="904" spans="2:2" hidden="1" outlineLevel="1"/>
    <row r="905" spans="2:2" hidden="1" outlineLevel="1">
      <c r="B905" s="684" t="s">
        <v>74</v>
      </c>
    </row>
    <row r="906" spans="2:2" hidden="1" outlineLevel="1">
      <c r="B906" s="402" t="s">
        <v>1010</v>
      </c>
    </row>
    <row r="907" spans="2:2" hidden="1" outlineLevel="1"/>
    <row r="908" spans="2:2" hidden="1" outlineLevel="1"/>
    <row r="909" spans="2:2" hidden="1" outlineLevel="1"/>
    <row r="910" spans="2:2" collapsed="1">
      <c r="B910" s="685" t="s">
        <v>1011</v>
      </c>
    </row>
    <row r="911" spans="2:2" hidden="1" outlineLevel="1"/>
    <row r="912" spans="2:2" hidden="1" outlineLevel="1">
      <c r="B912" s="684" t="s">
        <v>1012</v>
      </c>
    </row>
    <row r="913" spans="2:2" hidden="1" outlineLevel="1">
      <c r="B913" s="402" t="s">
        <v>1013</v>
      </c>
    </row>
    <row r="914" spans="2:2" hidden="1" outlineLevel="1">
      <c r="B914" s="402" t="s">
        <v>1014</v>
      </c>
    </row>
    <row r="915" spans="2:2" hidden="1" outlineLevel="1">
      <c r="B915" s="402" t="s">
        <v>1015</v>
      </c>
    </row>
    <row r="916" spans="2:2" hidden="1" outlineLevel="1"/>
    <row r="917" spans="2:2" hidden="1" outlineLevel="1"/>
    <row r="918" spans="2:2" hidden="1" outlineLevel="1"/>
    <row r="919" spans="2:2" hidden="1" outlineLevel="1"/>
    <row r="920" spans="2:2" hidden="1" outlineLevel="1"/>
    <row r="921" spans="2:2" hidden="1" outlineLevel="1">
      <c r="B921" s="402" t="s">
        <v>77</v>
      </c>
    </row>
    <row r="922" spans="2:2" hidden="1" outlineLevel="1">
      <c r="B922" s="402" t="s">
        <v>1016</v>
      </c>
    </row>
    <row r="923" spans="2:2" hidden="1" outlineLevel="1">
      <c r="B923" s="402" t="s">
        <v>1017</v>
      </c>
    </row>
    <row r="924" spans="2:2" hidden="1" outlineLevel="1">
      <c r="B924" s="402" t="s">
        <v>1018</v>
      </c>
    </row>
    <row r="925" spans="2:2" hidden="1" outlineLevel="1">
      <c r="B925" s="402" t="s">
        <v>1019</v>
      </c>
    </row>
    <row r="926" spans="2:2" hidden="1" outlineLevel="1"/>
    <row r="927" spans="2:2" collapsed="1">
      <c r="B927" s="685" t="s">
        <v>1020</v>
      </c>
    </row>
    <row r="928" spans="2:2" hidden="1" outlineLevel="1"/>
    <row r="929" spans="2:9" hidden="1" outlineLevel="1"/>
    <row r="930" spans="2:9" hidden="1" outlineLevel="1">
      <c r="B930" s="402" t="s">
        <v>1021</v>
      </c>
    </row>
    <row r="931" spans="2:9" hidden="1" outlineLevel="1">
      <c r="B931" s="402" t="s">
        <v>1022</v>
      </c>
    </row>
    <row r="932" spans="2:9" hidden="1" outlineLevel="1">
      <c r="B932" s="402" t="s">
        <v>1023</v>
      </c>
    </row>
    <row r="933" spans="2:9" hidden="1" outlineLevel="1">
      <c r="B933" s="402" t="s">
        <v>1024</v>
      </c>
      <c r="I933" s="402" t="s">
        <v>1025</v>
      </c>
    </row>
    <row r="934" spans="2:9" hidden="1" outlineLevel="1">
      <c r="B934" s="402" t="s">
        <v>1026</v>
      </c>
    </row>
    <row r="935" spans="2:9" hidden="1" outlineLevel="1">
      <c r="B935" s="402" t="s">
        <v>1027</v>
      </c>
    </row>
    <row r="936" spans="2:9" hidden="1" outlineLevel="1">
      <c r="B936" s="402" t="s">
        <v>1028</v>
      </c>
    </row>
    <row r="937" spans="2:9" hidden="1" outlineLevel="1">
      <c r="B937" s="402" t="s">
        <v>1029</v>
      </c>
    </row>
    <row r="938" spans="2:9" hidden="1" outlineLevel="1">
      <c r="B938" s="402" t="s">
        <v>1030</v>
      </c>
    </row>
    <row r="939" spans="2:9" hidden="1" outlineLevel="1">
      <c r="B939" s="402" t="s">
        <v>1031</v>
      </c>
    </row>
    <row r="940" spans="2:9" hidden="1" outlineLevel="1">
      <c r="B940" s="402" t="s">
        <v>1032</v>
      </c>
    </row>
    <row r="941" spans="2:9" hidden="1" outlineLevel="1">
      <c r="B941" s="402" t="s">
        <v>1033</v>
      </c>
    </row>
    <row r="942" spans="2:9" hidden="1" outlineLevel="1">
      <c r="B942" s="402" t="s">
        <v>1034</v>
      </c>
    </row>
    <row r="943" spans="2:9" hidden="1" outlineLevel="1"/>
    <row r="944" spans="2:9" hidden="1" outlineLevel="1">
      <c r="B944" s="402" t="s">
        <v>1035</v>
      </c>
    </row>
    <row r="945" spans="2:17" hidden="1" outlineLevel="1">
      <c r="B945" s="402" t="s">
        <v>1036</v>
      </c>
    </row>
    <row r="946" spans="2:17" hidden="1" outlineLevel="1"/>
    <row r="947" spans="2:17" hidden="1" outlineLevel="1">
      <c r="B947" s="402" t="s">
        <v>1037</v>
      </c>
    </row>
    <row r="948" spans="2:17" hidden="1" outlineLevel="1"/>
    <row r="949" spans="2:17" hidden="1" outlineLevel="1">
      <c r="B949" s="402" t="s">
        <v>1038</v>
      </c>
    </row>
    <row r="950" spans="2:17" hidden="1" outlineLevel="1">
      <c r="B950" s="402" t="s">
        <v>1039</v>
      </c>
    </row>
    <row r="951" spans="2:17" hidden="1" outlineLevel="1">
      <c r="B951" s="402" t="s">
        <v>1040</v>
      </c>
    </row>
    <row r="952" spans="2:17" hidden="1" outlineLevel="1"/>
    <row r="953" spans="2:17" hidden="1" outlineLevel="1">
      <c r="B953" s="402" t="s">
        <v>1041</v>
      </c>
    </row>
    <row r="954" spans="2:17" collapsed="1"/>
    <row r="956" spans="2:17">
      <c r="B956" s="1055" t="s">
        <v>1269</v>
      </c>
    </row>
    <row r="957" spans="2:17">
      <c r="B957" s="866">
        <v>46020</v>
      </c>
      <c r="C957" s="402" t="s">
        <v>1245</v>
      </c>
      <c r="H957" s="867" t="s">
        <v>1246</v>
      </c>
    </row>
    <row r="958" spans="2:17">
      <c r="C958" s="402" t="s">
        <v>1247</v>
      </c>
      <c r="L958" s="867" t="s">
        <v>1248</v>
      </c>
    </row>
    <row r="959" spans="2:17">
      <c r="B959" s="866">
        <v>46056</v>
      </c>
      <c r="C959" s="402" t="s">
        <v>1271</v>
      </c>
      <c r="Q959" s="867" t="s">
        <v>1270</v>
      </c>
    </row>
    <row r="960" spans="2:17">
      <c r="B960" s="866">
        <v>46056</v>
      </c>
      <c r="C960" s="402" t="s">
        <v>1277</v>
      </c>
      <c r="M960" s="402" t="s">
        <v>1278</v>
      </c>
    </row>
  </sheetData>
  <hyperlinks>
    <hyperlink ref="W32" r:id="rId1" xr:uid="{69FAF3BB-57EA-41C8-9BB1-FFFC28AC9E03}"/>
    <hyperlink ref="M193" r:id="rId2" xr:uid="{E3731DE0-93D8-4A3B-9E25-52A35B9028D9}"/>
    <hyperlink ref="V193" r:id="rId3" xr:uid="{5B2CBEBC-0702-4123-B06D-2BF549A0211F}"/>
    <hyperlink ref="T425" r:id="rId4" xr:uid="{6ED8243E-99B4-486F-B441-E6950225186F}"/>
    <hyperlink ref="H31" r:id="rId5" xr:uid="{E557D6F2-BCE4-4BD1-90D0-375FF2A9B06C}"/>
    <hyperlink ref="J423" r:id="rId6" xr:uid="{6E3C132A-3EFF-4AEB-96F6-BBF3A9D8D449}"/>
    <hyperlink ref="I422" r:id="rId7" xr:uid="{2DBB1FAF-3541-45D0-8D64-044975C35145}"/>
    <hyperlink ref="G421" r:id="rId8" xr:uid="{3941D444-BD0B-482E-817A-4B4D61DA2F72}"/>
    <hyperlink ref="U191" r:id="rId9" xr:uid="{217D4EE0-250F-4F6A-871D-32464FA54835}"/>
    <hyperlink ref="O415" r:id="rId10" xr:uid="{AC947341-2C5B-465A-BEA7-EC44E89F06EA}"/>
    <hyperlink ref="R334" r:id="rId11" xr:uid="{76FF45A7-77CF-4E90-A2A3-A34194E09A74}"/>
    <hyperlink ref="K311" r:id="rId12" xr:uid="{5C647C72-48F0-4F4A-A274-A321456C1F24}"/>
    <hyperlink ref="B395" r:id="rId13" xr:uid="{21ADAD3B-8607-4049-8222-91527C7F40E3}"/>
    <hyperlink ref="B384" r:id="rId14" xr:uid="{C3F41868-909C-4BB0-A823-BC0A1D3AE01E}"/>
    <hyperlink ref="B385" r:id="rId15" xr:uid="{854327EF-CF11-4773-8310-48C77A00F967}"/>
    <hyperlink ref="I379" r:id="rId16" xr:uid="{58D06164-452C-435B-A5EA-6E9D4A4958AB}"/>
    <hyperlink ref="M102" r:id="rId17" xr:uid="{6278DE96-F1DF-4BD7-8F37-483C927F7D44}"/>
    <hyperlink ref="M587" r:id="rId18" xr:uid="{D77C859B-E89F-411D-9D91-C770DB8F4778}"/>
    <hyperlink ref="N375" r:id="rId19" xr:uid="{E1936BBB-AF77-41C1-97E6-F870F185C201}"/>
    <hyperlink ref="J755" r:id="rId20" xr:uid="{47DAADF5-C113-4556-A8E6-1B33BAE2348A}"/>
    <hyperlink ref="L55" r:id="rId21" xr:uid="{B015ACB3-7C50-43A3-9806-37BB079A6DA3}"/>
    <hyperlink ref="M586" r:id="rId22" xr:uid="{1F6FFAD5-2CC3-40A3-9A1E-9543B2784FCC}"/>
    <hyperlink ref="M101" r:id="rId23" xr:uid="{0932648D-5FA9-4611-839A-83123EFC8309}"/>
    <hyperlink ref="M585" r:id="rId24" xr:uid="{04089684-2120-4169-87D7-5D79C066EF49}"/>
    <hyperlink ref="H301" r:id="rId25" xr:uid="{93B4E936-E978-4B0D-A649-B58E89B8ABBD}"/>
    <hyperlink ref="C291" r:id="rId26" location="Echobox=1766934085" xr:uid="{EFC7D423-B24B-4711-A559-7DF1F7D63156}"/>
    <hyperlink ref="H156" r:id="rId27" xr:uid="{D47D8286-2F75-41BF-8985-D38C34649393}"/>
    <hyperlink ref="H957" r:id="rId28" xr:uid="{17A984F0-BA2B-43E0-9FFF-D7ADA22AD960}"/>
    <hyperlink ref="L958" r:id="rId29" xr:uid="{0F787CBC-FB25-4BAC-A971-5A5F32B3C7A6}"/>
    <hyperlink ref="R373" r:id="rId30" xr:uid="{33CB886D-2C9A-4405-843E-D121B1E88135}"/>
    <hyperlink ref="M155" r:id="rId31" xr:uid="{DEE0720A-C9BF-4E52-9A62-DDE39AD1C97B}"/>
    <hyperlink ref="Q959" r:id="rId32" xr:uid="{8AB32A54-2CA2-4068-80F6-110A9A6D8B24}"/>
    <hyperlink ref="K299" r:id="rId33" xr:uid="{D2385FEF-0278-4166-B4B7-F09AB59B2AC8}"/>
    <hyperlink ref="K300" r:id="rId34" xr:uid="{38FEDB6F-F2A5-4D86-AEAE-BA7DDFAA94F5}"/>
    <hyperlink ref="J583" r:id="rId35" xr:uid="{7DB47C1C-05B0-49D9-B33A-9C1A8EE04870}"/>
    <hyperlink ref="J53" r:id="rId36" xr:uid="{B82332A7-5E1A-4AAC-BF8F-E2A179E70F37}"/>
  </hyperlinks>
  <pageMargins left="0.7" right="0.7" top="0.75" bottom="0.75" header="0.3" footer="0.3"/>
  <pageSetup orientation="portrait" r:id="rId3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C70B-BC50-42C0-91F0-A74C179A27E9}">
  <dimension ref="B7:AB103"/>
  <sheetViews>
    <sheetView topLeftCell="A48" zoomScaleNormal="100" workbookViewId="0">
      <selection activeCell="B59" sqref="B59:M59"/>
    </sheetView>
  </sheetViews>
  <sheetFormatPr defaultRowHeight="11.25"/>
  <cols>
    <col min="2" max="2" width="14.5" customWidth="1"/>
  </cols>
  <sheetData>
    <row r="7" spans="2:27" ht="12.75">
      <c r="B7" s="866">
        <v>45126</v>
      </c>
      <c r="C7" s="402" t="s">
        <v>825</v>
      </c>
      <c r="D7" s="402"/>
      <c r="E7" s="402"/>
      <c r="F7" s="402"/>
      <c r="G7" s="867" t="s">
        <v>826</v>
      </c>
    </row>
    <row r="8" spans="2:27" ht="12.75">
      <c r="B8" s="866">
        <v>45127</v>
      </c>
      <c r="C8" s="402" t="s">
        <v>827</v>
      </c>
      <c r="D8" s="402"/>
      <c r="E8" s="402"/>
      <c r="F8" s="402"/>
      <c r="G8" s="402"/>
      <c r="H8" s="402"/>
      <c r="I8" s="867" t="s">
        <v>828</v>
      </c>
    </row>
    <row r="9" spans="2:27" ht="12.75">
      <c r="B9" s="866">
        <v>45118</v>
      </c>
      <c r="C9" s="402" t="s">
        <v>829</v>
      </c>
      <c r="D9" s="402"/>
      <c r="E9" s="402"/>
      <c r="F9" s="402"/>
      <c r="G9" s="402"/>
      <c r="H9" s="402"/>
      <c r="I9" s="402"/>
      <c r="M9" s="867" t="s">
        <v>830</v>
      </c>
    </row>
    <row r="10" spans="2:27" ht="12.75">
      <c r="B10" s="866">
        <v>45117</v>
      </c>
      <c r="C10" s="402" t="s">
        <v>621</v>
      </c>
      <c r="D10" s="402"/>
      <c r="E10" s="402"/>
      <c r="F10" s="402"/>
      <c r="G10" s="402"/>
      <c r="N10" s="867" t="s">
        <v>622</v>
      </c>
    </row>
    <row r="11" spans="2:27" ht="12.75">
      <c r="B11" s="866">
        <v>45116</v>
      </c>
      <c r="C11" s="402" t="s">
        <v>832</v>
      </c>
      <c r="S11" s="867" t="s">
        <v>833</v>
      </c>
    </row>
    <row r="12" spans="2:27" ht="12.75">
      <c r="B12" s="866">
        <v>45106</v>
      </c>
      <c r="C12" s="402" t="s">
        <v>692</v>
      </c>
    </row>
    <row r="13" spans="2:27" ht="12.75">
      <c r="B13" s="866">
        <v>45105</v>
      </c>
      <c r="C13" s="402" t="s">
        <v>693</v>
      </c>
      <c r="D13" s="402"/>
      <c r="E13" s="402"/>
      <c r="F13" s="402"/>
      <c r="G13" s="402"/>
      <c r="H13" s="402"/>
      <c r="I13" s="402"/>
      <c r="J13" s="402"/>
      <c r="K13" s="402"/>
      <c r="L13" s="402"/>
      <c r="P13" s="867" t="s">
        <v>694</v>
      </c>
      <c r="AA13" s="867" t="s">
        <v>695</v>
      </c>
    </row>
    <row r="14" spans="2:27" ht="12.75">
      <c r="B14" s="866"/>
      <c r="C14" s="402" t="s">
        <v>1042</v>
      </c>
      <c r="D14" s="402"/>
      <c r="E14" s="402"/>
      <c r="F14" s="402"/>
      <c r="G14" s="402"/>
      <c r="H14" s="402"/>
      <c r="I14" s="402"/>
      <c r="J14" s="402"/>
      <c r="K14" s="402"/>
      <c r="L14" s="402"/>
      <c r="M14" s="867"/>
    </row>
    <row r="15" spans="2:27">
      <c r="C15" s="869" t="s">
        <v>1043</v>
      </c>
    </row>
    <row r="16" spans="2:27" ht="12.75">
      <c r="B16" s="866">
        <v>45138</v>
      </c>
      <c r="C16" s="402" t="s">
        <v>690</v>
      </c>
      <c r="Z16" s="867" t="s">
        <v>691</v>
      </c>
    </row>
    <row r="17" spans="2:22" ht="12.75">
      <c r="B17" s="866">
        <v>45145</v>
      </c>
      <c r="C17" s="402" t="s">
        <v>1044</v>
      </c>
    </row>
    <row r="18" spans="2:22" ht="12.75">
      <c r="B18" s="866">
        <v>45181</v>
      </c>
      <c r="C18" s="402" t="s">
        <v>924</v>
      </c>
      <c r="Q18" s="867" t="s">
        <v>925</v>
      </c>
    </row>
    <row r="19" spans="2:22" ht="12.75">
      <c r="B19" s="866">
        <v>45182</v>
      </c>
      <c r="C19" s="402" t="s">
        <v>1045</v>
      </c>
      <c r="D19" s="402"/>
      <c r="E19" s="402"/>
      <c r="F19" s="402"/>
      <c r="G19" s="402"/>
      <c r="H19" s="402"/>
      <c r="I19" s="402"/>
      <c r="J19" s="402"/>
      <c r="K19" s="402"/>
      <c r="L19" s="402"/>
      <c r="M19" s="402"/>
      <c r="N19" s="402"/>
      <c r="R19" s="867" t="s">
        <v>823</v>
      </c>
    </row>
    <row r="20" spans="2:22" ht="12.75">
      <c r="B20" s="866">
        <v>45209</v>
      </c>
      <c r="C20" s="402" t="s">
        <v>667</v>
      </c>
      <c r="U20" s="867" t="s">
        <v>668</v>
      </c>
    </row>
    <row r="21" spans="2:22" ht="12.75">
      <c r="B21" s="866">
        <v>45226</v>
      </c>
      <c r="C21" s="402" t="s">
        <v>1046</v>
      </c>
      <c r="Q21" s="873" t="s">
        <v>1047</v>
      </c>
    </row>
    <row r="22" spans="2:22" ht="12.75">
      <c r="B22" s="866">
        <v>45230</v>
      </c>
      <c r="C22" s="402" t="s">
        <v>1048</v>
      </c>
      <c r="P22" s="867" t="s">
        <v>1049</v>
      </c>
    </row>
    <row r="23" spans="2:22" ht="12.75">
      <c r="B23" s="866">
        <v>45240</v>
      </c>
      <c r="C23" s="402" t="s">
        <v>1050</v>
      </c>
      <c r="R23" s="867" t="s">
        <v>1051</v>
      </c>
    </row>
    <row r="24" spans="2:22" ht="12.75">
      <c r="B24" s="866">
        <v>45262</v>
      </c>
      <c r="C24" s="402" t="s">
        <v>732</v>
      </c>
      <c r="P24" s="867" t="s">
        <v>733</v>
      </c>
    </row>
    <row r="25" spans="2:22" ht="12.75">
      <c r="B25" s="866">
        <v>45322</v>
      </c>
      <c r="C25" s="402" t="s">
        <v>1052</v>
      </c>
      <c r="T25" s="873" t="s">
        <v>1053</v>
      </c>
    </row>
    <row r="26" spans="2:22" ht="12.75">
      <c r="B26" s="866">
        <v>45376</v>
      </c>
      <c r="C26" s="402" t="s">
        <v>1054</v>
      </c>
    </row>
    <row r="27" spans="2:22" ht="12.75">
      <c r="B27" s="866">
        <v>45384</v>
      </c>
      <c r="C27" s="402" t="s">
        <v>1055</v>
      </c>
      <c r="T27" s="867" t="s">
        <v>1056</v>
      </c>
    </row>
    <row r="28" spans="2:22" ht="12.75">
      <c r="B28" s="866">
        <v>45446</v>
      </c>
      <c r="C28" s="402" t="s">
        <v>1057</v>
      </c>
      <c r="M28" s="867" t="s">
        <v>1058</v>
      </c>
    </row>
    <row r="29" spans="2:22" ht="12.75">
      <c r="B29" s="866">
        <v>45502</v>
      </c>
      <c r="C29" s="402" t="s">
        <v>1059</v>
      </c>
      <c r="V29" s="867" t="s">
        <v>1060</v>
      </c>
    </row>
    <row r="30" spans="2:22" ht="12.75">
      <c r="B30" s="866">
        <v>45594</v>
      </c>
      <c r="C30" s="402" t="s">
        <v>1061</v>
      </c>
    </row>
    <row r="31" spans="2:22" ht="12.75">
      <c r="B31" s="866">
        <v>45613</v>
      </c>
      <c r="C31" s="402" t="s">
        <v>1062</v>
      </c>
    </row>
    <row r="32" spans="2:22" ht="12.75">
      <c r="B32" s="866">
        <v>45608</v>
      </c>
      <c r="C32" s="402" t="s">
        <v>1063</v>
      </c>
      <c r="M32" s="867" t="s">
        <v>1064</v>
      </c>
    </row>
    <row r="33" spans="2:28" ht="12.75">
      <c r="B33" s="866">
        <v>45631</v>
      </c>
      <c r="C33" s="402" t="s">
        <v>1065</v>
      </c>
    </row>
    <row r="34" spans="2:28" ht="12.75">
      <c r="B34" s="866">
        <v>45659</v>
      </c>
      <c r="C34" s="402" t="s">
        <v>1066</v>
      </c>
    </row>
    <row r="35" spans="2:28" ht="12.75">
      <c r="B35" s="866">
        <v>45678</v>
      </c>
      <c r="C35" s="402" t="s">
        <v>1067</v>
      </c>
    </row>
    <row r="36" spans="2:28" ht="12.75">
      <c r="B36" s="866">
        <v>45713</v>
      </c>
      <c r="C36" s="402" t="s">
        <v>1068</v>
      </c>
      <c r="U36" s="867" t="s">
        <v>1069</v>
      </c>
    </row>
    <row r="37" spans="2:28" ht="12.75">
      <c r="B37" s="866">
        <v>45722</v>
      </c>
      <c r="C37" s="402" t="s">
        <v>1070</v>
      </c>
      <c r="J37" s="867" t="s">
        <v>1071</v>
      </c>
    </row>
    <row r="38" spans="2:28" ht="12.75">
      <c r="B38" s="866">
        <v>45727</v>
      </c>
      <c r="C38" s="402" t="s">
        <v>1072</v>
      </c>
      <c r="P38" s="867" t="s">
        <v>1073</v>
      </c>
    </row>
    <row r="39" spans="2:28" ht="12.75">
      <c r="B39" s="866">
        <v>45728</v>
      </c>
      <c r="C39" s="402" t="s">
        <v>1074</v>
      </c>
      <c r="T39" s="867" t="s">
        <v>1075</v>
      </c>
    </row>
    <row r="40" spans="2:28" ht="12.75">
      <c r="B40" s="866">
        <v>45370</v>
      </c>
      <c r="C40" s="402" t="s">
        <v>1076</v>
      </c>
      <c r="AB40" s="867" t="s">
        <v>1077</v>
      </c>
    </row>
    <row r="41" spans="2:28" ht="12.75">
      <c r="B41" s="866">
        <v>45736</v>
      </c>
      <c r="C41" s="402" t="s">
        <v>1078</v>
      </c>
      <c r="V41" s="867" t="s">
        <v>1079</v>
      </c>
    </row>
    <row r="42" spans="2:28" ht="12.75">
      <c r="B42" s="866">
        <v>45742</v>
      </c>
      <c r="C42" s="402" t="s">
        <v>1080</v>
      </c>
      <c r="P42" s="867" t="s">
        <v>1081</v>
      </c>
    </row>
    <row r="43" spans="2:28" ht="12.75">
      <c r="B43" s="866">
        <v>45743</v>
      </c>
      <c r="C43" s="402" t="s">
        <v>1082</v>
      </c>
      <c r="P43" s="867" t="s">
        <v>1083</v>
      </c>
    </row>
    <row r="44" spans="2:28" ht="12.75">
      <c r="B44" s="866">
        <v>45775</v>
      </c>
      <c r="C44" s="402" t="s">
        <v>1084</v>
      </c>
      <c r="I44" s="867" t="s">
        <v>1085</v>
      </c>
      <c r="P44" s="867"/>
    </row>
    <row r="45" spans="2:28" ht="12.75">
      <c r="B45" s="866">
        <v>45782</v>
      </c>
      <c r="C45" s="402" t="s">
        <v>1086</v>
      </c>
      <c r="K45" s="867" t="s">
        <v>1087</v>
      </c>
    </row>
    <row r="46" spans="2:28" ht="12.75">
      <c r="B46" s="866">
        <v>45820</v>
      </c>
      <c r="C46" s="402" t="s">
        <v>643</v>
      </c>
      <c r="J46" t="s">
        <v>644</v>
      </c>
    </row>
    <row r="47" spans="2:28" ht="12.75">
      <c r="B47" s="866">
        <v>45820</v>
      </c>
      <c r="C47" s="402" t="s">
        <v>681</v>
      </c>
      <c r="F47" t="s">
        <v>682</v>
      </c>
    </row>
    <row r="48" spans="2:28" ht="12.75">
      <c r="B48" s="866">
        <v>45828</v>
      </c>
      <c r="C48" s="402" t="s">
        <v>802</v>
      </c>
      <c r="G48" t="s">
        <v>803</v>
      </c>
    </row>
    <row r="49" spans="2:16" ht="12.75">
      <c r="B49" s="866">
        <v>45831</v>
      </c>
      <c r="C49" s="402" t="s">
        <v>1166</v>
      </c>
      <c r="K49" s="867" t="s">
        <v>1167</v>
      </c>
    </row>
    <row r="50" spans="2:16" ht="12.75">
      <c r="B50" s="866">
        <v>45833</v>
      </c>
      <c r="C50" s="402" t="s">
        <v>1168</v>
      </c>
      <c r="G50" t="s">
        <v>1169</v>
      </c>
    </row>
    <row r="51" spans="2:16" ht="12.75">
      <c r="B51" s="866">
        <v>45845</v>
      </c>
      <c r="C51" s="402" t="s">
        <v>1171</v>
      </c>
    </row>
    <row r="52" spans="2:16" ht="12.75">
      <c r="B52" s="866">
        <v>45855</v>
      </c>
      <c r="C52" s="402" t="s">
        <v>1172</v>
      </c>
      <c r="P52" t="s">
        <v>1173</v>
      </c>
    </row>
    <row r="53" spans="2:16" ht="12.75">
      <c r="B53" s="866">
        <v>45870</v>
      </c>
      <c r="C53" s="402" t="s">
        <v>1175</v>
      </c>
      <c r="I53" s="867" t="s">
        <v>1176</v>
      </c>
    </row>
    <row r="54" spans="2:16" ht="12.75">
      <c r="B54" s="866">
        <v>45880</v>
      </c>
      <c r="C54" s="402" t="s">
        <v>1217</v>
      </c>
      <c r="P54" s="867" t="s">
        <v>1218</v>
      </c>
    </row>
    <row r="55" spans="2:16" ht="12.75">
      <c r="B55" s="866">
        <v>45910</v>
      </c>
      <c r="C55" s="402" t="s">
        <v>1221</v>
      </c>
      <c r="K55" s="867" t="s">
        <v>1222</v>
      </c>
    </row>
    <row r="56" spans="2:16" ht="12.75">
      <c r="B56" s="866">
        <v>45943</v>
      </c>
      <c r="C56" s="402" t="s">
        <v>1223</v>
      </c>
      <c r="N56" s="867" t="s">
        <v>1224</v>
      </c>
    </row>
    <row r="57" spans="2:16" ht="12.75">
      <c r="B57" s="866">
        <v>45944</v>
      </c>
      <c r="C57" s="402" t="s">
        <v>1225</v>
      </c>
      <c r="O57" s="867" t="s">
        <v>1226</v>
      </c>
    </row>
    <row r="58" spans="2:16" ht="12.75">
      <c r="B58" s="866">
        <v>46048</v>
      </c>
      <c r="C58" s="402" t="s">
        <v>1267</v>
      </c>
      <c r="P58" t="s">
        <v>1268</v>
      </c>
    </row>
    <row r="59" spans="2:16" ht="12.75">
      <c r="B59" s="866">
        <v>46062</v>
      </c>
      <c r="C59" s="402" t="s">
        <v>1275</v>
      </c>
      <c r="M59" s="867" t="s">
        <v>1276</v>
      </c>
    </row>
    <row r="60" spans="2:16" ht="12.75">
      <c r="B60" s="866"/>
      <c r="C60" s="402"/>
    </row>
    <row r="61" spans="2:16" ht="12.75">
      <c r="B61" s="866"/>
      <c r="C61" s="402"/>
    </row>
    <row r="62" spans="2:16" ht="12.75">
      <c r="B62" s="866"/>
      <c r="C62" s="402"/>
    </row>
    <row r="63" spans="2:16" ht="12.75">
      <c r="B63" s="866"/>
      <c r="C63" s="402"/>
    </row>
    <row r="64" spans="2:16" ht="12.75">
      <c r="B64" s="866"/>
      <c r="C64" s="402"/>
    </row>
    <row r="65" spans="2:3" ht="12.75">
      <c r="B65" s="866"/>
      <c r="C65" s="402"/>
    </row>
    <row r="66" spans="2:3" ht="12.75">
      <c r="B66" s="866"/>
      <c r="C66" s="402"/>
    </row>
    <row r="67" spans="2:3" ht="12.75">
      <c r="B67" s="866"/>
      <c r="C67" s="402"/>
    </row>
    <row r="68" spans="2:3" ht="12.75">
      <c r="B68" s="866"/>
      <c r="C68" s="402"/>
    </row>
    <row r="69" spans="2:3" ht="12.75">
      <c r="B69" s="866"/>
      <c r="C69" s="402"/>
    </row>
    <row r="70" spans="2:3" ht="12.75">
      <c r="B70" s="866"/>
      <c r="C70" s="402"/>
    </row>
    <row r="71" spans="2:3" ht="12.75">
      <c r="B71" s="866"/>
      <c r="C71" s="402"/>
    </row>
    <row r="72" spans="2:3" ht="12.75">
      <c r="B72" s="866"/>
      <c r="C72" s="402"/>
    </row>
    <row r="73" spans="2:3" ht="12.75">
      <c r="B73" s="866"/>
      <c r="C73" s="402"/>
    </row>
    <row r="74" spans="2:3" ht="12.75">
      <c r="B74" s="866"/>
      <c r="C74" s="402"/>
    </row>
    <row r="75" spans="2:3" ht="12.75">
      <c r="B75" s="866"/>
      <c r="C75" s="402"/>
    </row>
    <row r="76" spans="2:3" ht="12.75">
      <c r="B76" s="866"/>
      <c r="C76" s="402"/>
    </row>
    <row r="77" spans="2:3" ht="12.75">
      <c r="B77" s="866"/>
      <c r="C77" s="402"/>
    </row>
    <row r="78" spans="2:3" ht="12.75">
      <c r="B78" s="866"/>
      <c r="C78" s="402"/>
    </row>
    <row r="79" spans="2:3" ht="12.75">
      <c r="B79" s="866"/>
      <c r="C79" s="402"/>
    </row>
    <row r="80" spans="2:3" ht="12.75">
      <c r="B80" s="866"/>
      <c r="C80" s="402"/>
    </row>
    <row r="81" spans="2:3" ht="12.75">
      <c r="B81" s="866"/>
      <c r="C81" s="402"/>
    </row>
    <row r="82" spans="2:3" ht="12.75">
      <c r="B82" s="866"/>
      <c r="C82" s="402"/>
    </row>
    <row r="83" spans="2:3" ht="12.75">
      <c r="B83" s="866"/>
      <c r="C83" s="402"/>
    </row>
    <row r="84" spans="2:3" ht="12.75">
      <c r="B84" s="866"/>
      <c r="C84" s="402"/>
    </row>
    <row r="85" spans="2:3" ht="12.75">
      <c r="B85" s="866"/>
      <c r="C85" s="402"/>
    </row>
    <row r="86" spans="2:3" ht="12.75">
      <c r="B86" s="866"/>
      <c r="C86" s="402"/>
    </row>
    <row r="87" spans="2:3" ht="12.75">
      <c r="B87" s="866"/>
      <c r="C87" s="402"/>
    </row>
    <row r="88" spans="2:3" ht="12.75">
      <c r="B88" s="866"/>
      <c r="C88" s="402"/>
    </row>
    <row r="89" spans="2:3" ht="12.75">
      <c r="B89" s="866"/>
      <c r="C89" s="402"/>
    </row>
    <row r="90" spans="2:3" ht="12.75">
      <c r="B90" s="866"/>
      <c r="C90" s="402"/>
    </row>
    <row r="91" spans="2:3" ht="12.75">
      <c r="B91" s="866"/>
      <c r="C91" s="402"/>
    </row>
    <row r="92" spans="2:3" ht="12.75">
      <c r="B92" s="866"/>
      <c r="C92" s="402"/>
    </row>
    <row r="93" spans="2:3" ht="12.75">
      <c r="B93" s="866"/>
      <c r="C93" s="402"/>
    </row>
    <row r="94" spans="2:3" ht="12.75">
      <c r="B94" s="866"/>
      <c r="C94" s="402"/>
    </row>
    <row r="95" spans="2:3" ht="12.75">
      <c r="B95" s="866"/>
      <c r="C95" s="402"/>
    </row>
    <row r="96" spans="2:3" ht="12.75">
      <c r="B96" s="866"/>
      <c r="C96" s="402"/>
    </row>
    <row r="97" spans="2:3" ht="12.75">
      <c r="B97" s="866"/>
      <c r="C97" s="402"/>
    </row>
    <row r="98" spans="2:3" ht="12.75">
      <c r="B98" s="866"/>
      <c r="C98" s="402"/>
    </row>
    <row r="99" spans="2:3" ht="12.75">
      <c r="B99" s="866"/>
      <c r="C99" s="402"/>
    </row>
    <row r="100" spans="2:3" ht="12.75">
      <c r="B100" s="866"/>
      <c r="C100" s="402"/>
    </row>
    <row r="101" spans="2:3" ht="12.75">
      <c r="B101" s="866"/>
      <c r="C101" s="402"/>
    </row>
    <row r="102" spans="2:3" ht="12.75">
      <c r="B102" s="866"/>
      <c r="C102" s="402"/>
    </row>
    <row r="103" spans="2:3" ht="12.75">
      <c r="B103" s="866"/>
      <c r="C103" s="402"/>
    </row>
  </sheetData>
  <hyperlinks>
    <hyperlink ref="P13" r:id="rId1" xr:uid="{C6C158DE-602A-4C39-AFBF-EF6FA1D39617}"/>
    <hyperlink ref="AA13" r:id="rId2" xr:uid="{E74CC0D7-0A66-4E4C-BAF8-4CCDEDC90D3B}"/>
    <hyperlink ref="S11" r:id="rId3" xr:uid="{0A1019E5-FC3F-4FA3-BD48-BB80FC12C554}"/>
    <hyperlink ref="N10" r:id="rId4" xr:uid="{439BE0AB-D1DF-4503-869C-A0F24C097B7D}"/>
    <hyperlink ref="M9" r:id="rId5" xr:uid="{F8673177-E864-45BC-BDAD-CA01D544B655}"/>
    <hyperlink ref="I8" r:id="rId6" xr:uid="{3E956DC8-0CD2-4E75-8B11-71A7583EFEAC}"/>
    <hyperlink ref="G7" r:id="rId7" xr:uid="{4A976F18-A5D5-48ED-9179-884A30E2F10E}"/>
    <hyperlink ref="R19" r:id="rId8" xr:uid="{547D0DFE-641A-4DBF-8674-C13D039806AE}"/>
    <hyperlink ref="Q21" r:id="rId9" xr:uid="{D2CD290B-13ED-45CD-9C43-E879D26287C4}"/>
    <hyperlink ref="P22" r:id="rId10" xr:uid="{FF48CC37-7B58-4251-9E14-655CA64B7DFC}"/>
    <hyperlink ref="R23" r:id="rId11" xr:uid="{51DE689C-3507-477D-BACA-DD54508E90A0}"/>
    <hyperlink ref="T25" r:id="rId12" xr:uid="{0FEE21AC-C5BD-41E2-9380-F275CF3F3F79}"/>
    <hyperlink ref="T27" r:id="rId13" xr:uid="{BCA9DFBB-65D6-4D50-BC59-5623242B3844}"/>
    <hyperlink ref="M28" r:id="rId14" xr:uid="{ADEB91CD-A936-4074-B8DA-A8ED43910496}"/>
    <hyperlink ref="V29" r:id="rId15" xr:uid="{CD37FE07-BC8C-48B3-BE53-88ACAD3DF49D}"/>
    <hyperlink ref="U36" r:id="rId16" xr:uid="{1251546B-15DE-4E05-98CD-A87B062A4A35}"/>
    <hyperlink ref="AB40" r:id="rId17" xr:uid="{1DB6B976-751A-4921-810D-AB49B88F8FDD}"/>
    <hyperlink ref="V41" r:id="rId18" xr:uid="{E209083B-8108-44DE-A56D-40B27102CFA4}"/>
    <hyperlink ref="P42" r:id="rId19" xr:uid="{2185AFD0-BC61-4250-B7AD-38C9F520F648}"/>
    <hyperlink ref="P43" r:id="rId20" xr:uid="{A13D7BAA-4ABE-4323-A839-3017894DAD53}"/>
    <hyperlink ref="K45" r:id="rId21" xr:uid="{D1E47B18-CB56-4291-AA57-1E6E3290213F}"/>
    <hyperlink ref="T39" r:id="rId22" xr:uid="{38AC6575-B81C-4E13-AB4E-B7ACFC9BEA92}"/>
    <hyperlink ref="M32" r:id="rId23" xr:uid="{892309FE-D36A-4C5E-BBA0-2366CA7C44AE}"/>
    <hyperlink ref="I44" r:id="rId24" location=":~:text=According%20to%20China%20Daily%2C%20the,total%20capacity%20of%2056.9%20GW." xr:uid="{F5B9555A-28EA-40AC-9547-E4A0BA111FB9}"/>
    <hyperlink ref="K49" r:id="rId25" display="https://www.wsj.com/business/energy-oil/new-york-to-build-one-of-first-u-s-nuclear-power-plants-in-generation-271cfd33" xr:uid="{F7A0FF36-E874-417E-993F-871306EC6C44}"/>
    <hyperlink ref="I53" r:id="rId26" xr:uid="{927BBF0F-0F4D-4DAC-A82E-D6CE773B88D2}"/>
    <hyperlink ref="P54" r:id="rId27" xr:uid="{03F9D643-C342-4A42-8136-00B7B45F84D6}"/>
    <hyperlink ref="K55" r:id="rId28" xr:uid="{6EA3F52B-6F32-4785-BC4A-8EA76C2D3E12}"/>
    <hyperlink ref="N56" r:id="rId29" xr:uid="{DF2741A3-5EE7-4A4A-B53B-01A8CD870D5E}"/>
    <hyperlink ref="O57" r:id="rId30" xr:uid="{96F3A6C7-C58F-4F86-945E-16A0C6E5CFA3}"/>
    <hyperlink ref="M59" r:id="rId31" xr:uid="{347E98D7-EB99-4B80-BD9B-8CDB8AFD2B2E}"/>
  </hyperlinks>
  <pageMargins left="0.7" right="0.7" top="0.75" bottom="0.75" header="0.3" footer="0.3"/>
  <pageSetup orientation="portrait" horizontalDpi="200" verticalDpi="200" r:id="rId3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4568-D8FE-4536-857F-F3B604DFA591}">
  <dimension ref="A2:AH124"/>
  <sheetViews>
    <sheetView workbookViewId="0">
      <pane ySplit="2" topLeftCell="A31" activePane="bottomLeft" state="frozen"/>
      <selection pane="bottomLeft" activeCell="L90" sqref="L90"/>
    </sheetView>
  </sheetViews>
  <sheetFormatPr defaultColWidth="9.33203125" defaultRowHeight="11.25" outlineLevelCol="1"/>
  <cols>
    <col min="1" max="1" width="9.33203125" style="881"/>
    <col min="2" max="2" width="11.6640625" style="881" customWidth="1"/>
    <col min="3" max="3" width="7.1640625" style="881" bestFit="1" customWidth="1"/>
    <col min="4" max="4" width="5.6640625" style="881" bestFit="1" customWidth="1"/>
    <col min="5" max="5" width="4.6640625" style="881" customWidth="1"/>
    <col min="6" max="9" width="5.6640625" style="881" hidden="1" customWidth="1" outlineLevel="1"/>
    <col min="10" max="10" width="6.6640625" style="881" customWidth="1" collapsed="1"/>
    <col min="11" max="14" width="9.33203125" style="881" hidden="1" customWidth="1" outlineLevel="1"/>
    <col min="15" max="15" width="9.33203125" style="881" collapsed="1"/>
    <col min="16" max="19" width="0" style="881" hidden="1" customWidth="1" outlineLevel="1"/>
    <col min="20" max="20" width="9.33203125" style="881" collapsed="1"/>
    <col min="21" max="33" width="9.33203125" style="881"/>
    <col min="34" max="34" width="8.6640625" style="881" bestFit="1" customWidth="1"/>
    <col min="35" max="16384" width="9.33203125" style="881"/>
  </cols>
  <sheetData>
    <row r="2" spans="2:34">
      <c r="B2" s="869"/>
      <c r="C2" s="869"/>
      <c r="D2" s="869"/>
      <c r="E2" s="869"/>
      <c r="F2" s="869" t="s">
        <v>66</v>
      </c>
      <c r="G2" s="869" t="s">
        <v>67</v>
      </c>
      <c r="H2" s="869" t="s">
        <v>68</v>
      </c>
      <c r="I2" s="869" t="s">
        <v>69</v>
      </c>
      <c r="J2" s="891" t="s">
        <v>173</v>
      </c>
      <c r="K2" s="869" t="s">
        <v>70</v>
      </c>
      <c r="L2" s="869" t="s">
        <v>71</v>
      </c>
      <c r="M2" s="869" t="s">
        <v>72</v>
      </c>
      <c r="N2" s="869" t="s">
        <v>73</v>
      </c>
      <c r="O2" s="891" t="s">
        <v>174</v>
      </c>
      <c r="P2" s="869" t="s">
        <v>74</v>
      </c>
      <c r="Q2" s="869" t="s">
        <v>75</v>
      </c>
      <c r="R2" s="869" t="s">
        <v>76</v>
      </c>
      <c r="S2" s="869" t="s">
        <v>77</v>
      </c>
      <c r="T2" s="891" t="s">
        <v>175</v>
      </c>
      <c r="U2" s="869" t="s">
        <v>78</v>
      </c>
      <c r="V2" s="869" t="s">
        <v>1088</v>
      </c>
      <c r="W2" s="869" t="s">
        <v>1089</v>
      </c>
      <c r="X2" s="869" t="s">
        <v>1090</v>
      </c>
      <c r="Y2" s="891" t="s">
        <v>390</v>
      </c>
      <c r="Z2" s="869" t="s">
        <v>1091</v>
      </c>
      <c r="AA2" s="869" t="s">
        <v>83</v>
      </c>
      <c r="AB2" s="869" t="s">
        <v>84</v>
      </c>
      <c r="AC2" s="869" t="s">
        <v>85</v>
      </c>
      <c r="AD2" s="869" t="s">
        <v>177</v>
      </c>
      <c r="AE2" s="869"/>
      <c r="AF2" s="869"/>
      <c r="AG2" s="869"/>
      <c r="AH2" s="869"/>
    </row>
    <row r="3" spans="2:34">
      <c r="B3" s="869" t="s">
        <v>1092</v>
      </c>
      <c r="C3" s="869"/>
      <c r="D3" s="869"/>
      <c r="E3" s="869"/>
      <c r="F3" s="905">
        <f>CW_Drivers!BJ34</f>
        <v>54.67</v>
      </c>
      <c r="G3" s="905">
        <f>CW_Drivers!BK34</f>
        <v>65.771000000000001</v>
      </c>
      <c r="H3" s="905">
        <f>CW_Drivers!BL34</f>
        <v>67.08</v>
      </c>
      <c r="I3" s="905">
        <f>CW_Drivers!BM34</f>
        <v>69.019000000000005</v>
      </c>
      <c r="J3" s="906">
        <f>CW_Drivers!BN34</f>
        <v>256.54000000000002</v>
      </c>
      <c r="K3" s="902">
        <f>CW_Drivers!BO34</f>
        <v>60.892000000000003</v>
      </c>
      <c r="L3" s="902">
        <f>CW_Drivers!BP34</f>
        <v>68.191999999999993</v>
      </c>
      <c r="M3" s="902">
        <f>CW_Drivers!BQ34</f>
        <v>70.257000000000005</v>
      </c>
      <c r="N3" s="902">
        <f>CW_Drivers!BR34</f>
        <v>77.177999999999997</v>
      </c>
      <c r="O3" s="900">
        <f>CW_Drivers!BS34</f>
        <v>276.51900000000001</v>
      </c>
      <c r="P3" s="902">
        <f>CW_Drivers!BT34</f>
        <v>70.489999999999995</v>
      </c>
      <c r="Q3" s="902">
        <f>CW_Drivers!BU34</f>
        <v>82.033000000000001</v>
      </c>
      <c r="R3" s="902">
        <f>CW_Drivers!BV34</f>
        <v>79.703000000000003</v>
      </c>
      <c r="S3" s="902">
        <f>CW_Drivers!BW34</f>
        <v>92.722999999999999</v>
      </c>
      <c r="T3" s="900">
        <f>CW_Drivers!BX34</f>
        <v>324.94900000000001</v>
      </c>
      <c r="U3" s="902">
        <f>(U7+U8)/0.725</f>
        <v>79.862068965517253</v>
      </c>
      <c r="V3" s="902">
        <f t="shared" ref="V3:X3" si="0">(V7+V8)/0.725</f>
        <v>85.419878296146052</v>
      </c>
      <c r="W3" s="902">
        <f t="shared" si="0"/>
        <v>94.653144016227188</v>
      </c>
      <c r="X3" s="902">
        <f t="shared" si="0"/>
        <v>101.37931034482759</v>
      </c>
      <c r="Y3" s="900">
        <f>SUM(U3:X3)</f>
        <v>361.31440162271804</v>
      </c>
      <c r="Z3" s="902">
        <f>(Z7+Z8)/0.725</f>
        <v>100.60040567951319</v>
      </c>
      <c r="AA3" s="902">
        <f t="shared" ref="AA3:AB3" si="1">(AA7+AA8)/0.725</f>
        <v>102.6531440162272</v>
      </c>
      <c r="AB3" s="902">
        <f t="shared" si="1"/>
        <v>109.79310344827587</v>
      </c>
      <c r="AC3" s="902">
        <f>(AC7+AC8)/0.725</f>
        <v>119.19675456389453</v>
      </c>
      <c r="AD3" s="900">
        <f>SUM(Z3:AC3)</f>
        <v>432.24340770791082</v>
      </c>
      <c r="AE3" s="869"/>
      <c r="AF3" s="869"/>
      <c r="AG3" s="869"/>
      <c r="AH3" s="869"/>
    </row>
    <row r="4" spans="2:34">
      <c r="B4" s="869" t="s">
        <v>1093</v>
      </c>
      <c r="C4" s="869"/>
      <c r="D4" s="869"/>
      <c r="E4" s="869"/>
      <c r="F4" s="869"/>
      <c r="G4" s="869"/>
      <c r="H4" s="869"/>
      <c r="I4" s="869"/>
      <c r="J4" s="891"/>
      <c r="K4" s="902"/>
      <c r="L4" s="902"/>
      <c r="M4" s="902"/>
      <c r="N4" s="902"/>
      <c r="O4" s="900"/>
      <c r="P4" s="895">
        <f>P3/K3-1</f>
        <v>0.15762333311436638</v>
      </c>
      <c r="Q4" s="895">
        <f t="shared" ref="Q4:S4" si="2">Q3/L3-1</f>
        <v>0.20297102299389969</v>
      </c>
      <c r="R4" s="895">
        <f t="shared" si="2"/>
        <v>0.13444923637502315</v>
      </c>
      <c r="S4" s="895">
        <f t="shared" si="2"/>
        <v>0.20141750239705614</v>
      </c>
      <c r="T4" s="896">
        <f>T3/O3-1</f>
        <v>0.17514167200083897</v>
      </c>
      <c r="U4" s="895">
        <f>U3/P3-1</f>
        <v>0.13295600745520297</v>
      </c>
      <c r="V4" s="895">
        <f t="shared" ref="V4" si="3">V3/Q3-1</f>
        <v>4.1286778444602268E-2</v>
      </c>
      <c r="W4" s="895">
        <f t="shared" ref="W4" si="4">W3/R3-1</f>
        <v>0.18757316558005566</v>
      </c>
      <c r="X4" s="895">
        <f t="shared" ref="X4" si="5">X3/S3-1</f>
        <v>9.3356668192655423E-2</v>
      </c>
      <c r="Y4" s="896">
        <f>Y3/T3-1</f>
        <v>0.11191110488943812</v>
      </c>
      <c r="Z4" s="895">
        <f>Z3/U3-1</f>
        <v>0.25967692776592477</v>
      </c>
      <c r="AA4" s="895">
        <f t="shared" ref="AA4" si="6">AA3/V3-1</f>
        <v>0.20174772036474176</v>
      </c>
      <c r="AB4" s="895">
        <f t="shared" ref="AB4" si="7">AB3/W3-1</f>
        <v>0.15995199725698606</v>
      </c>
      <c r="AC4" s="895">
        <f t="shared" ref="AC4" si="8">AC3/X3-1</f>
        <v>0.175750300120048</v>
      </c>
      <c r="AD4" s="896">
        <f>AD3/Y3-1</f>
        <v>0.19630827270277584</v>
      </c>
      <c r="AE4" s="869"/>
      <c r="AF4" s="869"/>
      <c r="AG4" s="869"/>
      <c r="AH4" s="869"/>
    </row>
    <row r="5" spans="2:34">
      <c r="B5" s="938" t="s">
        <v>820</v>
      </c>
      <c r="C5" s="869"/>
      <c r="D5" s="869"/>
      <c r="E5" s="869"/>
      <c r="F5" s="869"/>
      <c r="G5" s="869"/>
      <c r="H5" s="869"/>
      <c r="I5" s="869"/>
      <c r="J5" s="891"/>
      <c r="K5" s="902"/>
      <c r="L5" s="902"/>
      <c r="M5" s="902"/>
      <c r="N5" s="902"/>
      <c r="O5" s="900"/>
      <c r="P5" s="939" t="str">
        <f>CW_Drivers!BT37</f>
        <v>5-7%</v>
      </c>
      <c r="Q5" s="939" t="str">
        <f>CW_Drivers!BU37</f>
        <v>9-11%</v>
      </c>
      <c r="R5" s="939" t="str">
        <f>CW_Drivers!BV37</f>
        <v>14-16%</v>
      </c>
      <c r="S5" s="939" t="str">
        <f>CW_Drivers!BW37</f>
        <v>10-12%</v>
      </c>
      <c r="T5" s="940" t="str">
        <f>S5</f>
        <v>10-12%</v>
      </c>
      <c r="U5" s="902"/>
      <c r="V5" s="902"/>
      <c r="W5" s="902"/>
      <c r="X5" s="902"/>
      <c r="Y5" s="900"/>
      <c r="Z5" s="902"/>
      <c r="AA5" s="902"/>
      <c r="AB5" s="902"/>
      <c r="AC5" s="902"/>
      <c r="AD5" s="900"/>
      <c r="AE5" s="869"/>
      <c r="AF5" s="869"/>
      <c r="AG5" s="869"/>
      <c r="AH5" s="869"/>
    </row>
    <row r="6" spans="2:34">
      <c r="B6" s="869"/>
      <c r="C6" s="869"/>
      <c r="D6" s="869"/>
      <c r="E6" s="869"/>
      <c r="F6" s="869"/>
      <c r="G6" s="869"/>
      <c r="H6" s="869"/>
      <c r="I6" s="869"/>
      <c r="J6" s="891"/>
      <c r="K6" s="902"/>
      <c r="L6" s="902"/>
      <c r="M6" s="902"/>
      <c r="N6" s="902"/>
      <c r="O6" s="900"/>
      <c r="P6" s="902"/>
      <c r="Q6" s="902"/>
      <c r="R6" s="902"/>
      <c r="S6" s="902"/>
      <c r="T6" s="900"/>
      <c r="U6" s="902"/>
      <c r="V6" s="902"/>
      <c r="W6" s="902"/>
      <c r="X6" s="902"/>
      <c r="Y6" s="900"/>
      <c r="Z6" s="902"/>
      <c r="AA6" s="902"/>
      <c r="AB6" s="902"/>
      <c r="AC6" s="902"/>
      <c r="AD6" s="900"/>
      <c r="AE6" s="869"/>
      <c r="AF6" s="869"/>
      <c r="AG6" s="869"/>
      <c r="AH6" s="869"/>
    </row>
    <row r="7" spans="2:34">
      <c r="B7" s="869" t="s">
        <v>1094</v>
      </c>
      <c r="C7" s="895">
        <v>0.4</v>
      </c>
      <c r="D7" s="869"/>
      <c r="E7" s="869"/>
      <c r="F7" s="905">
        <f>$C$7*F$3</f>
        <v>21.868000000000002</v>
      </c>
      <c r="G7" s="905">
        <f>$C$7*G$3</f>
        <v>26.308400000000002</v>
      </c>
      <c r="H7" s="905">
        <f>$C$7*H$3</f>
        <v>26.832000000000001</v>
      </c>
      <c r="I7" s="905">
        <f>$C$7*I$3</f>
        <v>27.607600000000005</v>
      </c>
      <c r="J7" s="947">
        <f>SUM(F7:I7)</f>
        <v>102.616</v>
      </c>
      <c r="K7" s="902">
        <f>$C$7*K$3</f>
        <v>24.356800000000003</v>
      </c>
      <c r="L7" s="902">
        <f>$C$7*L$3</f>
        <v>27.276799999999998</v>
      </c>
      <c r="M7" s="902">
        <f>$C$7*M$3</f>
        <v>28.102800000000002</v>
      </c>
      <c r="N7" s="902">
        <f>$C$7*N$3</f>
        <v>30.871200000000002</v>
      </c>
      <c r="O7" s="900">
        <f>SUM(K7:N7)</f>
        <v>110.60760000000001</v>
      </c>
      <c r="P7" s="902">
        <f>$C$7*P$3</f>
        <v>28.195999999999998</v>
      </c>
      <c r="Q7" s="902">
        <f>$C$7*Q$3</f>
        <v>32.813200000000002</v>
      </c>
      <c r="R7" s="902">
        <f>$C$7*R$3</f>
        <v>31.881200000000003</v>
      </c>
      <c r="S7" s="902">
        <f>$C$7*S$3</f>
        <v>37.089199999999998</v>
      </c>
      <c r="T7" s="900">
        <f>SUM(P7:S7)</f>
        <v>129.9796</v>
      </c>
      <c r="U7" s="902">
        <f>U29</f>
        <v>29.82352941176471</v>
      </c>
      <c r="V7" s="902">
        <f t="shared" ref="V7:X7" si="9">V29</f>
        <v>32.952941176470588</v>
      </c>
      <c r="W7" s="902">
        <f t="shared" si="9"/>
        <v>36.982352941176472</v>
      </c>
      <c r="X7" s="902">
        <f t="shared" si="9"/>
        <v>39.811764705882361</v>
      </c>
      <c r="Y7" s="900">
        <f>SUM(U7:X7)</f>
        <v>139.57058823529414</v>
      </c>
      <c r="Z7" s="902">
        <f>Z29</f>
        <v>38.647058823529413</v>
      </c>
      <c r="AA7" s="902">
        <f t="shared" ref="AA7:AC7" si="10">AA29</f>
        <v>39.835294117647059</v>
      </c>
      <c r="AB7" s="902">
        <f t="shared" si="10"/>
        <v>43.264705882352949</v>
      </c>
      <c r="AC7" s="902">
        <f t="shared" si="10"/>
        <v>48.335294117647059</v>
      </c>
      <c r="AD7" s="900">
        <f>SUM(Z7:AC7)</f>
        <v>170.08235294117648</v>
      </c>
      <c r="AE7" s="869"/>
      <c r="AF7" s="869"/>
      <c r="AG7" s="869"/>
      <c r="AH7" s="869"/>
    </row>
    <row r="8" spans="2:34">
      <c r="B8" s="869" t="s">
        <v>1095</v>
      </c>
      <c r="C8" s="895">
        <v>0.32500000000000001</v>
      </c>
      <c r="D8" s="869"/>
      <c r="E8" s="869"/>
      <c r="F8" s="905">
        <f>$C$8*F$3</f>
        <v>17.767749999999999</v>
      </c>
      <c r="G8" s="905">
        <f>$C$8*G$3</f>
        <v>21.375575000000001</v>
      </c>
      <c r="H8" s="905">
        <f>$C$8*H$3</f>
        <v>21.801000000000002</v>
      </c>
      <c r="I8" s="905">
        <f>$C$8*I$3</f>
        <v>22.431175000000003</v>
      </c>
      <c r="J8" s="947">
        <f t="shared" ref="J8:J9" si="11">SUM(F8:I8)</f>
        <v>83.375500000000017</v>
      </c>
      <c r="K8" s="902">
        <f>$C$8*K$3</f>
        <v>19.789900000000003</v>
      </c>
      <c r="L8" s="902">
        <f>$C$8*L$3</f>
        <v>22.162399999999998</v>
      </c>
      <c r="M8" s="902">
        <f>$C$8*M$3</f>
        <v>22.833525000000002</v>
      </c>
      <c r="N8" s="902">
        <f>$C$8*N$3</f>
        <v>25.082850000000001</v>
      </c>
      <c r="O8" s="900">
        <f t="shared" ref="O8:O9" si="12">SUM(K8:N8)</f>
        <v>89.868674999999996</v>
      </c>
      <c r="P8" s="902">
        <f>$C$8*P$3</f>
        <v>22.90925</v>
      </c>
      <c r="Q8" s="902">
        <f>$C$8*Q$3</f>
        <v>26.660725000000003</v>
      </c>
      <c r="R8" s="902">
        <f>$C$8*R$3</f>
        <v>25.903475</v>
      </c>
      <c r="S8" s="902">
        <f>$C$8*S$3</f>
        <v>30.134975000000001</v>
      </c>
      <c r="T8" s="900">
        <f t="shared" ref="T8:T9" si="13">SUM(P8:S8)</f>
        <v>105.608425</v>
      </c>
      <c r="U8" s="902">
        <f>U37</f>
        <v>28.076470588235296</v>
      </c>
      <c r="V8" s="902">
        <f t="shared" ref="V8:X8" si="14">V37</f>
        <v>28.976470588235298</v>
      </c>
      <c r="W8" s="902">
        <f t="shared" si="14"/>
        <v>31.641176470588238</v>
      </c>
      <c r="X8" s="902">
        <f t="shared" si="14"/>
        <v>33.688235294117646</v>
      </c>
      <c r="Y8" s="900">
        <f t="shared" ref="Y8:Y9" si="15">SUM(U8:X8)</f>
        <v>122.38235294117648</v>
      </c>
      <c r="Z8" s="902">
        <f>Z37</f>
        <v>34.288235294117648</v>
      </c>
      <c r="AA8" s="902">
        <f t="shared" ref="AA8:AC8" si="16">AA37</f>
        <v>34.588235294117652</v>
      </c>
      <c r="AB8" s="902">
        <f t="shared" si="16"/>
        <v>36.335294117647059</v>
      </c>
      <c r="AC8" s="902">
        <f t="shared" si="16"/>
        <v>38.082352941176474</v>
      </c>
      <c r="AD8" s="900">
        <f t="shared" ref="AD8:AD9" si="17">SUM(Z8:AC8)</f>
        <v>143.29411764705884</v>
      </c>
      <c r="AE8" s="869"/>
      <c r="AF8" s="869"/>
      <c r="AG8" s="869"/>
      <c r="AH8" s="869"/>
    </row>
    <row r="9" spans="2:34">
      <c r="B9" s="869" t="s">
        <v>1096</v>
      </c>
      <c r="C9" s="895">
        <f>1-SUM(C7:C8)</f>
        <v>0.27499999999999991</v>
      </c>
      <c r="D9" s="869"/>
      <c r="E9" s="869"/>
      <c r="F9" s="905">
        <f>$C$9*F$3</f>
        <v>15.034249999999995</v>
      </c>
      <c r="G9" s="905">
        <f>$C$9*G$3</f>
        <v>18.087024999999993</v>
      </c>
      <c r="H9" s="905">
        <f>$C$9*H$3</f>
        <v>18.446999999999992</v>
      </c>
      <c r="I9" s="905">
        <f>$C$9*I$3</f>
        <v>18.980224999999994</v>
      </c>
      <c r="J9" s="947">
        <f t="shared" si="11"/>
        <v>70.548499999999976</v>
      </c>
      <c r="K9" s="902">
        <f>$C$9*K$3</f>
        <v>16.745299999999997</v>
      </c>
      <c r="L9" s="902">
        <f>$C$9*L$3</f>
        <v>18.752799999999993</v>
      </c>
      <c r="M9" s="902">
        <f>$C$9*M$3</f>
        <v>19.320674999999994</v>
      </c>
      <c r="N9" s="902">
        <f>$C$9*N$3</f>
        <v>21.223949999999991</v>
      </c>
      <c r="O9" s="900">
        <f t="shared" si="12"/>
        <v>76.042724999999976</v>
      </c>
      <c r="P9" s="902">
        <f>$C$9*P$3</f>
        <v>19.384749999999993</v>
      </c>
      <c r="Q9" s="902">
        <f>$C$9*Q$3</f>
        <v>22.559074999999993</v>
      </c>
      <c r="R9" s="902">
        <f>$C$9*R$3</f>
        <v>21.918324999999992</v>
      </c>
      <c r="S9" s="902">
        <f>$C$9*S$3</f>
        <v>25.498824999999993</v>
      </c>
      <c r="T9" s="900">
        <f t="shared" si="13"/>
        <v>89.360974999999982</v>
      </c>
      <c r="U9" s="902">
        <f>U3-SUM(U7:U8)</f>
        <v>21.962068965517247</v>
      </c>
      <c r="V9" s="902">
        <f t="shared" ref="V9:X9" si="18">V3-SUM(V7:V8)</f>
        <v>23.490466531440163</v>
      </c>
      <c r="W9" s="902">
        <f t="shared" si="18"/>
        <v>26.029614604462481</v>
      </c>
      <c r="X9" s="902">
        <f t="shared" si="18"/>
        <v>27.879310344827587</v>
      </c>
      <c r="Y9" s="900">
        <f t="shared" si="15"/>
        <v>99.361460446247477</v>
      </c>
      <c r="Z9" s="902">
        <f>Z3-SUM(Z7:Z8)</f>
        <v>27.665111561866127</v>
      </c>
      <c r="AA9" s="902">
        <f t="shared" ref="AA9" si="19">AA3-SUM(AA7:AA8)</f>
        <v>28.229614604462483</v>
      </c>
      <c r="AB9" s="902">
        <f t="shared" ref="AB9" si="20">AB3-SUM(AB7:AB8)</f>
        <v>30.193103448275863</v>
      </c>
      <c r="AC9" s="902">
        <f t="shared" ref="AC9" si="21">AC3-SUM(AC7:AC8)</f>
        <v>32.779107505070996</v>
      </c>
      <c r="AD9" s="900">
        <f t="shared" si="17"/>
        <v>118.86693711967547</v>
      </c>
      <c r="AE9" s="869"/>
      <c r="AF9" s="869"/>
      <c r="AG9" s="869"/>
      <c r="AH9" s="869"/>
    </row>
    <row r="10" spans="2:34">
      <c r="B10" s="869"/>
      <c r="C10" s="869"/>
      <c r="D10" s="869"/>
      <c r="E10" s="869"/>
      <c r="F10" s="869"/>
      <c r="G10" s="869"/>
      <c r="H10" s="869"/>
      <c r="I10" s="869"/>
      <c r="J10" s="891"/>
      <c r="K10" s="869"/>
      <c r="L10" s="869"/>
      <c r="M10" s="869"/>
      <c r="N10" s="869"/>
      <c r="O10" s="891"/>
      <c r="P10" s="869"/>
      <c r="Q10" s="869"/>
      <c r="R10" s="869"/>
      <c r="S10" s="869"/>
      <c r="T10" s="891"/>
      <c r="U10" s="869"/>
      <c r="V10" s="869"/>
      <c r="W10" s="869"/>
      <c r="X10" s="869"/>
      <c r="Y10" s="891"/>
      <c r="Z10" s="869"/>
      <c r="AA10" s="869"/>
      <c r="AB10" s="869"/>
      <c r="AC10" s="869"/>
      <c r="AD10" s="891"/>
      <c r="AE10" s="869"/>
      <c r="AF10" s="869"/>
      <c r="AG10" s="869"/>
      <c r="AH10" s="869"/>
    </row>
    <row r="11" spans="2:34">
      <c r="B11" s="890" t="s">
        <v>1097</v>
      </c>
      <c r="C11" s="869"/>
      <c r="D11" s="869"/>
      <c r="E11" s="869"/>
      <c r="F11" s="869"/>
      <c r="G11" s="869"/>
      <c r="H11" s="869"/>
      <c r="I11" s="869"/>
      <c r="J11" s="891"/>
      <c r="K11" s="869"/>
      <c r="L11" s="869"/>
      <c r="M11" s="869"/>
      <c r="N11" s="869"/>
      <c r="O11" s="891"/>
      <c r="P11" s="869"/>
      <c r="Q11" s="869"/>
      <c r="R11" s="869"/>
      <c r="S11" s="869"/>
      <c r="T11" s="891"/>
      <c r="U11" s="869"/>
      <c r="V11" s="869"/>
      <c r="W11" s="869"/>
      <c r="X11" s="869"/>
      <c r="Y11" s="891"/>
      <c r="Z11" s="869"/>
      <c r="AA11" s="869"/>
      <c r="AB11" s="869"/>
      <c r="AC11" s="869"/>
      <c r="AD11" s="891"/>
      <c r="AE11" s="869"/>
      <c r="AF11" s="869"/>
      <c r="AG11" s="869"/>
      <c r="AH11" s="869"/>
    </row>
    <row r="12" spans="2:34">
      <c r="B12" s="869" t="s">
        <v>1098</v>
      </c>
      <c r="C12" s="869"/>
      <c r="D12" s="869"/>
      <c r="E12" s="869"/>
      <c r="F12" s="869">
        <f>[48]Production!J20*3</f>
        <v>0</v>
      </c>
      <c r="G12" s="869">
        <f>[48]Production!K20*3</f>
        <v>0</v>
      </c>
      <c r="H12" s="869">
        <f>[48]Production!L20*3</f>
        <v>40</v>
      </c>
      <c r="I12" s="869">
        <f>[48]Production!M20*3</f>
        <v>46</v>
      </c>
      <c r="J12" s="891">
        <f>I12</f>
        <v>46</v>
      </c>
      <c r="K12" s="904">
        <f>[48]Production!N20*3</f>
        <v>49</v>
      </c>
      <c r="L12" s="904">
        <f>[48]Production!O20*3</f>
        <v>71</v>
      </c>
      <c r="M12" s="904">
        <f>[48]Production!P20*3</f>
        <v>73</v>
      </c>
      <c r="N12" s="904">
        <f>[48]Production!Q20*3</f>
        <v>68</v>
      </c>
      <c r="O12" s="891">
        <f>N12</f>
        <v>68</v>
      </c>
      <c r="P12" s="869">
        <f>[48]Production!T$20*3</f>
        <v>87</v>
      </c>
      <c r="Q12" s="869">
        <f>[48]Production!U$20*3</f>
        <v>99</v>
      </c>
      <c r="R12" s="869">
        <f>[48]Production!V$20*3</f>
        <v>99</v>
      </c>
      <c r="S12" s="869">
        <f>[48]Production!W$20*3</f>
        <v>114</v>
      </c>
      <c r="T12" s="891">
        <f>S12</f>
        <v>114</v>
      </c>
      <c r="U12" s="869">
        <f>[48]Production!Y$20*3</f>
        <v>90</v>
      </c>
      <c r="V12" s="869">
        <f>[48]Production!Z$20*3</f>
        <v>96</v>
      </c>
      <c r="W12" s="869">
        <f>[48]Production!AA$20*3</f>
        <v>111</v>
      </c>
      <c r="X12" s="869">
        <f>[48]Production!AB$20*3</f>
        <v>114</v>
      </c>
      <c r="Y12" s="891">
        <f>[48]Production!AC$20*3</f>
        <v>114</v>
      </c>
      <c r="Z12" s="869">
        <f>[48]Production!AD$20*3</f>
        <v>120</v>
      </c>
      <c r="AA12" s="869">
        <f>[48]Production!AE$20*3</f>
        <v>126</v>
      </c>
      <c r="AB12" s="869">
        <f>[48]Production!AF$20*3</f>
        <v>135</v>
      </c>
      <c r="AC12" s="869">
        <f>[48]Production!AG$20*3</f>
        <v>141</v>
      </c>
      <c r="AD12" s="891">
        <f>[48]Production!AH$20*3</f>
        <v>141</v>
      </c>
      <c r="AE12" s="869"/>
      <c r="AF12" s="869"/>
      <c r="AG12" s="869"/>
      <c r="AH12" s="869"/>
    </row>
    <row r="13" spans="2:34">
      <c r="B13" s="869" t="s">
        <v>1099</v>
      </c>
      <c r="C13" s="869"/>
      <c r="D13" s="869"/>
      <c r="E13" s="869"/>
      <c r="F13" s="869">
        <f>[48]Production!J21*3</f>
        <v>1.5</v>
      </c>
      <c r="G13" s="869">
        <f>[48]Production!K21*3</f>
        <v>1.5</v>
      </c>
      <c r="H13" s="869">
        <f>[48]Production!L21*3</f>
        <v>1.5</v>
      </c>
      <c r="I13" s="869">
        <f>[48]Production!M21*3</f>
        <v>1.5</v>
      </c>
      <c r="J13" s="891">
        <f>I13</f>
        <v>1.5</v>
      </c>
      <c r="K13" s="904">
        <f>[48]Production!N21*3</f>
        <v>1.5</v>
      </c>
      <c r="L13" s="904">
        <f>[48]Production!O21*3</f>
        <v>1.5</v>
      </c>
      <c r="M13" s="904">
        <f>[48]Production!P21*3</f>
        <v>1.5</v>
      </c>
      <c r="N13" s="904">
        <f>[48]Production!Q21*3</f>
        <v>1.5</v>
      </c>
      <c r="O13" s="891">
        <f>N13</f>
        <v>1.5</v>
      </c>
      <c r="P13" s="869">
        <v>0</v>
      </c>
      <c r="Q13" s="869">
        <v>1</v>
      </c>
      <c r="R13" s="869">
        <v>2</v>
      </c>
      <c r="S13" s="869">
        <v>3</v>
      </c>
      <c r="T13" s="891">
        <f>S13</f>
        <v>3</v>
      </c>
      <c r="U13" s="869">
        <v>0</v>
      </c>
      <c r="V13" s="869">
        <v>1</v>
      </c>
      <c r="W13" s="869">
        <v>2</v>
      </c>
      <c r="X13" s="869">
        <v>3</v>
      </c>
      <c r="Y13" s="891">
        <f>X13</f>
        <v>3</v>
      </c>
      <c r="Z13" s="869">
        <v>0</v>
      </c>
      <c r="AA13" s="869">
        <v>1</v>
      </c>
      <c r="AB13" s="869">
        <v>2</v>
      </c>
      <c r="AC13" s="869">
        <v>3</v>
      </c>
      <c r="AD13" s="891">
        <f>AC13</f>
        <v>3</v>
      </c>
      <c r="AE13" s="869"/>
      <c r="AF13" s="869"/>
      <c r="AG13" s="869"/>
      <c r="AH13" s="869"/>
    </row>
    <row r="14" spans="2:34">
      <c r="B14" s="869" t="s">
        <v>1100</v>
      </c>
      <c r="C14" s="869"/>
      <c r="D14" s="869"/>
      <c r="E14" s="869"/>
      <c r="F14" s="869">
        <f>[48]Production!J22*3</f>
        <v>9</v>
      </c>
      <c r="G14" s="869">
        <f>[48]Production!K22*3</f>
        <v>9</v>
      </c>
      <c r="H14" s="869">
        <f>[48]Production!L22*3</f>
        <v>9</v>
      </c>
      <c r="I14" s="869">
        <f>[48]Production!M22*3</f>
        <v>9</v>
      </c>
      <c r="J14" s="891">
        <f t="shared" ref="J14:J20" si="22">I14</f>
        <v>9</v>
      </c>
      <c r="K14" s="904">
        <f>[48]Production!N22*3</f>
        <v>9</v>
      </c>
      <c r="L14" s="904">
        <f>[48]Production!O22*3</f>
        <v>9</v>
      </c>
      <c r="M14" s="904">
        <f>[48]Production!P22*3</f>
        <v>9</v>
      </c>
      <c r="N14" s="904">
        <f>[48]Production!Q22*3</f>
        <v>9</v>
      </c>
      <c r="O14" s="891">
        <f t="shared" ref="O14:O20" si="23">N14</f>
        <v>9</v>
      </c>
      <c r="P14" s="869">
        <f>[48]Production!T$22*3</f>
        <v>9</v>
      </c>
      <c r="Q14" s="869">
        <f>[48]Production!U$22*3</f>
        <v>9</v>
      </c>
      <c r="R14" s="869">
        <f>[48]Production!V$22*3</f>
        <v>9</v>
      </c>
      <c r="S14" s="869">
        <f>[48]Production!W$22*3</f>
        <v>9</v>
      </c>
      <c r="T14" s="891">
        <f t="shared" ref="T14:T16" si="24">S14</f>
        <v>9</v>
      </c>
      <c r="U14" s="869">
        <f>[48]Production!Y$22*3</f>
        <v>9</v>
      </c>
      <c r="V14" s="869">
        <f>[48]Production!Z$22*3</f>
        <v>9</v>
      </c>
      <c r="W14" s="869">
        <f>[48]Production!AA$22*3</f>
        <v>9</v>
      </c>
      <c r="X14" s="869">
        <f>[48]Production!AB$22*3</f>
        <v>9</v>
      </c>
      <c r="Y14" s="891">
        <f t="shared" ref="Y14:Y15" si="25">X14</f>
        <v>9</v>
      </c>
      <c r="Z14" s="869">
        <f>[48]Production!AD$22*3</f>
        <v>9</v>
      </c>
      <c r="AA14" s="869">
        <f>[48]Production!AE$22*3</f>
        <v>9</v>
      </c>
      <c r="AB14" s="869">
        <f>[48]Production!AF$22*3</f>
        <v>9</v>
      </c>
      <c r="AC14" s="869">
        <f>[48]Production!AG$22*3</f>
        <v>9</v>
      </c>
      <c r="AD14" s="891">
        <f t="shared" ref="AD14:AD15" si="26">AC14</f>
        <v>9</v>
      </c>
      <c r="AE14" s="869"/>
      <c r="AF14" s="869"/>
      <c r="AG14" s="869"/>
      <c r="AH14" s="869"/>
    </row>
    <row r="15" spans="2:34">
      <c r="B15" s="869" t="s">
        <v>1101</v>
      </c>
      <c r="C15" s="869"/>
      <c r="D15" s="869"/>
      <c r="E15" s="869"/>
      <c r="F15" s="869">
        <f>[48]Production!J23*3</f>
        <v>6</v>
      </c>
      <c r="G15" s="869">
        <f>[48]Production!K23*3</f>
        <v>6</v>
      </c>
      <c r="H15" s="869">
        <f>[48]Production!L23*3</f>
        <v>6</v>
      </c>
      <c r="I15" s="869">
        <f>[48]Production!M23*3</f>
        <v>6</v>
      </c>
      <c r="J15" s="891">
        <f t="shared" si="22"/>
        <v>6</v>
      </c>
      <c r="K15" s="904">
        <f>[48]Production!N23*3</f>
        <v>6</v>
      </c>
      <c r="L15" s="904">
        <f>[48]Production!O23*3</f>
        <v>6</v>
      </c>
      <c r="M15" s="904">
        <f>[48]Production!P23*3</f>
        <v>6</v>
      </c>
      <c r="N15" s="904">
        <f>[48]Production!Q23*3</f>
        <v>9</v>
      </c>
      <c r="O15" s="891">
        <f t="shared" si="23"/>
        <v>9</v>
      </c>
      <c r="P15" s="869">
        <f>[48]Production!T$23*3</f>
        <v>9</v>
      </c>
      <c r="Q15" s="869">
        <f>[48]Production!U$23*3</f>
        <v>9</v>
      </c>
      <c r="R15" s="869">
        <f>[48]Production!V$23*3</f>
        <v>9</v>
      </c>
      <c r="S15" s="869">
        <f>[48]Production!W$23*3</f>
        <v>9</v>
      </c>
      <c r="T15" s="891">
        <f t="shared" si="24"/>
        <v>9</v>
      </c>
      <c r="U15" s="869">
        <f>[48]Production!Y$23*3</f>
        <v>9</v>
      </c>
      <c r="V15" s="869">
        <f>[48]Production!Z$23*3</f>
        <v>9</v>
      </c>
      <c r="W15" s="869">
        <f>[48]Production!AA$23*3</f>
        <v>9</v>
      </c>
      <c r="X15" s="869">
        <f>[48]Production!AB$23*3</f>
        <v>9</v>
      </c>
      <c r="Y15" s="891">
        <f t="shared" si="25"/>
        <v>9</v>
      </c>
      <c r="Z15" s="869">
        <f>[48]Production!AD$23*3</f>
        <v>9</v>
      </c>
      <c r="AA15" s="869">
        <f>[48]Production!AE$23*3</f>
        <v>9</v>
      </c>
      <c r="AB15" s="869">
        <f>[48]Production!AF$23*3</f>
        <v>9</v>
      </c>
      <c r="AC15" s="869">
        <f>[48]Production!AG$23*3</f>
        <v>12</v>
      </c>
      <c r="AD15" s="891">
        <f t="shared" si="26"/>
        <v>12</v>
      </c>
      <c r="AE15" s="869"/>
      <c r="AF15" s="869"/>
      <c r="AG15" s="869"/>
      <c r="AH15" s="948"/>
    </row>
    <row r="16" spans="2:34">
      <c r="B16" s="869" t="s">
        <v>640</v>
      </c>
      <c r="C16" s="869"/>
      <c r="D16" s="869"/>
      <c r="E16" s="869"/>
      <c r="F16" s="869">
        <f>[48]Production!J24*3</f>
        <v>0</v>
      </c>
      <c r="G16" s="869">
        <f>[48]Production!K24*3</f>
        <v>6</v>
      </c>
      <c r="H16" s="869">
        <f>[48]Production!L24*3</f>
        <v>6</v>
      </c>
      <c r="I16" s="869">
        <f>[48]Production!M24*3</f>
        <v>6</v>
      </c>
      <c r="J16" s="891">
        <f t="shared" si="22"/>
        <v>6</v>
      </c>
      <c r="K16" s="904">
        <f>[48]Production!N24*3</f>
        <v>6</v>
      </c>
      <c r="L16" s="904">
        <f>[48]Production!O24*3</f>
        <v>9</v>
      </c>
      <c r="M16" s="904">
        <f>[48]Production!P24*3</f>
        <v>9</v>
      </c>
      <c r="N16" s="904">
        <f>[48]Production!Q24*3</f>
        <v>9</v>
      </c>
      <c r="O16" s="891">
        <f t="shared" si="23"/>
        <v>9</v>
      </c>
      <c r="P16" s="869">
        <f>[48]Production!T$24*3</f>
        <v>6</v>
      </c>
      <c r="Q16" s="869">
        <f>[48]Production!U$24*3</f>
        <v>9</v>
      </c>
      <c r="R16" s="869">
        <f>[48]Production!V$24*3</f>
        <v>9</v>
      </c>
      <c r="S16" s="869">
        <f>[48]Production!W$24*3</f>
        <v>15</v>
      </c>
      <c r="T16" s="891">
        <f t="shared" si="24"/>
        <v>15</v>
      </c>
      <c r="U16" s="869">
        <f>[48]Production!Y$24*3</f>
        <v>15</v>
      </c>
      <c r="V16" s="869">
        <f>[48]Production!Z$24*3</f>
        <v>18</v>
      </c>
      <c r="W16" s="869">
        <f>[48]Production!AA$24*3</f>
        <v>21</v>
      </c>
      <c r="X16" s="869">
        <f>[48]Production!AB$24*3</f>
        <v>24</v>
      </c>
      <c r="Y16" s="891">
        <f>[48]Production!AB$24*3</f>
        <v>24</v>
      </c>
      <c r="Z16" s="869">
        <f>[48]Production!AD$24*3</f>
        <v>24</v>
      </c>
      <c r="AA16" s="869">
        <f>[48]Production!AE$24*3</f>
        <v>24</v>
      </c>
      <c r="AB16" s="869">
        <f>[48]Production!AF$24*3</f>
        <v>27</v>
      </c>
      <c r="AC16" s="869">
        <f>[48]Production!AG$24*3</f>
        <v>30</v>
      </c>
      <c r="AD16" s="891">
        <f>[48]Production!AG$24*3</f>
        <v>30</v>
      </c>
      <c r="AE16" s="869"/>
      <c r="AF16" s="869"/>
      <c r="AG16" s="869"/>
      <c r="AH16" s="869"/>
    </row>
    <row r="17" spans="2:34">
      <c r="B17" s="869" t="s">
        <v>1102</v>
      </c>
      <c r="C17" s="869"/>
      <c r="D17" s="869"/>
      <c r="E17" s="869"/>
      <c r="F17" s="869">
        <v>40</v>
      </c>
      <c r="G17" s="869">
        <f>120/3</f>
        <v>40</v>
      </c>
      <c r="H17" s="869">
        <v>41</v>
      </c>
      <c r="I17" s="869">
        <v>42</v>
      </c>
      <c r="J17" s="891">
        <f t="shared" si="22"/>
        <v>42</v>
      </c>
      <c r="K17" s="869">
        <v>15</v>
      </c>
      <c r="L17" s="904">
        <v>15</v>
      </c>
      <c r="M17" s="869">
        <v>15</v>
      </c>
      <c r="N17" s="869">
        <v>15</v>
      </c>
      <c r="O17" s="891">
        <f t="shared" si="23"/>
        <v>15</v>
      </c>
      <c r="P17" s="869">
        <f>[48]Production!T31*3</f>
        <v>18</v>
      </c>
      <c r="Q17" s="869">
        <f>[48]Production!U31*3</f>
        <v>18</v>
      </c>
      <c r="R17" s="869">
        <f>[48]Production!V31*3</f>
        <v>18</v>
      </c>
      <c r="S17" s="869">
        <f>[48]Production!W31*3</f>
        <v>18</v>
      </c>
      <c r="T17" s="891">
        <f>[48]Production!W31*3</f>
        <v>18</v>
      </c>
      <c r="U17" s="869">
        <f>[48]Production!Y31*3</f>
        <v>18</v>
      </c>
      <c r="V17" s="869">
        <f>[48]Production!Z31*3</f>
        <v>21</v>
      </c>
      <c r="W17" s="869">
        <f>[48]Production!AA31*3</f>
        <v>24</v>
      </c>
      <c r="X17" s="869">
        <f>[48]Production!AB31*3</f>
        <v>27</v>
      </c>
      <c r="Y17" s="891">
        <f>[48]Production!AB31*3</f>
        <v>27</v>
      </c>
      <c r="Z17" s="869">
        <f>[48]Production!AD31*3</f>
        <v>30</v>
      </c>
      <c r="AA17" s="869">
        <f>[48]Production!AE31*3</f>
        <v>30</v>
      </c>
      <c r="AB17" s="869">
        <f>[48]Production!AF31*3</f>
        <v>33</v>
      </c>
      <c r="AC17" s="869">
        <f>[48]Production!AG31*3</f>
        <v>36</v>
      </c>
      <c r="AD17" s="891">
        <f>[48]Production!AG31*3</f>
        <v>36</v>
      </c>
      <c r="AE17" s="869"/>
      <c r="AF17" s="869"/>
      <c r="AG17" s="869"/>
      <c r="AH17" s="869"/>
    </row>
    <row r="18" spans="2:34">
      <c r="B18" s="869" t="s">
        <v>1103</v>
      </c>
      <c r="C18" s="869"/>
      <c r="D18" s="869"/>
      <c r="E18" s="869"/>
      <c r="F18" s="869"/>
      <c r="G18" s="869"/>
      <c r="H18" s="869"/>
      <c r="I18" s="869"/>
      <c r="J18" s="891">
        <f t="shared" si="22"/>
        <v>0</v>
      </c>
      <c r="K18" s="869">
        <f>135</f>
        <v>135</v>
      </c>
      <c r="L18" s="904">
        <f>135</f>
        <v>135</v>
      </c>
      <c r="M18" s="869">
        <f>45*3</f>
        <v>135</v>
      </c>
      <c r="N18" s="869">
        <v>135</v>
      </c>
      <c r="O18" s="891">
        <f t="shared" si="23"/>
        <v>135</v>
      </c>
      <c r="P18" s="869">
        <f>[48]Production!T32*3</f>
        <v>135</v>
      </c>
      <c r="Q18" s="869">
        <f>[48]Production!U32*3</f>
        <v>135</v>
      </c>
      <c r="R18" s="869">
        <f>[48]Production!V32*3</f>
        <v>135</v>
      </c>
      <c r="S18" s="869">
        <f>[48]Production!W32*3</f>
        <v>153</v>
      </c>
      <c r="T18" s="891">
        <f>[48]Production!W32*3</f>
        <v>153</v>
      </c>
      <c r="U18" s="869">
        <f>[48]Production!Y32*3</f>
        <v>159</v>
      </c>
      <c r="V18" s="869">
        <f>[48]Production!Z32*3</f>
        <v>165</v>
      </c>
      <c r="W18" s="869">
        <f>[48]Production!AA32*3</f>
        <v>177</v>
      </c>
      <c r="X18" s="869">
        <f>[48]Production!AB32*3</f>
        <v>183</v>
      </c>
      <c r="Y18" s="891">
        <f>[48]Production!AB32*3</f>
        <v>183</v>
      </c>
      <c r="Z18" s="869">
        <f>[48]Production!AD32*3</f>
        <v>186</v>
      </c>
      <c r="AA18" s="869">
        <f>[48]Production!AE32*3</f>
        <v>189</v>
      </c>
      <c r="AB18" s="869">
        <f>[48]Production!AF32*3</f>
        <v>192</v>
      </c>
      <c r="AC18" s="869">
        <f>[48]Production!AG32*3</f>
        <v>195</v>
      </c>
      <c r="AD18" s="891">
        <f>[48]Production!AG32*3</f>
        <v>195</v>
      </c>
      <c r="AE18" s="869"/>
      <c r="AF18" s="869"/>
      <c r="AG18" s="869"/>
      <c r="AH18" s="869"/>
    </row>
    <row r="19" spans="2:34">
      <c r="B19" s="869" t="s">
        <v>1104</v>
      </c>
      <c r="C19" s="869"/>
      <c r="D19" s="869"/>
      <c r="E19" s="869"/>
      <c r="F19" s="869"/>
      <c r="G19" s="869"/>
      <c r="H19" s="869"/>
      <c r="I19" s="869"/>
      <c r="J19" s="891">
        <f t="shared" si="22"/>
        <v>0</v>
      </c>
      <c r="K19" s="869">
        <v>6</v>
      </c>
      <c r="L19" s="904">
        <v>6</v>
      </c>
      <c r="M19" s="869">
        <v>6</v>
      </c>
      <c r="N19" s="869">
        <v>6</v>
      </c>
      <c r="O19" s="891">
        <f t="shared" si="23"/>
        <v>6</v>
      </c>
      <c r="P19" s="869">
        <f>[48]Production!T33*3</f>
        <v>9</v>
      </c>
      <c r="Q19" s="869">
        <f>[48]Production!U33*3</f>
        <v>9</v>
      </c>
      <c r="R19" s="869">
        <f>[48]Production!V33*3</f>
        <v>9</v>
      </c>
      <c r="S19" s="869">
        <f>[48]Production!W33*3</f>
        <v>9</v>
      </c>
      <c r="T19" s="891">
        <f>[48]Production!W33*3</f>
        <v>9</v>
      </c>
      <c r="U19" s="869">
        <f>[48]Production!Y33*3</f>
        <v>9</v>
      </c>
      <c r="V19" s="869">
        <f>[48]Production!Z33*3</f>
        <v>9</v>
      </c>
      <c r="W19" s="869">
        <f>[48]Production!AA33*3</f>
        <v>12</v>
      </c>
      <c r="X19" s="869">
        <f>[48]Production!AB33*3</f>
        <v>12</v>
      </c>
      <c r="Y19" s="891">
        <f>[48]Production!AB33*3</f>
        <v>12</v>
      </c>
      <c r="Z19" s="869">
        <f>[48]Production!AD33*3</f>
        <v>12</v>
      </c>
      <c r="AA19" s="869">
        <f>[48]Production!AE33*3</f>
        <v>12</v>
      </c>
      <c r="AB19" s="869">
        <f>[48]Production!AF33*3</f>
        <v>12</v>
      </c>
      <c r="AC19" s="869">
        <f>[48]Production!AG33*3</f>
        <v>12</v>
      </c>
      <c r="AD19" s="891">
        <f>[48]Production!AG33*3</f>
        <v>12</v>
      </c>
      <c r="AE19" s="869"/>
      <c r="AF19" s="869"/>
      <c r="AG19" s="869"/>
      <c r="AH19" s="869"/>
    </row>
    <row r="20" spans="2:34">
      <c r="B20" s="869" t="s">
        <v>1105</v>
      </c>
      <c r="C20" s="869"/>
      <c r="D20" s="869"/>
      <c r="E20" s="869"/>
      <c r="F20" s="869"/>
      <c r="G20" s="869"/>
      <c r="H20" s="869"/>
      <c r="I20" s="869"/>
      <c r="J20" s="891">
        <f t="shared" si="22"/>
        <v>0</v>
      </c>
      <c r="K20" s="869">
        <v>12</v>
      </c>
      <c r="L20" s="904">
        <v>12</v>
      </c>
      <c r="M20" s="869">
        <v>12</v>
      </c>
      <c r="N20" s="869">
        <v>12</v>
      </c>
      <c r="O20" s="891">
        <f t="shared" si="23"/>
        <v>12</v>
      </c>
      <c r="P20" s="869">
        <f>[48]Production!T34*3</f>
        <v>15</v>
      </c>
      <c r="Q20" s="869">
        <f>[48]Production!U34*3</f>
        <v>15</v>
      </c>
      <c r="R20" s="869">
        <f>[48]Production!V34*3</f>
        <v>15</v>
      </c>
      <c r="S20" s="869">
        <f>[48]Production!W34*3</f>
        <v>18</v>
      </c>
      <c r="T20" s="891">
        <f>[48]Production!W34*3</f>
        <v>18</v>
      </c>
      <c r="U20" s="869">
        <f>[48]Production!Y34*3</f>
        <v>18</v>
      </c>
      <c r="V20" s="869">
        <f>[48]Production!Z34*3</f>
        <v>18</v>
      </c>
      <c r="W20" s="869">
        <f>[48]Production!AA34*3</f>
        <v>18</v>
      </c>
      <c r="X20" s="869">
        <f>[48]Production!AB34*3</f>
        <v>21</v>
      </c>
      <c r="Y20" s="891">
        <f>[48]Production!AB34*3</f>
        <v>21</v>
      </c>
      <c r="Z20" s="869">
        <f>[48]Production!AD34*3</f>
        <v>21</v>
      </c>
      <c r="AA20" s="869">
        <f>[48]Production!AE34*3</f>
        <v>21</v>
      </c>
      <c r="AB20" s="869">
        <f>[48]Production!AF34*3</f>
        <v>24</v>
      </c>
      <c r="AC20" s="869">
        <f>[48]Production!AG34*3</f>
        <v>27</v>
      </c>
      <c r="AD20" s="891">
        <f>[48]Production!AG34*3</f>
        <v>27</v>
      </c>
      <c r="AE20" s="869"/>
      <c r="AF20" s="869"/>
      <c r="AG20" s="869"/>
      <c r="AH20" s="869"/>
    </row>
    <row r="21" spans="2:34">
      <c r="B21" s="869"/>
      <c r="C21" s="869"/>
      <c r="D21" s="869"/>
      <c r="E21" s="869"/>
      <c r="F21" s="869"/>
      <c r="G21" s="869"/>
      <c r="H21" s="869"/>
      <c r="I21" s="869"/>
      <c r="J21" s="891"/>
      <c r="K21" s="869"/>
      <c r="L21" s="869"/>
      <c r="M21" s="869"/>
      <c r="N21" s="869"/>
      <c r="O21" s="891"/>
      <c r="P21" s="869"/>
      <c r="Q21" s="869"/>
      <c r="R21" s="869"/>
      <c r="S21" s="869"/>
      <c r="T21" s="891"/>
      <c r="U21" s="869"/>
      <c r="V21" s="869"/>
      <c r="W21" s="869"/>
      <c r="X21" s="869"/>
      <c r="Y21" s="891"/>
      <c r="Z21" s="869"/>
      <c r="AA21" s="869"/>
      <c r="AB21" s="869"/>
      <c r="AC21" s="869"/>
      <c r="AD21" s="891"/>
      <c r="AE21" s="869"/>
      <c r="AF21" s="869"/>
      <c r="AG21" s="869"/>
      <c r="AH21" s="869"/>
    </row>
    <row r="22" spans="2:34">
      <c r="B22" s="890" t="s">
        <v>1094</v>
      </c>
      <c r="C22" s="869"/>
      <c r="D22" s="869"/>
      <c r="E22" s="869"/>
      <c r="F22" s="869"/>
      <c r="G22" s="869"/>
      <c r="H22" s="869"/>
      <c r="I22" s="869"/>
      <c r="J22" s="891"/>
      <c r="K22" s="869"/>
      <c r="L22" s="869"/>
      <c r="M22" s="869"/>
      <c r="N22" s="869"/>
      <c r="O22" s="891"/>
      <c r="P22" s="869"/>
      <c r="Q22" s="869"/>
      <c r="R22" s="869"/>
      <c r="S22" s="869"/>
      <c r="T22" s="891"/>
      <c r="U22" s="869"/>
      <c r="V22" s="869"/>
      <c r="W22" s="869"/>
      <c r="X22" s="869"/>
      <c r="Y22" s="891"/>
      <c r="Z22" s="869"/>
      <c r="AA22" s="869"/>
      <c r="AB22" s="869"/>
      <c r="AC22" s="869"/>
      <c r="AD22" s="891"/>
      <c r="AE22" s="869"/>
      <c r="AF22" s="869"/>
      <c r="AG22" s="869"/>
      <c r="AH22" s="869"/>
    </row>
    <row r="23" spans="2:34">
      <c r="B23" s="869" t="s">
        <v>1098</v>
      </c>
      <c r="C23" s="902">
        <v>8.5000000000000006E-2</v>
      </c>
      <c r="D23" s="869"/>
      <c r="E23" s="869"/>
      <c r="F23" s="905">
        <v>0</v>
      </c>
      <c r="G23" s="905">
        <v>3</v>
      </c>
      <c r="H23" s="905">
        <v>3.4499999999999997</v>
      </c>
      <c r="I23" s="905">
        <v>3.6749999999999998</v>
      </c>
      <c r="J23" s="893">
        <f t="shared" ref="J23:J28" si="27">SUM(F23:I23)</f>
        <v>10.125</v>
      </c>
      <c r="K23" s="949">
        <f t="shared" ref="K23:N24" si="28">$C23*K12</f>
        <v>4.165</v>
      </c>
      <c r="L23" s="949">
        <f t="shared" si="28"/>
        <v>6.0350000000000001</v>
      </c>
      <c r="M23" s="949">
        <f t="shared" si="28"/>
        <v>6.2050000000000001</v>
      </c>
      <c r="N23" s="949">
        <f t="shared" si="28"/>
        <v>5.78</v>
      </c>
      <c r="O23" s="901">
        <f t="shared" ref="O23:O28" si="29">SUM(K23:N23)</f>
        <v>22.185000000000002</v>
      </c>
      <c r="P23" s="949">
        <f t="shared" ref="P23:S23" si="30">$C23*P12</f>
        <v>7.3950000000000005</v>
      </c>
      <c r="Q23" s="949">
        <f t="shared" si="30"/>
        <v>8.4150000000000009</v>
      </c>
      <c r="R23" s="949">
        <f t="shared" si="30"/>
        <v>8.4150000000000009</v>
      </c>
      <c r="S23" s="949">
        <f t="shared" si="30"/>
        <v>9.6900000000000013</v>
      </c>
      <c r="T23" s="901">
        <f t="shared" ref="T23:T28" si="31">SUM(P23:S23)</f>
        <v>33.915000000000006</v>
      </c>
      <c r="U23" s="949">
        <f t="shared" ref="U23:X23" si="32">$C23*U12</f>
        <v>7.65</v>
      </c>
      <c r="V23" s="949">
        <f>$C23*V12</f>
        <v>8.16</v>
      </c>
      <c r="W23" s="949">
        <f t="shared" si="32"/>
        <v>9.4350000000000005</v>
      </c>
      <c r="X23" s="949">
        <f t="shared" si="32"/>
        <v>9.6900000000000013</v>
      </c>
      <c r="Y23" s="901">
        <f t="shared" ref="Y23:Y28" si="33">SUM(U23:X23)</f>
        <v>34.935000000000002</v>
      </c>
      <c r="Z23" s="949">
        <f t="shared" ref="Z23:AC23" si="34">$C23*Z12</f>
        <v>10.200000000000001</v>
      </c>
      <c r="AA23" s="949">
        <f t="shared" si="34"/>
        <v>10.71</v>
      </c>
      <c r="AB23" s="949">
        <f t="shared" si="34"/>
        <v>11.475000000000001</v>
      </c>
      <c r="AC23" s="949">
        <f t="shared" si="34"/>
        <v>11.985000000000001</v>
      </c>
      <c r="AD23" s="901">
        <f t="shared" ref="AD23:AD28" si="35">SUM(Z23:AC23)</f>
        <v>44.370000000000005</v>
      </c>
      <c r="AE23" s="869"/>
      <c r="AF23" s="869"/>
      <c r="AG23" s="945"/>
      <c r="AH23" s="950"/>
    </row>
    <row r="24" spans="2:34">
      <c r="B24" s="869" t="s">
        <v>1099</v>
      </c>
      <c r="C24" s="902">
        <v>0.5</v>
      </c>
      <c r="D24" s="869"/>
      <c r="E24" s="869"/>
      <c r="F24" s="905">
        <f t="shared" ref="F24:I25" si="36">$C24*F13</f>
        <v>0.75</v>
      </c>
      <c r="G24" s="905">
        <f t="shared" si="36"/>
        <v>0.75</v>
      </c>
      <c r="H24" s="905">
        <f t="shared" si="36"/>
        <v>0.75</v>
      </c>
      <c r="I24" s="905">
        <f t="shared" si="36"/>
        <v>0.75</v>
      </c>
      <c r="J24" s="893">
        <f t="shared" si="27"/>
        <v>3</v>
      </c>
      <c r="K24" s="949">
        <f t="shared" si="28"/>
        <v>0.75</v>
      </c>
      <c r="L24" s="949">
        <f t="shared" si="28"/>
        <v>0.75</v>
      </c>
      <c r="M24" s="949">
        <f t="shared" si="28"/>
        <v>0.75</v>
      </c>
      <c r="N24" s="949">
        <f t="shared" si="28"/>
        <v>0.75</v>
      </c>
      <c r="O24" s="901">
        <f t="shared" si="29"/>
        <v>3</v>
      </c>
      <c r="P24" s="949">
        <f t="shared" ref="P24:S24" si="37">$C24*P13</f>
        <v>0</v>
      </c>
      <c r="Q24" s="949">
        <f t="shared" si="37"/>
        <v>0.5</v>
      </c>
      <c r="R24" s="949">
        <f t="shared" si="37"/>
        <v>1</v>
      </c>
      <c r="S24" s="949">
        <f t="shared" si="37"/>
        <v>1.5</v>
      </c>
      <c r="T24" s="901">
        <f t="shared" si="31"/>
        <v>3</v>
      </c>
      <c r="U24" s="949">
        <f t="shared" ref="U24:X24" si="38">$C24*U13</f>
        <v>0</v>
      </c>
      <c r="V24" s="949">
        <f t="shared" si="38"/>
        <v>0.5</v>
      </c>
      <c r="W24" s="949">
        <f t="shared" si="38"/>
        <v>1</v>
      </c>
      <c r="X24" s="949">
        <f t="shared" si="38"/>
        <v>1.5</v>
      </c>
      <c r="Y24" s="901">
        <f t="shared" si="33"/>
        <v>3</v>
      </c>
      <c r="Z24" s="949">
        <f t="shared" ref="Z24:AC24" si="39">$C24*Z13</f>
        <v>0</v>
      </c>
      <c r="AA24" s="949">
        <f t="shared" si="39"/>
        <v>0.5</v>
      </c>
      <c r="AB24" s="949">
        <f t="shared" si="39"/>
        <v>1</v>
      </c>
      <c r="AC24" s="949">
        <f t="shared" si="39"/>
        <v>1.5</v>
      </c>
      <c r="AD24" s="901">
        <f t="shared" si="35"/>
        <v>3</v>
      </c>
      <c r="AE24" s="869"/>
      <c r="AF24" s="869"/>
      <c r="AG24" s="945"/>
      <c r="AH24" s="869"/>
    </row>
    <row r="25" spans="2:34">
      <c r="B25" s="869" t="s">
        <v>1100</v>
      </c>
      <c r="C25" s="902">
        <v>0.5</v>
      </c>
      <c r="D25" s="869"/>
      <c r="E25" s="869"/>
      <c r="F25" s="905">
        <f t="shared" si="36"/>
        <v>4.5</v>
      </c>
      <c r="G25" s="905">
        <f t="shared" si="36"/>
        <v>4.5</v>
      </c>
      <c r="H25" s="905">
        <f t="shared" si="36"/>
        <v>4.5</v>
      </c>
      <c r="I25" s="905">
        <f t="shared" si="36"/>
        <v>4.5</v>
      </c>
      <c r="J25" s="893">
        <f t="shared" si="27"/>
        <v>18</v>
      </c>
      <c r="K25" s="949">
        <f t="shared" ref="K25:N25" si="40">$C25*K14</f>
        <v>4.5</v>
      </c>
      <c r="L25" s="949">
        <f t="shared" si="40"/>
        <v>4.5</v>
      </c>
      <c r="M25" s="949">
        <f t="shared" si="40"/>
        <v>4.5</v>
      </c>
      <c r="N25" s="949">
        <f t="shared" si="40"/>
        <v>4.5</v>
      </c>
      <c r="O25" s="901">
        <f t="shared" si="29"/>
        <v>18</v>
      </c>
      <c r="P25" s="949">
        <f t="shared" ref="P25:S25" si="41">$C25*P14</f>
        <v>4.5</v>
      </c>
      <c r="Q25" s="949">
        <f t="shared" si="41"/>
        <v>4.5</v>
      </c>
      <c r="R25" s="949">
        <f t="shared" si="41"/>
        <v>4.5</v>
      </c>
      <c r="S25" s="949">
        <f t="shared" si="41"/>
        <v>4.5</v>
      </c>
      <c r="T25" s="901">
        <f t="shared" si="31"/>
        <v>18</v>
      </c>
      <c r="U25" s="949">
        <f t="shared" ref="U25:X25" si="42">$C25*U14</f>
        <v>4.5</v>
      </c>
      <c r="V25" s="949">
        <f t="shared" si="42"/>
        <v>4.5</v>
      </c>
      <c r="W25" s="949">
        <f>$C25*W14</f>
        <v>4.5</v>
      </c>
      <c r="X25" s="949">
        <f t="shared" si="42"/>
        <v>4.5</v>
      </c>
      <c r="Y25" s="901">
        <f t="shared" si="33"/>
        <v>18</v>
      </c>
      <c r="Z25" s="949">
        <f t="shared" ref="Z25:AC25" si="43">$C25*Z14</f>
        <v>4.5</v>
      </c>
      <c r="AA25" s="949">
        <f t="shared" si="43"/>
        <v>4.5</v>
      </c>
      <c r="AB25" s="949">
        <f t="shared" si="43"/>
        <v>4.5</v>
      </c>
      <c r="AC25" s="949">
        <f t="shared" si="43"/>
        <v>4.5</v>
      </c>
      <c r="AD25" s="901">
        <f t="shared" si="35"/>
        <v>18</v>
      </c>
      <c r="AE25" s="869"/>
      <c r="AF25" s="869"/>
      <c r="AG25" s="945"/>
      <c r="AH25" s="869"/>
    </row>
    <row r="26" spans="2:34">
      <c r="B26" s="869" t="s">
        <v>1101</v>
      </c>
      <c r="C26" s="902">
        <v>0.55000000000000004</v>
      </c>
      <c r="D26" s="869"/>
      <c r="E26" s="869"/>
      <c r="F26" s="905">
        <v>3</v>
      </c>
      <c r="G26" s="905">
        <v>3</v>
      </c>
      <c r="H26" s="905">
        <v>3</v>
      </c>
      <c r="I26" s="905">
        <v>3</v>
      </c>
      <c r="J26" s="893">
        <v>12</v>
      </c>
      <c r="K26" s="949">
        <v>3</v>
      </c>
      <c r="L26" s="949">
        <v>3</v>
      </c>
      <c r="M26" s="949">
        <v>4.5</v>
      </c>
      <c r="N26" s="949">
        <v>4.5</v>
      </c>
      <c r="O26" s="901">
        <f t="shared" si="29"/>
        <v>15</v>
      </c>
      <c r="P26" s="949">
        <f t="shared" ref="P26:S26" si="44">$C26*P15</f>
        <v>4.95</v>
      </c>
      <c r="Q26" s="949">
        <f t="shared" si="44"/>
        <v>4.95</v>
      </c>
      <c r="R26" s="949">
        <f t="shared" si="44"/>
        <v>4.95</v>
      </c>
      <c r="S26" s="949">
        <f t="shared" si="44"/>
        <v>4.95</v>
      </c>
      <c r="T26" s="901">
        <f t="shared" si="31"/>
        <v>19.8</v>
      </c>
      <c r="U26" s="949">
        <f t="shared" ref="U26:X26" si="45">$C26*U15</f>
        <v>4.95</v>
      </c>
      <c r="V26" s="949">
        <f t="shared" si="45"/>
        <v>4.95</v>
      </c>
      <c r="W26" s="949">
        <f t="shared" si="45"/>
        <v>4.95</v>
      </c>
      <c r="X26" s="949">
        <f t="shared" si="45"/>
        <v>4.95</v>
      </c>
      <c r="Y26" s="901">
        <f t="shared" si="33"/>
        <v>19.8</v>
      </c>
      <c r="Z26" s="949">
        <f t="shared" ref="Z26:AC26" si="46">$C26*Z15</f>
        <v>4.95</v>
      </c>
      <c r="AA26" s="949">
        <f t="shared" si="46"/>
        <v>4.95</v>
      </c>
      <c r="AB26" s="949">
        <f t="shared" si="46"/>
        <v>4.95</v>
      </c>
      <c r="AC26" s="949">
        <f t="shared" si="46"/>
        <v>6.6000000000000005</v>
      </c>
      <c r="AD26" s="901">
        <f t="shared" si="35"/>
        <v>21.450000000000003</v>
      </c>
      <c r="AE26" s="869"/>
      <c r="AF26" s="869"/>
      <c r="AG26" s="945"/>
      <c r="AH26" s="869"/>
    </row>
    <row r="27" spans="2:34">
      <c r="B27" s="869" t="s">
        <v>640</v>
      </c>
      <c r="C27" s="902">
        <v>0.55000000000000004</v>
      </c>
      <c r="D27" s="869"/>
      <c r="E27" s="869"/>
      <c r="F27" s="905">
        <v>3</v>
      </c>
      <c r="G27" s="905">
        <v>3</v>
      </c>
      <c r="H27" s="905">
        <v>3</v>
      </c>
      <c r="I27" s="905">
        <v>3</v>
      </c>
      <c r="J27" s="893">
        <v>12</v>
      </c>
      <c r="K27" s="949">
        <v>4.5</v>
      </c>
      <c r="L27" s="949">
        <v>4.5</v>
      </c>
      <c r="M27" s="949">
        <v>4.5</v>
      </c>
      <c r="N27" s="949">
        <v>4.5</v>
      </c>
      <c r="O27" s="901">
        <f t="shared" si="29"/>
        <v>18</v>
      </c>
      <c r="P27" s="949">
        <f t="shared" ref="P27:S27" si="47">$C27*P16</f>
        <v>3.3000000000000003</v>
      </c>
      <c r="Q27" s="949">
        <f t="shared" si="47"/>
        <v>4.95</v>
      </c>
      <c r="R27" s="949">
        <f t="shared" si="47"/>
        <v>4.95</v>
      </c>
      <c r="S27" s="949">
        <f t="shared" si="47"/>
        <v>8.25</v>
      </c>
      <c r="T27" s="901">
        <f t="shared" si="31"/>
        <v>21.45</v>
      </c>
      <c r="U27" s="949">
        <f t="shared" ref="U27:X27" si="48">$C27*U16</f>
        <v>8.25</v>
      </c>
      <c r="V27" s="949">
        <f t="shared" si="48"/>
        <v>9.9</v>
      </c>
      <c r="W27" s="949">
        <f t="shared" si="48"/>
        <v>11.55</v>
      </c>
      <c r="X27" s="949">
        <f t="shared" si="48"/>
        <v>13.200000000000001</v>
      </c>
      <c r="Y27" s="901">
        <f t="shared" si="33"/>
        <v>42.9</v>
      </c>
      <c r="Z27" s="949">
        <f t="shared" ref="Z27:AC27" si="49">$C27*Z16</f>
        <v>13.200000000000001</v>
      </c>
      <c r="AA27" s="949">
        <f t="shared" si="49"/>
        <v>13.200000000000001</v>
      </c>
      <c r="AB27" s="949">
        <f t="shared" si="49"/>
        <v>14.850000000000001</v>
      </c>
      <c r="AC27" s="949">
        <f t="shared" si="49"/>
        <v>16.5</v>
      </c>
      <c r="AD27" s="901">
        <f t="shared" si="35"/>
        <v>57.75</v>
      </c>
      <c r="AE27" s="869"/>
      <c r="AF27" s="869"/>
      <c r="AG27" s="945"/>
      <c r="AH27" s="869"/>
    </row>
    <row r="28" spans="2:34">
      <c r="B28" s="869" t="s">
        <v>1106</v>
      </c>
      <c r="C28" s="895"/>
      <c r="D28" s="869"/>
      <c r="E28" s="869"/>
      <c r="F28" s="905">
        <f>F29-SUM(F23:F27)</f>
        <v>10.618000000000002</v>
      </c>
      <c r="G28" s="905">
        <f t="shared" ref="G28:I28" si="50">G29-SUM(G23:G27)</f>
        <v>12.058400000000002</v>
      </c>
      <c r="H28" s="905">
        <f t="shared" si="50"/>
        <v>12.132000000000001</v>
      </c>
      <c r="I28" s="905">
        <f t="shared" si="50"/>
        <v>12.682600000000004</v>
      </c>
      <c r="J28" s="893">
        <f t="shared" si="27"/>
        <v>47.491000000000014</v>
      </c>
      <c r="K28" s="949">
        <f>K29-SUM(K23:K27)</f>
        <v>7.4418000000000042</v>
      </c>
      <c r="L28" s="949">
        <f t="shared" ref="L28:N28" si="51">L29-SUM(L23:L27)</f>
        <v>8.4917999999999978</v>
      </c>
      <c r="M28" s="949">
        <f t="shared" si="51"/>
        <v>7.6478000000000037</v>
      </c>
      <c r="N28" s="949">
        <f t="shared" si="51"/>
        <v>10.841200000000001</v>
      </c>
      <c r="O28" s="901">
        <f t="shared" si="29"/>
        <v>34.422600000000003</v>
      </c>
      <c r="P28" s="949">
        <f>P29-SUM(P23:P27)</f>
        <v>8.0509999999999984</v>
      </c>
      <c r="Q28" s="949">
        <f t="shared" ref="Q28" si="52">Q29-SUM(Q23:Q27)</f>
        <v>9.4982000000000006</v>
      </c>
      <c r="R28" s="949">
        <f t="shared" ref="R28" si="53">R29-SUM(R23:R27)</f>
        <v>8.066200000000002</v>
      </c>
      <c r="S28" s="949">
        <f>S29-SUM(S23:S27)</f>
        <v>5.0982352941176501</v>
      </c>
      <c r="T28" s="901">
        <f t="shared" si="31"/>
        <v>30.713635294117651</v>
      </c>
      <c r="U28" s="949">
        <f>U29-SUM(U23:U27)</f>
        <v>4.4735294117647086</v>
      </c>
      <c r="V28" s="949">
        <f t="shared" ref="V28:X28" si="54">V29-SUM(V23:V27)</f>
        <v>4.9429411764705904</v>
      </c>
      <c r="W28" s="949">
        <f t="shared" si="54"/>
        <v>5.5473529411764702</v>
      </c>
      <c r="X28" s="949">
        <f t="shared" si="54"/>
        <v>5.9717647058823573</v>
      </c>
      <c r="Y28" s="901">
        <f t="shared" si="33"/>
        <v>20.935588235294126</v>
      </c>
      <c r="Z28" s="949">
        <f>Z29-SUM(Z23:Z27)</f>
        <v>5.7970588235294116</v>
      </c>
      <c r="AA28" s="949">
        <f t="shared" ref="AA28" si="55">AA29-SUM(AA23:AA27)</f>
        <v>5.97529411764706</v>
      </c>
      <c r="AB28" s="949">
        <f t="shared" ref="AB28" si="56">AB29-SUM(AB23:AB27)</f>
        <v>6.4897058823529434</v>
      </c>
      <c r="AC28" s="949">
        <f t="shared" ref="AC28" si="57">AC29-SUM(AC23:AC27)</f>
        <v>7.2502941176470586</v>
      </c>
      <c r="AD28" s="901">
        <f t="shared" si="35"/>
        <v>25.512352941176474</v>
      </c>
      <c r="AE28" s="869"/>
      <c r="AF28" s="869"/>
      <c r="AG28" s="945"/>
      <c r="AH28" s="869"/>
    </row>
    <row r="29" spans="2:34">
      <c r="B29" s="869" t="s">
        <v>394</v>
      </c>
      <c r="C29" s="895"/>
      <c r="D29" s="869"/>
      <c r="E29" s="869"/>
      <c r="F29" s="905">
        <f>F7</f>
        <v>21.868000000000002</v>
      </c>
      <c r="G29" s="905">
        <f t="shared" ref="G29:I29" si="58">G7</f>
        <v>26.308400000000002</v>
      </c>
      <c r="H29" s="905">
        <f t="shared" si="58"/>
        <v>26.832000000000001</v>
      </c>
      <c r="I29" s="905">
        <f t="shared" si="58"/>
        <v>27.607600000000005</v>
      </c>
      <c r="J29" s="893">
        <f>SUM(F29:I29)</f>
        <v>102.616</v>
      </c>
      <c r="K29" s="949">
        <f>K7</f>
        <v>24.356800000000003</v>
      </c>
      <c r="L29" s="949">
        <f t="shared" ref="L29:N29" si="59">L7</f>
        <v>27.276799999999998</v>
      </c>
      <c r="M29" s="949">
        <f t="shared" si="59"/>
        <v>28.102800000000002</v>
      </c>
      <c r="N29" s="949">
        <f t="shared" si="59"/>
        <v>30.871200000000002</v>
      </c>
      <c r="O29" s="901">
        <f>SUM(K29:N29)</f>
        <v>110.60760000000001</v>
      </c>
      <c r="P29" s="949">
        <f>P7</f>
        <v>28.195999999999998</v>
      </c>
      <c r="Q29" s="949">
        <f t="shared" ref="Q29:R29" si="60">Q7</f>
        <v>32.813200000000002</v>
      </c>
      <c r="R29" s="949">
        <f t="shared" si="60"/>
        <v>31.881200000000003</v>
      </c>
      <c r="S29" s="949">
        <f>SUM(S23:S27)/0.85</f>
        <v>33.988235294117651</v>
      </c>
      <c r="T29" s="901">
        <f>SUM(P29:S29)</f>
        <v>126.87863529411766</v>
      </c>
      <c r="U29" s="949">
        <f>SUM(U23:U27)/0.85</f>
        <v>29.82352941176471</v>
      </c>
      <c r="V29" s="949">
        <f t="shared" ref="V29:X29" si="61">SUM(V23:V27)/0.85</f>
        <v>32.952941176470588</v>
      </c>
      <c r="W29" s="949">
        <f t="shared" si="61"/>
        <v>36.982352941176472</v>
      </c>
      <c r="X29" s="949">
        <f t="shared" si="61"/>
        <v>39.811764705882361</v>
      </c>
      <c r="Y29" s="901">
        <f>SUM(U29:X29)</f>
        <v>139.57058823529414</v>
      </c>
      <c r="Z29" s="949">
        <f>SUM(Z23:Z27)/0.85</f>
        <v>38.647058823529413</v>
      </c>
      <c r="AA29" s="949">
        <f t="shared" ref="AA29:AC29" si="62">SUM(AA23:AA27)/0.85</f>
        <v>39.835294117647059</v>
      </c>
      <c r="AB29" s="949">
        <f t="shared" si="62"/>
        <v>43.264705882352949</v>
      </c>
      <c r="AC29" s="949">
        <f t="shared" si="62"/>
        <v>48.335294117647059</v>
      </c>
      <c r="AD29" s="901">
        <f>SUM(Z29:AC29)</f>
        <v>170.08235294117648</v>
      </c>
      <c r="AE29" s="869"/>
      <c r="AF29" s="869"/>
      <c r="AG29" s="869"/>
      <c r="AH29" s="869"/>
    </row>
    <row r="30" spans="2:34">
      <c r="B30" s="869"/>
      <c r="C30" s="895"/>
      <c r="D30" s="869"/>
      <c r="E30" s="869"/>
      <c r="F30" s="905"/>
      <c r="G30" s="905"/>
      <c r="H30" s="905"/>
      <c r="I30" s="905"/>
      <c r="J30" s="891"/>
      <c r="K30" s="949"/>
      <c r="L30" s="949"/>
      <c r="M30" s="949"/>
      <c r="N30" s="949"/>
      <c r="O30" s="901"/>
      <c r="P30" s="949"/>
      <c r="Q30" s="949"/>
      <c r="R30" s="949"/>
      <c r="S30" s="949"/>
      <c r="T30" s="901"/>
      <c r="U30" s="949"/>
      <c r="V30" s="949"/>
      <c r="W30" s="949"/>
      <c r="X30" s="949"/>
      <c r="Y30" s="901"/>
      <c r="Z30" s="949"/>
      <c r="AA30" s="949"/>
      <c r="AB30" s="949"/>
      <c r="AC30" s="949"/>
      <c r="AD30" s="901"/>
      <c r="AE30" s="869"/>
      <c r="AF30" s="869"/>
      <c r="AG30" s="869"/>
      <c r="AH30" s="869"/>
    </row>
    <row r="31" spans="2:34">
      <c r="B31" s="890" t="s">
        <v>1095</v>
      </c>
      <c r="C31" s="895"/>
      <c r="D31" s="869"/>
      <c r="E31" s="869"/>
      <c r="F31" s="905"/>
      <c r="G31" s="905"/>
      <c r="H31" s="905"/>
      <c r="I31" s="905"/>
      <c r="J31" s="891"/>
      <c r="K31" s="949"/>
      <c r="L31" s="949"/>
      <c r="M31" s="949"/>
      <c r="N31" s="949"/>
      <c r="O31" s="901"/>
      <c r="P31" s="949"/>
      <c r="Q31" s="949"/>
      <c r="R31" s="949"/>
      <c r="S31" s="949"/>
      <c r="T31" s="901"/>
      <c r="U31" s="949"/>
      <c r="V31" s="949"/>
      <c r="W31" s="949"/>
      <c r="X31" s="949"/>
      <c r="Y31" s="901"/>
      <c r="Z31" s="949"/>
      <c r="AA31" s="949"/>
      <c r="AB31" s="949"/>
      <c r="AC31" s="949"/>
      <c r="AD31" s="901"/>
      <c r="AE31" s="869"/>
      <c r="AF31" s="869"/>
      <c r="AG31" s="869"/>
      <c r="AH31" s="869"/>
    </row>
    <row r="32" spans="2:34">
      <c r="B32" s="869" t="s">
        <v>1102</v>
      </c>
      <c r="C32" s="902">
        <v>8.5000000000000006E-2</v>
      </c>
      <c r="D32" s="869"/>
      <c r="E32" s="869"/>
      <c r="F32" s="905"/>
      <c r="G32" s="905"/>
      <c r="H32" s="905"/>
      <c r="I32" s="905"/>
      <c r="J32" s="891"/>
      <c r="K32" s="949">
        <f t="shared" ref="K32:N35" si="63">$C32*K17</f>
        <v>1.2750000000000001</v>
      </c>
      <c r="L32" s="949">
        <f t="shared" si="63"/>
        <v>1.2750000000000001</v>
      </c>
      <c r="M32" s="949">
        <f t="shared" si="63"/>
        <v>1.2750000000000001</v>
      </c>
      <c r="N32" s="949">
        <f t="shared" si="63"/>
        <v>1.2750000000000001</v>
      </c>
      <c r="O32" s="901">
        <f t="shared" ref="O32" si="64">SUM(K32:N32)</f>
        <v>5.1000000000000005</v>
      </c>
      <c r="P32" s="949">
        <f t="shared" ref="P32:S35" si="65">$C32*P17</f>
        <v>1.53</v>
      </c>
      <c r="Q32" s="949">
        <f t="shared" si="65"/>
        <v>1.53</v>
      </c>
      <c r="R32" s="949">
        <f t="shared" si="65"/>
        <v>1.53</v>
      </c>
      <c r="S32" s="949">
        <f t="shared" si="65"/>
        <v>1.53</v>
      </c>
      <c r="T32" s="901">
        <f t="shared" ref="T32" si="66">SUM(P32:S32)</f>
        <v>6.12</v>
      </c>
      <c r="U32" s="949">
        <f t="shared" ref="U32:X35" si="67">$C32*U17</f>
        <v>1.53</v>
      </c>
      <c r="V32" s="949">
        <f t="shared" si="67"/>
        <v>1.7850000000000001</v>
      </c>
      <c r="W32" s="949">
        <f t="shared" si="67"/>
        <v>2.04</v>
      </c>
      <c r="X32" s="949">
        <f t="shared" si="67"/>
        <v>2.2950000000000004</v>
      </c>
      <c r="Y32" s="901">
        <f t="shared" ref="Y32" si="68">SUM(U32:X32)</f>
        <v>7.65</v>
      </c>
      <c r="Z32" s="949">
        <f t="shared" ref="Z32:AC35" si="69">$C32*Z17</f>
        <v>2.5500000000000003</v>
      </c>
      <c r="AA32" s="949">
        <f t="shared" si="69"/>
        <v>2.5500000000000003</v>
      </c>
      <c r="AB32" s="949">
        <f t="shared" si="69"/>
        <v>2.8050000000000002</v>
      </c>
      <c r="AC32" s="949">
        <f t="shared" si="69"/>
        <v>3.06</v>
      </c>
      <c r="AD32" s="901">
        <f t="shared" ref="AD32:AD36" si="70">SUM(Z32:AC32)</f>
        <v>10.965000000000002</v>
      </c>
      <c r="AE32" s="869"/>
      <c r="AF32" s="869"/>
      <c r="AG32" s="945"/>
      <c r="AH32" s="869"/>
    </row>
    <row r="33" spans="2:33">
      <c r="B33" s="869" t="s">
        <v>1107</v>
      </c>
      <c r="C33" s="902">
        <v>8.5000000000000006E-2</v>
      </c>
      <c r="D33" s="869"/>
      <c r="E33" s="869"/>
      <c r="F33" s="905">
        <f>$C33*F17</f>
        <v>3.4000000000000004</v>
      </c>
      <c r="G33" s="905">
        <f>$C33*G17</f>
        <v>3.4000000000000004</v>
      </c>
      <c r="H33" s="905">
        <f>$C33*H17</f>
        <v>3.4850000000000003</v>
      </c>
      <c r="I33" s="905">
        <f>$C33*I17</f>
        <v>3.5700000000000003</v>
      </c>
      <c r="J33" s="893">
        <f>SUM(F33:I33)</f>
        <v>13.855</v>
      </c>
      <c r="K33" s="949">
        <f t="shared" si="63"/>
        <v>11.475000000000001</v>
      </c>
      <c r="L33" s="949">
        <f t="shared" si="63"/>
        <v>11.475000000000001</v>
      </c>
      <c r="M33" s="949">
        <f t="shared" si="63"/>
        <v>11.475000000000001</v>
      </c>
      <c r="N33" s="949">
        <f t="shared" si="63"/>
        <v>11.475000000000001</v>
      </c>
      <c r="O33" s="901">
        <f t="shared" ref="O33:O37" si="71">SUM(K33:N33)</f>
        <v>45.900000000000006</v>
      </c>
      <c r="P33" s="949">
        <f t="shared" si="65"/>
        <v>11.475000000000001</v>
      </c>
      <c r="Q33" s="949">
        <f t="shared" si="65"/>
        <v>11.475000000000001</v>
      </c>
      <c r="R33" s="949">
        <f t="shared" si="65"/>
        <v>11.475000000000001</v>
      </c>
      <c r="S33" s="949">
        <f t="shared" si="65"/>
        <v>13.005000000000001</v>
      </c>
      <c r="T33" s="901">
        <f t="shared" ref="T33:T37" si="72">SUM(P33:S33)</f>
        <v>47.430000000000007</v>
      </c>
      <c r="U33" s="949">
        <f t="shared" si="67"/>
        <v>13.515000000000001</v>
      </c>
      <c r="V33" s="949">
        <f t="shared" si="67"/>
        <v>14.025</v>
      </c>
      <c r="W33" s="949">
        <f t="shared" si="67"/>
        <v>15.045000000000002</v>
      </c>
      <c r="X33" s="949">
        <f t="shared" si="67"/>
        <v>15.555000000000001</v>
      </c>
      <c r="Y33" s="901">
        <f t="shared" ref="Y33:Y36" si="73">SUM(U33:X33)</f>
        <v>58.14</v>
      </c>
      <c r="Z33" s="949">
        <f t="shared" si="69"/>
        <v>15.81</v>
      </c>
      <c r="AA33" s="949">
        <f t="shared" si="69"/>
        <v>16.065000000000001</v>
      </c>
      <c r="AB33" s="949">
        <f t="shared" si="69"/>
        <v>16.32</v>
      </c>
      <c r="AC33" s="949">
        <f t="shared" si="69"/>
        <v>16.575000000000003</v>
      </c>
      <c r="AD33" s="901">
        <f t="shared" si="70"/>
        <v>64.77000000000001</v>
      </c>
      <c r="AE33" s="869"/>
      <c r="AF33" s="869"/>
      <c r="AG33" s="945"/>
    </row>
    <row r="34" spans="2:33">
      <c r="B34" s="869" t="s">
        <v>1104</v>
      </c>
      <c r="C34" s="902">
        <v>0.33</v>
      </c>
      <c r="D34" s="869"/>
      <c r="E34" s="869"/>
      <c r="F34" s="905"/>
      <c r="G34" s="905"/>
      <c r="H34" s="905"/>
      <c r="I34" s="905"/>
      <c r="J34" s="893"/>
      <c r="K34" s="949">
        <f t="shared" si="63"/>
        <v>1.98</v>
      </c>
      <c r="L34" s="949">
        <f t="shared" si="63"/>
        <v>1.98</v>
      </c>
      <c r="M34" s="949">
        <f t="shared" si="63"/>
        <v>1.98</v>
      </c>
      <c r="N34" s="949">
        <f t="shared" si="63"/>
        <v>1.98</v>
      </c>
      <c r="O34" s="901">
        <f t="shared" ref="O34" si="74">SUM(K34:N34)</f>
        <v>7.92</v>
      </c>
      <c r="P34" s="949">
        <f t="shared" si="65"/>
        <v>2.97</v>
      </c>
      <c r="Q34" s="949">
        <f t="shared" si="65"/>
        <v>2.97</v>
      </c>
      <c r="R34" s="949">
        <f t="shared" si="65"/>
        <v>2.97</v>
      </c>
      <c r="S34" s="949">
        <f t="shared" si="65"/>
        <v>2.97</v>
      </c>
      <c r="T34" s="901">
        <f t="shared" ref="T34" si="75">SUM(P34:S34)</f>
        <v>11.88</v>
      </c>
      <c r="U34" s="949">
        <f t="shared" si="67"/>
        <v>2.97</v>
      </c>
      <c r="V34" s="949">
        <f t="shared" si="67"/>
        <v>2.97</v>
      </c>
      <c r="W34" s="949">
        <f t="shared" si="67"/>
        <v>3.96</v>
      </c>
      <c r="X34" s="949">
        <f t="shared" si="67"/>
        <v>3.96</v>
      </c>
      <c r="Y34" s="901">
        <f t="shared" ref="Y34" si="76">SUM(U34:X34)</f>
        <v>13.86</v>
      </c>
      <c r="Z34" s="949">
        <f t="shared" si="69"/>
        <v>3.96</v>
      </c>
      <c r="AA34" s="949">
        <f t="shared" si="69"/>
        <v>3.96</v>
      </c>
      <c r="AB34" s="949">
        <f t="shared" si="69"/>
        <v>3.96</v>
      </c>
      <c r="AC34" s="949">
        <f t="shared" si="69"/>
        <v>3.96</v>
      </c>
      <c r="AD34" s="901">
        <f t="shared" si="70"/>
        <v>15.84</v>
      </c>
      <c r="AE34" s="869"/>
      <c r="AF34" s="869"/>
      <c r="AG34" s="945"/>
    </row>
    <row r="35" spans="2:33">
      <c r="B35" s="869" t="s">
        <v>1105</v>
      </c>
      <c r="C35" s="902">
        <v>0.32500000000000001</v>
      </c>
      <c r="D35" s="869"/>
      <c r="E35" s="869"/>
      <c r="F35" s="905"/>
      <c r="G35" s="905"/>
      <c r="H35" s="905"/>
      <c r="I35" s="905"/>
      <c r="J35" s="893">
        <f>SUM(F35:I35)</f>
        <v>0</v>
      </c>
      <c r="K35" s="949">
        <f t="shared" si="63"/>
        <v>3.9000000000000004</v>
      </c>
      <c r="L35" s="949">
        <f t="shared" si="63"/>
        <v>3.9000000000000004</v>
      </c>
      <c r="M35" s="949">
        <f t="shared" si="63"/>
        <v>3.9000000000000004</v>
      </c>
      <c r="N35" s="949">
        <f t="shared" si="63"/>
        <v>3.9000000000000004</v>
      </c>
      <c r="O35" s="901">
        <f t="shared" si="71"/>
        <v>15.600000000000001</v>
      </c>
      <c r="P35" s="949">
        <f t="shared" si="65"/>
        <v>4.875</v>
      </c>
      <c r="Q35" s="949">
        <f t="shared" si="65"/>
        <v>4.875</v>
      </c>
      <c r="R35" s="949">
        <f t="shared" si="65"/>
        <v>4.875</v>
      </c>
      <c r="S35" s="949">
        <f t="shared" si="65"/>
        <v>5.8500000000000005</v>
      </c>
      <c r="T35" s="901">
        <f t="shared" si="72"/>
        <v>20.475000000000001</v>
      </c>
      <c r="U35" s="949">
        <f t="shared" si="67"/>
        <v>5.8500000000000005</v>
      </c>
      <c r="V35" s="949">
        <f t="shared" si="67"/>
        <v>5.8500000000000005</v>
      </c>
      <c r="W35" s="949">
        <f t="shared" si="67"/>
        <v>5.8500000000000005</v>
      </c>
      <c r="X35" s="949">
        <f t="shared" si="67"/>
        <v>6.8250000000000002</v>
      </c>
      <c r="Y35" s="901">
        <f t="shared" si="73"/>
        <v>24.375</v>
      </c>
      <c r="Z35" s="949">
        <f t="shared" si="69"/>
        <v>6.8250000000000002</v>
      </c>
      <c r="AA35" s="949">
        <f t="shared" si="69"/>
        <v>6.8250000000000002</v>
      </c>
      <c r="AB35" s="949">
        <f t="shared" si="69"/>
        <v>7.8000000000000007</v>
      </c>
      <c r="AC35" s="949">
        <f t="shared" si="69"/>
        <v>8.7750000000000004</v>
      </c>
      <c r="AD35" s="901">
        <f t="shared" si="70"/>
        <v>30.225000000000001</v>
      </c>
      <c r="AE35" s="869"/>
      <c r="AF35" s="869"/>
      <c r="AG35" s="945"/>
    </row>
    <row r="36" spans="2:33">
      <c r="B36" s="869" t="s">
        <v>1106</v>
      </c>
      <c r="C36" s="902"/>
      <c r="D36" s="869"/>
      <c r="E36" s="869"/>
      <c r="F36" s="905"/>
      <c r="G36" s="905"/>
      <c r="H36" s="905"/>
      <c r="I36" s="905"/>
      <c r="J36" s="893">
        <f t="shared" ref="J36:J37" si="77">SUM(F36:I36)</f>
        <v>0</v>
      </c>
      <c r="K36" s="949">
        <f>K37-SUM(K32:K35)</f>
        <v>1.1599000000000004</v>
      </c>
      <c r="L36" s="949">
        <f t="shared" ref="L36:N36" si="78">L37-SUM(L32:L35)</f>
        <v>3.5323999999999955</v>
      </c>
      <c r="M36" s="949">
        <f t="shared" si="78"/>
        <v>4.2035249999999991</v>
      </c>
      <c r="N36" s="949">
        <f t="shared" si="78"/>
        <v>6.452849999999998</v>
      </c>
      <c r="O36" s="901">
        <f t="shared" si="71"/>
        <v>15.348674999999993</v>
      </c>
      <c r="P36" s="949">
        <f>P37-SUM(P32:P35)</f>
        <v>2.0592499999999987</v>
      </c>
      <c r="Q36" s="949">
        <f t="shared" ref="Q36" si="79">Q37-SUM(Q32:Q35)</f>
        <v>5.8107250000000015</v>
      </c>
      <c r="R36" s="949">
        <f t="shared" ref="R36" si="80">R37-SUM(R32:R35)</f>
        <v>5.0534749999999988</v>
      </c>
      <c r="S36" s="949">
        <f>S37-SUM(S32:S35)</f>
        <v>4.1214705882352938</v>
      </c>
      <c r="T36" s="901">
        <f t="shared" si="72"/>
        <v>17.044920588235293</v>
      </c>
      <c r="U36" s="949">
        <f>U37-SUM(U32:U35)</f>
        <v>4.2114705882352936</v>
      </c>
      <c r="V36" s="949">
        <f t="shared" ref="V36" si="81">V37-SUM(V32:V35)</f>
        <v>4.3464705882352952</v>
      </c>
      <c r="W36" s="949">
        <f t="shared" ref="W36" si="82">W37-SUM(W32:W35)</f>
        <v>4.7461764705882352</v>
      </c>
      <c r="X36" s="949">
        <f t="shared" ref="X36" si="83">X37-SUM(X32:X35)</f>
        <v>5.0532352941176448</v>
      </c>
      <c r="Y36" s="901">
        <f t="shared" si="73"/>
        <v>18.357352941176469</v>
      </c>
      <c r="Z36" s="949">
        <f>Z37-SUM(Z32:Z35)</f>
        <v>5.1432352941176482</v>
      </c>
      <c r="AA36" s="949">
        <f t="shared" ref="AA36" si="84">AA37-SUM(AA32:AA35)</f>
        <v>5.1882352941176499</v>
      </c>
      <c r="AB36" s="949">
        <f t="shared" ref="AB36" si="85">AB37-SUM(AB32:AB35)</f>
        <v>5.4502941176470578</v>
      </c>
      <c r="AC36" s="949">
        <f t="shared" ref="AC36" si="86">AC37-SUM(AC32:AC35)</f>
        <v>5.7123529411764693</v>
      </c>
      <c r="AD36" s="901">
        <f t="shared" si="70"/>
        <v>21.494117647058825</v>
      </c>
      <c r="AE36" s="869"/>
      <c r="AF36" s="869"/>
      <c r="AG36" s="945"/>
    </row>
    <row r="37" spans="2:33">
      <c r="B37" s="869" t="s">
        <v>394</v>
      </c>
      <c r="C37" s="895"/>
      <c r="D37" s="869"/>
      <c r="E37" s="869"/>
      <c r="F37" s="905">
        <f>F8</f>
        <v>17.767749999999999</v>
      </c>
      <c r="G37" s="905">
        <f t="shared" ref="G37:I37" si="87">G8</f>
        <v>21.375575000000001</v>
      </c>
      <c r="H37" s="905">
        <f t="shared" si="87"/>
        <v>21.801000000000002</v>
      </c>
      <c r="I37" s="905">
        <f t="shared" si="87"/>
        <v>22.431175000000003</v>
      </c>
      <c r="J37" s="893">
        <f t="shared" si="77"/>
        <v>83.375500000000017</v>
      </c>
      <c r="K37" s="949">
        <f>K8</f>
        <v>19.789900000000003</v>
      </c>
      <c r="L37" s="949">
        <f t="shared" ref="L37:N37" si="88">L8</f>
        <v>22.162399999999998</v>
      </c>
      <c r="M37" s="949">
        <f t="shared" si="88"/>
        <v>22.833525000000002</v>
      </c>
      <c r="N37" s="949">
        <f t="shared" si="88"/>
        <v>25.082850000000001</v>
      </c>
      <c r="O37" s="901">
        <f t="shared" si="71"/>
        <v>89.868674999999996</v>
      </c>
      <c r="P37" s="949">
        <f>P8</f>
        <v>22.90925</v>
      </c>
      <c r="Q37" s="949">
        <f t="shared" ref="Q37:R37" si="89">Q8</f>
        <v>26.660725000000003</v>
      </c>
      <c r="R37" s="949">
        <f t="shared" si="89"/>
        <v>25.903475</v>
      </c>
      <c r="S37" s="949">
        <f>SUM(S32:S35)/0.85</f>
        <v>27.476470588235294</v>
      </c>
      <c r="T37" s="901">
        <f t="shared" si="72"/>
        <v>102.9499205882353</v>
      </c>
      <c r="U37" s="949">
        <f>SUM(U32:U35)/0.85</f>
        <v>28.076470588235296</v>
      </c>
      <c r="V37" s="949">
        <f t="shared" ref="V37:X37" si="90">SUM(V32:V35)/0.85</f>
        <v>28.976470588235298</v>
      </c>
      <c r="W37" s="949">
        <f t="shared" si="90"/>
        <v>31.641176470588238</v>
      </c>
      <c r="X37" s="949">
        <f t="shared" si="90"/>
        <v>33.688235294117646</v>
      </c>
      <c r="Y37" s="901">
        <f>SUM(U37:X37)</f>
        <v>122.38235294117648</v>
      </c>
      <c r="Z37" s="949">
        <f>SUM(Z32:Z35)/0.85</f>
        <v>34.288235294117648</v>
      </c>
      <c r="AA37" s="949">
        <f t="shared" ref="AA37:AC37" si="91">SUM(AA32:AA35)/0.85</f>
        <v>34.588235294117652</v>
      </c>
      <c r="AB37" s="949">
        <f t="shared" si="91"/>
        <v>36.335294117647059</v>
      </c>
      <c r="AC37" s="949">
        <f t="shared" si="91"/>
        <v>38.082352941176474</v>
      </c>
      <c r="AD37" s="901">
        <f>SUM(Z37:AC37)</f>
        <v>143.29411764705884</v>
      </c>
      <c r="AE37" s="869"/>
      <c r="AF37" s="869"/>
      <c r="AG37" s="945"/>
    </row>
    <row r="38" spans="2:33">
      <c r="B38" s="869"/>
      <c r="C38" s="895"/>
      <c r="D38" s="869"/>
      <c r="E38" s="869"/>
      <c r="F38" s="905"/>
      <c r="G38" s="905"/>
      <c r="H38" s="905"/>
      <c r="I38" s="905"/>
      <c r="J38" s="891"/>
      <c r="K38" s="949"/>
      <c r="L38" s="949"/>
      <c r="M38" s="949"/>
      <c r="N38" s="949"/>
      <c r="O38" s="901"/>
      <c r="P38" s="949"/>
      <c r="Q38" s="949"/>
      <c r="R38" s="949"/>
      <c r="S38" s="949"/>
      <c r="T38" s="901"/>
      <c r="U38" s="949"/>
      <c r="V38" s="949"/>
      <c r="W38" s="949"/>
      <c r="X38" s="949"/>
      <c r="Y38" s="901"/>
      <c r="Z38" s="949"/>
      <c r="AA38" s="949"/>
      <c r="AB38" s="949"/>
      <c r="AC38" s="949"/>
      <c r="AD38" s="901"/>
      <c r="AE38" s="869"/>
      <c r="AF38" s="869"/>
      <c r="AG38" s="945"/>
    </row>
    <row r="39" spans="2:33">
      <c r="B39" s="890" t="s">
        <v>1108</v>
      </c>
      <c r="C39" s="895"/>
      <c r="D39" s="869"/>
      <c r="E39" s="869"/>
      <c r="F39" s="905"/>
      <c r="G39" s="905"/>
      <c r="H39" s="905"/>
      <c r="I39" s="905"/>
      <c r="J39" s="891"/>
      <c r="K39" s="949"/>
      <c r="L39" s="949"/>
      <c r="M39" s="949"/>
      <c r="N39" s="949"/>
      <c r="O39" s="901"/>
      <c r="P39" s="949"/>
      <c r="Q39" s="949"/>
      <c r="R39" s="949"/>
      <c r="S39" s="949"/>
      <c r="T39" s="901"/>
      <c r="U39" s="949"/>
      <c r="V39" s="949"/>
      <c r="W39" s="949"/>
      <c r="X39" s="949"/>
      <c r="Y39" s="901"/>
      <c r="Z39" s="949"/>
      <c r="AA39" s="949"/>
      <c r="AB39" s="949"/>
      <c r="AC39" s="949"/>
      <c r="AD39" s="901"/>
      <c r="AE39" s="869"/>
      <c r="AF39" s="869"/>
      <c r="AG39" s="951"/>
    </row>
    <row r="40" spans="2:33">
      <c r="B40" s="869" t="s">
        <v>1109</v>
      </c>
      <c r="C40" s="895"/>
      <c r="D40" s="869"/>
      <c r="E40" s="869"/>
      <c r="F40" s="905"/>
      <c r="G40" s="905"/>
      <c r="H40" s="905"/>
      <c r="I40" s="905"/>
      <c r="J40" s="891"/>
      <c r="K40" s="949">
        <f>K42-K41</f>
        <v>35.317360000000008</v>
      </c>
      <c r="L40" s="949">
        <f>L42-L41</f>
        <v>39.551360000000003</v>
      </c>
      <c r="M40" s="949">
        <f>M42-M41</f>
        <v>40.74906</v>
      </c>
      <c r="N40" s="949">
        <f>N42-N41</f>
        <v>44.763240000000003</v>
      </c>
      <c r="O40" s="901">
        <f t="shared" ref="O40:O41" si="92">SUM(K40:N40)</f>
        <v>160.38102000000001</v>
      </c>
      <c r="P40" s="949">
        <f>P42-P41</f>
        <v>43.439462499999998</v>
      </c>
      <c r="Q40" s="949">
        <f>Q42-Q41</f>
        <v>50.552836250000006</v>
      </c>
      <c r="R40" s="949">
        <f>R42-R41</f>
        <v>49.116973750000007</v>
      </c>
      <c r="S40" s="949">
        <f>S42-S41</f>
        <v>52.245000000000005</v>
      </c>
      <c r="T40" s="901">
        <f t="shared" ref="T40:T41" si="93">SUM(P40:S40)</f>
        <v>195.35427250000001</v>
      </c>
      <c r="U40" s="949">
        <f>SUM(U33:U35,U23:U27)</f>
        <v>47.685000000000002</v>
      </c>
      <c r="V40" s="949">
        <f>SUM(V33:V35,V23:V27)</f>
        <v>50.855000000000004</v>
      </c>
      <c r="W40" s="949">
        <f>SUM(W33:W35,W23:W27)</f>
        <v>56.290000000000006</v>
      </c>
      <c r="X40" s="949">
        <f>SUM(X33:X35,X23:X27)</f>
        <v>60.180000000000007</v>
      </c>
      <c r="Y40" s="901">
        <f t="shared" ref="Y40:Y41" si="94">SUM(U40:X40)</f>
        <v>215.01000000000002</v>
      </c>
      <c r="Z40" s="949">
        <f>SUM(Z33:Z35,Z23:Z27)</f>
        <v>59.445000000000007</v>
      </c>
      <c r="AA40" s="949">
        <f>SUM(AA33:AA35,AA23:AA27)</f>
        <v>60.710000000000008</v>
      </c>
      <c r="AB40" s="949">
        <f>SUM(AB33:AB35,AB23:AB27)</f>
        <v>64.855000000000018</v>
      </c>
      <c r="AC40" s="949">
        <f>SUM(AC33:AC35,AC23:AC27)</f>
        <v>70.39500000000001</v>
      </c>
      <c r="AD40" s="901">
        <f t="shared" ref="AD40:AD41" si="95">SUM(Z40:AC40)</f>
        <v>255.40500000000006</v>
      </c>
      <c r="AE40" s="869"/>
      <c r="AF40" s="869"/>
      <c r="AG40" s="869"/>
    </row>
    <row r="41" spans="2:33">
      <c r="B41" s="869" t="s">
        <v>1106</v>
      </c>
      <c r="C41" s="895"/>
      <c r="D41" s="869"/>
      <c r="E41" s="869"/>
      <c r="F41" s="905"/>
      <c r="G41" s="905"/>
      <c r="H41" s="905"/>
      <c r="I41" s="905"/>
      <c r="J41" s="891"/>
      <c r="K41" s="949">
        <f>0.2*K42</f>
        <v>8.829340000000002</v>
      </c>
      <c r="L41" s="949">
        <f>0.2*L42</f>
        <v>9.8878400000000006</v>
      </c>
      <c r="M41" s="949">
        <f>0.2*M42</f>
        <v>10.187265000000002</v>
      </c>
      <c r="N41" s="949">
        <f>0.2*N42</f>
        <v>11.190810000000001</v>
      </c>
      <c r="O41" s="901">
        <f t="shared" si="92"/>
        <v>40.095255000000002</v>
      </c>
      <c r="P41" s="949">
        <f>0.15*P42</f>
        <v>7.6657874999999995</v>
      </c>
      <c r="Q41" s="949">
        <f>0.15*Q42</f>
        <v>8.9210887500000009</v>
      </c>
      <c r="R41" s="949">
        <f>0.15*R42</f>
        <v>8.6677012500000004</v>
      </c>
      <c r="S41" s="949">
        <f>0.15*S42</f>
        <v>9.2197058823529421</v>
      </c>
      <c r="T41" s="901">
        <f t="shared" si="93"/>
        <v>34.474283382352944</v>
      </c>
      <c r="U41" s="949">
        <f>U28+U36</f>
        <v>8.6850000000000023</v>
      </c>
      <c r="V41" s="949">
        <f>V28+V36</f>
        <v>9.2894117647058856</v>
      </c>
      <c r="W41" s="949">
        <f>W28+W36</f>
        <v>10.293529411764705</v>
      </c>
      <c r="X41" s="949">
        <f>X28+X36</f>
        <v>11.025000000000002</v>
      </c>
      <c r="Y41" s="901">
        <f t="shared" si="94"/>
        <v>39.292941176470592</v>
      </c>
      <c r="Z41" s="949">
        <f>Z28+Z36</f>
        <v>10.94029411764706</v>
      </c>
      <c r="AA41" s="949">
        <f>AA28+AA36</f>
        <v>11.16352941176471</v>
      </c>
      <c r="AB41" s="949">
        <f>AB28+AB36</f>
        <v>11.940000000000001</v>
      </c>
      <c r="AC41" s="949">
        <f>AC28+AC36</f>
        <v>12.962647058823528</v>
      </c>
      <c r="AD41" s="901">
        <f t="shared" si="95"/>
        <v>47.006470588235295</v>
      </c>
      <c r="AE41" s="869"/>
      <c r="AF41" s="869"/>
      <c r="AG41" s="869"/>
    </row>
    <row r="42" spans="2:33">
      <c r="B42" s="869" t="s">
        <v>394</v>
      </c>
      <c r="C42" s="895"/>
      <c r="D42" s="869"/>
      <c r="E42" s="869"/>
      <c r="F42" s="905"/>
      <c r="G42" s="905"/>
      <c r="H42" s="905"/>
      <c r="I42" s="905"/>
      <c r="J42" s="891"/>
      <c r="K42" s="949">
        <f>K37+K29</f>
        <v>44.14670000000001</v>
      </c>
      <c r="L42" s="949">
        <f>L37+L29</f>
        <v>49.4392</v>
      </c>
      <c r="M42" s="949">
        <f>M37+M29</f>
        <v>50.936325000000004</v>
      </c>
      <c r="N42" s="949">
        <f>N37+N29</f>
        <v>55.954050000000002</v>
      </c>
      <c r="O42" s="901">
        <f>SUM(K42:N42)</f>
        <v>200.47627500000002</v>
      </c>
      <c r="P42" s="949">
        <f>P37+P29</f>
        <v>51.105249999999998</v>
      </c>
      <c r="Q42" s="949">
        <f>Q37+Q29</f>
        <v>59.473925000000008</v>
      </c>
      <c r="R42" s="949">
        <f>R37+R29</f>
        <v>57.784675000000007</v>
      </c>
      <c r="S42" s="949">
        <f>S37+S29</f>
        <v>61.464705882352945</v>
      </c>
      <c r="T42" s="901">
        <f>SUM(P42:S42)</f>
        <v>229.82855588235296</v>
      </c>
      <c r="U42" s="949">
        <f>SUM(U40:U41)</f>
        <v>56.370000000000005</v>
      </c>
      <c r="V42" s="949">
        <f t="shared" ref="V42:X42" si="96">SUM(V40:V41)</f>
        <v>60.144411764705893</v>
      </c>
      <c r="W42" s="949">
        <f t="shared" si="96"/>
        <v>66.583529411764715</v>
      </c>
      <c r="X42" s="949">
        <f t="shared" si="96"/>
        <v>71.205000000000013</v>
      </c>
      <c r="Y42" s="901">
        <f>SUM(U42:X42)</f>
        <v>254.30294117647063</v>
      </c>
      <c r="Z42" s="949">
        <f>SUM(Z40:Z41)</f>
        <v>70.385294117647064</v>
      </c>
      <c r="AA42" s="949">
        <f t="shared" ref="AA42" si="97">SUM(AA40:AA41)</f>
        <v>71.873529411764721</v>
      </c>
      <c r="AB42" s="949">
        <f t="shared" ref="AB42" si="98">SUM(AB40:AB41)</f>
        <v>76.795000000000016</v>
      </c>
      <c r="AC42" s="949">
        <f t="shared" ref="AC42" si="99">SUM(AC40:AC41)</f>
        <v>83.357647058823545</v>
      </c>
      <c r="AD42" s="901">
        <f>SUM(Z42:AC42)</f>
        <v>302.41147058823537</v>
      </c>
      <c r="AE42" s="869"/>
      <c r="AF42" s="869"/>
      <c r="AG42" s="869"/>
    </row>
    <row r="43" spans="2:33">
      <c r="B43" s="869"/>
      <c r="C43" s="895"/>
      <c r="D43" s="869"/>
      <c r="E43" s="869"/>
      <c r="F43" s="905"/>
      <c r="G43" s="905"/>
      <c r="H43" s="905"/>
      <c r="I43" s="905"/>
      <c r="J43" s="891"/>
      <c r="K43" s="949"/>
      <c r="L43" s="949"/>
      <c r="M43" s="949"/>
      <c r="N43" s="949"/>
      <c r="O43" s="901"/>
      <c r="P43" s="949"/>
      <c r="Q43" s="949"/>
      <c r="R43" s="949"/>
      <c r="S43" s="949"/>
      <c r="T43" s="901"/>
      <c r="U43" s="949"/>
      <c r="V43" s="949"/>
      <c r="W43" s="949"/>
      <c r="X43" s="949"/>
      <c r="Y43" s="901"/>
      <c r="Z43" s="949"/>
      <c r="AA43" s="949"/>
      <c r="AB43" s="949"/>
      <c r="AC43" s="949"/>
      <c r="AD43" s="901"/>
      <c r="AE43" s="869"/>
      <c r="AF43" s="869"/>
      <c r="AG43" s="869"/>
    </row>
    <row r="44" spans="2:33">
      <c r="B44" s="890" t="s">
        <v>1110</v>
      </c>
      <c r="C44" s="895"/>
      <c r="D44" s="869"/>
      <c r="E44" s="869"/>
      <c r="F44" s="905"/>
      <c r="G44" s="905"/>
      <c r="H44" s="905"/>
      <c r="I44" s="905"/>
      <c r="J44" s="891"/>
      <c r="K44" s="949"/>
      <c r="L44" s="949"/>
      <c r="M44" s="949"/>
      <c r="N44" s="949"/>
      <c r="O44" s="901"/>
      <c r="P44" s="949"/>
      <c r="Q44" s="949"/>
      <c r="R44" s="949"/>
      <c r="S44" s="949"/>
      <c r="T44" s="901"/>
      <c r="U44" s="949"/>
      <c r="V44" s="949"/>
      <c r="W44" s="949"/>
      <c r="X44" s="949"/>
      <c r="Y44" s="901"/>
      <c r="Z44" s="949"/>
      <c r="AA44" s="949"/>
      <c r="AB44" s="949"/>
      <c r="AC44" s="949"/>
      <c r="AD44" s="901"/>
      <c r="AE44" s="869"/>
      <c r="AF44" s="869"/>
      <c r="AG44" s="869"/>
    </row>
    <row r="45" spans="2:33">
      <c r="B45" s="869" t="s">
        <v>1109</v>
      </c>
      <c r="C45" s="895"/>
      <c r="D45" s="869"/>
      <c r="E45" s="869"/>
      <c r="F45" s="905"/>
      <c r="G45" s="905"/>
      <c r="H45" s="905"/>
      <c r="I45" s="905"/>
      <c r="J45" s="891"/>
      <c r="K45" s="949">
        <f>K47*0.85</f>
        <v>14.233504999999997</v>
      </c>
      <c r="L45" s="949">
        <f>L47*0.85</f>
        <v>15.939879999999993</v>
      </c>
      <c r="M45" s="949">
        <f>M47*0.85</f>
        <v>16.422573749999994</v>
      </c>
      <c r="N45" s="949">
        <f>N47*0.85</f>
        <v>18.040357499999992</v>
      </c>
      <c r="O45" s="901">
        <f>SUM(K45:N45)</f>
        <v>64.636316249999965</v>
      </c>
      <c r="P45" s="949">
        <f>P47*0.85</f>
        <v>16.477037499999994</v>
      </c>
      <c r="Q45" s="949">
        <f>Q47*0.85</f>
        <v>19.175213749999994</v>
      </c>
      <c r="R45" s="949">
        <f>R47*0.85</f>
        <v>18.630576249999994</v>
      </c>
      <c r="S45" s="949">
        <f>S47*0.85</f>
        <v>21.674001249999993</v>
      </c>
      <c r="T45" s="901">
        <f>SUM(P45:S45)</f>
        <v>75.956828749999971</v>
      </c>
      <c r="U45" s="949">
        <f>U47*0.85</f>
        <v>18.667758620689661</v>
      </c>
      <c r="V45" s="949">
        <f>V47*0.85</f>
        <v>19.966896551724137</v>
      </c>
      <c r="W45" s="949">
        <f>W47*0.85</f>
        <v>22.125172413793109</v>
      </c>
      <c r="X45" s="949">
        <f>X47*0.85</f>
        <v>23.697413793103447</v>
      </c>
      <c r="Y45" s="901">
        <f>SUM(U45:X45)</f>
        <v>84.457241379310361</v>
      </c>
      <c r="Z45" s="949">
        <f>Z47*0.85</f>
        <v>23.515344827586208</v>
      </c>
      <c r="AA45" s="949">
        <f>AA47*0.85</f>
        <v>23.99517241379311</v>
      </c>
      <c r="AB45" s="949">
        <f>AB47*0.85</f>
        <v>25.664137931034482</v>
      </c>
      <c r="AC45" s="949">
        <f>AC47*0.85</f>
        <v>27.862241379310348</v>
      </c>
      <c r="AD45" s="901">
        <f>SUM(Z45:AC45)</f>
        <v>101.03689655172414</v>
      </c>
      <c r="AE45" s="869"/>
      <c r="AF45" s="869"/>
      <c r="AG45" s="869"/>
    </row>
    <row r="46" spans="2:33">
      <c r="B46" s="869" t="s">
        <v>1106</v>
      </c>
      <c r="C46" s="895"/>
      <c r="D46" s="869"/>
      <c r="E46" s="869"/>
      <c r="F46" s="905"/>
      <c r="G46" s="905"/>
      <c r="H46" s="905"/>
      <c r="I46" s="905"/>
      <c r="J46" s="891"/>
      <c r="K46" s="949">
        <f>K47*0.15</f>
        <v>2.5117949999999993</v>
      </c>
      <c r="L46" s="949">
        <f>L47*0.15</f>
        <v>2.8129199999999988</v>
      </c>
      <c r="M46" s="949">
        <f>M47*0.15</f>
        <v>2.898101249999999</v>
      </c>
      <c r="N46" s="949">
        <f>N47*0.15</f>
        <v>3.1835924999999987</v>
      </c>
      <c r="O46" s="901">
        <f>SUM(K46:N46)</f>
        <v>11.406408749999997</v>
      </c>
      <c r="P46" s="949">
        <f>P47*0.15</f>
        <v>2.9077124999999988</v>
      </c>
      <c r="Q46" s="949">
        <f>Q47*0.15</f>
        <v>3.3838612499999989</v>
      </c>
      <c r="R46" s="949">
        <f>R47*0.15</f>
        <v>3.2877487499999987</v>
      </c>
      <c r="S46" s="949">
        <f>S47*0.15</f>
        <v>3.8248237499999989</v>
      </c>
      <c r="T46" s="901">
        <f>SUM(P46:S46)</f>
        <v>13.404146249999995</v>
      </c>
      <c r="U46" s="949">
        <f>U47*0.15</f>
        <v>3.2943103448275868</v>
      </c>
      <c r="V46" s="949">
        <f>V47*0.15</f>
        <v>3.5235699797160245</v>
      </c>
      <c r="W46" s="949">
        <f>W47*0.15</f>
        <v>3.9044421906693718</v>
      </c>
      <c r="X46" s="949">
        <f>X47*0.15</f>
        <v>4.1818965517241375</v>
      </c>
      <c r="Y46" s="901">
        <f>SUM(U46:X46)</f>
        <v>14.90421906693712</v>
      </c>
      <c r="Z46" s="949">
        <f>Z47*0.15</f>
        <v>4.1497667342799192</v>
      </c>
      <c r="AA46" s="949">
        <f>AA47*0.15</f>
        <v>4.2344421906693723</v>
      </c>
      <c r="AB46" s="949">
        <f>AB47*0.15</f>
        <v>4.528965517241379</v>
      </c>
      <c r="AC46" s="949">
        <f>AC47*0.15</f>
        <v>4.9168661257606496</v>
      </c>
      <c r="AD46" s="901">
        <f>SUM(Z46:AC46)</f>
        <v>17.830040567951318</v>
      </c>
      <c r="AE46" s="869"/>
      <c r="AF46" s="869"/>
      <c r="AG46" s="869"/>
    </row>
    <row r="47" spans="2:33">
      <c r="B47" s="869" t="s">
        <v>394</v>
      </c>
      <c r="C47" s="895"/>
      <c r="D47" s="869"/>
      <c r="E47" s="869"/>
      <c r="F47" s="905"/>
      <c r="G47" s="905"/>
      <c r="H47" s="905"/>
      <c r="I47" s="905"/>
      <c r="J47" s="891"/>
      <c r="K47" s="949">
        <f>K9</f>
        <v>16.745299999999997</v>
      </c>
      <c r="L47" s="949">
        <f>L9</f>
        <v>18.752799999999993</v>
      </c>
      <c r="M47" s="949">
        <f>M9</f>
        <v>19.320674999999994</v>
      </c>
      <c r="N47" s="949">
        <f>N9</f>
        <v>21.223949999999991</v>
      </c>
      <c r="O47" s="901">
        <f>SUM(K47:N47)</f>
        <v>76.042724999999976</v>
      </c>
      <c r="P47" s="949">
        <f>P9</f>
        <v>19.384749999999993</v>
      </c>
      <c r="Q47" s="949">
        <f>Q9</f>
        <v>22.559074999999993</v>
      </c>
      <c r="R47" s="949">
        <f>R9</f>
        <v>21.918324999999992</v>
      </c>
      <c r="S47" s="949">
        <f>S9</f>
        <v>25.498824999999993</v>
      </c>
      <c r="T47" s="901">
        <f>SUM(P47:S47)</f>
        <v>89.360974999999982</v>
      </c>
      <c r="U47" s="949">
        <f>U9</f>
        <v>21.962068965517247</v>
      </c>
      <c r="V47" s="949">
        <f>V9</f>
        <v>23.490466531440163</v>
      </c>
      <c r="W47" s="949">
        <f>W9</f>
        <v>26.029614604462481</v>
      </c>
      <c r="X47" s="949">
        <f>X9</f>
        <v>27.879310344827587</v>
      </c>
      <c r="Y47" s="901">
        <f>SUM(U47:X47)</f>
        <v>99.361460446247477</v>
      </c>
      <c r="Z47" s="949">
        <f>Z9</f>
        <v>27.665111561866127</v>
      </c>
      <c r="AA47" s="949">
        <f>AA9</f>
        <v>28.229614604462483</v>
      </c>
      <c r="AB47" s="949">
        <f>AB9</f>
        <v>30.193103448275863</v>
      </c>
      <c r="AC47" s="949">
        <f>AC9</f>
        <v>32.779107505070996</v>
      </c>
      <c r="AD47" s="901">
        <f>SUM(Z47:AC47)</f>
        <v>118.86693711967547</v>
      </c>
      <c r="AE47" s="869"/>
      <c r="AF47" s="869"/>
      <c r="AG47" s="869"/>
    </row>
    <row r="48" spans="2:33">
      <c r="B48" s="869"/>
      <c r="C48" s="895"/>
      <c r="D48" s="869"/>
      <c r="E48" s="869"/>
      <c r="F48" s="905"/>
      <c r="G48" s="905"/>
      <c r="H48" s="905"/>
      <c r="I48" s="905"/>
      <c r="J48" s="891"/>
      <c r="K48" s="905"/>
      <c r="L48" s="905"/>
      <c r="M48" s="905"/>
      <c r="N48" s="905"/>
      <c r="O48" s="891"/>
      <c r="P48" s="905"/>
      <c r="Q48" s="905"/>
      <c r="R48" s="905"/>
      <c r="S48" s="905"/>
      <c r="T48" s="891"/>
      <c r="U48" s="869"/>
      <c r="V48" s="869"/>
      <c r="W48" s="869"/>
      <c r="X48" s="869"/>
      <c r="Y48" s="891"/>
      <c r="Z48" s="869"/>
      <c r="AA48" s="869"/>
      <c r="AB48" s="869"/>
      <c r="AC48" s="869"/>
      <c r="AD48" s="891"/>
      <c r="AE48" s="869"/>
      <c r="AF48" s="869"/>
      <c r="AG48" s="869"/>
    </row>
    <row r="49" spans="2:30">
      <c r="B49" s="869"/>
      <c r="C49" s="869"/>
      <c r="D49" s="869"/>
      <c r="E49" s="869"/>
      <c r="F49" s="869"/>
      <c r="G49" s="869"/>
      <c r="H49" s="869"/>
      <c r="I49" s="869"/>
      <c r="J49" s="891"/>
      <c r="K49" s="869"/>
      <c r="L49" s="869"/>
      <c r="M49" s="869"/>
      <c r="N49" s="869"/>
      <c r="O49" s="891"/>
      <c r="P49" s="869"/>
      <c r="Q49" s="869"/>
      <c r="R49" s="869"/>
      <c r="S49" s="869"/>
      <c r="T49" s="891"/>
      <c r="U49" s="869"/>
      <c r="V49" s="869"/>
      <c r="W49" s="869"/>
      <c r="X49" s="869"/>
      <c r="Y49" s="891"/>
      <c r="Z49" s="869"/>
      <c r="AA49" s="869"/>
      <c r="AB49" s="869"/>
      <c r="AC49" s="869"/>
      <c r="AD49" s="891"/>
    </row>
    <row r="50" spans="2:30">
      <c r="B50" s="869"/>
      <c r="C50" s="869"/>
      <c r="D50" s="869"/>
      <c r="E50" s="869"/>
      <c r="F50" s="869"/>
      <c r="G50" s="869"/>
      <c r="H50" s="869"/>
      <c r="I50" s="869"/>
      <c r="J50" s="891"/>
      <c r="K50" s="869"/>
      <c r="L50" s="869"/>
      <c r="M50" s="869"/>
      <c r="N50" s="869"/>
      <c r="O50" s="891"/>
      <c r="P50" s="869"/>
      <c r="Q50" s="869"/>
      <c r="R50" s="869"/>
      <c r="S50" s="869"/>
      <c r="T50" s="891"/>
      <c r="U50" s="869"/>
      <c r="V50" s="869"/>
      <c r="W50" s="869"/>
      <c r="X50" s="869"/>
      <c r="Y50" s="891"/>
      <c r="Z50" s="869"/>
      <c r="AA50" s="869"/>
      <c r="AB50" s="869"/>
      <c r="AC50" s="869"/>
      <c r="AD50" s="891"/>
    </row>
    <row r="51" spans="2:30">
      <c r="B51" s="869" t="s">
        <v>1111</v>
      </c>
      <c r="C51" s="869"/>
      <c r="D51" s="869"/>
      <c r="E51" s="869"/>
      <c r="F51" s="892">
        <v>2483</v>
      </c>
      <c r="G51" s="892">
        <v>2536</v>
      </c>
      <c r="H51" s="892">
        <v>2637</v>
      </c>
      <c r="I51" s="892">
        <v>2870</v>
      </c>
      <c r="J51" s="894">
        <f>SUM(F51:I51)</f>
        <v>10526</v>
      </c>
      <c r="K51" s="892">
        <v>2651</v>
      </c>
      <c r="L51" s="892">
        <v>2651</v>
      </c>
      <c r="M51" s="892">
        <v>2769</v>
      </c>
      <c r="N51" s="892">
        <v>2969</v>
      </c>
      <c r="O51" s="894">
        <f>SUM(K51:N51)</f>
        <v>11040</v>
      </c>
      <c r="P51" s="892">
        <v>2992</v>
      </c>
      <c r="Q51" s="892">
        <v>3059</v>
      </c>
      <c r="R51" s="892">
        <v>3002</v>
      </c>
      <c r="S51" s="892">
        <v>3408</v>
      </c>
      <c r="T51" s="894">
        <f>SUM(P51:S51)</f>
        <v>12461</v>
      </c>
      <c r="U51" s="892">
        <f>[49]GD_Drivers!BE$59</f>
        <v>3021.92</v>
      </c>
      <c r="V51" s="892">
        <f>[49]GD_Drivers!BF$59</f>
        <v>3089.59</v>
      </c>
      <c r="W51" s="892">
        <f>[49]GD_Drivers!BG$59</f>
        <v>3122.08</v>
      </c>
      <c r="X51" s="892">
        <f>[49]GD_Drivers!BH$59</f>
        <v>3578.4</v>
      </c>
      <c r="Y51" s="893">
        <f>SUM(U51:X51)</f>
        <v>12811.99</v>
      </c>
      <c r="Z51" s="892">
        <f>[49]GD_Drivers!BJ$59</f>
        <v>3233.4544000000001</v>
      </c>
      <c r="AA51" s="892">
        <f>[49]GD_Drivers!BK$59</f>
        <v>3305.8613000000005</v>
      </c>
      <c r="AB51" s="892">
        <f>[49]GD_Drivers!BL$59</f>
        <v>3340.6256000000003</v>
      </c>
      <c r="AC51" s="892">
        <f>[49]GD_Drivers!BM$59</f>
        <v>3828.8880000000004</v>
      </c>
      <c r="AD51" s="893">
        <f>SUM(Z51:AC51)</f>
        <v>13708.829300000003</v>
      </c>
    </row>
    <row r="52" spans="2:30">
      <c r="B52" s="869" t="s">
        <v>183</v>
      </c>
      <c r="C52" s="869"/>
      <c r="D52" s="869"/>
      <c r="E52" s="869"/>
      <c r="F52" s="869"/>
      <c r="G52" s="869"/>
      <c r="H52" s="869"/>
      <c r="I52" s="869"/>
      <c r="J52" s="891"/>
      <c r="K52" s="895">
        <f t="shared" ref="K52" si="100">K51/F51-1</f>
        <v>6.7660088602496948E-2</v>
      </c>
      <c r="L52" s="895">
        <f t="shared" ref="L52" si="101">L51/G51-1</f>
        <v>4.5347003154574184E-2</v>
      </c>
      <c r="M52" s="895">
        <f t="shared" ref="M52" si="102">M51/H51-1</f>
        <v>5.0056882821387871E-2</v>
      </c>
      <c r="N52" s="895">
        <f>N51/I51-1</f>
        <v>3.4494773519163857E-2</v>
      </c>
      <c r="O52" s="896">
        <f>O51/J51-1</f>
        <v>4.88314649439483E-2</v>
      </c>
      <c r="P52" s="895">
        <f t="shared" ref="P52" si="103">P51/K51-1</f>
        <v>0.12863070539419086</v>
      </c>
      <c r="Q52" s="895">
        <f t="shared" ref="Q52" si="104">Q51/L51-1</f>
        <v>0.15390418709920795</v>
      </c>
      <c r="R52" s="895">
        <f t="shared" ref="R52" si="105">R51/M51-1</f>
        <v>8.4145901047309568E-2</v>
      </c>
      <c r="S52" s="895">
        <f t="shared" ref="S52:AD52" si="106">S51/N51-1</f>
        <v>0.14786123273829577</v>
      </c>
      <c r="T52" s="896">
        <f t="shared" si="106"/>
        <v>0.12871376811594204</v>
      </c>
      <c r="U52" s="895">
        <f t="shared" si="106"/>
        <v>1.0000000000000009E-2</v>
      </c>
      <c r="V52" s="895">
        <f t="shared" si="106"/>
        <v>1.0000000000000009E-2</v>
      </c>
      <c r="W52" s="895">
        <f t="shared" si="106"/>
        <v>4.0000000000000036E-2</v>
      </c>
      <c r="X52" s="895">
        <f t="shared" si="106"/>
        <v>5.0000000000000044E-2</v>
      </c>
      <c r="Y52" s="896">
        <f t="shared" si="106"/>
        <v>2.8167081293636098E-2</v>
      </c>
      <c r="Z52" s="895">
        <f t="shared" si="106"/>
        <v>7.0000000000000062E-2</v>
      </c>
      <c r="AA52" s="895">
        <f t="shared" si="106"/>
        <v>7.0000000000000062E-2</v>
      </c>
      <c r="AB52" s="895">
        <f t="shared" si="106"/>
        <v>7.0000000000000062E-2</v>
      </c>
      <c r="AC52" s="895">
        <f t="shared" si="106"/>
        <v>7.0000000000000062E-2</v>
      </c>
      <c r="AD52" s="896">
        <f t="shared" si="106"/>
        <v>7.0000000000000284E-2</v>
      </c>
    </row>
    <row r="53" spans="2:30">
      <c r="B53" s="869"/>
      <c r="C53" s="869"/>
      <c r="D53" s="869"/>
      <c r="E53" s="869"/>
      <c r="F53" s="869"/>
      <c r="G53" s="869"/>
      <c r="H53" s="869"/>
      <c r="I53" s="869"/>
      <c r="J53" s="891"/>
      <c r="K53" s="869"/>
      <c r="L53" s="869"/>
      <c r="M53" s="869"/>
      <c r="N53" s="869"/>
      <c r="O53" s="891"/>
      <c r="P53" s="869"/>
      <c r="Q53" s="869"/>
      <c r="R53" s="869"/>
      <c r="S53" s="869"/>
      <c r="T53" s="891"/>
      <c r="U53" s="869"/>
      <c r="V53" s="869"/>
      <c r="W53" s="869"/>
      <c r="X53" s="869"/>
      <c r="Y53" s="891"/>
      <c r="Z53" s="869"/>
      <c r="AA53" s="869"/>
      <c r="AB53" s="869"/>
      <c r="AC53" s="869"/>
      <c r="AD53" s="891"/>
    </row>
    <row r="54" spans="2:30">
      <c r="B54" s="869" t="s">
        <v>1112</v>
      </c>
      <c r="C54" s="869"/>
      <c r="D54" s="869"/>
      <c r="E54" s="869"/>
      <c r="F54" s="892">
        <v>1407</v>
      </c>
      <c r="G54" s="892">
        <v>1363</v>
      </c>
      <c r="H54" s="892">
        <v>1354</v>
      </c>
      <c r="I54" s="892">
        <v>1539</v>
      </c>
      <c r="J54" s="894">
        <f>SUM(F54:I54)</f>
        <v>5663</v>
      </c>
      <c r="K54" s="892">
        <v>1390</v>
      </c>
      <c r="L54" s="892">
        <v>1433</v>
      </c>
      <c r="M54" s="892">
        <v>1445</v>
      </c>
      <c r="N54" s="892">
        <v>1584</v>
      </c>
      <c r="O54" s="894">
        <f>SUM(K54:N54)</f>
        <v>5852</v>
      </c>
      <c r="P54" s="892">
        <v>1506</v>
      </c>
      <c r="Q54" s="892">
        <v>1509</v>
      </c>
      <c r="R54" s="892">
        <v>1453</v>
      </c>
      <c r="S54" s="892">
        <v>1665</v>
      </c>
      <c r="T54" s="894">
        <f>SUM(P54:S54)</f>
        <v>6133</v>
      </c>
      <c r="U54" s="952" cm="1">
        <f t="array" ref="U54">_xll.FDS("HII-US","FE_ESTIMATE(Prodline_SALES_2,MEAN,QTR_ROLL,+1,NOW,,,'')")</f>
        <v>1552.75</v>
      </c>
      <c r="V54" s="892" cm="1">
        <f t="array" ref="V54">_xll.FDS("HII-US","FE_ESTIMATE(Prodline_SALES_2,MEAN,QTR_ROLL,+1,NOW,,,'')")</f>
        <v>1552.75</v>
      </c>
      <c r="W54" s="892" cm="1">
        <f t="array" ref="W54">_xll.FDS("HII-US","FE_ESTIMATE(Prodline_SALES_2,MEAN,QTR_ROLL,+2,NOW,,,'')")</f>
        <v>1561.5</v>
      </c>
      <c r="X54" s="892" cm="1">
        <f t="array" ref="X54">_xll.FDS("HII-US","FE_ESTIMATE(Prodline_SALES_2,MEAN,QTR_ROLL,+3,NOW,,,'')")</f>
        <v>1545.5</v>
      </c>
      <c r="Y54" s="894">
        <f>SUM(U54:X54)</f>
        <v>6212.5</v>
      </c>
      <c r="Z54" s="892">
        <f>$AD$54/4</f>
        <v>1636.3333749999999</v>
      </c>
      <c r="AA54" s="892">
        <f>$AD$54/4</f>
        <v>1636.3333749999999</v>
      </c>
      <c r="AB54" s="892">
        <f>$AD$54/4</f>
        <v>1636.3333749999999</v>
      </c>
      <c r="AC54" s="892">
        <f>$AD$54/4</f>
        <v>1636.3333749999999</v>
      </c>
      <c r="AD54" s="894" cm="1">
        <f t="array" ref="AD54">_xll.FDS("HII-US","FE_ESTIMATE(Prodline_SALES_2,MEAN,ANN_ROLL,+2,NOW,,,'')")</f>
        <v>6545.3334999999997</v>
      </c>
    </row>
    <row r="55" spans="2:30">
      <c r="B55" s="869" t="s">
        <v>183</v>
      </c>
      <c r="C55" s="869"/>
      <c r="D55" s="869"/>
      <c r="E55" s="869"/>
      <c r="F55" s="869"/>
      <c r="G55" s="869"/>
      <c r="H55" s="869"/>
      <c r="I55" s="869"/>
      <c r="J55" s="891"/>
      <c r="K55" s="895">
        <f t="shared" ref="K55" si="107">K54/F54-1</f>
        <v>-1.2082444918265822E-2</v>
      </c>
      <c r="L55" s="895">
        <f t="shared" ref="L55" si="108">L54/G54-1</f>
        <v>5.1357300073367584E-2</v>
      </c>
      <c r="M55" s="895">
        <f t="shared" ref="M55" si="109">M54/H54-1</f>
        <v>6.7208271787296825E-2</v>
      </c>
      <c r="N55" s="895">
        <f>N54/I54-1</f>
        <v>2.9239766081871288E-2</v>
      </c>
      <c r="O55" s="896">
        <f>O54/J54-1</f>
        <v>3.3374536464771287E-2</v>
      </c>
      <c r="P55" s="895">
        <f t="shared" ref="P55:R55" si="110">P54/K54-1</f>
        <v>8.3453237410072045E-2</v>
      </c>
      <c r="Q55" s="895">
        <f t="shared" si="110"/>
        <v>5.3035589672016714E-2</v>
      </c>
      <c r="R55" s="895">
        <f t="shared" si="110"/>
        <v>5.5363321799308807E-3</v>
      </c>
      <c r="S55" s="895">
        <f t="shared" ref="S55:Y55" si="111">S54/N54-1</f>
        <v>5.1136363636363535E-2</v>
      </c>
      <c r="T55" s="896">
        <f t="shared" si="111"/>
        <v>4.8017771701982292E-2</v>
      </c>
      <c r="U55" s="895">
        <f t="shared" si="111"/>
        <v>3.1042496679946963E-2</v>
      </c>
      <c r="V55" s="895">
        <f t="shared" si="111"/>
        <v>2.8992710404241118E-2</v>
      </c>
      <c r="W55" s="895">
        <f t="shared" si="111"/>
        <v>7.4673090158293265E-2</v>
      </c>
      <c r="X55" s="895">
        <f t="shared" si="111"/>
        <v>-7.1771771771771742E-2</v>
      </c>
      <c r="Y55" s="896">
        <f t="shared" si="111"/>
        <v>1.2962661014185528E-2</v>
      </c>
      <c r="Z55" s="869"/>
      <c r="AA55" s="869"/>
      <c r="AB55" s="869"/>
      <c r="AC55" s="869"/>
      <c r="AD55" s="896">
        <f>AD54/Y54-1</f>
        <v>5.3574808853118716E-2</v>
      </c>
    </row>
    <row r="56" spans="2:30">
      <c r="B56" s="869"/>
      <c r="C56" s="869"/>
      <c r="D56" s="869"/>
      <c r="E56" s="869"/>
      <c r="F56" s="869"/>
      <c r="G56" s="869"/>
      <c r="H56" s="869"/>
      <c r="I56" s="869"/>
      <c r="J56" s="891"/>
      <c r="K56" s="869"/>
      <c r="L56" s="869"/>
      <c r="M56" s="869"/>
      <c r="N56" s="869"/>
      <c r="O56" s="891"/>
      <c r="P56" s="869"/>
      <c r="Q56" s="869"/>
      <c r="R56" s="869"/>
      <c r="S56" s="869"/>
      <c r="T56" s="891"/>
      <c r="U56" s="869"/>
      <c r="V56" s="869"/>
      <c r="W56" s="869"/>
      <c r="X56" s="869"/>
      <c r="Y56" s="891"/>
      <c r="Z56" s="869"/>
      <c r="AA56" s="869"/>
      <c r="AB56" s="869"/>
      <c r="AC56" s="869"/>
      <c r="AD56" s="891"/>
    </row>
    <row r="57" spans="2:30">
      <c r="B57" s="869" t="s">
        <v>1113</v>
      </c>
      <c r="C57" s="869"/>
      <c r="D57" s="869"/>
      <c r="E57" s="869"/>
      <c r="F57" s="869">
        <v>201</v>
      </c>
      <c r="G57" s="869">
        <v>174</v>
      </c>
      <c r="H57" s="869">
        <v>209</v>
      </c>
      <c r="I57" s="869">
        <v>375</v>
      </c>
      <c r="J57" s="891">
        <v>959</v>
      </c>
      <c r="K57" s="869">
        <v>218</v>
      </c>
      <c r="L57" s="869">
        <v>187</v>
      </c>
      <c r="M57" s="869">
        <v>229</v>
      </c>
      <c r="N57" s="869">
        <v>349</v>
      </c>
      <c r="O57" s="891">
        <v>983</v>
      </c>
      <c r="P57" s="869">
        <v>189</v>
      </c>
      <c r="Q57" s="869">
        <v>226</v>
      </c>
      <c r="R57" s="869">
        <v>277</v>
      </c>
      <c r="S57" s="869">
        <v>366.45</v>
      </c>
      <c r="T57" s="891">
        <v>1058.45</v>
      </c>
      <c r="U57" s="869">
        <v>198.45000000000002</v>
      </c>
      <c r="V57" s="869">
        <v>237.3</v>
      </c>
      <c r="W57" s="869">
        <v>290.85000000000002</v>
      </c>
      <c r="X57" s="869">
        <v>384.77249999999998</v>
      </c>
      <c r="Y57" s="891">
        <v>1111.3724999999999</v>
      </c>
      <c r="Z57" s="869">
        <v>218.29500000000004</v>
      </c>
      <c r="AA57" s="869">
        <v>261.03000000000003</v>
      </c>
      <c r="AB57" s="869">
        <v>319.93500000000006</v>
      </c>
      <c r="AC57" s="869">
        <v>423.24975000000001</v>
      </c>
      <c r="AD57" s="891">
        <v>1222.5097500000002</v>
      </c>
    </row>
    <row r="58" spans="2:30">
      <c r="B58" s="869" t="s">
        <v>183</v>
      </c>
      <c r="C58" s="869"/>
      <c r="D58" s="869"/>
      <c r="E58" s="869"/>
      <c r="F58" s="869"/>
      <c r="G58" s="869"/>
      <c r="H58" s="869"/>
      <c r="I58" s="869"/>
      <c r="J58" s="891"/>
      <c r="K58" s="895">
        <f t="shared" ref="K58:T58" si="112">K57/F57-1</f>
        <v>8.4577114427860645E-2</v>
      </c>
      <c r="L58" s="895">
        <f t="shared" si="112"/>
        <v>7.4712643678160884E-2</v>
      </c>
      <c r="M58" s="895">
        <f t="shared" si="112"/>
        <v>9.5693779904306275E-2</v>
      </c>
      <c r="N58" s="895">
        <f t="shared" si="112"/>
        <v>-6.9333333333333358E-2</v>
      </c>
      <c r="O58" s="896">
        <f t="shared" si="112"/>
        <v>2.5026068821689229E-2</v>
      </c>
      <c r="P58" s="895">
        <f t="shared" si="112"/>
        <v>-0.1330275229357798</v>
      </c>
      <c r="Q58" s="895">
        <f t="shared" si="112"/>
        <v>0.20855614973262027</v>
      </c>
      <c r="R58" s="895">
        <f t="shared" si="112"/>
        <v>0.20960698689956336</v>
      </c>
      <c r="S58" s="895">
        <f t="shared" si="112"/>
        <v>5.0000000000000044E-2</v>
      </c>
      <c r="T58" s="896">
        <f t="shared" si="112"/>
        <v>7.675483214649037E-2</v>
      </c>
      <c r="U58" s="869"/>
      <c r="V58" s="869"/>
      <c r="W58" s="869"/>
      <c r="X58" s="869"/>
      <c r="Y58" s="891"/>
      <c r="Z58" s="869"/>
      <c r="AA58" s="869"/>
      <c r="AB58" s="869"/>
      <c r="AC58" s="869"/>
      <c r="AD58" s="891"/>
    </row>
    <row r="59" spans="2:30">
      <c r="B59" s="869"/>
      <c r="C59" s="869"/>
      <c r="D59" s="869"/>
      <c r="E59" s="869"/>
      <c r="F59" s="869"/>
      <c r="G59" s="869"/>
      <c r="H59" s="869"/>
      <c r="I59" s="869"/>
      <c r="J59" s="891"/>
      <c r="K59" s="869"/>
      <c r="L59" s="869"/>
      <c r="M59" s="869"/>
      <c r="N59" s="869"/>
      <c r="O59" s="891"/>
      <c r="P59" s="869"/>
      <c r="Q59" s="869"/>
      <c r="R59" s="869"/>
      <c r="S59" s="869"/>
      <c r="T59" s="891"/>
      <c r="U59" s="869"/>
      <c r="V59" s="869"/>
      <c r="W59" s="869"/>
      <c r="X59" s="869"/>
      <c r="Y59" s="891"/>
      <c r="Z59" s="869"/>
      <c r="AA59" s="869"/>
      <c r="AB59" s="869"/>
      <c r="AC59" s="869"/>
      <c r="AD59" s="891"/>
    </row>
    <row r="60" spans="2:30">
      <c r="B60" s="869" t="s">
        <v>1114</v>
      </c>
      <c r="C60" s="869"/>
      <c r="D60" s="869"/>
      <c r="E60" s="869"/>
      <c r="F60" s="869">
        <v>423.27499999999998</v>
      </c>
      <c r="G60" s="869">
        <v>405.49700000000001</v>
      </c>
      <c r="H60" s="869">
        <v>417.13900000000001</v>
      </c>
      <c r="I60" s="869">
        <v>479.18599999999998</v>
      </c>
      <c r="J60" s="903">
        <f>SUM(F60:I60)</f>
        <v>1725.097</v>
      </c>
      <c r="K60" s="904">
        <v>431.77699999999999</v>
      </c>
      <c r="L60" s="904">
        <v>436.53699999999998</v>
      </c>
      <c r="M60" s="904">
        <v>422.52100000000002</v>
      </c>
      <c r="N60" s="904">
        <v>517.64800000000002</v>
      </c>
      <c r="O60" s="903">
        <f>SUM(K60:N60)</f>
        <v>1808.4830000000002</v>
      </c>
      <c r="P60" s="904">
        <v>459.88600000000002</v>
      </c>
      <c r="Q60" s="904">
        <v>491.96699999999998</v>
      </c>
      <c r="R60" s="904">
        <v>477.85500000000002</v>
      </c>
      <c r="S60" s="904" cm="1">
        <f t="array" ref="S60">_xll.FDS("BWXT-US","FE_ESTIMATE(PRODLINE_SALES_7,MEAN,QTR_ROLL,+1,NOW,,,'')")</f>
        <v>542.21400000000006</v>
      </c>
      <c r="T60" s="903" cm="1">
        <f t="array" ref="T60">_xll.FDS("BWXT-US","FE_ESTIMATE(PRODLINE_SALES_7,MEAN,ANN_ROLL,+1,NOW,,,'')")</f>
        <v>1972.0272</v>
      </c>
      <c r="U60" s="904" cm="1">
        <f t="array" ref="U60">_xll.FDS("BWXT-US","FE_ESTIMATE(PRODLINE_SALES_7,MEAN,QTR_ROLL,+2,NOW,,,'')")</f>
        <v>467.36099999999999</v>
      </c>
      <c r="V60" s="904" cm="1">
        <f t="array" ref="V60">_xll.FDS("BWXT-US","FE_ESTIMATE(PRODLINE_SALES_7,MEAN,QTR_ROLL,+3,NOW,,,'')")</f>
        <v>493.54199999999997</v>
      </c>
      <c r="W60" s="904" cm="1">
        <f t="array" ref="W60">_xll.FDS("BWXT-US","FE_ESTIMATE(PRODLINE_SALES_7,MEAN,QTR_ROLL,+4,NOW,,,'')")</f>
        <v>491.91232000000002</v>
      </c>
      <c r="X60" s="904" cm="1">
        <f t="array" ref="X60">_xll.FDS("BWXT-US","FE_ESTIMATE(PRODLINE_SALES_7,MEAN,QTR_ROLL,+5,NOW,,,'')")</f>
        <v>561.572</v>
      </c>
      <c r="Y60" s="903" cm="1">
        <f t="array" ref="Y60">_xll.FDS("BWXT-US","FE_ESTIMATE(PRODLINE_SALES_7,MEAN,ANN_ROLL,+2,NOW,,,'')")</f>
        <v>2013.6652999999999</v>
      </c>
      <c r="Z60" s="904"/>
      <c r="AA60" s="904"/>
      <c r="AB60" s="904"/>
      <c r="AC60" s="904"/>
      <c r="AD60" s="903" cm="1">
        <f t="array" ref="AD60">_xll.FDS("BWXT-US","FE_ESTIMATE(PRODLINE_SALES_7,MEAN,ANN_ROLL,+3,NOW,,,'')")</f>
        <v>2150.5817999999999</v>
      </c>
    </row>
    <row r="61" spans="2:30">
      <c r="B61" s="869" t="s">
        <v>183</v>
      </c>
      <c r="C61" s="869"/>
      <c r="D61" s="869"/>
      <c r="E61" s="869"/>
      <c r="F61" s="869"/>
      <c r="G61" s="869"/>
      <c r="H61" s="869"/>
      <c r="I61" s="869"/>
      <c r="J61" s="891"/>
      <c r="K61" s="895">
        <f t="shared" ref="K61:Y61" si="113">K60/F60-1</f>
        <v>2.0086232354852074E-2</v>
      </c>
      <c r="L61" s="895">
        <f t="shared" si="113"/>
        <v>7.6548038579816735E-2</v>
      </c>
      <c r="M61" s="895">
        <f t="shared" si="113"/>
        <v>1.2902174095445362E-2</v>
      </c>
      <c r="N61" s="895">
        <f t="shared" si="113"/>
        <v>8.0265283209442817E-2</v>
      </c>
      <c r="O61" s="896">
        <f t="shared" si="113"/>
        <v>4.8336992064794249E-2</v>
      </c>
      <c r="P61" s="895">
        <f t="shared" si="113"/>
        <v>6.5100734870083388E-2</v>
      </c>
      <c r="Q61" s="895">
        <f t="shared" si="113"/>
        <v>0.12697663657376124</v>
      </c>
      <c r="R61" s="895">
        <f t="shared" si="113"/>
        <v>0.13096153800639487</v>
      </c>
      <c r="S61" s="895">
        <f t="shared" si="113"/>
        <v>4.7456959169165147E-2</v>
      </c>
      <c r="T61" s="896">
        <f t="shared" si="113"/>
        <v>9.04317043621643E-2</v>
      </c>
      <c r="U61" s="895">
        <f t="shared" si="113"/>
        <v>1.6254028172199231E-2</v>
      </c>
      <c r="V61" s="895">
        <f t="shared" si="113"/>
        <v>3.2014342425406017E-3</v>
      </c>
      <c r="W61" s="895">
        <f t="shared" si="113"/>
        <v>2.9417542978518618E-2</v>
      </c>
      <c r="X61" s="895">
        <f t="shared" si="113"/>
        <v>3.5701770887509365E-2</v>
      </c>
      <c r="Y61" s="896">
        <f t="shared" si="113"/>
        <v>2.1114363939807701E-2</v>
      </c>
      <c r="Z61" s="869"/>
      <c r="AA61" s="869"/>
      <c r="AB61" s="869"/>
      <c r="AC61" s="869"/>
      <c r="AD61" s="896">
        <f>AD60/Y60-1</f>
        <v>6.7993673029971724E-2</v>
      </c>
    </row>
    <row r="62" spans="2:30">
      <c r="B62" s="869"/>
      <c r="C62" s="869"/>
      <c r="D62" s="869"/>
      <c r="E62" s="869"/>
      <c r="F62" s="869"/>
      <c r="G62" s="869"/>
      <c r="H62" s="869"/>
      <c r="I62" s="869"/>
      <c r="J62" s="891"/>
      <c r="K62" s="869"/>
      <c r="L62" s="869"/>
      <c r="M62" s="869"/>
      <c r="N62" s="869"/>
      <c r="O62" s="891"/>
      <c r="P62" s="869"/>
      <c r="Q62" s="869"/>
      <c r="R62" s="869"/>
      <c r="S62" s="869"/>
      <c r="T62" s="891"/>
      <c r="U62" s="869"/>
      <c r="V62" s="869"/>
      <c r="W62" s="869"/>
      <c r="X62" s="869"/>
      <c r="Y62" s="891"/>
      <c r="Z62" s="869"/>
      <c r="AA62" s="869"/>
      <c r="AB62" s="869"/>
      <c r="AC62" s="869"/>
      <c r="AD62" s="891"/>
    </row>
    <row r="63" spans="2:30">
      <c r="B63" s="869" t="s">
        <v>1115</v>
      </c>
      <c r="C63" s="869"/>
      <c r="D63" s="869"/>
      <c r="E63" s="869"/>
      <c r="F63" s="904">
        <f>F51+F54</f>
        <v>3890</v>
      </c>
      <c r="G63" s="904">
        <f>G51+G54</f>
        <v>3899</v>
      </c>
      <c r="H63" s="904">
        <f>H51+H54</f>
        <v>3991</v>
      </c>
      <c r="I63" s="904">
        <f>I51+I54</f>
        <v>4409</v>
      </c>
      <c r="J63" s="903">
        <f>SUM(F63:I63)</f>
        <v>16189</v>
      </c>
      <c r="K63" s="904">
        <f>K51+K54</f>
        <v>4041</v>
      </c>
      <c r="L63" s="904">
        <f>L51+L54</f>
        <v>4084</v>
      </c>
      <c r="M63" s="904">
        <f>M51+M54</f>
        <v>4214</v>
      </c>
      <c r="N63" s="904">
        <f>N51+N54</f>
        <v>4553</v>
      </c>
      <c r="O63" s="903">
        <f>SUM(K63:N63)</f>
        <v>16892</v>
      </c>
      <c r="P63" s="904">
        <f>P51+P54</f>
        <v>4498</v>
      </c>
      <c r="Q63" s="904">
        <f>Q51+Q54</f>
        <v>4568</v>
      </c>
      <c r="R63" s="904">
        <f>R51+R54</f>
        <v>4455</v>
      </c>
      <c r="S63" s="904">
        <f>S51+S54</f>
        <v>5073</v>
      </c>
      <c r="T63" s="903">
        <f>SUM(P63:S63)</f>
        <v>18594</v>
      </c>
      <c r="U63" s="904">
        <f>U51+U54</f>
        <v>4574.67</v>
      </c>
      <c r="V63" s="904">
        <f>V51+V54</f>
        <v>4642.34</v>
      </c>
      <c r="W63" s="904">
        <f>W51+W54</f>
        <v>4683.58</v>
      </c>
      <c r="X63" s="904">
        <f>X51+X54</f>
        <v>5123.8999999999996</v>
      </c>
      <c r="Y63" s="903">
        <f>SUM(U63:X63)</f>
        <v>19024.489999999998</v>
      </c>
      <c r="Z63" s="904">
        <f>Z51+Z54</f>
        <v>4869.7877749999998</v>
      </c>
      <c r="AA63" s="904">
        <f>AA51+AA54</f>
        <v>4942.1946750000006</v>
      </c>
      <c r="AB63" s="904">
        <f>AB51+AB54</f>
        <v>4976.9589750000005</v>
      </c>
      <c r="AC63" s="904">
        <f>AC51+AC54</f>
        <v>5465.2213750000001</v>
      </c>
      <c r="AD63" s="903">
        <f>SUM(Z63:AC63)</f>
        <v>20254.162800000002</v>
      </c>
    </row>
    <row r="64" spans="2:30">
      <c r="B64" s="869"/>
      <c r="C64" s="869"/>
      <c r="D64" s="869"/>
      <c r="E64" s="869"/>
      <c r="F64" s="869"/>
      <c r="G64" s="869"/>
      <c r="H64" s="869"/>
      <c r="I64" s="869"/>
      <c r="J64" s="891"/>
      <c r="K64" s="895">
        <f t="shared" ref="K64:T64" si="114">K63/F63-1</f>
        <v>3.8817480719794295E-2</v>
      </c>
      <c r="L64" s="895">
        <f t="shared" si="114"/>
        <v>4.7448063606052804E-2</v>
      </c>
      <c r="M64" s="895">
        <f t="shared" si="114"/>
        <v>5.5875720370834436E-2</v>
      </c>
      <c r="N64" s="895">
        <f t="shared" si="114"/>
        <v>3.2660467226128365E-2</v>
      </c>
      <c r="O64" s="896">
        <f t="shared" si="114"/>
        <v>4.3424547532274982E-2</v>
      </c>
      <c r="P64" s="895">
        <f t="shared" si="114"/>
        <v>0.11309081910418217</v>
      </c>
      <c r="Q64" s="895">
        <f t="shared" si="114"/>
        <v>0.11851126346718899</v>
      </c>
      <c r="R64" s="895">
        <f t="shared" si="114"/>
        <v>5.7190317987660277E-2</v>
      </c>
      <c r="S64" s="895">
        <f t="shared" si="114"/>
        <v>0.11421041071820781</v>
      </c>
      <c r="T64" s="896">
        <f t="shared" si="114"/>
        <v>0.10075775515036711</v>
      </c>
      <c r="U64" s="895">
        <f t="shared" ref="U64:AD64" si="115">U63/P63-1</f>
        <v>1.7045353490440229E-2</v>
      </c>
      <c r="V64" s="895">
        <f t="shared" si="115"/>
        <v>1.6274080560420456E-2</v>
      </c>
      <c r="W64" s="895">
        <f t="shared" si="115"/>
        <v>5.13086419753086E-2</v>
      </c>
      <c r="X64" s="895">
        <f t="shared" si="115"/>
        <v>1.0033510743149954E-2</v>
      </c>
      <c r="Y64" s="896">
        <f t="shared" si="115"/>
        <v>2.3152092072711516E-2</v>
      </c>
      <c r="Z64" s="895">
        <f t="shared" si="115"/>
        <v>6.4511270758327965E-2</v>
      </c>
      <c r="AA64" s="895">
        <f t="shared" si="115"/>
        <v>6.4591278320846879E-2</v>
      </c>
      <c r="AB64" s="895">
        <f t="shared" si="115"/>
        <v>6.2639898325639987E-2</v>
      </c>
      <c r="AC64" s="895">
        <f t="shared" si="115"/>
        <v>6.6613590234001485E-2</v>
      </c>
      <c r="AD64" s="896">
        <f t="shared" si="115"/>
        <v>6.4636308253204433E-2</v>
      </c>
    </row>
    <row r="65" spans="1:33">
      <c r="A65" s="869"/>
      <c r="B65" s="869"/>
      <c r="C65" s="869"/>
      <c r="D65" s="869"/>
      <c r="E65" s="869"/>
      <c r="F65" s="869"/>
      <c r="G65" s="869"/>
      <c r="H65" s="869"/>
      <c r="I65" s="869"/>
      <c r="J65" s="891"/>
      <c r="K65" s="869"/>
      <c r="L65" s="869"/>
      <c r="M65" s="869"/>
      <c r="N65" s="869"/>
      <c r="O65" s="891"/>
      <c r="P65" s="869"/>
      <c r="Q65" s="869"/>
      <c r="R65" s="869"/>
      <c r="S65" s="869"/>
      <c r="T65" s="891"/>
      <c r="U65" s="869"/>
      <c r="V65" s="869"/>
      <c r="W65" s="869"/>
      <c r="X65" s="869"/>
      <c r="Y65" s="891"/>
      <c r="Z65" s="869"/>
      <c r="AA65" s="869"/>
      <c r="AB65" s="869"/>
      <c r="AC65" s="869"/>
      <c r="AD65" s="891"/>
      <c r="AE65" s="869"/>
      <c r="AF65" s="869"/>
      <c r="AG65" s="869"/>
    </row>
    <row r="66" spans="1:33">
      <c r="A66" s="869" t="s">
        <v>1116</v>
      </c>
      <c r="B66" s="869" t="s">
        <v>1117</v>
      </c>
      <c r="C66" s="869"/>
      <c r="D66" s="869"/>
      <c r="E66" s="869"/>
      <c r="F66" s="905">
        <f>CW_Drivers!BJ16</f>
        <v>177.905</v>
      </c>
      <c r="G66" s="905">
        <f>CW_Drivers!BK16</f>
        <v>177.72399999999999</v>
      </c>
      <c r="H66" s="905">
        <f>CW_Drivers!BL16</f>
        <v>175.8</v>
      </c>
      <c r="I66" s="905">
        <f>CW_Drivers!BM16</f>
        <v>179.25899999999999</v>
      </c>
      <c r="J66" s="906">
        <f>CW_Drivers!BN16</f>
        <v>710.6880000000001</v>
      </c>
      <c r="K66" s="905">
        <f>CW_Drivers!BO16</f>
        <v>162.96700000000001</v>
      </c>
      <c r="L66" s="905">
        <f>CW_Drivers!BP16</f>
        <v>172.786</v>
      </c>
      <c r="M66" s="905">
        <f>CW_Drivers!BQ16</f>
        <v>174.84399999999999</v>
      </c>
      <c r="N66" s="905">
        <f>CW_Drivers!BR16</f>
        <v>183.41800000000001</v>
      </c>
      <c r="O66" s="906">
        <f>CW_Drivers!BS16</f>
        <v>694.0150000000001</v>
      </c>
      <c r="P66" s="905">
        <f>CW_Drivers!BT16</f>
        <v>171.95599999999999</v>
      </c>
      <c r="Q66" s="905">
        <f>CW_Drivers!BU16</f>
        <v>180.95599999999999</v>
      </c>
      <c r="R66" s="905">
        <f>CW_Drivers!BV16</f>
        <v>179.86199999999999</v>
      </c>
      <c r="S66" s="905">
        <f>CW_Drivers!BW16</f>
        <v>187.24</v>
      </c>
      <c r="T66" s="906">
        <f>CW_Drivers!BX16</f>
        <v>720.01400000000001</v>
      </c>
      <c r="U66" s="905">
        <f>0.0392*U63</f>
        <v>179.32706400000001</v>
      </c>
      <c r="V66" s="905">
        <f>0.0392*V63</f>
        <v>181.97972799999999</v>
      </c>
      <c r="W66" s="905">
        <f>0.0392*W63</f>
        <v>183.59633599999998</v>
      </c>
      <c r="X66" s="905">
        <f>0.0392*X63</f>
        <v>200.85687999999999</v>
      </c>
      <c r="Y66" s="946">
        <f>SUM(U66:X66)</f>
        <v>745.76000799999997</v>
      </c>
      <c r="Z66" s="905">
        <f>0.0392*Z63</f>
        <v>190.89568077999999</v>
      </c>
      <c r="AA66" s="905">
        <f>0.0392*AA63</f>
        <v>193.73403126000002</v>
      </c>
      <c r="AB66" s="905">
        <f>0.0392*AB63</f>
        <v>195.09679182000002</v>
      </c>
      <c r="AC66" s="905">
        <f>0.0392*AC63</f>
        <v>214.23667789999999</v>
      </c>
      <c r="AD66" s="946">
        <f>SUM(Z66:AC66)</f>
        <v>793.96318176000011</v>
      </c>
      <c r="AE66" s="869"/>
      <c r="AF66" s="869"/>
      <c r="AG66" s="953"/>
    </row>
    <row r="67" spans="1:33">
      <c r="A67" s="869"/>
      <c r="B67" s="869" t="s">
        <v>183</v>
      </c>
      <c r="C67" s="869"/>
      <c r="D67" s="869"/>
      <c r="E67" s="869"/>
      <c r="F67" s="869"/>
      <c r="G67" s="869"/>
      <c r="H67" s="869"/>
      <c r="I67" s="869"/>
      <c r="J67" s="891"/>
      <c r="K67" s="895">
        <f t="shared" ref="K67" si="116">K66/F66-1</f>
        <v>-8.3966161715522292E-2</v>
      </c>
      <c r="L67" s="895">
        <f t="shared" ref="L67" si="117">L66/G66-1</f>
        <v>-2.778465485809456E-2</v>
      </c>
      <c r="M67" s="895">
        <f t="shared" ref="M67" si="118">M66/H66-1</f>
        <v>-5.4379977246872269E-3</v>
      </c>
      <c r="N67" s="895">
        <f>N66/I66-1</f>
        <v>2.3201066613113053E-2</v>
      </c>
      <c r="O67" s="896">
        <f>O66/J66-1</f>
        <v>-2.3460365167274566E-2</v>
      </c>
      <c r="P67" s="895">
        <f t="shared" ref="P67" si="119">P66/K66-1</f>
        <v>5.5158406303116525E-2</v>
      </c>
      <c r="Q67" s="895">
        <f t="shared" ref="Q67" si="120">Q66/L66-1</f>
        <v>4.7283923466021394E-2</v>
      </c>
      <c r="R67" s="895">
        <f t="shared" ref="R67" si="121">R66/M66-1</f>
        <v>2.8699869598041605E-2</v>
      </c>
      <c r="S67" s="895">
        <f t="shared" ref="S67:AD67" si="122">S66/N66-1</f>
        <v>2.0837649521857182E-2</v>
      </c>
      <c r="T67" s="896">
        <f t="shared" si="122"/>
        <v>3.7461726331563305E-2</v>
      </c>
      <c r="U67" s="895">
        <f t="shared" si="122"/>
        <v>4.2865988973923574E-2</v>
      </c>
      <c r="V67" s="895">
        <f t="shared" si="122"/>
        <v>5.6573310639049801E-3</v>
      </c>
      <c r="W67" s="895">
        <f t="shared" si="122"/>
        <v>2.0762228819872997E-2</v>
      </c>
      <c r="X67" s="895">
        <f t="shared" si="122"/>
        <v>7.2724204229865252E-2</v>
      </c>
      <c r="Y67" s="896">
        <f t="shared" si="122"/>
        <v>3.5757649156821891E-2</v>
      </c>
      <c r="Z67" s="895">
        <f t="shared" si="122"/>
        <v>6.4511270758327743E-2</v>
      </c>
      <c r="AA67" s="895">
        <f t="shared" si="122"/>
        <v>6.4591278320846879E-2</v>
      </c>
      <c r="AB67" s="895">
        <f t="shared" si="122"/>
        <v>6.2639898325639987E-2</v>
      </c>
      <c r="AC67" s="895">
        <f t="shared" si="122"/>
        <v>6.6613590234001485E-2</v>
      </c>
      <c r="AD67" s="896">
        <f t="shared" si="122"/>
        <v>6.4636308253204433E-2</v>
      </c>
      <c r="AE67" s="869"/>
      <c r="AF67" s="869"/>
      <c r="AG67" s="869"/>
    </row>
    <row r="68" spans="1:33">
      <c r="A68" s="869"/>
      <c r="B68" s="869"/>
      <c r="C68" s="869"/>
      <c r="D68" s="954"/>
      <c r="E68" s="869"/>
      <c r="F68" s="905">
        <f>D68/4</f>
        <v>0</v>
      </c>
      <c r="G68" s="869"/>
      <c r="H68" s="869"/>
      <c r="I68" s="869"/>
      <c r="J68" s="891"/>
      <c r="K68" s="895"/>
      <c r="L68" s="895"/>
      <c r="M68" s="895"/>
      <c r="N68" s="895"/>
      <c r="O68" s="896"/>
      <c r="P68" s="895"/>
      <c r="Q68" s="895"/>
      <c r="R68" s="895"/>
      <c r="S68" s="895" t="s">
        <v>104</v>
      </c>
      <c r="T68" s="896"/>
      <c r="U68" s="869"/>
      <c r="V68" s="869"/>
      <c r="W68" s="869"/>
      <c r="X68" s="869"/>
      <c r="Y68" s="891"/>
      <c r="Z68" s="869"/>
      <c r="AA68" s="869"/>
      <c r="AB68" s="869"/>
      <c r="AC68" s="869"/>
      <c r="AD68" s="891"/>
      <c r="AE68" s="869"/>
      <c r="AF68" s="869"/>
      <c r="AG68" s="869"/>
    </row>
    <row r="69" spans="1:33">
      <c r="A69" s="869"/>
      <c r="B69" s="869"/>
      <c r="C69" s="869"/>
      <c r="D69" s="954"/>
      <c r="E69" s="869"/>
      <c r="F69" s="905">
        <f>D69/4</f>
        <v>0</v>
      </c>
      <c r="G69" s="869"/>
      <c r="H69" s="869"/>
      <c r="I69" s="869"/>
      <c r="J69" s="906"/>
      <c r="K69" s="869"/>
      <c r="L69" s="869"/>
      <c r="M69" s="869"/>
      <c r="N69" s="869"/>
      <c r="O69" s="906"/>
      <c r="P69" s="869"/>
      <c r="Q69" s="869"/>
      <c r="R69" s="869"/>
      <c r="S69" s="869"/>
      <c r="T69" s="906"/>
      <c r="U69" s="869"/>
      <c r="V69" s="869"/>
      <c r="W69" s="869"/>
      <c r="X69" s="869"/>
      <c r="Y69" s="894"/>
      <c r="Z69" s="869"/>
      <c r="AA69" s="869"/>
      <c r="AB69" s="869"/>
      <c r="AC69" s="869"/>
      <c r="AD69" s="894"/>
      <c r="AE69" s="869"/>
      <c r="AF69" s="869"/>
      <c r="AG69" s="869"/>
    </row>
    <row r="70" spans="1:33">
      <c r="A70" s="869"/>
      <c r="B70" s="869"/>
      <c r="C70" s="869"/>
      <c r="D70" s="869"/>
      <c r="E70" s="869"/>
      <c r="F70" s="869"/>
      <c r="G70" s="869"/>
      <c r="H70" s="869"/>
      <c r="I70" s="869"/>
      <c r="J70" s="906"/>
      <c r="K70" s="869"/>
      <c r="L70" s="869"/>
      <c r="M70" s="869"/>
      <c r="N70" s="869"/>
      <c r="O70" s="906"/>
      <c r="P70" s="869"/>
      <c r="Q70" s="869"/>
      <c r="R70" s="869"/>
      <c r="S70" s="869"/>
      <c r="T70" s="906"/>
      <c r="U70" s="869"/>
      <c r="V70" s="869"/>
      <c r="W70" s="869"/>
      <c r="X70" s="869"/>
      <c r="Y70" s="869"/>
      <c r="Z70" s="869"/>
      <c r="AA70" s="869"/>
      <c r="AB70" s="869"/>
      <c r="AC70" s="869"/>
      <c r="AD70" s="869"/>
      <c r="AE70" s="869"/>
      <c r="AF70" s="869"/>
      <c r="AG70" s="869"/>
    </row>
    <row r="71" spans="1:33">
      <c r="A71" s="869" t="s">
        <v>1118</v>
      </c>
      <c r="B71" s="869"/>
      <c r="C71" s="869"/>
      <c r="D71" s="869"/>
      <c r="E71" s="869"/>
      <c r="F71" s="869"/>
      <c r="G71" s="869"/>
      <c r="H71" s="869"/>
      <c r="I71" s="869"/>
      <c r="J71" s="906"/>
      <c r="K71" s="869"/>
      <c r="L71" s="869"/>
      <c r="M71" s="869"/>
      <c r="N71" s="869"/>
      <c r="O71" s="906"/>
      <c r="P71" s="869"/>
      <c r="Q71" s="869"/>
      <c r="R71" s="869"/>
      <c r="S71" s="869"/>
      <c r="T71" s="906"/>
      <c r="U71" s="869"/>
      <c r="V71" s="869"/>
      <c r="W71" s="869"/>
      <c r="X71" s="869"/>
      <c r="Y71" s="869"/>
      <c r="Z71" s="869"/>
      <c r="AA71" s="869"/>
      <c r="AB71" s="869"/>
      <c r="AC71" s="869"/>
      <c r="AD71" s="869"/>
      <c r="AE71" s="869"/>
      <c r="AF71" s="869"/>
      <c r="AG71" s="869"/>
    </row>
    <row r="72" spans="1:33">
      <c r="A72" s="869" t="s">
        <v>511</v>
      </c>
      <c r="B72" s="869" t="s">
        <v>1119</v>
      </c>
      <c r="C72" s="869"/>
      <c r="D72" s="869"/>
      <c r="E72" s="869"/>
      <c r="F72" s="869">
        <v>17</v>
      </c>
      <c r="G72" s="869">
        <v>37</v>
      </c>
      <c r="H72" s="869">
        <v>36</v>
      </c>
      <c r="I72" s="869">
        <v>52</v>
      </c>
      <c r="J72" s="894">
        <f>SUM(F72:I72)</f>
        <v>142</v>
      </c>
      <c r="K72" s="892">
        <v>26</v>
      </c>
      <c r="L72" s="892">
        <v>35</v>
      </c>
      <c r="M72" s="892">
        <v>27</v>
      </c>
      <c r="N72" s="892">
        <v>53</v>
      </c>
      <c r="O72" s="894">
        <f>SUM(K72:N72)</f>
        <v>141</v>
      </c>
      <c r="P72" s="892">
        <v>5</v>
      </c>
      <c r="Q72" s="892">
        <v>45</v>
      </c>
      <c r="R72" s="892">
        <v>30</v>
      </c>
      <c r="S72" s="892">
        <v>18</v>
      </c>
      <c r="T72" s="894">
        <f>SUM(P72:S72)</f>
        <v>98</v>
      </c>
      <c r="U72" s="869">
        <v>5</v>
      </c>
      <c r="V72" s="869">
        <v>10</v>
      </c>
      <c r="W72" s="869">
        <v>27</v>
      </c>
      <c r="X72" s="869">
        <v>48</v>
      </c>
      <c r="Y72" s="894">
        <f>SUM(U72:X72)</f>
        <v>90</v>
      </c>
      <c r="Z72" s="869"/>
      <c r="AA72" s="869"/>
      <c r="AB72" s="869"/>
      <c r="AC72" s="869"/>
      <c r="AD72" s="869">
        <v>162</v>
      </c>
      <c r="AE72" s="869"/>
      <c r="AF72" s="869"/>
      <c r="AG72" s="869"/>
    </row>
    <row r="73" spans="1:33">
      <c r="A73" s="869" t="s">
        <v>511</v>
      </c>
      <c r="B73" s="869" t="s">
        <v>1120</v>
      </c>
      <c r="C73" s="869"/>
      <c r="D73" s="869"/>
      <c r="E73" s="869"/>
      <c r="F73" s="869"/>
      <c r="G73" s="869"/>
      <c r="H73" s="869"/>
      <c r="I73" s="869"/>
      <c r="J73" s="894"/>
      <c r="K73" s="892"/>
      <c r="L73" s="892"/>
      <c r="M73" s="892"/>
      <c r="N73" s="892"/>
      <c r="O73" s="894">
        <f>SUM(K73:N73)</f>
        <v>0</v>
      </c>
      <c r="P73" s="892">
        <v>3</v>
      </c>
      <c r="Q73" s="892">
        <v>4</v>
      </c>
      <c r="R73" s="892">
        <v>6</v>
      </c>
      <c r="S73" s="892">
        <v>8</v>
      </c>
      <c r="T73" s="894">
        <f>SUM(P73:S73)</f>
        <v>21</v>
      </c>
      <c r="U73" s="869">
        <v>3</v>
      </c>
      <c r="V73" s="869">
        <v>4</v>
      </c>
      <c r="W73" s="869">
        <v>6</v>
      </c>
      <c r="X73" s="869">
        <v>8</v>
      </c>
      <c r="Y73" s="894">
        <f>SUM(U73:X73)</f>
        <v>21</v>
      </c>
      <c r="Z73" s="869"/>
      <c r="AA73" s="869"/>
      <c r="AB73" s="869"/>
      <c r="AC73" s="869"/>
      <c r="AD73" s="869">
        <v>19</v>
      </c>
      <c r="AE73" s="869"/>
      <c r="AF73" s="869"/>
      <c r="AG73" s="869"/>
    </row>
    <row r="74" spans="1:33">
      <c r="A74" s="869" t="s">
        <v>508</v>
      </c>
      <c r="B74" s="869" t="s">
        <v>1121</v>
      </c>
      <c r="C74" s="869"/>
      <c r="D74" s="869"/>
      <c r="E74" s="869"/>
      <c r="F74" s="869">
        <f>[48]BA_Drivers!P$79</f>
        <v>3</v>
      </c>
      <c r="G74" s="869">
        <f>[48]BA_Drivers!Q$79</f>
        <v>3</v>
      </c>
      <c r="H74" s="869">
        <f>[48]BA_Drivers!R$79</f>
        <v>5</v>
      </c>
      <c r="I74" s="869">
        <f>[48]BA_Drivers!S$79</f>
        <v>5</v>
      </c>
      <c r="J74" s="894">
        <f>[48]BA_Drivers!T$79</f>
        <v>16</v>
      </c>
      <c r="K74" s="892">
        <f>[48]BA_Drivers!U$79</f>
        <v>0</v>
      </c>
      <c r="L74" s="892">
        <f>[48]BA_Drivers!V$79</f>
        <v>3</v>
      </c>
      <c r="M74" s="892">
        <f>[48]BA_Drivers!W$79</f>
        <v>4</v>
      </c>
      <c r="N74" s="892">
        <f>[48]BA_Drivers!X$79</f>
        <v>2</v>
      </c>
      <c r="O74" s="894">
        <f>[48]BA_Drivers!Y$79</f>
        <v>9</v>
      </c>
      <c r="P74" s="892">
        <f>[48]BA_Drivers!Z$79</f>
        <v>3</v>
      </c>
      <c r="Q74" s="892">
        <f>[48]BA_Drivers!AA$79</f>
        <v>2</v>
      </c>
      <c r="R74" s="892">
        <f>[48]BA_Drivers!AB$79</f>
        <v>2</v>
      </c>
      <c r="S74" s="892">
        <f>[48]BA_Drivers!AC$79</f>
        <v>4</v>
      </c>
      <c r="T74" s="894">
        <f>[48]BA_Drivers!AD$79</f>
        <v>11</v>
      </c>
      <c r="U74" s="892">
        <f>[48]BA_Drivers!AE$79</f>
        <v>0</v>
      </c>
      <c r="V74" s="892">
        <f>[48]BA_Drivers!AF$79</f>
        <v>0</v>
      </c>
      <c r="W74" s="892">
        <f>[48]BA_Drivers!AG$79</f>
        <v>0</v>
      </c>
      <c r="X74" s="892">
        <f>[48]BA_Drivers!AH$79</f>
        <v>0</v>
      </c>
      <c r="Y74" s="894">
        <f>[48]BA_Drivers!AI$79</f>
        <v>0</v>
      </c>
      <c r="Z74" s="869"/>
      <c r="AA74" s="869"/>
      <c r="AB74" s="869"/>
      <c r="AC74" s="869"/>
      <c r="AD74" s="869"/>
      <c r="AE74" s="869"/>
      <c r="AF74" s="869"/>
      <c r="AG74" s="869"/>
    </row>
    <row r="75" spans="1:33">
      <c r="A75" s="869" t="s">
        <v>508</v>
      </c>
      <c r="B75" s="869" t="s">
        <v>1122</v>
      </c>
      <c r="C75" s="869"/>
      <c r="D75" s="869"/>
      <c r="E75" s="869"/>
      <c r="F75" s="869">
        <f>[48]BA_Drivers!P$72+[48]BA_Drivers!P$73</f>
        <v>24</v>
      </c>
      <c r="G75" s="869">
        <f>[48]BA_Drivers!Q$72+[48]BA_Drivers!Q$73</f>
        <v>22</v>
      </c>
      <c r="H75" s="869">
        <f>[48]BA_Drivers!R$72+[48]BA_Drivers!R$73</f>
        <v>15</v>
      </c>
      <c r="I75" s="869">
        <f>[48]BA_Drivers!S$72+[48]BA_Drivers!S$73</f>
        <v>22</v>
      </c>
      <c r="J75" s="894">
        <f>[48]BA_Drivers!T$72+[48]BA_Drivers!T$73</f>
        <v>83</v>
      </c>
      <c r="K75" s="892">
        <f>[48]BA_Drivers!U$72+[48]BA_Drivers!U$73</f>
        <v>22</v>
      </c>
      <c r="L75" s="892">
        <f>[48]BA_Drivers!V$72+[48]BA_Drivers!V$73</f>
        <v>19</v>
      </c>
      <c r="M75" s="892">
        <f>[48]BA_Drivers!W$72+[48]BA_Drivers!W$73</f>
        <v>15</v>
      </c>
      <c r="N75" s="892">
        <f>[48]BA_Drivers!X$72+[48]BA_Drivers!X$73</f>
        <v>19</v>
      </c>
      <c r="O75" s="894">
        <f>[48]BA_Drivers!Y$72+[48]BA_Drivers!Y$73</f>
        <v>75</v>
      </c>
      <c r="P75" s="892">
        <f>[48]BA_Drivers!Z$72+[48]BA_Drivers!Z$73</f>
        <v>20</v>
      </c>
      <c r="Q75" s="892">
        <f>[48]BA_Drivers!AA$72+[48]BA_Drivers!AA$73</f>
        <v>21</v>
      </c>
      <c r="R75" s="892">
        <f>[48]BA_Drivers!AB$72+[48]BA_Drivers!AB$73</f>
        <v>14</v>
      </c>
      <c r="S75" s="892">
        <f>[48]BA_Drivers!AC$72+[48]BA_Drivers!AC$73</f>
        <v>22</v>
      </c>
      <c r="T75" s="894">
        <f>[48]BA_Drivers!AD$72+[48]BA_Drivers!AD$73</f>
        <v>77</v>
      </c>
      <c r="U75" s="892">
        <f>[48]BA_Drivers!AE$72+[48]BA_Drivers!AE$73</f>
        <v>0</v>
      </c>
      <c r="V75" s="892">
        <f>[48]BA_Drivers!AF$72+[48]BA_Drivers!AF$73</f>
        <v>0</v>
      </c>
      <c r="W75" s="892">
        <f>[48]BA_Drivers!AG$72+[48]BA_Drivers!AG$73</f>
        <v>0</v>
      </c>
      <c r="X75" s="892">
        <f>[48]BA_Drivers!AH$72+[48]BA_Drivers!AH$73</f>
        <v>0</v>
      </c>
      <c r="Y75" s="894">
        <f>[48]BA_Drivers!AI$72+[48]BA_Drivers!AI$73</f>
        <v>0</v>
      </c>
      <c r="Z75" s="869"/>
      <c r="AA75" s="869"/>
      <c r="AB75" s="869"/>
      <c r="AC75" s="869"/>
      <c r="AD75" s="869"/>
      <c r="AE75" s="869"/>
      <c r="AF75" s="869"/>
      <c r="AG75" s="869"/>
    </row>
    <row r="76" spans="1:33">
      <c r="A76" s="869" t="s">
        <v>508</v>
      </c>
      <c r="B76" s="869" t="s">
        <v>1123</v>
      </c>
      <c r="C76" s="869"/>
      <c r="D76" s="869"/>
      <c r="E76" s="869"/>
      <c r="F76" s="869">
        <f>[48]BA_Drivers!P$74+[48]BA_Drivers!P$75</f>
        <v>6</v>
      </c>
      <c r="G76" s="869">
        <f>[48]BA_Drivers!Q$74+[48]BA_Drivers!Q$75</f>
        <v>4</v>
      </c>
      <c r="H76" s="869">
        <f>[48]BA_Drivers!R$74+[48]BA_Drivers!R$75</f>
        <v>7</v>
      </c>
      <c r="I76" s="869">
        <f>[48]BA_Drivers!S$74+[48]BA_Drivers!S$75</f>
        <v>3</v>
      </c>
      <c r="J76" s="894">
        <f>[48]BA_Drivers!T$74+[48]BA_Drivers!T$75</f>
        <v>20</v>
      </c>
      <c r="K76" s="892">
        <f>[48]BA_Drivers!U$74+[48]BA_Drivers!U$75</f>
        <v>4</v>
      </c>
      <c r="L76" s="892">
        <f>[48]BA_Drivers!V$74+[48]BA_Drivers!V$75</f>
        <v>6</v>
      </c>
      <c r="M76" s="892">
        <f>[48]BA_Drivers!W$74+[48]BA_Drivers!W$75</f>
        <v>3</v>
      </c>
      <c r="N76" s="892">
        <f>[48]BA_Drivers!X$74+[48]BA_Drivers!X$75</f>
        <v>12</v>
      </c>
      <c r="O76" s="894">
        <f>[48]BA_Drivers!Y$74+[48]BA_Drivers!Y$75</f>
        <v>25</v>
      </c>
      <c r="P76" s="892">
        <f>[48]BA_Drivers!Z$74+[48]BA_Drivers!Z$75</f>
        <v>6</v>
      </c>
      <c r="Q76" s="892">
        <f>[48]BA_Drivers!AA$74+[48]BA_Drivers!AA$75</f>
        <v>5</v>
      </c>
      <c r="R76" s="892">
        <f>[48]BA_Drivers!AB$74+[48]BA_Drivers!AB$75</f>
        <v>4</v>
      </c>
      <c r="S76" s="892">
        <f>[48]BA_Drivers!AC$74+[48]BA_Drivers!AC$75</f>
        <v>5</v>
      </c>
      <c r="T76" s="894">
        <f>[48]BA_Drivers!AD$74+[48]BA_Drivers!AD$75</f>
        <v>20</v>
      </c>
      <c r="U76" s="892">
        <f>[48]BA_Drivers!AE$74+[48]BA_Drivers!AE$75</f>
        <v>0</v>
      </c>
      <c r="V76" s="892">
        <f>[48]BA_Drivers!AF$74+[48]BA_Drivers!AF$75</f>
        <v>0</v>
      </c>
      <c r="W76" s="892">
        <f>[48]BA_Drivers!AG$74+[48]BA_Drivers!AG$75</f>
        <v>0</v>
      </c>
      <c r="X76" s="892">
        <f>[48]BA_Drivers!AH$74+[48]BA_Drivers!AH$75</f>
        <v>0</v>
      </c>
      <c r="Y76" s="894">
        <f>[48]BA_Drivers!AI$74+[48]BA_Drivers!AI$75</f>
        <v>0</v>
      </c>
      <c r="Z76" s="869"/>
      <c r="AA76" s="869"/>
      <c r="AB76" s="869"/>
      <c r="AC76" s="869"/>
      <c r="AD76" s="869"/>
      <c r="AE76" s="869"/>
      <c r="AF76" s="869"/>
      <c r="AG76" s="869"/>
    </row>
    <row r="77" spans="1:33">
      <c r="A77" s="869"/>
      <c r="B77" s="869"/>
      <c r="C77" s="869"/>
      <c r="D77" s="869"/>
      <c r="E77" s="869"/>
      <c r="F77" s="869"/>
      <c r="G77" s="869"/>
      <c r="H77" s="869"/>
      <c r="I77" s="869"/>
      <c r="J77" s="894"/>
      <c r="K77" s="892"/>
      <c r="L77" s="892"/>
      <c r="M77" s="892"/>
      <c r="N77" s="892"/>
      <c r="O77" s="894"/>
      <c r="P77" s="892"/>
      <c r="Q77" s="892"/>
      <c r="R77" s="892"/>
      <c r="S77" s="892"/>
      <c r="T77" s="894"/>
      <c r="U77" s="869"/>
      <c r="V77" s="869"/>
      <c r="W77" s="869"/>
      <c r="X77" s="869"/>
      <c r="Y77" s="869"/>
      <c r="Z77" s="869"/>
      <c r="AA77" s="869"/>
      <c r="AB77" s="869"/>
      <c r="AC77" s="869"/>
      <c r="AD77" s="869"/>
      <c r="AE77" s="869"/>
      <c r="AF77" s="869"/>
      <c r="AG77" s="869"/>
    </row>
    <row r="78" spans="1:33">
      <c r="A78" s="869"/>
      <c r="B78" s="869" t="s">
        <v>1124</v>
      </c>
      <c r="C78" s="869"/>
      <c r="D78" s="869"/>
      <c r="E78" s="869"/>
      <c r="F78" s="869"/>
      <c r="G78" s="869"/>
      <c r="H78" s="869"/>
      <c r="I78" s="869"/>
      <c r="J78" s="894"/>
      <c r="K78" s="892"/>
      <c r="L78" s="892"/>
      <c r="M78" s="892"/>
      <c r="N78" s="892"/>
      <c r="O78" s="894"/>
      <c r="P78" s="892"/>
      <c r="Q78" s="892"/>
      <c r="R78" s="892"/>
      <c r="S78" s="892"/>
      <c r="T78" s="894"/>
      <c r="U78" s="869"/>
      <c r="V78" s="869"/>
      <c r="W78" s="869"/>
      <c r="X78" s="869"/>
      <c r="Y78" s="869"/>
      <c r="Z78" s="869"/>
      <c r="AA78" s="869"/>
      <c r="AB78" s="869"/>
      <c r="AC78" s="869"/>
      <c r="AD78" s="869"/>
      <c r="AE78" s="869"/>
      <c r="AF78" s="869"/>
      <c r="AG78" s="869"/>
    </row>
    <row r="79" spans="1:33">
      <c r="A79" s="869"/>
      <c r="B79" s="869" t="s">
        <v>1119</v>
      </c>
      <c r="C79" s="869"/>
      <c r="D79" s="869"/>
      <c r="E79" s="869"/>
      <c r="F79" s="869"/>
      <c r="G79" s="869"/>
      <c r="H79" s="869"/>
      <c r="I79" s="869"/>
      <c r="J79" s="894"/>
      <c r="K79" s="904">
        <v>39</v>
      </c>
      <c r="L79" s="869">
        <v>39</v>
      </c>
      <c r="M79" s="869">
        <v>39</v>
      </c>
      <c r="N79" s="869">
        <v>39</v>
      </c>
      <c r="O79" s="894">
        <f>SUM(K79:N79)</f>
        <v>156</v>
      </c>
      <c r="P79" s="904">
        <v>39</v>
      </c>
      <c r="Q79" s="869">
        <v>39</v>
      </c>
      <c r="R79" s="869">
        <v>39</v>
      </c>
      <c r="S79" s="869">
        <v>39</v>
      </c>
      <c r="T79" s="894">
        <f>SUM(P79:S79)</f>
        <v>156</v>
      </c>
      <c r="U79" s="904">
        <v>39</v>
      </c>
      <c r="V79" s="869">
        <v>39</v>
      </c>
      <c r="W79" s="869">
        <v>39</v>
      </c>
      <c r="X79" s="869">
        <v>39</v>
      </c>
      <c r="Y79" s="904">
        <f>SUM(U79:X79)</f>
        <v>156</v>
      </c>
      <c r="Z79" s="869"/>
      <c r="AA79" s="869"/>
      <c r="AB79" s="869"/>
      <c r="AC79" s="869"/>
      <c r="AD79" s="869"/>
      <c r="AE79" s="869"/>
      <c r="AF79" s="869"/>
      <c r="AG79" s="869"/>
    </row>
    <row r="80" spans="1:33">
      <c r="A80" s="869"/>
      <c r="B80" s="869" t="s">
        <v>1120</v>
      </c>
      <c r="C80" s="869"/>
      <c r="D80" s="869"/>
      <c r="E80" s="869"/>
      <c r="F80" s="869"/>
      <c r="G80" s="869"/>
      <c r="H80" s="869"/>
      <c r="I80" s="869"/>
      <c r="J80" s="894"/>
      <c r="K80" s="892"/>
      <c r="L80" s="892"/>
      <c r="M80" s="892"/>
      <c r="N80" s="892"/>
      <c r="O80" s="894"/>
      <c r="P80" s="892"/>
      <c r="Q80" s="892"/>
      <c r="R80" s="892"/>
      <c r="S80" s="892"/>
      <c r="T80" s="894"/>
      <c r="U80" s="869"/>
      <c r="V80" s="869"/>
      <c r="W80" s="869"/>
      <c r="X80" s="869"/>
      <c r="Y80" s="869"/>
      <c r="Z80" s="869"/>
      <c r="AA80" s="869"/>
      <c r="AB80" s="869"/>
      <c r="AC80" s="869"/>
      <c r="AD80" s="869"/>
      <c r="AE80" s="869"/>
      <c r="AF80" s="869"/>
      <c r="AG80" s="869"/>
    </row>
    <row r="81" spans="2:30">
      <c r="B81" s="869" t="s">
        <v>1121</v>
      </c>
      <c r="C81" s="869"/>
      <c r="D81" s="869"/>
      <c r="E81" s="869"/>
      <c r="F81" s="869"/>
      <c r="G81" s="869"/>
      <c r="H81" s="869"/>
      <c r="I81" s="869"/>
      <c r="J81" s="894"/>
      <c r="K81" s="892"/>
      <c r="L81" s="892"/>
      <c r="M81" s="892"/>
      <c r="N81" s="892"/>
      <c r="O81" s="894"/>
      <c r="P81" s="892"/>
      <c r="Q81" s="892"/>
      <c r="R81" s="892"/>
      <c r="S81" s="892"/>
      <c r="T81" s="894"/>
      <c r="U81" s="869"/>
      <c r="V81" s="869"/>
      <c r="W81" s="869"/>
      <c r="X81" s="869"/>
      <c r="Y81" s="869"/>
      <c r="Z81" s="869"/>
      <c r="AA81" s="869"/>
      <c r="AB81" s="869"/>
      <c r="AC81" s="869"/>
      <c r="AD81" s="869"/>
    </row>
    <row r="82" spans="2:30">
      <c r="B82" s="869" t="s">
        <v>1122</v>
      </c>
      <c r="C82" s="869"/>
      <c r="D82" s="869"/>
      <c r="E82" s="869"/>
      <c r="F82" s="869"/>
      <c r="G82" s="869"/>
      <c r="H82" s="869"/>
      <c r="I82" s="869"/>
      <c r="J82" s="894"/>
      <c r="K82" s="892"/>
      <c r="L82" s="892"/>
      <c r="M82" s="892"/>
      <c r="N82" s="892"/>
      <c r="O82" s="894"/>
      <c r="P82" s="892"/>
      <c r="Q82" s="892"/>
      <c r="R82" s="892"/>
      <c r="S82" s="892"/>
      <c r="T82" s="894"/>
      <c r="U82" s="869"/>
      <c r="V82" s="869"/>
      <c r="W82" s="869"/>
      <c r="X82" s="869"/>
      <c r="Y82" s="869"/>
      <c r="Z82" s="869"/>
      <c r="AA82" s="869"/>
      <c r="AB82" s="869"/>
      <c r="AC82" s="869"/>
      <c r="AD82" s="869"/>
    </row>
    <row r="83" spans="2:30">
      <c r="B83" s="869" t="s">
        <v>1123</v>
      </c>
      <c r="C83" s="869"/>
      <c r="D83" s="869"/>
      <c r="E83" s="869"/>
      <c r="F83" s="869"/>
      <c r="G83" s="869"/>
      <c r="H83" s="869"/>
      <c r="I83" s="869"/>
      <c r="J83" s="894"/>
      <c r="K83" s="892"/>
      <c r="L83" s="892"/>
      <c r="M83" s="892"/>
      <c r="N83" s="892"/>
      <c r="O83" s="894"/>
      <c r="P83" s="892"/>
      <c r="Q83" s="892"/>
      <c r="R83" s="892"/>
      <c r="S83" s="892"/>
      <c r="T83" s="894"/>
      <c r="U83" s="869"/>
      <c r="V83" s="869"/>
      <c r="W83" s="869"/>
      <c r="X83" s="869"/>
      <c r="Y83" s="869"/>
      <c r="Z83" s="869"/>
      <c r="AA83" s="869"/>
      <c r="AB83" s="869"/>
      <c r="AC83" s="869"/>
      <c r="AD83" s="869"/>
    </row>
    <row r="84" spans="2:30">
      <c r="B84" s="869"/>
      <c r="C84" s="869"/>
      <c r="D84" s="869"/>
      <c r="E84" s="869"/>
      <c r="F84" s="869"/>
      <c r="G84" s="869"/>
      <c r="H84" s="869"/>
      <c r="I84" s="869"/>
      <c r="J84" s="894"/>
      <c r="K84" s="892"/>
      <c r="L84" s="892"/>
      <c r="M84" s="892"/>
      <c r="N84" s="892"/>
      <c r="O84" s="894"/>
      <c r="P84" s="892"/>
      <c r="Q84" s="892"/>
      <c r="R84" s="892"/>
      <c r="S84" s="892"/>
      <c r="T84" s="894"/>
      <c r="U84" s="869"/>
      <c r="V84" s="869"/>
      <c r="W84" s="869"/>
      <c r="X84" s="869"/>
      <c r="Y84" s="869"/>
      <c r="Z84" s="869"/>
      <c r="AA84" s="869"/>
      <c r="AB84" s="869"/>
      <c r="AC84" s="869"/>
      <c r="AD84" s="869"/>
    </row>
    <row r="85" spans="2:30">
      <c r="B85" s="869"/>
      <c r="C85" s="869"/>
      <c r="D85" s="869"/>
      <c r="E85" s="869"/>
      <c r="F85" s="869"/>
      <c r="G85" s="869"/>
      <c r="H85" s="869"/>
      <c r="I85" s="869"/>
      <c r="J85" s="894"/>
      <c r="K85" s="892"/>
      <c r="L85" s="892"/>
      <c r="M85" s="892"/>
      <c r="N85" s="892"/>
      <c r="O85" s="894"/>
      <c r="P85" s="892"/>
      <c r="Q85" s="892"/>
      <c r="R85" s="892"/>
      <c r="S85" s="892"/>
      <c r="T85" s="894"/>
      <c r="U85" s="869"/>
      <c r="V85" s="869"/>
      <c r="W85" s="869"/>
      <c r="X85" s="869"/>
      <c r="Y85" s="869"/>
      <c r="Z85" s="869"/>
      <c r="AA85" s="869"/>
      <c r="AB85" s="869"/>
      <c r="AC85" s="869"/>
      <c r="AD85" s="869"/>
    </row>
    <row r="86" spans="2:30">
      <c r="B86" s="869" t="s">
        <v>1125</v>
      </c>
      <c r="C86" s="869"/>
      <c r="D86" s="869"/>
      <c r="E86" s="869"/>
      <c r="F86" s="905">
        <f>CW_Drivers!BJ6</f>
        <v>111.01600000000001</v>
      </c>
      <c r="G86" s="905">
        <f>CW_Drivers!BK6</f>
        <v>99.977000000000004</v>
      </c>
      <c r="H86" s="905">
        <f>CW_Drivers!BL6</f>
        <v>116.85299999999999</v>
      </c>
      <c r="I86" s="905">
        <f>CW_Drivers!BM6</f>
        <v>124.815</v>
      </c>
      <c r="J86" s="906">
        <f>CW_Drivers!BN6</f>
        <v>452.661</v>
      </c>
      <c r="K86" s="905">
        <f>CW_Drivers!BO6</f>
        <v>98.004000000000005</v>
      </c>
      <c r="L86" s="905">
        <f>CW_Drivers!BP6</f>
        <v>94.545000000000002</v>
      </c>
      <c r="M86" s="905">
        <f>CW_Drivers!BQ6</f>
        <v>114.431</v>
      </c>
      <c r="N86" s="905">
        <f>CW_Drivers!BR6</f>
        <v>172.76300000000001</v>
      </c>
      <c r="O86" s="906">
        <f>CW_Drivers!BS6</f>
        <v>479.74300000000005</v>
      </c>
      <c r="P86" s="905">
        <f>CW_Drivers!BT6</f>
        <v>99.879000000000005</v>
      </c>
      <c r="Q86" s="905">
        <f>CW_Drivers!BU6</f>
        <v>132.19200000000001</v>
      </c>
      <c r="R86" s="905">
        <f>CW_Drivers!BV6</f>
        <v>148.023</v>
      </c>
      <c r="S86" s="905">
        <f>CW_Drivers!BW6</f>
        <v>171.52699999999999</v>
      </c>
      <c r="T86" s="906">
        <f>CW_Drivers!BX6</f>
        <v>551.62100000000009</v>
      </c>
      <c r="U86" s="905">
        <f>CW_Drivers!BY6</f>
        <v>132.07400000000001</v>
      </c>
      <c r="V86" s="905">
        <f>CW_Drivers!BZ6</f>
        <v>154.10400000000001</v>
      </c>
      <c r="W86" s="905">
        <f>CW_Drivers!CA6</f>
        <v>158.97999999999999</v>
      </c>
      <c r="X86" s="905">
        <f>CW_Drivers!CB6</f>
        <v>171.43199999999999</v>
      </c>
      <c r="Y86" s="906">
        <f>CW_Drivers!CC6</f>
        <v>616.59</v>
      </c>
      <c r="Z86" s="905"/>
      <c r="AA86" s="905"/>
      <c r="AB86" s="905"/>
      <c r="AC86" s="905"/>
      <c r="AD86" s="906"/>
    </row>
    <row r="87" spans="2:30">
      <c r="B87" s="869"/>
      <c r="C87" s="869"/>
      <c r="D87" s="869"/>
      <c r="E87" s="869"/>
      <c r="F87" s="869"/>
      <c r="G87" s="869"/>
      <c r="H87" s="869"/>
      <c r="I87" s="869"/>
      <c r="J87" s="891"/>
      <c r="K87" s="895">
        <f t="shared" ref="K87" si="123">K86/F86-1</f>
        <v>-0.11720833033076317</v>
      </c>
      <c r="L87" s="895">
        <f t="shared" ref="L87" si="124">L86/G86-1</f>
        <v>-5.4332496474189029E-2</v>
      </c>
      <c r="M87" s="895">
        <f t="shared" ref="M87" si="125">M86/H86-1</f>
        <v>-2.0726896185806032E-2</v>
      </c>
      <c r="N87" s="895">
        <f>N86/I86-1</f>
        <v>0.38415254576773639</v>
      </c>
      <c r="O87" s="896">
        <f>O86/J86-1</f>
        <v>5.982843673300775E-2</v>
      </c>
      <c r="P87" s="895">
        <f t="shared" ref="P87" si="126">P86/K86-1</f>
        <v>1.9131872168483E-2</v>
      </c>
      <c r="Q87" s="895">
        <f t="shared" ref="Q87" si="127">Q86/L86-1</f>
        <v>0.39819133745835322</v>
      </c>
      <c r="R87" s="895">
        <f t="shared" ref="R87" si="128">R86/M86-1</f>
        <v>0.29355681589778992</v>
      </c>
      <c r="S87" s="895">
        <f t="shared" ref="S87:Y87" si="129">S86/N86-1</f>
        <v>-7.1543096612123325E-3</v>
      </c>
      <c r="T87" s="896">
        <f t="shared" si="129"/>
        <v>0.14982605269904936</v>
      </c>
      <c r="U87" s="895">
        <f t="shared" si="129"/>
        <v>0.32234003143804002</v>
      </c>
      <c r="V87" s="895">
        <f t="shared" si="129"/>
        <v>0.16575889615105299</v>
      </c>
      <c r="W87" s="895">
        <f t="shared" si="129"/>
        <v>7.4022280321301315E-2</v>
      </c>
      <c r="X87" s="895">
        <f t="shared" si="129"/>
        <v>-5.5384866522467657E-4</v>
      </c>
      <c r="Y87" s="896">
        <f t="shared" si="129"/>
        <v>0.11777832968650559</v>
      </c>
      <c r="Z87" s="869"/>
      <c r="AA87" s="869"/>
      <c r="AB87" s="869"/>
      <c r="AC87" s="869"/>
      <c r="AD87" s="869"/>
    </row>
    <row r="88" spans="2:30">
      <c r="B88" s="938" t="s">
        <v>820</v>
      </c>
      <c r="C88" s="869"/>
      <c r="D88" s="869"/>
      <c r="E88" s="869"/>
      <c r="F88" s="869"/>
      <c r="G88" s="869"/>
      <c r="H88" s="869"/>
      <c r="I88" s="869"/>
      <c r="J88" s="891"/>
      <c r="K88" s="895"/>
      <c r="L88" s="895"/>
      <c r="M88" s="895"/>
      <c r="N88" s="895"/>
      <c r="O88" s="896"/>
      <c r="P88" s="939" t="str">
        <f>CW_Drivers!BT9</f>
        <v>9-11%</v>
      </c>
      <c r="Q88" s="939" t="str">
        <f>CW_Drivers!BU9</f>
        <v>9-11%</v>
      </c>
      <c r="R88" s="939" t="str">
        <f>CW_Drivers!BV9</f>
        <v>11-13%</v>
      </c>
      <c r="S88" s="939" t="str">
        <f>CW_Drivers!BW9</f>
        <v>5-7%</v>
      </c>
      <c r="T88" s="940" t="str">
        <f>CW_Drivers!BX9</f>
        <v>5-7%</v>
      </c>
      <c r="U88" s="939"/>
      <c r="V88" s="939"/>
      <c r="W88" s="939"/>
      <c r="X88" s="939"/>
      <c r="Y88" s="940"/>
      <c r="Z88" s="869"/>
      <c r="AA88" s="869"/>
      <c r="AB88" s="869"/>
      <c r="AC88" s="869"/>
      <c r="AD88" s="869"/>
    </row>
    <row r="89" spans="2:30">
      <c r="B89" s="869"/>
      <c r="C89" s="869"/>
      <c r="D89" s="869"/>
      <c r="E89" s="869"/>
      <c r="F89" s="869"/>
      <c r="G89" s="869"/>
      <c r="H89" s="869"/>
      <c r="I89" s="869"/>
      <c r="J89" s="891"/>
      <c r="K89" s="895"/>
      <c r="L89" s="895"/>
      <c r="M89" s="895"/>
      <c r="N89" s="895"/>
      <c r="O89" s="896"/>
      <c r="P89" s="895"/>
      <c r="Q89" s="895"/>
      <c r="R89" s="895"/>
      <c r="S89" s="895"/>
      <c r="T89" s="896"/>
      <c r="U89" s="869"/>
      <c r="V89" s="869"/>
      <c r="W89" s="869"/>
      <c r="X89" s="869"/>
      <c r="Y89" s="869"/>
      <c r="Z89" s="869"/>
      <c r="AA89" s="869"/>
      <c r="AB89" s="869"/>
      <c r="AC89" s="869"/>
      <c r="AD89" s="869"/>
    </row>
    <row r="90" spans="2:30">
      <c r="B90" s="869" t="s">
        <v>651</v>
      </c>
      <c r="C90" s="869">
        <v>0.38500000000000001</v>
      </c>
      <c r="D90" s="869"/>
      <c r="E90" s="869"/>
      <c r="F90" s="955">
        <f>F72*0.34</f>
        <v>5.78</v>
      </c>
      <c r="G90" s="955">
        <f t="shared" ref="G90:I90" si="130">G72*0.34</f>
        <v>12.58</v>
      </c>
      <c r="H90" s="955">
        <f t="shared" si="130"/>
        <v>12.24</v>
      </c>
      <c r="I90" s="955">
        <f t="shared" si="130"/>
        <v>17.68</v>
      </c>
      <c r="J90" s="869"/>
      <c r="K90" s="905">
        <f>K79*$C$90</f>
        <v>15.015000000000001</v>
      </c>
      <c r="L90" s="905">
        <f>L79*$C$90</f>
        <v>15.015000000000001</v>
      </c>
      <c r="M90" s="905">
        <f>M79*$C$90</f>
        <v>15.015000000000001</v>
      </c>
      <c r="N90" s="905">
        <f>N79*$C$90</f>
        <v>15.015000000000001</v>
      </c>
      <c r="O90" s="906">
        <f>SUM(K90:N90)</f>
        <v>60.06</v>
      </c>
      <c r="P90" s="905">
        <f>P79*$C$90</f>
        <v>15.015000000000001</v>
      </c>
      <c r="Q90" s="905">
        <f>Q79*$C$90</f>
        <v>15.015000000000001</v>
      </c>
      <c r="R90" s="905">
        <f>R79*$C$90</f>
        <v>15.015000000000001</v>
      </c>
      <c r="S90" s="905">
        <f>S79*$C$90</f>
        <v>15.015000000000001</v>
      </c>
      <c r="T90" s="906">
        <f>SUM(P90:S90)</f>
        <v>60.06</v>
      </c>
      <c r="U90" s="905">
        <f>U79*$C$90</f>
        <v>15.015000000000001</v>
      </c>
      <c r="V90" s="905">
        <f>V79*$C$90</f>
        <v>15.015000000000001</v>
      </c>
      <c r="W90" s="905">
        <f>W79*$C$90</f>
        <v>15.015000000000001</v>
      </c>
      <c r="X90" s="905">
        <f>X79*$C$90</f>
        <v>15.015000000000001</v>
      </c>
      <c r="Y90" s="906">
        <f>SUM(U90:X90)</f>
        <v>60.06</v>
      </c>
      <c r="Z90" s="869"/>
      <c r="AA90" s="869"/>
      <c r="AB90" s="869"/>
      <c r="AC90" s="869"/>
      <c r="AD90" s="869"/>
    </row>
    <row r="91" spans="2:30">
      <c r="B91" s="869" t="s">
        <v>1120</v>
      </c>
      <c r="C91" s="869"/>
      <c r="D91" s="869"/>
      <c r="E91" s="869"/>
      <c r="F91" s="955"/>
      <c r="G91" s="955"/>
      <c r="H91" s="955"/>
      <c r="I91" s="955"/>
      <c r="J91" s="869"/>
      <c r="K91" s="949"/>
      <c r="L91" s="949"/>
      <c r="M91" s="949"/>
      <c r="N91" s="949"/>
      <c r="O91" s="869"/>
      <c r="P91" s="869"/>
      <c r="Q91" s="869"/>
      <c r="R91" s="869"/>
      <c r="S91" s="869"/>
      <c r="T91" s="869"/>
      <c r="U91" s="869"/>
      <c r="V91" s="869"/>
      <c r="W91" s="869"/>
      <c r="X91" s="869"/>
      <c r="Y91" s="869"/>
      <c r="Z91" s="869"/>
      <c r="AA91" s="869"/>
      <c r="AB91" s="869"/>
      <c r="AC91" s="869"/>
      <c r="AD91" s="869"/>
    </row>
    <row r="92" spans="2:30">
      <c r="B92" s="869" t="s">
        <v>1121</v>
      </c>
      <c r="C92" s="869"/>
      <c r="D92" s="869"/>
      <c r="E92" s="869"/>
      <c r="F92" s="869"/>
      <c r="G92" s="869"/>
      <c r="H92" s="869"/>
      <c r="I92" s="869"/>
      <c r="J92" s="869"/>
      <c r="K92" s="905">
        <v>4.5</v>
      </c>
      <c r="L92" s="905">
        <v>4.5</v>
      </c>
      <c r="M92" s="905">
        <v>4.5</v>
      </c>
      <c r="N92" s="905">
        <v>4.5</v>
      </c>
      <c r="O92" s="906">
        <f>SUM(K92:N92)</f>
        <v>18</v>
      </c>
      <c r="P92" s="905">
        <v>4.5</v>
      </c>
      <c r="Q92" s="905">
        <v>4.5</v>
      </c>
      <c r="R92" s="905">
        <v>4.5</v>
      </c>
      <c r="S92" s="905">
        <v>4.5</v>
      </c>
      <c r="T92" s="906">
        <f>SUM(P92:S92)</f>
        <v>18</v>
      </c>
      <c r="U92" s="905">
        <v>4.5</v>
      </c>
      <c r="V92" s="905">
        <v>4.5</v>
      </c>
      <c r="W92" s="905">
        <v>4.5</v>
      </c>
      <c r="X92" s="905">
        <v>4.5</v>
      </c>
      <c r="Y92" s="906">
        <f>SUM(U92:X92)</f>
        <v>18</v>
      </c>
      <c r="Z92" s="869"/>
      <c r="AA92" s="869"/>
      <c r="AB92" s="869"/>
      <c r="AC92" s="869"/>
      <c r="AD92" s="869"/>
    </row>
    <row r="93" spans="2:30">
      <c r="B93" s="869" t="s">
        <v>1126</v>
      </c>
      <c r="C93" s="869"/>
      <c r="D93" s="869"/>
      <c r="E93" s="869"/>
      <c r="F93" s="869"/>
      <c r="G93" s="869"/>
      <c r="H93" s="869"/>
      <c r="I93" s="869"/>
      <c r="J93" s="869"/>
      <c r="K93" s="869"/>
      <c r="L93" s="869"/>
      <c r="M93" s="869"/>
      <c r="N93" s="869"/>
      <c r="O93" s="869"/>
      <c r="P93" s="869"/>
      <c r="Q93" s="869"/>
      <c r="R93" s="869"/>
      <c r="S93" s="869"/>
      <c r="T93" s="869"/>
      <c r="U93" s="869"/>
      <c r="V93" s="869"/>
      <c r="W93" s="869"/>
      <c r="X93" s="869"/>
      <c r="Y93" s="869"/>
      <c r="Z93" s="869"/>
      <c r="AA93" s="869"/>
      <c r="AB93" s="869"/>
      <c r="AC93" s="869"/>
      <c r="AD93" s="869"/>
    </row>
    <row r="94" spans="2:30">
      <c r="B94" s="869" t="s">
        <v>1127</v>
      </c>
      <c r="C94" s="869"/>
      <c r="D94" s="869"/>
      <c r="E94" s="869"/>
      <c r="F94" s="869"/>
      <c r="G94" s="869"/>
      <c r="H94" s="869"/>
      <c r="I94" s="869"/>
      <c r="J94" s="869"/>
      <c r="K94" s="869"/>
      <c r="L94" s="869"/>
      <c r="M94" s="869"/>
      <c r="N94" s="869"/>
      <c r="O94" s="869"/>
      <c r="P94" s="869"/>
      <c r="Q94" s="869"/>
      <c r="R94" s="869"/>
      <c r="S94" s="869"/>
      <c r="T94" s="869"/>
      <c r="U94" s="869"/>
      <c r="V94" s="869"/>
      <c r="W94" s="869"/>
      <c r="X94" s="869"/>
      <c r="Y94" s="869"/>
      <c r="Z94" s="869"/>
      <c r="AA94" s="869"/>
      <c r="AB94" s="869"/>
      <c r="AC94" s="869"/>
      <c r="AD94" s="869"/>
    </row>
    <row r="97" spans="1:25">
      <c r="A97" s="869"/>
      <c r="B97" s="869" t="s">
        <v>1128</v>
      </c>
      <c r="C97" s="869"/>
      <c r="D97" s="869"/>
      <c r="E97" s="869"/>
      <c r="F97" s="869"/>
      <c r="G97" s="869"/>
      <c r="H97" s="869"/>
      <c r="I97" s="869"/>
      <c r="J97" s="869"/>
      <c r="K97" s="905">
        <f>CW_Drivers!BO11</f>
        <v>39.107999999999997</v>
      </c>
      <c r="L97" s="905">
        <f>CW_Drivers!BP11</f>
        <v>44.393000000000001</v>
      </c>
      <c r="M97" s="905">
        <f>CW_Drivers!BQ11</f>
        <v>54.89</v>
      </c>
      <c r="N97" s="905">
        <f>CW_Drivers!BR11</f>
        <v>81.347999999999999</v>
      </c>
      <c r="O97" s="905">
        <f>CW_Drivers!BS11</f>
        <v>219.73900000000003</v>
      </c>
      <c r="P97" s="905">
        <f>CW_Drivers!BT11</f>
        <v>66.256</v>
      </c>
      <c r="Q97" s="905">
        <f>CW_Drivers!BU11</f>
        <v>70.875</v>
      </c>
      <c r="R97" s="905">
        <f>CW_Drivers!BV11</f>
        <v>83.185000000000002</v>
      </c>
      <c r="S97" s="905">
        <f>CW_Drivers!BW11</f>
        <v>87.691000000000003</v>
      </c>
      <c r="T97" s="905">
        <f>CW_Drivers!BX11</f>
        <v>308.00700000000001</v>
      </c>
      <c r="U97" s="905">
        <f>CW_Drivers!BY11</f>
        <v>90.76</v>
      </c>
      <c r="V97" s="905">
        <f>CW_Drivers!BZ11</f>
        <v>84.938999999999993</v>
      </c>
      <c r="W97" s="905">
        <f>CW_Drivers!CA11</f>
        <v>92.972999999999999</v>
      </c>
      <c r="X97" s="905">
        <f>CW_Drivers!CB11</f>
        <v>84.653999999999996</v>
      </c>
      <c r="Y97" s="905">
        <f>CW_Drivers!CC11</f>
        <v>353.32600000000002</v>
      </c>
    </row>
    <row r="98" spans="1:25">
      <c r="A98" s="869"/>
      <c r="B98" s="869" t="s">
        <v>1129</v>
      </c>
      <c r="C98" s="869" t="s">
        <v>1130</v>
      </c>
      <c r="D98" s="869"/>
      <c r="E98" s="869"/>
      <c r="F98" s="869"/>
      <c r="G98" s="869"/>
      <c r="H98" s="869"/>
      <c r="I98" s="869"/>
      <c r="J98" s="869"/>
      <c r="K98" s="869"/>
      <c r="L98" s="869"/>
      <c r="M98" s="869"/>
      <c r="N98" s="869"/>
      <c r="O98" s="869"/>
      <c r="P98" s="869"/>
      <c r="Q98" s="869"/>
      <c r="R98" s="869"/>
      <c r="S98" s="869"/>
      <c r="T98" s="869"/>
      <c r="U98" s="869"/>
      <c r="V98" s="869"/>
      <c r="W98" s="869"/>
      <c r="X98" s="869"/>
      <c r="Y98" s="869"/>
    </row>
    <row r="99" spans="1:25">
      <c r="A99" s="869"/>
      <c r="B99" s="869" t="s">
        <v>1131</v>
      </c>
      <c r="C99" s="869"/>
      <c r="D99" s="869"/>
      <c r="E99" s="869"/>
      <c r="F99" s="869"/>
      <c r="G99" s="869"/>
      <c r="H99" s="869"/>
      <c r="I99" s="869"/>
      <c r="J99" s="869"/>
      <c r="K99" s="869"/>
      <c r="L99" s="869"/>
      <c r="M99" s="869"/>
      <c r="N99" s="869"/>
      <c r="O99" s="869"/>
      <c r="P99" s="869"/>
      <c r="Q99" s="869"/>
      <c r="R99" s="869"/>
      <c r="S99" s="869"/>
      <c r="T99" s="869"/>
      <c r="U99" s="869"/>
      <c r="V99" s="869"/>
      <c r="W99" s="869"/>
      <c r="X99" s="869"/>
      <c r="Y99" s="869"/>
    </row>
    <row r="100" spans="1:25">
      <c r="A100" s="869"/>
      <c r="B100" s="869" t="s">
        <v>1132</v>
      </c>
      <c r="C100" s="869"/>
      <c r="D100" s="869"/>
      <c r="E100" s="869"/>
      <c r="F100" s="869"/>
      <c r="G100" s="869"/>
      <c r="H100" s="869"/>
      <c r="I100" s="869"/>
      <c r="J100" s="869"/>
      <c r="K100" s="869"/>
      <c r="L100" s="869"/>
      <c r="M100" s="869"/>
      <c r="N100" s="869"/>
      <c r="O100" s="869"/>
      <c r="P100" s="869"/>
      <c r="Q100" s="869"/>
      <c r="R100" s="869"/>
      <c r="S100" s="869" t="s">
        <v>1133</v>
      </c>
      <c r="T100" s="869"/>
      <c r="U100" s="869"/>
      <c r="V100" s="869"/>
      <c r="W100" s="869"/>
      <c r="X100" s="869"/>
      <c r="Y100" s="869"/>
    </row>
    <row r="101" spans="1:25">
      <c r="A101" s="869"/>
      <c r="B101" s="869" t="s">
        <v>1134</v>
      </c>
      <c r="C101" s="869"/>
      <c r="D101" s="869"/>
      <c r="E101" s="869"/>
      <c r="F101" s="869"/>
      <c r="G101" s="869"/>
      <c r="H101" s="869"/>
      <c r="I101" s="869"/>
      <c r="J101" s="869"/>
      <c r="K101" s="869"/>
      <c r="L101" s="869"/>
      <c r="M101" s="869"/>
      <c r="N101" s="869"/>
      <c r="O101" s="869"/>
      <c r="P101" s="869"/>
      <c r="Q101" s="869"/>
      <c r="R101" s="869" t="s">
        <v>1135</v>
      </c>
      <c r="S101" s="869"/>
      <c r="T101" s="869"/>
      <c r="U101" s="869"/>
      <c r="V101" s="869"/>
      <c r="W101" s="869"/>
      <c r="X101" s="869"/>
      <c r="Y101" s="869"/>
    </row>
    <row r="102" spans="1:25">
      <c r="A102" s="869"/>
      <c r="B102" s="869" t="s">
        <v>1136</v>
      </c>
      <c r="C102" s="869"/>
      <c r="D102" s="869"/>
      <c r="E102" s="869"/>
      <c r="F102" s="869"/>
      <c r="G102" s="869"/>
      <c r="H102" s="869"/>
      <c r="I102" s="869"/>
      <c r="J102" s="869"/>
      <c r="K102" s="869"/>
      <c r="L102" s="869"/>
      <c r="M102" s="869"/>
      <c r="N102" s="869"/>
      <c r="O102" s="869"/>
      <c r="P102" s="869"/>
      <c r="Q102" s="869"/>
      <c r="R102" s="869"/>
      <c r="S102" s="869"/>
      <c r="T102" s="869"/>
      <c r="U102" s="869"/>
      <c r="V102" s="869"/>
      <c r="W102" s="869"/>
      <c r="X102" s="869"/>
      <c r="Y102" s="869"/>
    </row>
    <row r="103" spans="1:25">
      <c r="A103" s="869"/>
      <c r="B103" s="869" t="s">
        <v>1137</v>
      </c>
      <c r="C103" s="956">
        <v>0.25</v>
      </c>
      <c r="D103" s="869"/>
      <c r="E103" s="869"/>
      <c r="F103" s="869"/>
      <c r="G103" s="869"/>
      <c r="H103" s="869"/>
      <c r="I103" s="869"/>
      <c r="J103" s="869"/>
      <c r="K103" s="869"/>
      <c r="L103" s="869"/>
      <c r="M103" s="869"/>
      <c r="N103" s="869"/>
      <c r="O103" s="869"/>
      <c r="P103" s="869"/>
      <c r="Q103" s="869"/>
      <c r="R103" s="869"/>
      <c r="S103" s="869"/>
      <c r="T103" s="869"/>
      <c r="U103" s="869"/>
      <c r="V103" s="869"/>
      <c r="W103" s="869"/>
      <c r="X103" s="869"/>
      <c r="Y103" s="869"/>
    </row>
    <row r="104" spans="1:25">
      <c r="A104" s="869"/>
      <c r="B104" s="869" t="s">
        <v>1138</v>
      </c>
      <c r="C104" s="956">
        <v>0.25</v>
      </c>
      <c r="D104" s="869"/>
      <c r="E104" s="869"/>
      <c r="F104" s="869"/>
      <c r="G104" s="869"/>
      <c r="H104" s="869"/>
      <c r="I104" s="869"/>
      <c r="J104" s="869"/>
      <c r="K104" s="869"/>
      <c r="L104" s="869"/>
      <c r="M104" s="869"/>
      <c r="N104" s="869"/>
      <c r="O104" s="869"/>
      <c r="P104" s="869"/>
      <c r="Q104" s="869"/>
      <c r="R104" s="869"/>
      <c r="S104" s="869"/>
      <c r="T104" s="869"/>
      <c r="U104" s="869"/>
      <c r="V104" s="869"/>
      <c r="W104" s="869"/>
      <c r="X104" s="869"/>
      <c r="Y104" s="869"/>
    </row>
    <row r="106" spans="1:25">
      <c r="A106" s="869"/>
      <c r="B106" s="890" t="s">
        <v>221</v>
      </c>
      <c r="C106" s="869"/>
      <c r="D106" s="869"/>
      <c r="E106" s="869"/>
      <c r="F106" s="905">
        <f>CW_Drivers!BJ57</f>
        <v>99.921000000000006</v>
      </c>
      <c r="G106" s="905">
        <f>CW_Drivers!BK57</f>
        <v>117.919</v>
      </c>
      <c r="H106" s="905">
        <f>CW_Drivers!BL57</f>
        <v>105.264</v>
      </c>
      <c r="I106" s="905">
        <f>CW_Drivers!BM57</f>
        <v>120.515</v>
      </c>
      <c r="J106" s="905">
        <f>CW_Drivers!BN57</f>
        <v>443.61899999999997</v>
      </c>
      <c r="K106" s="905">
        <f>CW_Drivers!BO57</f>
        <v>104.788</v>
      </c>
      <c r="L106" s="905">
        <f>CW_Drivers!BP57</f>
        <v>125.355</v>
      </c>
      <c r="M106" s="905">
        <f>CW_Drivers!BQ57</f>
        <v>110.559</v>
      </c>
      <c r="N106" s="905">
        <f>CW_Drivers!BR57</f>
        <v>131.59800000000001</v>
      </c>
      <c r="O106" s="906">
        <f>CW_Drivers!BS57</f>
        <v>472.3</v>
      </c>
      <c r="P106" s="905">
        <f>CW_Drivers!BT57</f>
        <v>120.339</v>
      </c>
      <c r="Q106" s="905">
        <f>CW_Drivers!BU57</f>
        <v>131</v>
      </c>
      <c r="R106" s="905">
        <f>CW_Drivers!BV57</f>
        <v>122.11799999999999</v>
      </c>
      <c r="S106" s="905">
        <f>CW_Drivers!BW57</f>
        <v>136.541</v>
      </c>
      <c r="T106" s="906">
        <f>CW_Drivers!BX57</f>
        <v>509.99799999999999</v>
      </c>
      <c r="U106" s="869"/>
      <c r="V106" s="869"/>
      <c r="W106" s="869"/>
      <c r="X106" s="869"/>
      <c r="Y106" s="869"/>
    </row>
    <row r="107" spans="1:25">
      <c r="A107" s="867"/>
      <c r="B107" s="869" t="s">
        <v>1139</v>
      </c>
      <c r="C107" s="869"/>
      <c r="D107" s="869"/>
      <c r="E107" s="869"/>
      <c r="F107" s="905">
        <f>0.65*F106</f>
        <v>64.948650000000001</v>
      </c>
      <c r="G107" s="905">
        <f>0.65*G106</f>
        <v>76.647350000000003</v>
      </c>
      <c r="H107" s="905">
        <f>0.65*H106</f>
        <v>68.421599999999998</v>
      </c>
      <c r="I107" s="905">
        <f>0.65*I106</f>
        <v>78.33475</v>
      </c>
      <c r="J107" s="906">
        <f>SUM(F107:I107)</f>
        <v>288.35235</v>
      </c>
      <c r="K107" s="905">
        <f>0.6*K106</f>
        <v>62.872799999999998</v>
      </c>
      <c r="L107" s="905">
        <f>0.6*L106</f>
        <v>75.212999999999994</v>
      </c>
      <c r="M107" s="905">
        <f>0.6*M106</f>
        <v>66.335399999999993</v>
      </c>
      <c r="N107" s="905">
        <f>0.6*N106</f>
        <v>78.958800000000011</v>
      </c>
      <c r="O107" s="906">
        <f>SUM(K107:N107)</f>
        <v>283.38</v>
      </c>
      <c r="P107" s="905">
        <f>0.6*P106</f>
        <v>72.203400000000002</v>
      </c>
      <c r="Q107" s="905">
        <f>0.6*Q106</f>
        <v>78.599999999999994</v>
      </c>
      <c r="R107" s="905">
        <f>0.6*R106</f>
        <v>73.270799999999994</v>
      </c>
      <c r="S107" s="905">
        <f>0.55*S106</f>
        <v>75.097549999999998</v>
      </c>
      <c r="T107" s="906">
        <f>SUM(P107:S107)</f>
        <v>299.17175000000003</v>
      </c>
      <c r="U107" s="869"/>
      <c r="V107" s="869"/>
      <c r="W107" s="869"/>
      <c r="X107" s="869"/>
      <c r="Y107" s="869"/>
    </row>
    <row r="108" spans="1:25">
      <c r="A108" s="869"/>
      <c r="B108" s="869" t="s">
        <v>1140</v>
      </c>
      <c r="C108" s="869"/>
      <c r="D108" s="869"/>
      <c r="E108" s="869"/>
      <c r="F108" s="869"/>
      <c r="G108" s="869"/>
      <c r="H108" s="869"/>
      <c r="I108" s="869"/>
      <c r="J108" s="869"/>
      <c r="K108" s="895">
        <f t="shared" ref="K108:T108" si="131">K107/F107-1</f>
        <v>-3.196140335480413E-2</v>
      </c>
      <c r="L108" s="895">
        <f t="shared" si="131"/>
        <v>-1.8713628064114585E-2</v>
      </c>
      <c r="M108" s="895">
        <f t="shared" si="131"/>
        <v>-3.0490371461643795E-2</v>
      </c>
      <c r="N108" s="895">
        <f t="shared" si="131"/>
        <v>7.966451670555097E-3</v>
      </c>
      <c r="O108" s="896">
        <f t="shared" si="131"/>
        <v>-1.7244007201606015E-2</v>
      </c>
      <c r="P108" s="895">
        <f t="shared" si="131"/>
        <v>0.14840439745008971</v>
      </c>
      <c r="Q108" s="895">
        <f t="shared" si="131"/>
        <v>4.5032108810976856E-2</v>
      </c>
      <c r="R108" s="895">
        <f t="shared" si="131"/>
        <v>0.10455051149160188</v>
      </c>
      <c r="S108" s="895">
        <f t="shared" si="131"/>
        <v>-4.8902085644665472E-2</v>
      </c>
      <c r="T108" s="896">
        <f t="shared" si="131"/>
        <v>5.5726409767803187E-2</v>
      </c>
      <c r="U108" s="869"/>
      <c r="V108" s="869"/>
      <c r="W108" s="869"/>
      <c r="X108" s="869"/>
      <c r="Y108" s="869"/>
    </row>
    <row r="109" spans="1:25">
      <c r="A109" s="869"/>
      <c r="B109" s="869" t="s">
        <v>1106</v>
      </c>
      <c r="C109" s="869" t="s">
        <v>1141</v>
      </c>
      <c r="D109" s="869"/>
      <c r="E109" s="869"/>
      <c r="F109" s="869"/>
      <c r="G109" s="869"/>
      <c r="H109" s="869"/>
      <c r="I109" s="869"/>
      <c r="J109" s="869"/>
      <c r="K109" s="905"/>
      <c r="L109" s="905"/>
      <c r="M109" s="905"/>
      <c r="N109" s="905"/>
      <c r="O109" s="906">
        <f>SUM(K109:N109)</f>
        <v>0</v>
      </c>
      <c r="P109" s="905"/>
      <c r="Q109" s="905">
        <f>0.9*Q107</f>
        <v>70.739999999999995</v>
      </c>
      <c r="R109" s="905">
        <f>0.9*R107</f>
        <v>65.943719999999999</v>
      </c>
      <c r="S109" s="905">
        <f>0.9*S107</f>
        <v>67.587795</v>
      </c>
      <c r="T109" s="906">
        <f>SUM(P109:S109)</f>
        <v>204.27151499999999</v>
      </c>
      <c r="U109" s="869"/>
      <c r="V109" s="869"/>
      <c r="W109" s="869"/>
      <c r="X109" s="869"/>
      <c r="Y109" s="869"/>
    </row>
    <row r="110" spans="1:25">
      <c r="A110" s="869"/>
      <c r="B110" s="869"/>
      <c r="C110" s="869"/>
      <c r="D110" s="869"/>
      <c r="E110" s="869"/>
      <c r="F110" s="869"/>
      <c r="G110" s="869"/>
      <c r="H110" s="869"/>
      <c r="I110" s="869"/>
      <c r="J110" s="869"/>
      <c r="K110" s="905"/>
      <c r="L110" s="905"/>
      <c r="M110" s="905"/>
      <c r="N110" s="905"/>
      <c r="O110" s="906"/>
      <c r="P110" s="905"/>
      <c r="Q110" s="905"/>
      <c r="R110" s="905"/>
      <c r="S110" s="905"/>
      <c r="T110" s="906"/>
      <c r="U110" s="869"/>
      <c r="V110" s="869"/>
      <c r="W110" s="869"/>
      <c r="X110" s="869"/>
      <c r="Y110" s="869"/>
    </row>
    <row r="111" spans="1:25">
      <c r="A111" s="869"/>
      <c r="B111" s="869"/>
      <c r="C111" s="869"/>
      <c r="D111" s="869"/>
      <c r="E111" s="869"/>
      <c r="F111" s="869"/>
      <c r="G111" s="869"/>
      <c r="H111" s="869"/>
      <c r="I111" s="869"/>
      <c r="J111" s="869"/>
      <c r="K111" s="905"/>
      <c r="L111" s="905"/>
      <c r="M111" s="905"/>
      <c r="N111" s="905"/>
      <c r="O111" s="906"/>
      <c r="P111" s="905"/>
      <c r="Q111" s="905"/>
      <c r="R111" s="905"/>
      <c r="S111" s="905"/>
      <c r="T111" s="906"/>
      <c r="U111" s="869"/>
      <c r="V111" s="869"/>
      <c r="W111" s="869"/>
      <c r="X111" s="869"/>
      <c r="Y111" s="869"/>
    </row>
    <row r="112" spans="1:25">
      <c r="A112" s="869"/>
      <c r="B112" s="869"/>
      <c r="C112" s="869"/>
      <c r="D112" s="869"/>
      <c r="E112" s="869"/>
      <c r="F112" s="869"/>
      <c r="G112" s="869"/>
      <c r="H112" s="869"/>
      <c r="I112" s="869"/>
      <c r="J112" s="869"/>
      <c r="K112" s="905"/>
      <c r="L112" s="905"/>
      <c r="M112" s="905"/>
      <c r="N112" s="905"/>
      <c r="O112" s="906"/>
      <c r="P112" s="905"/>
      <c r="Q112" s="905"/>
      <c r="R112" s="905"/>
      <c r="S112" s="905"/>
      <c r="T112" s="906"/>
      <c r="U112" s="869"/>
      <c r="V112" s="869"/>
      <c r="W112" s="869"/>
      <c r="X112" s="869"/>
      <c r="Y112" s="869"/>
    </row>
    <row r="113" spans="1:25">
      <c r="A113" s="869"/>
      <c r="B113" s="869"/>
      <c r="C113" s="869"/>
      <c r="D113" s="869"/>
      <c r="E113" s="869"/>
      <c r="F113" s="869"/>
      <c r="G113" s="869"/>
      <c r="H113" s="869"/>
      <c r="I113" s="869"/>
      <c r="J113" s="869"/>
      <c r="K113" s="905"/>
      <c r="L113" s="905"/>
      <c r="M113" s="905"/>
      <c r="N113" s="905"/>
      <c r="O113" s="906"/>
      <c r="P113" s="905"/>
      <c r="Q113" s="905"/>
      <c r="R113" s="905"/>
      <c r="S113" s="905"/>
      <c r="T113" s="906"/>
      <c r="U113" s="869"/>
      <c r="V113" s="869"/>
      <c r="W113" s="869"/>
      <c r="X113" s="869"/>
      <c r="Y113" s="869"/>
    </row>
    <row r="114" spans="1:25">
      <c r="A114" s="869"/>
      <c r="B114" s="869" t="s">
        <v>1142</v>
      </c>
      <c r="C114" s="869">
        <v>95</v>
      </c>
      <c r="D114" s="869"/>
      <c r="E114" s="869"/>
      <c r="F114" s="869"/>
      <c r="G114" s="869"/>
      <c r="H114" s="869"/>
      <c r="I114" s="869"/>
      <c r="J114" s="869"/>
      <c r="K114" s="869"/>
      <c r="L114" s="869"/>
      <c r="M114" s="869"/>
      <c r="N114" s="869"/>
      <c r="O114" s="869"/>
      <c r="P114" s="869"/>
      <c r="Q114" s="869"/>
      <c r="R114" s="869"/>
      <c r="S114" s="869"/>
      <c r="T114" s="869"/>
      <c r="U114" s="869"/>
      <c r="V114" s="869"/>
      <c r="W114" s="869"/>
      <c r="X114" s="869"/>
      <c r="Y114" s="869"/>
    </row>
    <row r="115" spans="1:25">
      <c r="A115" s="869"/>
      <c r="B115" s="869" t="s">
        <v>1143</v>
      </c>
      <c r="C115" s="869">
        <v>19</v>
      </c>
      <c r="D115" s="869"/>
      <c r="E115" s="869"/>
      <c r="F115" s="869"/>
      <c r="G115" s="869"/>
      <c r="H115" s="869"/>
      <c r="I115" s="869"/>
      <c r="J115" s="869"/>
      <c r="K115" s="869"/>
      <c r="L115" s="869"/>
      <c r="M115" s="869"/>
      <c r="N115" s="869"/>
      <c r="O115" s="869"/>
      <c r="P115" s="869"/>
      <c r="Q115" s="869"/>
      <c r="R115" s="869"/>
      <c r="S115" s="869"/>
      <c r="T115" s="869"/>
      <c r="U115" s="869"/>
      <c r="V115" s="869"/>
      <c r="W115" s="869"/>
      <c r="X115" s="869"/>
      <c r="Y115" s="869"/>
    </row>
    <row r="116" spans="1:25">
      <c r="A116" s="869"/>
      <c r="B116" s="869" t="s">
        <v>1144</v>
      </c>
      <c r="C116" s="869">
        <v>14</v>
      </c>
      <c r="D116" s="869"/>
      <c r="E116" s="869"/>
      <c r="F116" s="869"/>
      <c r="G116" s="869"/>
      <c r="H116" s="869"/>
      <c r="I116" s="869"/>
      <c r="J116" s="869"/>
      <c r="K116" s="869"/>
      <c r="L116" s="869"/>
      <c r="M116" s="869"/>
      <c r="N116" s="869"/>
      <c r="O116" s="869"/>
      <c r="P116" s="869"/>
      <c r="Q116" s="869"/>
      <c r="R116" s="869"/>
      <c r="S116" s="869"/>
      <c r="T116" s="869"/>
      <c r="U116" s="869"/>
      <c r="V116" s="869"/>
      <c r="W116" s="869"/>
      <c r="X116" s="869"/>
      <c r="Y116" s="869"/>
    </row>
    <row r="117" spans="1:25">
      <c r="A117" s="869"/>
      <c r="B117" s="869"/>
      <c r="C117" s="869">
        <f>SUM(C114:C116)</f>
        <v>128</v>
      </c>
      <c r="D117" s="869"/>
      <c r="E117" s="869"/>
      <c r="F117" s="869"/>
      <c r="G117" s="869"/>
      <c r="H117" s="869"/>
      <c r="I117" s="869"/>
      <c r="J117" s="869"/>
      <c r="K117" s="869"/>
      <c r="L117" s="869"/>
      <c r="M117" s="869"/>
      <c r="N117" s="869"/>
      <c r="O117" s="869"/>
      <c r="P117" s="869"/>
      <c r="Q117" s="869"/>
      <c r="R117" s="869"/>
      <c r="S117" s="869"/>
      <c r="T117" s="869"/>
      <c r="U117" s="869"/>
      <c r="V117" s="869"/>
      <c r="W117" s="869"/>
      <c r="X117" s="869"/>
      <c r="Y117" s="869"/>
    </row>
    <row r="118" spans="1:25">
      <c r="A118" s="869"/>
      <c r="B118" s="869"/>
      <c r="C118" s="869"/>
      <c r="D118" s="869"/>
      <c r="E118" s="869"/>
      <c r="F118" s="869"/>
      <c r="G118" s="869"/>
      <c r="H118" s="869"/>
      <c r="I118" s="869"/>
      <c r="J118" s="869"/>
      <c r="K118" s="869"/>
      <c r="L118" s="869"/>
      <c r="M118" s="869"/>
      <c r="N118" s="869"/>
      <c r="O118" s="869"/>
      <c r="P118" s="869"/>
      <c r="Q118" s="869"/>
      <c r="R118" s="869"/>
      <c r="S118" s="869"/>
      <c r="T118" s="869"/>
      <c r="U118" s="869"/>
      <c r="V118" s="869"/>
      <c r="W118" s="869"/>
      <c r="X118" s="869"/>
      <c r="Y118" s="869"/>
    </row>
    <row r="119" spans="1:25">
      <c r="A119" s="869"/>
      <c r="B119" s="869" t="s">
        <v>1145</v>
      </c>
      <c r="C119" s="869"/>
      <c r="D119" s="869"/>
      <c r="E119" s="869"/>
      <c r="F119" s="869"/>
      <c r="G119" s="869"/>
      <c r="H119" s="869"/>
      <c r="I119" s="869"/>
      <c r="J119" s="869"/>
      <c r="K119" s="905"/>
      <c r="L119" s="905"/>
      <c r="M119" s="905"/>
      <c r="N119" s="905"/>
      <c r="O119" s="905"/>
      <c r="P119" s="905"/>
      <c r="Q119" s="905">
        <f>0.1*Q107</f>
        <v>7.8599999999999994</v>
      </c>
      <c r="R119" s="905">
        <f>0.1*R107</f>
        <v>7.3270799999999996</v>
      </c>
      <c r="S119" s="905">
        <f>0.1*S107</f>
        <v>7.5097550000000002</v>
      </c>
      <c r="T119" s="869"/>
      <c r="U119" s="869"/>
      <c r="V119" s="869"/>
      <c r="W119" s="869"/>
      <c r="X119" s="869"/>
      <c r="Y119" s="869"/>
    </row>
    <row r="120" spans="1:25">
      <c r="A120" s="869"/>
      <c r="B120" s="869" t="s">
        <v>1146</v>
      </c>
      <c r="C120" s="869"/>
      <c r="D120" s="869"/>
      <c r="E120" s="869"/>
      <c r="F120" s="869"/>
      <c r="G120" s="869"/>
      <c r="H120" s="869"/>
      <c r="I120" s="869"/>
      <c r="J120" s="869"/>
      <c r="K120" s="869"/>
      <c r="L120" s="869"/>
      <c r="M120" s="869"/>
      <c r="N120" s="869"/>
      <c r="O120" s="869"/>
      <c r="P120" s="869"/>
      <c r="Q120" s="869"/>
      <c r="R120" s="869"/>
      <c r="S120" s="869"/>
      <c r="T120" s="869"/>
      <c r="U120" s="869"/>
      <c r="V120" s="869"/>
      <c r="W120" s="869"/>
      <c r="X120" s="869"/>
      <c r="Y120" s="869"/>
    </row>
    <row r="121" spans="1:25">
      <c r="A121" s="869"/>
      <c r="B121" s="869" t="s">
        <v>1147</v>
      </c>
      <c r="C121" s="954">
        <v>28</v>
      </c>
      <c r="D121" s="869"/>
      <c r="E121" s="869"/>
      <c r="F121" s="869"/>
      <c r="G121" s="869"/>
      <c r="H121" s="869"/>
      <c r="I121" s="869"/>
      <c r="J121" s="869"/>
      <c r="K121" s="869"/>
      <c r="L121" s="869"/>
      <c r="M121" s="869"/>
      <c r="N121" s="869"/>
      <c r="O121" s="869"/>
      <c r="P121" s="869"/>
      <c r="Q121" s="869"/>
      <c r="R121" s="869"/>
      <c r="S121" s="869"/>
      <c r="T121" s="869"/>
      <c r="U121" s="869"/>
      <c r="V121" s="869"/>
      <c r="W121" s="869"/>
      <c r="X121" s="869"/>
      <c r="Y121" s="869"/>
    </row>
    <row r="122" spans="1:25">
      <c r="A122" s="869"/>
      <c r="B122" s="869"/>
      <c r="C122" s="869"/>
      <c r="D122" s="869"/>
      <c r="E122" s="869"/>
      <c r="F122" s="869"/>
      <c r="G122" s="869"/>
      <c r="H122" s="869"/>
      <c r="I122" s="869"/>
      <c r="J122" s="869"/>
      <c r="K122" s="869"/>
      <c r="L122" s="869"/>
      <c r="M122" s="869"/>
      <c r="N122" s="869"/>
      <c r="O122" s="869"/>
      <c r="P122" s="869"/>
      <c r="Q122" s="869"/>
      <c r="R122" s="869"/>
      <c r="S122" s="869"/>
      <c r="T122" s="869"/>
      <c r="U122" s="869"/>
      <c r="V122" s="869"/>
      <c r="W122" s="869"/>
      <c r="X122" s="869"/>
      <c r="Y122" s="869"/>
    </row>
    <row r="123" spans="1:25">
      <c r="A123" s="869"/>
      <c r="B123" s="869"/>
      <c r="C123" s="869"/>
      <c r="D123" s="869"/>
      <c r="E123" s="869"/>
      <c r="F123" s="869"/>
      <c r="G123" s="869"/>
      <c r="H123" s="869"/>
      <c r="I123" s="869"/>
      <c r="J123" s="869"/>
      <c r="K123" s="869"/>
      <c r="L123" s="869"/>
      <c r="M123" s="869"/>
      <c r="N123" s="869"/>
      <c r="O123" s="869"/>
      <c r="P123" s="869"/>
      <c r="Q123" s="869"/>
      <c r="R123" s="869"/>
      <c r="S123" s="869">
        <v>2023</v>
      </c>
      <c r="T123" s="869">
        <v>2024</v>
      </c>
      <c r="U123" s="869">
        <v>2025</v>
      </c>
      <c r="V123" s="869">
        <v>2026</v>
      </c>
      <c r="W123" s="869"/>
      <c r="X123" s="869"/>
      <c r="Y123" s="869"/>
    </row>
    <row r="124" spans="1:25">
      <c r="A124" s="869"/>
      <c r="B124" s="869"/>
      <c r="C124" s="869"/>
      <c r="D124" s="869"/>
      <c r="E124" s="869"/>
      <c r="F124" s="869"/>
      <c r="G124" s="869"/>
      <c r="H124" s="869"/>
      <c r="I124" s="869"/>
      <c r="J124" s="869"/>
      <c r="K124" s="869"/>
      <c r="L124" s="869"/>
      <c r="M124" s="869"/>
      <c r="N124" s="869"/>
      <c r="O124" s="869"/>
      <c r="P124" s="869"/>
      <c r="Q124" s="869"/>
      <c r="R124" s="869"/>
      <c r="S124" s="869">
        <v>9.44</v>
      </c>
      <c r="T124" s="869">
        <f>S124*1.1</f>
        <v>10.384</v>
      </c>
      <c r="U124" s="869">
        <f>T124*1.1</f>
        <v>11.422400000000001</v>
      </c>
      <c r="V124" s="869">
        <f>U124*1.1</f>
        <v>12.564640000000002</v>
      </c>
      <c r="W124" s="869"/>
      <c r="X124" s="869"/>
      <c r="Y124" s="869"/>
    </row>
  </sheetData>
  <pageMargins left="0.7" right="0.7" top="0.75" bottom="0.75" header="0.3" footer="0.3"/>
  <ignoredErrors>
    <ignoredError sqref="O35 O40 O23:O31 O33 O37:O38"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E0506-E38E-4B55-9955-9431E63E380D}">
  <dimension ref="A1:N30"/>
  <sheetViews>
    <sheetView workbookViewId="0">
      <selection activeCell="A3" sqref="A3"/>
    </sheetView>
  </sheetViews>
  <sheetFormatPr defaultRowHeight="11.25"/>
  <cols>
    <col min="1" max="1" width="20.6640625" customWidth="1"/>
    <col min="2" max="2" width="9.5" bestFit="1" customWidth="1"/>
    <col min="3" max="3" width="16.5" bestFit="1" customWidth="1"/>
    <col min="4" max="4" width="17.5" bestFit="1" customWidth="1"/>
    <col min="5" max="5" width="22.33203125" bestFit="1" customWidth="1"/>
    <col min="6" max="6" width="14.1640625" bestFit="1" customWidth="1"/>
    <col min="7" max="7" width="9.5" bestFit="1" customWidth="1"/>
    <col min="8" max="8" width="25.33203125" bestFit="1" customWidth="1"/>
  </cols>
  <sheetData>
    <row r="1" spans="1:14" ht="25.5">
      <c r="A1" s="883" t="s">
        <v>1148</v>
      </c>
      <c r="B1" s="884">
        <v>28</v>
      </c>
      <c r="C1" s="885"/>
      <c r="D1" s="885"/>
      <c r="E1" s="885"/>
      <c r="F1" s="885"/>
      <c r="G1" s="885"/>
      <c r="H1" s="885"/>
      <c r="M1" s="886" t="s">
        <v>778</v>
      </c>
    </row>
    <row r="2" spans="1:14" ht="12.75">
      <c r="A2" s="885"/>
      <c r="B2" s="885"/>
      <c r="C2" s="885"/>
      <c r="D2" s="885"/>
      <c r="E2" s="885"/>
      <c r="F2" s="885"/>
      <c r="G2" s="885"/>
      <c r="H2" s="885"/>
      <c r="M2" s="882" t="s">
        <v>1149</v>
      </c>
    </row>
    <row r="3" spans="1:14" ht="12.75">
      <c r="A3" s="885"/>
      <c r="B3" s="885"/>
      <c r="C3" s="885"/>
      <c r="D3" s="885"/>
      <c r="E3" s="885"/>
      <c r="F3" s="885"/>
      <c r="G3" s="885"/>
      <c r="H3" s="885"/>
      <c r="M3" s="882" t="s">
        <v>1150</v>
      </c>
    </row>
    <row r="4" spans="1:14" ht="12.75">
      <c r="A4" s="885"/>
      <c r="B4" s="885"/>
      <c r="C4" s="886" t="s">
        <v>1151</v>
      </c>
      <c r="D4" s="886" t="s">
        <v>1152</v>
      </c>
      <c r="E4" s="886" t="s">
        <v>1153</v>
      </c>
      <c r="F4" s="886" t="s">
        <v>1154</v>
      </c>
      <c r="G4" s="886" t="s">
        <v>606</v>
      </c>
      <c r="H4" s="886" t="s">
        <v>1155</v>
      </c>
    </row>
    <row r="5" spans="1:14" ht="12.75">
      <c r="A5" s="885"/>
      <c r="B5" s="885"/>
      <c r="C5" s="884" t="s">
        <v>1156</v>
      </c>
      <c r="D5" s="887">
        <v>45230</v>
      </c>
      <c r="E5" s="887"/>
      <c r="F5" s="884">
        <v>4</v>
      </c>
      <c r="G5" s="884">
        <f t="shared" ref="G5:G6" si="0">4*F5</f>
        <v>16</v>
      </c>
      <c r="H5" s="888">
        <f>G5*$B$1</f>
        <v>448</v>
      </c>
      <c r="M5" s="882" t="s">
        <v>1157</v>
      </c>
    </row>
    <row r="6" spans="1:14" ht="12.75">
      <c r="A6" s="885"/>
      <c r="B6" s="885"/>
      <c r="C6" s="884" t="s">
        <v>754</v>
      </c>
      <c r="D6" s="887">
        <v>45069</v>
      </c>
      <c r="E6" s="887"/>
      <c r="F6" s="884">
        <v>6</v>
      </c>
      <c r="G6" s="884">
        <f t="shared" si="0"/>
        <v>24</v>
      </c>
      <c r="H6" s="888">
        <f t="shared" ref="H6:H12" si="1">G6*$B$1</f>
        <v>672</v>
      </c>
    </row>
    <row r="7" spans="1:14" ht="12.75">
      <c r="A7" s="885"/>
      <c r="B7" s="885"/>
      <c r="C7" s="884" t="s">
        <v>1158</v>
      </c>
      <c r="D7" s="887">
        <v>45226</v>
      </c>
      <c r="E7" s="887"/>
      <c r="F7" s="884">
        <v>2</v>
      </c>
      <c r="G7" s="884">
        <f>4*F7</f>
        <v>8</v>
      </c>
      <c r="H7" s="888">
        <f t="shared" si="1"/>
        <v>224</v>
      </c>
    </row>
    <row r="8" spans="1:14" ht="12.75">
      <c r="A8" s="885"/>
      <c r="B8" s="885"/>
      <c r="C8" s="884" t="s">
        <v>1159</v>
      </c>
      <c r="D8" s="884"/>
      <c r="E8" s="884"/>
      <c r="F8" s="884"/>
      <c r="G8" s="884">
        <f t="shared" ref="G8:G12" si="2">4*F8</f>
        <v>0</v>
      </c>
      <c r="H8" s="888">
        <f t="shared" si="1"/>
        <v>0</v>
      </c>
      <c r="I8" s="882"/>
      <c r="M8" s="898"/>
      <c r="N8" s="882"/>
    </row>
    <row r="9" spans="1:14" ht="12.75">
      <c r="A9" s="885"/>
      <c r="B9" s="885"/>
      <c r="C9" s="884" t="s">
        <v>762</v>
      </c>
      <c r="D9" s="884"/>
      <c r="E9" s="884"/>
      <c r="F9" s="884"/>
      <c r="G9" s="884">
        <f t="shared" si="2"/>
        <v>0</v>
      </c>
      <c r="H9" s="888">
        <f t="shared" si="1"/>
        <v>0</v>
      </c>
      <c r="I9" s="882"/>
      <c r="M9" s="899"/>
      <c r="N9" s="882"/>
    </row>
    <row r="10" spans="1:14" ht="12.75">
      <c r="A10" s="885"/>
      <c r="B10" s="885"/>
      <c r="C10" s="884" t="s">
        <v>1160</v>
      </c>
      <c r="D10" s="884"/>
      <c r="E10" s="884"/>
      <c r="F10" s="884"/>
      <c r="G10" s="884">
        <f t="shared" si="2"/>
        <v>0</v>
      </c>
      <c r="H10" s="888">
        <f t="shared" si="1"/>
        <v>0</v>
      </c>
      <c r="I10" s="882"/>
    </row>
    <row r="11" spans="1:14" ht="12.75">
      <c r="A11" s="885"/>
      <c r="B11" s="885"/>
      <c r="C11" s="884" t="s">
        <v>1143</v>
      </c>
      <c r="D11" s="884"/>
      <c r="E11" s="884"/>
      <c r="F11" s="884"/>
      <c r="G11" s="884">
        <f t="shared" si="2"/>
        <v>0</v>
      </c>
      <c r="H11" s="888">
        <f t="shared" si="1"/>
        <v>0</v>
      </c>
      <c r="I11" s="882"/>
    </row>
    <row r="12" spans="1:14" ht="12.75">
      <c r="A12" s="885"/>
      <c r="B12" s="885"/>
      <c r="C12" s="884" t="s">
        <v>1142</v>
      </c>
      <c r="D12" s="884"/>
      <c r="E12" s="884"/>
      <c r="F12" s="884">
        <v>92</v>
      </c>
      <c r="G12" s="884">
        <f t="shared" si="2"/>
        <v>368</v>
      </c>
      <c r="H12" s="888">
        <f t="shared" si="1"/>
        <v>10304</v>
      </c>
      <c r="I12" s="882"/>
    </row>
    <row r="13" spans="1:14" ht="12.75">
      <c r="A13" s="885"/>
      <c r="B13" s="885"/>
      <c r="C13" s="884"/>
      <c r="D13" s="884"/>
      <c r="E13" s="884"/>
      <c r="F13" s="884"/>
      <c r="G13" s="884"/>
      <c r="H13" s="884"/>
      <c r="I13" s="882"/>
    </row>
    <row r="14" spans="1:14" ht="12.75">
      <c r="A14" s="885"/>
      <c r="B14" s="885"/>
      <c r="C14" s="884"/>
      <c r="D14" s="884"/>
      <c r="E14" s="884"/>
      <c r="F14" s="884"/>
      <c r="G14" s="884"/>
      <c r="H14" s="889">
        <f>SUM(H5:H12)</f>
        <v>11648</v>
      </c>
      <c r="I14" s="882"/>
    </row>
    <row r="15" spans="1:14">
      <c r="C15" s="882"/>
      <c r="D15" s="882"/>
      <c r="E15" s="882"/>
      <c r="F15" s="882"/>
      <c r="G15" s="882"/>
      <c r="H15" s="882"/>
      <c r="I15" s="882"/>
    </row>
    <row r="16" spans="1:14" ht="12.75">
      <c r="C16" s="897" t="s">
        <v>1106</v>
      </c>
      <c r="D16" s="882" t="s">
        <v>1154</v>
      </c>
      <c r="E16" s="882"/>
      <c r="F16" s="882"/>
      <c r="G16" s="882"/>
      <c r="H16" s="882"/>
      <c r="I16" s="882"/>
    </row>
    <row r="17" spans="3:9" ht="12.75">
      <c r="C17" s="884" t="s">
        <v>1161</v>
      </c>
      <c r="D17" s="886"/>
      <c r="E17" s="886"/>
      <c r="F17" s="886"/>
      <c r="G17" s="886"/>
      <c r="H17" s="886"/>
      <c r="I17" s="882"/>
    </row>
    <row r="18" spans="3:9" ht="12.75">
      <c r="C18" s="884" t="s">
        <v>1143</v>
      </c>
      <c r="D18" s="886"/>
      <c r="E18" s="886"/>
      <c r="F18" s="886"/>
      <c r="G18" s="886"/>
      <c r="H18" s="886"/>
      <c r="I18" s="882"/>
    </row>
    <row r="19" spans="3:9" ht="12.75">
      <c r="C19" s="884" t="s">
        <v>1162</v>
      </c>
      <c r="D19" s="887"/>
      <c r="E19" s="887"/>
      <c r="F19" s="884"/>
      <c r="G19" s="884"/>
      <c r="H19" s="888"/>
      <c r="I19" s="882"/>
    </row>
    <row r="20" spans="3:9" ht="12.75">
      <c r="C20" s="884" t="s">
        <v>1163</v>
      </c>
      <c r="D20" s="882"/>
      <c r="E20" s="882"/>
      <c r="F20" s="882"/>
      <c r="G20" s="882"/>
      <c r="H20" s="882"/>
      <c r="I20" s="882"/>
    </row>
    <row r="21" spans="3:9">
      <c r="C21" s="882"/>
      <c r="D21" s="882"/>
      <c r="E21" s="882"/>
      <c r="F21" s="882"/>
      <c r="G21" s="882"/>
      <c r="H21" s="882"/>
      <c r="I21" s="882"/>
    </row>
    <row r="22" spans="3:9">
      <c r="C22" s="882"/>
      <c r="D22" s="882"/>
      <c r="E22" s="882"/>
      <c r="F22" s="882"/>
      <c r="G22" s="882"/>
      <c r="H22" s="882"/>
      <c r="I22" s="882"/>
    </row>
    <row r="23" spans="3:9" ht="12.75">
      <c r="C23" s="886" t="s">
        <v>1164</v>
      </c>
      <c r="D23" s="882"/>
      <c r="E23" s="882"/>
      <c r="F23" s="882"/>
      <c r="G23" s="882"/>
      <c r="H23" s="882"/>
      <c r="I23" s="882"/>
    </row>
    <row r="24" spans="3:9" ht="12.75">
      <c r="C24" s="402" t="s">
        <v>1048</v>
      </c>
      <c r="D24" s="882"/>
      <c r="E24" s="882"/>
      <c r="F24" s="882"/>
      <c r="G24" s="882"/>
      <c r="H24" s="882"/>
      <c r="I24" s="882"/>
    </row>
    <row r="25" spans="3:9" ht="12.75">
      <c r="C25" s="402" t="s">
        <v>1165</v>
      </c>
      <c r="D25" s="882"/>
      <c r="E25" s="882"/>
      <c r="F25" s="882"/>
      <c r="G25" s="882"/>
      <c r="H25" s="882"/>
      <c r="I25" s="882"/>
    </row>
    <row r="26" spans="3:9" ht="12.75">
      <c r="C26" s="402" t="s">
        <v>1046</v>
      </c>
      <c r="D26" s="882"/>
      <c r="E26" s="882"/>
      <c r="F26" s="882"/>
      <c r="G26" s="882"/>
      <c r="H26" s="882"/>
      <c r="I26" s="882"/>
    </row>
    <row r="27" spans="3:9">
      <c r="C27" s="882"/>
      <c r="D27" s="882"/>
      <c r="E27" s="882"/>
      <c r="F27" s="882"/>
      <c r="G27" s="882"/>
      <c r="H27" s="882"/>
      <c r="I27" s="882"/>
    </row>
    <row r="28" spans="3:9">
      <c r="C28" s="882"/>
      <c r="D28" s="882"/>
      <c r="E28" s="882"/>
      <c r="F28" s="882"/>
      <c r="G28" s="882"/>
      <c r="H28" s="882"/>
      <c r="I28" s="882"/>
    </row>
    <row r="29" spans="3:9">
      <c r="C29" s="882"/>
      <c r="D29" s="882"/>
      <c r="E29" s="882"/>
      <c r="F29" s="882"/>
      <c r="G29" s="882"/>
      <c r="H29" s="882"/>
      <c r="I29" s="882"/>
    </row>
    <row r="30" spans="3:9">
      <c r="C30" s="882"/>
      <c r="D30" s="882"/>
      <c r="E30" s="882"/>
      <c r="F30" s="882"/>
      <c r="G30" s="882"/>
      <c r="H30" s="882"/>
      <c r="I30" s="882"/>
    </row>
  </sheetData>
  <pageMargins left="0.7" right="0.7" top="0.75" bottom="0.75" header="0.3" footer="0.3"/>
  <pageSetup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343C4DBE96F4AA6569BB692C364DF" ma:contentTypeVersion="18" ma:contentTypeDescription="Create a new document." ma:contentTypeScope="" ma:versionID="388ae91f6c4d07d53ca0cd7937b93bad">
  <xsd:schema xmlns:xsd="http://www.w3.org/2001/XMLSchema" xmlns:xs="http://www.w3.org/2001/XMLSchema" xmlns:p="http://schemas.microsoft.com/office/2006/metadata/properties" xmlns:ns3="dabe7fbb-202d-4f5f-b842-d2380ba27fd5" xmlns:ns4="a8b85fe8-3dea-468d-a489-413ddfddb008" targetNamespace="http://schemas.microsoft.com/office/2006/metadata/properties" ma:root="true" ma:fieldsID="ddc61b1c8940c7c1a11850cd758556d7" ns3:_="" ns4:_="">
    <xsd:import namespace="dabe7fbb-202d-4f5f-b842-d2380ba27fd5"/>
    <xsd:import namespace="a8b85fe8-3dea-468d-a489-413ddfddb00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element ref="ns3:_activity" minOccurs="0"/>
                <xsd:element ref="ns3:MediaServiceOCR" minOccurs="0"/>
                <xsd:element ref="ns3:MediaServiceObjectDetectorVersions" minOccurs="0"/>
                <xsd:element ref="ns3:MediaServiceLocation"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e7fbb-202d-4f5f-b842-d2380ba27f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_activity" ma:index="21" nillable="true" ma:displayName="_activity" ma:hidden="true" ma:internalName="_activity">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b85fe8-3dea-468d-a489-413ddfddb00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abe7fbb-202d-4f5f-b842-d2380ba27f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FdsFormulaCache xmlns="urn:fdsformulacache" version="2" timestamp="1770930941"><![CDATA[{"CW-US^FG_PRICE(NOW)":90.86,"^AVG(FG_PE_FY1(-1AY,0,D,90))":null,"^AVG(FG_PE_FY1(-2AY,0,D,90,0))":null,"^AVG(FG_PE_FY1(-5AY,0,WTD,90,0))":null,"^AVG(FG_PE_FY1(-10AY,0,MTD,90,0))":null,"^AVG(FG_PE_FY2(-1AY,0,D,90))":null,"^AVG(FG_PE_FY2(-2AY,0,D,90,0))":null,"^AVG(FG_PE_FY2(-5AY,0,WTD,90,0))":null,"^AVG(FG_PE_FY2(-10AY,0,MTD,90,0))":null,"CW^FG_FCF_YIELD_FY1(NOW-0/0/-2, NOW, D)":[6.03697186457188,5.90015474925876,5.71898443189496,5.64268997413617,5.66362058272992,5.69194402086894,5.64625224643203,5.47681568078051,5.58181022012706,5.65288121137174,5.83247940974375,5.79415063111337,5.80651170093399,5.68109642434063,5.7499773019646,5.88069562278066,5.9269079487185,5.8411870039664,5.81838493271038,5.80435807456441,5.9269079487185,5.7637419134701,5.77118065140124,5.67029009544346,5.65799032709974,5.81244225338621,5.96360886597803,6.04363772356474,6.07000905645351,6.11447607714292,5.92634735507118,6.00767769193674,6.05767414631924,6.16627356672679,6.02908599900327,6.16384485849045,6.25749726390932,6.32067861839573,6.44364398635004,6.29525342927635,6.17296144121365,6.22266461219172,6.13004310217206,6.07649074395509,6.2946209945753,6.08416764510223,6.1061263070545,5.97841660081939,5.94266222353621,5.82542347624689,5.8259658169612,5.88511825438918,5.79683361875976,5.74944901592718,5.64523449626669,5.58878679231079,5.75844011688712,5.70699250397949,5.66669679460462,5.58629351492214,5.57534741941142,5.55161390967968,5.50620163490139,5.51444718990389,5.53982338045895,5.48353180245555,5.3886548446405,5.38911861503963,5.41007737276255,5.37754507108738,5.4072736915371,5.32720661954433,5.30598416853504,5.2996953894081,5.21102189494226,5.21319137604689,5.16544267198018,5.17526473937393,5.15565808211788,5.1471800093411,5.25167800302633,5.77418346405507,5.81961238471712,5.85284359235366,5.9258342730225,5.95930261142004,6.10950244517562,6.19121556902503,6.26254701294043,6.27788952421131,6.27734017044485,6.23750355147858,6.25926919526955,6.39198230648162,6.23262655348217,6.29275573554795,6.21158329841906,6.16992060052578,6.35574489743321,6.38004648119063,6.40911139785476,6.37777798470124,6.34282164480275,6.33051044266759,6.37551069434539,6.40625024523927,6.52094910327494,6.37891182781021,6.35630765647768,6.33777943348744,6.483238559191,6.51325306964732,6.41484137700985,6.39597084537401,6.38742994666049,6.36646006230472,6.49145030554607,6.38402013366734,6.39711116695078,6.2570857585537,6.28724129495291,6.31991564682188,6.25381326263689,6.2342518900849,6.29717409904284,6.2767917007758,6.26254701294043,6.19335365207511,6.19495779994747,6.33274483135616,6.32995164106845,5.91121112617616,5.83673712386607,6.14536630469845,5.95153710944079,5.88737972451184,5.71216013789612,5.78546210568604,5.83116321734897,5.70827701880209,5.74243447178819,5.80395718444001,5.828127698241,5.88016448231297,5.92633436011027,5.93471176113877,6.02520451502315,5.95787176956,5.72237879286419,5.73263374564155,5.70536806099586,5.68990366424106,5.6754816355603,5.82711667390977,5.81299806130702,5.69762520702321,5.71458940389404,5.75128454940411,5.61710876963804,5.62510466210362,5.54752705112878,5.62133896246722,5.61194689212626,5.60866714063643,5.55027724189851,5.47786062372455,5.28396168620517,5.27607595016852,5.35131031114016,5.31027681942032,5.27607595016852,5.31910706234866,5.29353806691741,5.33219579822971,5.36713022391506,5.28437717220929,5.31868553154784,5.28313007282848,5.32543209624078,5.34711777518835,5.31935803221201,5.31142025465498,5.27331541038892,5.203523597225,5.25038812181594,5.24468721052605,5.29519970554454,5.28692009623886,5.32857882007148,5.98951953871116,6.0196059770594,6.26475506436535,6.10869033894129,6.14811724361214,6.02253379198542,6.15626774544178,6.24894822390206,6.16699874927098,6.36075708020641,6.31158648858483,6.19424789751741,6.11371647138539,6.13948127891043,6.09916274963187,6.04212375332861,6.15984072130256,6.12480402923908,6.15015303425795,6.1051764386833,6.0475334922988,6.05838171657945,6.07323839647072,6.00792421171829,5.83798221587154,5.81058875209472,5.77580863775647,5.65750377355502,5.64503882939959,5.63476374252668,5.60839347681025,5.5726394104415,5.56762802899843,5.64118116405096,5.68607918740925,5.78570344578562,5.7628175290848,5.74854936793837,5.69217794567932,5.73656522239459,5.73302451441282,5.74321708832218,5.86470844833538,5.99145199543811,5.93924849619713,5.9085483163562,5.86332060250075,5.98324953393478,5.92929552261107,5.88841315744722,5.79834515229353,5.87212508096192,5.86980536899358,5.85315910507773,5.80604781164252,5.94896914775365,5.94281867414289,5.95038969697164,5.89779023364863,5.79847930241511,5.81653271482651,5.79128900947125,5.74851863549023,5.70245751398285,5.72828072241639,5.53155811988756,5.55695065889042,5.61779416076363,5.5817722093274,5.55018236234188,5.55455974642768,5.5653326082076,5.52130810831702,5.50444070754081,5.50248561031232,5.49000881530715,5.52445776894552,5.5426387438873,5.54660672189941,5.60559985972547,5.67291460680774,5.62023920075253,5.59467069572471,5.60073732586748,5.64234198494318,5.73761386868484,5.69459770030505,5.64810062565705,5.59305512582249,5.55018236234188,5.49780024765391,5.48107505367617,5.44869514103893,5.40988742402963,5.40272010749252,5.42580054974211,5.48030037526357,5.55018236234188,5.50092344001788,5.42276234863308,5.4046034791054,5.39970740065537,5.4418066798177,5.46676526524499,5.46946735482776,5.49897114249924,5.41366753996342,5.40196625089173,5.39745043872096,5.33390683499623,5.34273512241943,5.30432701006279,5.39031543586899,5.32693845026256,5.34199819686193,5.25574922465873,5.19687422566574,5.2112062822134,5.23762831600141,5.25503637431077,5.23656633527755,5.2528981552347,5.27615111107828,5.2126082150497,5.21225800072482,5.21225800072482,5.32730566455075,5.3302372472608,5.2486283103558,5.19095498933311,5.22526455122528,5.25895986083109,5.25610586049496,5.22737978163457,5.20875328906726,5.23126233760527,5.28695252020568,5.30469026921409,5.2898401267488,5.35085331127926,5.35418123003961,5.51659064988637,5.80293634381934,5.93223536357366,7.15301442333828,7.41412350491419,7.04021879873591,7.12140594214385,6.90036500860786,7.21618075551392,7.3057012231205,8.15227337963988,7.96604870043873,8.5414463863233,10.4042357724677,9.21489381171042,10.6970874719028,10.5222641639672,10.9935654661327,10.7605665266107,11.3910266048817,11.6113439346839,10.5222641639672,10.040682838726,9.03038988076183,9.30331735829699,9.53735165484019,9.43620825975843,10.0646350865257,10.0774309484354,10.4231409572425,9.53109672805074,9.27067936280025,8.924368210508,8.63109980321956,8.95185263961488,8.95369213105662,8.3907554683812,8.71312236308243,8.11794859763656,8.32807207380071,8.69589187806307,8.50526586525516,8.49157813771879,8.37743353972537,8.05434037932399,7.7880546350724,7.45291879404023,7.6362762218271,7.98607611656924,8.18934284782105,8.13714407724949,8.35179916127892,6.97980661677989,6.4838415697951,6.6996732770333,7.12525166388877,7.38676004516265,7.41172377572776,7.39706904453834,6.72446614295179,6.90253979642063,6.91605069437495,6.81672040628199,6.87047660702337,6.47921729500064,6.04046021058252,6.23284992388132,6.3409771699458,6.3101499266382,6.31077632582942,6.01361566777804,5.98137853309562,5.68415385231022,5.48559622314506,5.78234423636743,6.23529444775088,6.86391122272136,6.58058472180381,6.61695699778603,6.51725851520558,6.74378908826602,6.88023465453103,7.12194558448988,7.05678901562804,7.10993711829414,7.62231781116912,7.49851773050762,7.49674022992952,7.03168420649975,7.08445291304202,7.25760137580898,7.19404016936209,7.11793825786468,7.32738637769995,7.26010050592736,7.53783768382148,7.38470463729174,7.46841383735766,6.44886693407968,6.06838978189964,5.97920730659133,5.96233130254342,6.14854969854276,6.03239929271325,6.00995741764871,5.97400435899202,6.02115726281322,6.10277810664971,6.10074415046924,6.02710376508953,6.10345564841557,6.16303837298745,5.99225405287601,7.81362687150037,7.8998994263804,7.87691842348204,7.62156665570685,7.34702520051685,7.22933130565049,7.28094600457724,7.34496271072606,7.26007731401533,7.39476400424104,7.6134383277235,7.66396634476475,7.71365374565384,7.80178808400919,7.60017428719675,7.65425485867222,7.69098898350429,7.62822997374134,7.6119619698768,7.67445278273739,7.6707043336603,7.51219755517033,7.8580005859711,7.86902480355963,8.13477698508895,8.10622461586425,8.41549734032414,8.31040285425772,8.22337380521574,8.40109163784742,8.20532917257502,7.93422212489576,7.9559273448803,8.15420515213668,8.02914064188001,8.44173363493959,8.4381043528552,8.41459518266109,8.24842405609984,8.34395936558541,8.42000890500142,8.35994862309974,8.22423542367354,8.27973447222737,8.32538189983716,8.22509722270545,7.92564539917473,7.93212763935598,7.87497500679807,8.14698131937918,8.11885352045667,8.0469322840992,7.99876179167465,8.26754845031418,8.2114858322308,8.35399345531445,8.2569783026427,8.21932377815026,8.50993722389509,8.84602224456138,9.25262649682052,7.98978234674369],"CW^AVG(FG_PE_FY2(-1AY,0,D,90))":14.7312472283465,"B^FE_ESTIMATE(SALES,MEAN,ANN_ROLL,+2,NOW,,,'')":1424.4993,"CW^AVG(FG_PE_FY1(-5AY,0,WTD,90,0))":19.6038586846154,"CW^AVG(FG_PE_FY1(-1AY,0,D,90))":15.9766326377953,"CW^FG_FCF_YIELD_FY1(NOW-0/0/-10, NOW, MTD)":[5.58613967025018,5.55197977213898,5.19578335162942,4.97118156335905,4.24119218894545,4.45361453574275,5.56390976606931,5.4236293864823,5.71516846287744,5.49123941392002,5.69990241767061,6.08740873680729,9.94508918457628,9.89377841616833,9.22728500795023,11.22858708443,6.25841169647079,6.36314547588629,6.54576336266861,6.46045873004049,5.36231845200591,5.55555555555556,5.53337777742364,5.08664618545536,4.70791484285969,4.06555314147527,4.08163265306122,3.75876558229161,null,null,null,4.67546761104878,4.58715575288276,4.18307092789967,5.19636059375279,4.62095400242314,4.96183234514307,4.68068988875498,3.96914671125236,4.02149149398248,5.06161939527517,5.42965099832278,5.39568355028208,4.15728644268981,4.22513728527324,6.62887764483932,5.86024499457429,6.38652922600311,7.06545258639724,6.89703737070038,6.927327211331,7.35006762429718,3.01736020087412,2.96186088743631,2.92909979214522,2.96851183722296,2.95416890543434,3.7553805214421,3.85025110567661,4.05318820541688,3.14117311507625,3.10325202192385,3.18978096252597,3.46376846231888,8.99560879356742,8.39170111110319,8.29198191054394,7.63037662089229,7.89317565504675,7.68063843924511,7.6028924139784,7.61716581636879,7.65454136284516,6.82451263937276,6.97438003341007,6.94472802083863,6.01553692877965,6.44860868365776,6.29681167867143,6.51449501198146,6.40117658746619,6.2175896481609,6.19190215605748,5.73624076608643,5.2966878804313,5.04294140248336,5.06770658708611,4.72600669022959,4.47288483538173,4.46990442405661,4.71532342898508,4.35952857801769,4.65047884585532,4.85980625313215,4.82642789748686,4.70455555757851,5.71898443189496,5.67029009544346,6.13004310217206,5.51444718990389,5.81961238471712,6.33051044266759,6.29717409904284,6.02520451502315,5.28396168620517,5.32857882007148,6.05838171657945,5.74321708832218,5.72828072241639,5.64234198494318,5.49897114249924,5.32730566455075,7.41412350491419,9.43620825975843,7.6362762218271,6.3409771699458,7.08445291304202,6.16303837298745,7.67445278273739,8.42000890500142,7.98978234674369],"CW^AVG(FG_PE_FY2(-10AY,0,MTD,90,0))":15.6414389834711,"CW^AVG(FG_PE_FY1(-2AY,0,D,90,0))":16.6159997871287,"CW^FG_FCF_YIELD_FY2(NOW-0/0/-5, NOW, WTD)":[7.47556015119769,7.41797444938045,7.70598641095532,7.28801673678467,7.35606101175852,7.36022617680632,7.80195030032827,7.97790726009904,7.53513974745527,7.59124025531467,7.46911725416129,7.65268620382149,7.79610199577872,null,null,null,null,null,null,null,null,null,null,null,null,null,null,null,null,null,null,null,null,null,null,null,null,null,null,null,null,null,null,null,null,null,null,null,null,null,null,null,null,null,null,null,null,null,null,null,null,null,null,null,5.95373826294923,5.86312533896193,5.81678105269661,5.75553977898152,6.43554190190986,6.40396574544339,6.48617879618857,6.54992130597047,6.54171468285244,6.86801111189254,6.86500065457781,7.0023465563545,7.14204294996085,6.82016074982484,6.70340265389052,6.97426086260309,7.18753640936412,7.30687669163329,6.94615445260656,6.84743108693998,6.60407369644336,6.6957081849676,6.85119961764825,6.78252347177029,6.68851402889064,6.65775370985017,6.5320039616604,6.46244646509348,6.54639156023489,6.66456755004065,6.78636272267244,6.62217141397995,6.55585351181339,6.55788490898869,6.06390703108807,5.86863483464358,5.85740693415062,5.58392624392846,5.40882700012878,5.36757848406165,5.60825634038616,5.4284920485077,5.50057819327679,5.49778815735747,5.37598886611202,5.2560685647837,5.45335662280168,5.44801120895618,5.42496960525154,5.47394331819277,5.40956989699854,5.26642834674017,5.08589026042352,5.07865155300594,5.26152405305721,5.73167693219558,5.32809446668865,5.5085887160967,5.66946583313424,5.35697229497139,5.45922569836599,5.60123581185964,5.54774063824315,5.58204234648965,5.44732032694817,5.27588054182449,5.69878566855703,6.52597448787741,5.97103688846879,6.09598939980595,6.1529044754812,6.23836077837774,6.15055059421392,6.27536699444373,6.86651286135625,6.75516746668115,6.75176341712958,6.52332656777391,6.39109663996402,6.04264439170693,5.95283272986492,6.02502118999953,5.94291756365102,5.90891909383889,5.86039576190243,5.82992952897784,5.65398995003286,5.71615800100924,5.71241465366887,5.94651938327458,6.64747231194833,6.62894795281515,7.01143235079093,6.81715351254857,6.80422588696316,6.92109823433094,7.00343917887757,6.82518057550878,7.27456998743754,7.29146554374208,7.60046484442989,7.48260481445759,7.31606551653727,7.00558471202073,6.72038223383624,6.71738381008397,6.66150488857867,6.46636873950428,6.2661286234437,6.19955576463213,6.811322816106,7.28812084404019,7.43875321140275,7.39658100439653,7.36721461307647,7.39723648121745,7.44339484306718,7.42948674133796,7.27795681551544,7.20759680703461,7.28125825967734,7.21729373281247,7.27051862136135,7.51636914873211,7.09808596562894,7.1288809717121,7.01255239866809,6.59167798018331,6.58184121347564,6.5921963820576,6.59167798018331,6.49914682450061,6.92700330840605,7.08426571125426,7.12797037672535,7.08837689070049,6.97162409560606,6.6864782559739,6.45380469857634,6.65784191913092,6.59722210768712,6.79920492817252,6.67238979780924,6.78024526723625,6.62930390983086,6.01349416062656,6.03850002693171,5.96832454984957,6.16716609405557,6.13393032014639,6.03374201275859,5.87343085421299,5.89521977850952,5.94305636769072,5.87261200509884,5.8599458869157,5.73249473814308,5.7698826550115,5.85161269860812,5.77654031447486,5.80728861179089,5.88113347085384,8.06514377933444,7.94720070583858,9.86309919683797,12.1923073124704,9.80831415480972,10.9889228361135,9.09960748843099,8.74188075969741,9.02130887283617,8.59987277348219,7.99266081912944,9.11839940723109,8.46926647174932,7.81655056092739,7.00688159855557,8.13109339056756,8.8466013480805,9.31215662004473,8.93615439387137,9.17299067932417,8.52873009341092,8.61287718157719,8.81582878532073,8.39884855145899,8.00049347043726,8.59745059797418,8.38826458297701,8.6715437741264,9.15793602467368,8.76730853009146,9.27275369164552,9.06298028131128,8.91342179488505,8.999896816183,9.2480648193164,11.9995252987792],"CW^AVG(FG_PE_FY2(-2AY,0,D,90,0))":15.3499899821782,"CW^AVG(FG_PE_FY1(-10AY,0,MTD,90,0))":17.5625230165289,"CW^FG_FCF_YIELD_FY2(NOW-0/0/-1, NOW, D)":[6.55178547619851,6.49928790552063,6.22735655315317,6.01349416062656,6.04109880337915,6.10724356340806,6.06808341041822,6.03374201275859,6.03850002693171,6.0502110646381,6.00235160131036,5.98401394610354,5.98188911288405,5.96832454984957,6.00577551408087,6.02553961117434,6.02985380619447,6.09398707514093,6.16716609405557,6.10990111308346,6.08210538159889,6.08870043143313,6.13393032014639,6.23750277334967,6.19073838298656,6.14019074748165,6.08034913851181,6.03374201275859,5.97679509305123,5.95861302318037,5.92341194214343,5.8812227085536,5.87343085421299,5.89852252628057,5.95777025205479,6.03374201275859,5.98019026094919,5.89521977850952,5.87547932160306,5.87015613793505,5.91592337033467,5.94305636769072,5.94599361031635,5.97806742710076,5.88533299684923,5.87261200509884,5.86770232395045,5.79862287345654,5.80822023470089,5.76646597058503,5.8599458869157,5.79104720317322,5.80741912893011,5.71365557969892,5.7167292076842,5.73249473814308,5.76156013830049,5.77223099729606,5.75194385504595,5.7698826550115,5.79542396800741,5.72562703631926,5.72524251984183,5.72524251984183,5.85161269860812,5.85483315891785,5.76519203047527,5.70184266449388,5.73952980623921,5.77654031447486,5.77340638539901,5.74185284193868,5.72139266478555,5.74611756384152,5.80728861179089,5.82677136908675,5.81046045574928,5.87747809170041,5.88113347085384,6.05952746471734,6.37405464005363,6.51607963196661,7.58166725563585,8.06514377933444,7.65840628412059,7.74672305867895,7.50627280452592,7.84981976028848,7.94720070583858,8.86810913556244,8.6655322907196,9.29145414788167,11.3178120858388,9.86309919683797,11.449554864206,11.2624344315145,11.7668889863449,11.5175010155557,12.1923073124704,12.428123501246,11.2624344315145,10.7469772514434,9.66561701287779,9.80831415480972,10.0550514064503,9.94841844520346,10.6109577238222,10.6244465327384,10.9889228361135,10.0484571774698,9.77390418407155,9.40879551140238,9.09960748843099,9.43777209686816,9.43970980066542,9.03565523770731,9.38279769130633,8.74188075969741,8.9681538167521,9.36424282605357,9.15896603699691,9.1442265822301,9.02130887283617,8.67338345045581,8.3866314243641,8.02573822144665,8.22318716755196,8.59987277348219,8.81876209272752,8.76255158842716,8.99370431704103,8.60403861526947,7.99266081912944,8.25871719988524,8.78332966190153,9.10569176759871,9.13646516740928,9.11839940723109,8.28927926789085,8.50879098503806,8.52544645418583,8.40300050981004,8.46926647174932,7.98695953143384,7.44610121023717,7.68326183353898,7.81655056092739,7.77854966918995,7.77932180028132,7.41301054515576,7.37327188940092,7.00688159855557,6.7621184770492,7.12792109334326,7.68627514881974,8.48117721453715,8.13109339056756,8.17603527207025,8.09548265591414,8.37687002105024,8.54635734379727,8.8466013480805,8.76566621780612,8.83168469331268,9.46814494707354,9.31436493961264,9.31215662004473,8.7344826456748,8.8000297089003,9.01510760747969,8.93615439387137,8.84162275253686,9.10179152382922,9.0182116471466,9.36320645626793,9.17299067932417,9.27697054218605,9.2246880325816,8.68044026845824,8.55287055290288,8.52873009341092,8.79510415250289,8.6289585778924,8.59685635314992,8.54542727777296,8.61287718157719,8.7296294097723,8.72672081771468,8.62138308193236,8.73059962543982,8.81582878532073,8.57153191961343,8.72074973331947,8.70556743672054,8.68024210236853,8.39884855145899,8.09630784882801,7.96661161206935,8.02348956805945,8.09403586111153,8.00049347043726,8.1489158967503,8.38989098679045,8.44557217231264,8.50032722009634,8.59745059797418,8.37527461478553,8.43487090345734,8.47535126305194,8.40619190007929,8.38826458297701,8.45712806925035,8.45299748785368,8.2783252418223,8.65939491092557,8.6715437741264,8.9643986080799,8.93293420983284,9.27374777279355,9.15793602467368,9.06203169119351,9.25787229283613,9.04214643918917,8.74339032479159,8.76730853009146,8.98580862258427,8.84798915732017,9.30265961177769,9.29866147627781,9.27275369164552,9.08963654179324,9.19491359447746,9.27871965545516,9.21253464834281,9.06298028131128,9.12414003839621,9.17444238885966,9.06392948081585,8.90613829754357,8.91342179488505,8.84919807239688,9.1548565964953,9.12324768641281,9.05409677960264,8.999896816183,9.30232644672804,9.23924602578452,9.39959079821419,9.29043253141571,9.2480648193164,9.57505246889377,9.95320203467337,10.4106967827303,11.9995252987792],"CW^FG_FCF_YIELD_FY2(NOW-0/0/-10, NOW, MTD)":[6.68717623618304,6.64628295991414,6.21987945624819,5.95100903226298,7.154471405116,7.51280651781042,9.38345801446779,9.14687716923909,9.63855421686747,9.23028811975154,9.58103292732748,10.2323966580379,14.2007336468221,14.1274664790539,13.1757704432948,12.4598496918492,8.06191031157026,7.93028958245439,8.3168036860074,10.2171773433275,9.33977503844251,9.67634371998519,10.7285426063417,9.86238520800017,10.4470348912161,9.92751425466953,10.6609808102345,9.81767112078043,null,null,null,null,null,null,null,null,null,null,null,null,null,null,null,null,null,null,null,null,null,null,null,null,null,null,null,null,null,null,null,null,7.47556015119769,7.38531383078739,7.59124025531467,null,null,null,null,null,null,null,null,null,null,null,null,5.85355894042154,6.40396574544339,6.86500065457781,6.70340265389052,6.89214692926941,6.78252347177029,6.58577057335455,6.5585623211644,5.85740693415062,5.49964826999489,5.23617862218023,5.47394331819277,5.18904010385967,5.55144008797034,5.54774063824315,5.85233836324259,6.31827129064718,6.75516746668115,5.90092453915402,5.86039576190243,5.71241465366887,6.88379296992643,6.82518057550878,7.37122995679648,6.63099017128113,6.77265006143809,7.36721461307647,7.32841845621149,7.51636914873211,6.59167798018331,6.60310430422034,6.97162409560606,6.60895157376651,6.22735655315317,6.13393032014639,5.97806742710076,5.85161269860812,8.06514377933444,9.94841844520346,8.22318716755196,7.81655056092739,8.8000297089003,8.81582878532073,8.45712806925035,9.27871965545516,11.9995252987792],"CW^AVG(FG_PE_FY2(-5AY,0,WTD,90,0))":17.8336190788461,"CW^FG_FCF_YIELD_FY1(NOW-0/0/-5, NOW, WTD)":[3.14117311507625,3.11697573559069,3.23799625409165,3.06236881577585,3.09096022101107,3.09271017285157,3.27831952554324,3.35225524983286,3.1662074979783,3.18978096252597,3.13846588209832,3.21559972317545,3.27586204637337,3.46376846231888,3.63056371181863,3.75196227627049,3.6300124346076,9.0007080857051,8.85881694574745,8.98415365993307,8.62889007622416,8.50864256860263,8.43069521704741,8.43853799291399,8.28224842504764,8.17350988332642,8.29198191054394,7.94246478509676,7.92759065536837,7.80194116977469,7.58027990183538,7.56402645835943,7.70657077637535,7.90067711173051,8.27526168446262,7.91289861028927,7.84753372026383,7.755102547272,7.66040857248746,7.68063843924511,7.60204625799536,7.65226164123259,7.61984414675576,7.58349043797691,7.50109722299629,7.87623908008678,8.11600959182478,7.85067883249729,7.61716581636879,7.89803073660826,8.05758725379942,8.19887654074313,7.6665175273457,8.01308312107344,7.20134388599063,6.90557707525194,6.69725660947232,6.7103591572111,6.47475241517977,6.80015877010696,6.7846899671465,6.97438003341007,6.98645487088996,7.0431210153983,7.06358205689108,6.95607751797137,6.90109407184978,6.82843642257943,6.0451981328801,6.01553692877965,6.09276403845948,6.15264023635983,6.14493127662483,6.45143642522295,6.44860868365776,6.57762405431855,6.70884652654838,6.40648808111331,6.29681167867143,6.59210946909721,6.79369840992809,6.90649994191634,6.5655432934551,6.46243518904529,6.23276018532738,6.31924270700939,6.46599159990099,6.40117658746619,6.31245304323993,6.28342270350168,6.16474276347047,6.10115991591625,6.18041203694576,6.2919812788389,6.40696811601148,6.25195529901977,6.18934557387829,6.19126271669884,5.93846973354977,5.74723675730327,5.73624076608643,5.46841723826665,5.29694066716663,5.25654488461174,5.40128787227769,5.22815812773384,5.29758382499326,5.29489661979095,5.17759218871164,5.06209725321491,5.04864699542143,5.04369860471122,5.02236711193299,5.06770658708611,5.00811038436195,4.79648904676159,4.63206081821741,4.62546842118701,4.79202262409721,5.22022157230464,4.85265260063843,4.4383589611577,4.56798050312834,4.31619941721812,4.39858673408234,4.51300643942837,4.46990442405661,4.49754141898331,4.38899370293518,4.2508626169237,4.59160371080555,4.50284129285579,4.11994070251746,4.20615669456316,4.24542748355597,4.30439177954145,4.23424109675652,4.32016855569637,4.72713287289799,4.65047884585532,4.64813566532159,4.49087207795795,4.39984062017337,4.97652201327189,4.90255582001031,4.9620081366017,4.89439055366961,4.86639080719311,4.82642789748686,4.80133699950623,4.65643929444328,4.70763846824178,4.70455555757851,4.89735678879924,5.47463827285674,5.4741599668879,5.79001447156217,5.66362058272992,5.65288121137174,5.7499773019646,5.81838493271038,5.67029009544346,6.04363772356474,6.05767414631924,6.32067861839573,6.22266461219172,6.08416764510223,5.8259658169612,5.58878679231079,5.58629351492214,5.53982338045895,5.37754507108738,5.21102189494226,5.15565808211788,5.85284359235366,6.26254701294043,6.39198230648162,6.35574489743321,6.33051044266759,6.35630765647768,6.39597084537401,6.38402013366734,6.25381326263689,6.19335365207511,5.83673712386607,5.78546210568604,5.828127698241,6.02520451502315,5.68990366424106,5.71458940389404,5.62133896246722,5.28396168620517,5.27607595016852,5.28437717220929,5.31935803221201,5.24468721052605,6.0196059770594,6.15626774544178,6.19424789751741,6.15984072130256,6.05838171657945,5.81058875209472,5.60839347681025,5.78570344578562,5.73302451441282,5.9085483163562,5.79834515229353,5.94896914775365,5.81653271482651,5.53155811988756,5.55455974642768,5.49000881530715,5.67291460680774,5.64234198494318,5.55018236234188,5.40272010749252,5.42276234863308,5.46676526524499,5.40196625089173,5.39031543586899,5.2112062822134,5.2528981552347,5.32730566455075,5.25895986083109,5.28695252020568,5.35418123003961,7.41412350491419,7.3057012231205,9.21489381171042,11.3910266048817,9.30331735829699,10.4231409572425,8.63109980321956,8.11794859763656,8.37743353972537,7.98607611656924,6.4838415697951,7.39706904453834,6.87047660702337,6.3409771699458,5.68415385231022,6.58058472180381,7.12194558448988,7.49674022992952,7.19404016936209,7.38470463729174,5.96233130254342,6.02115726281322,6.16303837298745,7.62156665570685,7.26007731401533,7.80178808400919,7.6119619698768,7.86902480355963,8.31040285425772,7.9559273448803,8.41459518266109,8.22423542367354,7.93212763935598,7.99876179167465,8.21932377815026,7.98978234674369],"CW^FG_FCF_YIELD_FY2(NOW-0/0/-2, NOW, D)":[7.31048606617701,7.14480716486978,6.88379296992643,6.79195929823303,6.81715351254857,6.85124561811458,6.79624754706435,6.59230068063527,6.71867999975275,6.80422588696316,7.02040424330081,6.9742686450621,6.98914732192998,6.83818849275111,6.92109823433094,7.07844080353044,7.13406491742249,7.03088551999322,7.00343917887757,6.98655542207353,7.13406491742249,6.93766672947568,6.94662105237419,6.82518057550878,6.81037604376675,6.99628595163971,7.17824125767381,7.27456998743754,7.3063123981911,7.35983615238364,7.13339036954493,7.23128595621355,7.29146554374208,7.42218304958946,7.24983151391562,7.4118753957015,7.52449014619106,7.60046484442989,7.74832690377167,7.56989148333462,7.42283811324519,7.48260481445759,7.37122995679648,7.30683397952537,7.56913057257369,7.31606551653727,7.34247005832491,7.18890257735816,7.1459089564036,7.00493203254547,7.00558471202073,7.07671312717547,6.9705530381016,6.91357485261814,6.78825886454966,6.72038223383624,6.92438632453089,6.86252166240744,6.81406720564575,6.71738381008397,6.70422148066084,6.67568284391566,6.62107482820959,6.63099017128113,6.66150488857867,6.59381555489002,6.47972823501404,6.4802858687387,6.50548799714695,6.46636873950428,6.50211673159139,6.40583761419447,6.38031840213348,6.37275641534236,6.2661286234437,6.26873764862785,6.21132132568976,6.22313162919097,6.19955576463213,6.18935974787024,6.31501704738852,6.71978161247342,6.77265006143809,6.811322816106,6.89626731256187,6.93521627229213,7.11001345143445,7.20510824882582,7.28812084404019,7.30597610580515,7.30533723555227,7.25897639576869,7.28430640619055,7.43875321140275,7.25330108612381,7.32327759440291,7.22881184646119,7.18032510501585,7.39658100439653,7.42486243400504,7.45868726358292,7.4222227137383,7.3815419376769,7.36721461307647,7.41958431927243,7.45535750564016,7.58883970055956,7.42354233920867,7.39723648121745,7.37567343586306,7.54495415723579,7.57988401867865,7.46535626770409,7.44339484306718,7.43345533615795,7.40905111911865,7.55451051493432,7.42948674133796,7.44472200849666,7.28176566506223,7.31685937566995,7.35488481294248,7.27795681551544,7.25519186971591,7.32841845621149,7.3046984770215,7.28812084404019,7.20759680703461,7.20946331457383,7.36981480097594,7.3665644457629,7.37416412927824,7.28125825967734,7.6662706782319,7.42447049047686,7.34443513251674,7.12585028317773,7.21729373281247,7.27430592937405,7.12100633491845,7.16361730580938,7.24036625827139,7.27051862136135,7.33543429952251,7.39303042756926,7.40348082054259,7.51636914873211,7.43237247126533,7.13859794938063,7.15139079533049,7.11737794657668,7.09808596562894,7.08009488318357,7.26925758999541,7.25164423781448,7.10771861281215,7.1288809717121,7.1746577885538,7.00727488271048,7.0172503662303,6.92047269596703,7.01255239866809,7.00083568975629,6.99674413508418,6.92390353063689,6.83356463810706,6.59167798018331,6.58184121347564,6.67569532206658,6.62450566282618,6.58184121347564,6.63552129916075,6.60362494104614,6.65184945028784,6.69542978666821,6.5921963820576,6.63499606113459,6.5906409866295,6.64341228774173,6.62607708539542,6.59167798018331,6.58184121347564,6.53462242265506,6.44813756508266,6.50621134985148,6.49914682450061,6.56174136017156,6.55148157497355,6.60310430422034,6.89238207065353,6.92700330840605,7.20910625465663,7.02951623572217,7.07488668507741,6.93037193920123,7.08426571125426,7.19091712381724,7.09661332934882,7.31957950186894,7.26299696965977,7.12797037672535,7.03529996936127,7.06494792497534,7.0185525610979,6.95291541305602,7.08837689070049,7.04805873908538,7.07722898742405,7.02547303036824,6.95914031234431,6.97162409560606,6.98872041491194,6.91356051339271,6.718001152809,6.6864782559739,6.64645568113443,6.51031748604872,6.49597369806234,6.48414994933934,6.45380469857634,6.41266054135744,6.40689402298935,6.4915345844944,6.54320082915441,6.65784191913092,6.63150597986105,6.61508706876826,6.5502186266471,6.60129666629898,6.59722210768712,6.60895157376651,6.74875674403262,6.89460554341454,6.83453281662443,6.79920492817252,6.74715892318852,6.88516698182371,6.82307939355652,6.77603434554977,6.67238979780924,6.75729094800062,6.75462174861216,6.73546540449433,6.68125362499767,6.78024526723625,6.77323585653528,6.7818652380984,6.72191498216037,6.60872707523448,6.62930390983086,6.60053197647518,6.55178547619851,6.49928790552063,6.22735655315317,6.01349416062656,6.04109880337915,6.10724356340806,6.06808341041822,6.03374201275859,6.03850002693171,6.0502110646381,6.00235160131036,5.98401394610354,5.98188911288405,5.96832454984957,6.00577551408087,6.02553961117434,6.02985380619447,6.09398707514093,6.16716609405557,6.10990111308346,6.08210538159889,6.08870043143313,6.13393032014639,6.23750277334967,6.19073838298656,6.14019074748165,6.08034913851181,6.03374201275859,5.97679509305123,5.95861302318037,5.92341194214343,5.8812227085536,5.87343085421299,5.89852252628057,5.95777025205479,6.03374201275859,5.98019026094919,5.89521977850952,5.87547932160306,5.87015613793505,5.91592337033467,5.94305636769072,5.94599361031635,5.97806742710076,5.88533299684923,5.87261200509884,5.86770232395045,5.79862287345654,5.80822023470089,5.76646597058503,5.8599458869157,5.79104720317322,5.80741912893011,5.71365557969892,5.7167292076842,5.73249473814308,5.76156013830049,5.77223099729606,5.75194385504595,5.7698826550115,5.79542396800741,5.72562703631926,5.72524251984183,5.72524251984183,5.85161269860812,5.85483315891785,5.76519203047527,5.70184266449388,5.73952980623921,5.77654031447486,5.77340638539901,5.74185284193868,5.72139266478555,5.74611756384152,5.80728861179089,5.82677136908675,5.81046045574928,5.87747809170041,5.88113347085384,6.05952746471734,6.37405464005363,6.51607963196661,7.58166725563585,8.06514377933444,7.65840628412059,7.74672305867895,7.50627280452592,7.84981976028848,7.94720070583858,8.86810913556244,8.6655322907196,9.29145414788167,11.3178120858388,9.86309919683797,11.449554864206,11.2624344315145,11.7668889863449,11.5175010155557,12.1923073124704,12.428123501246,11.2624344315145,10.7469772514434,9.66561701287779,9.80831415480972,10.0550514064503,9.94841844520346,10.6109577238222,10.6244465327384,10.9889228361135,10.0484571774698,9.77390418407155,9.40879551140238,9.09960748843099,9.43777209686816,9.43970980066542,9.03565523770731,9.38279769130633,8.74188075969741,8.9681538167521,9.36424282605357,9.15896603699691,9.1442265822301,9.02130887283617,8.67338345045581,8.3866314243641,8.02573822144665,8.22318716755196,8.59987277348219,8.81876209272752,8.76255158842716,8.99370431704103,8.60403861526947,7.99266081912944,8.25871719988524,8.78332966190153,9.10569176759871,9.13646516740928,9.11839940723109,8.28927926789085,8.50879098503806,8.52544645418583,8.40300050981004,8.46926647174932,7.98695953143384,7.44610121023717,7.68326183353898,7.81655056092739,7.77854966918995,7.77932180028132,7.41301054515576,7.37327188940092,7.00688159855557,6.7621184770492,7.12792109334326,7.68627514881974,8.48117721453715,8.13109339056756,8.17603527207025,8.09548265591414,8.37687002105024,8.54635734379727,8.8466013480805,8.76566621780612,8.83168469331268,9.46814494707354,9.31436493961264,9.31215662004473,8.7344826456748,8.8000297089003,9.01510760747969,8.93615439387137,8.84162275253686,9.10179152382922,9.0182116471466,9.36320645626793,9.17299067932417,9.27697054218605,9.2246880325816,8.68044026845824,8.55287055290288,8.52873009341092,8.79510415250289,8.6289585778924,8.59685635314992,8.54542727777296,8.61287718157719,8.7296294097723,8.72672081771468,8.62138308193236,8.73059962543982,8.81582878532073,8.57153191961343,8.72074973331947,8.70556743672054,8.68024210236853,8.39884855145899,8.09630784882801,7.96661161206935,8.02348956805945,8.09403586111153,8.00049347043726,8.1489158967503,8.38989098679045,8.44557217231264,8.50032722009634,8.59745059797418,8.37527461478553,8.43487090345734,8.47535126305194,8.40619190007929,8.38826458297701,8.45712806925035,8.45299748785368,8.2783252418223,8.65939491092557,8.6715437741264,8.9643986080799,8.93293420983284,9.27374777279355,9.15793602467368,9.06203169119351,9.25787229283613,9.04214643918917,8.74339032479159,8.76730853009146,8.98580862258427,8.84798915732017,9.30265961177769,9.29866147627781,9.27275369164552,9.08963654179324,9.19491359447746,9.27871965545516,9.21253464834281,9.06298028131128,9.12414003839621,9.17444238885966,9.06392948081585,8.90613829754357,8.91342179488505,8.84919807239688,9.1548565964953,9.12324768641281,9.05409677960264,8.999896816183,9.30232644672804,9.23924602578452,9.39959079821419,9.29043253141571,9.2480648193164,9.57505246889377,9.95320203467337,10.4106967827303,11.9995252987792],"CW^FG_FCF_YIELD_FY1(NOW-0/0/-1, NOW, D)":[5.74851863549023,5.70245751398285,5.72828072241639,5.53155811988756,5.55695065889042,5.61779416076363,5.5817722093274,5.55018236234188,5.55455974642768,5.5653326082076,5.52130810831702,5.50444070754081,5.50248561031232,5.49000881530715,5.52445776894552,5.5426387438873,5.54660672189941,5.60559985972547,5.67291460680774,5.62023920075253,5.59467069572471,5.60073732586748,5.64234198494318,5.73761386868484,5.69459770030505,5.64810062565705,5.59305512582249,5.55018236234188,5.49780024765391,5.48107505367617,5.44869514103893,5.40988742402963,5.40272010749252,5.42580054974211,5.48030037526357,5.55018236234188,5.50092344001788,5.42276234863308,5.4046034791054,5.39970740065537,5.4418066798177,5.46676526524499,5.46946735482776,5.49897114249924,5.41366753996342,5.40196625089173,5.39745043872096,5.33390683499623,5.34273512241943,5.30432701006279,5.39031543586899,5.32693845026256,5.34199819686193,5.25574922465873,5.19687422566574,5.2112062822134,5.23762831600141,5.25503637431077,5.23656633527755,5.2528981552347,5.27615111107828,5.2126082150497,5.21225800072482,5.21225800072482,5.32730566455075,5.3302372472608,5.2486283103558,5.19095498933311,5.22526455122528,5.25895986083109,5.25610586049496,5.22737978163457,5.20875328906726,5.23126233760527,5.28695252020568,5.30469026921409,5.2898401267488,5.35085331127926,5.35418123003961,5.51659064988637,5.80293634381934,5.93223536357366,7.15301442333828,7.41412350491419,7.04021879873591,7.12140594214385,6.90036500860786,7.21618075551392,7.3057012231205,8.15227337963988,7.96604870043873,8.5414463863233,10.4042357724677,9.21489381171042,10.6970874719028,10.5222641639672,10.9935654661327,10.7605665266107,11.3910266048817,11.6113439346839,10.5222641639672,10.040682838726,9.03038988076183,9.30331735829699,9.53735165484019,9.43620825975843,10.0646350865257,10.0774309484354,10.4231409572425,9.53109672805074,9.27067936280025,8.924368210508,8.63109980321956,8.95185263961488,8.95369213105662,8.3907554683812,8.71312236308243,8.11794859763656,8.32807207380071,8.69589187806307,8.50526586525516,8.49157813771879,8.37743353972537,8.05434037932399,7.7880546350724,7.45291879404023,7.6362762218271,7.98607611656924,8.18934284782105,8.13714407724949,8.35179916127892,6.97980661677989,6.4838415697951,6.6996732770333,7.12525166388877,7.38676004516265,7.41172377572776,7.39706904453834,6.72446614295179,6.90253979642063,6.91605069437495,6.81672040628199,6.87047660702337,6.47921729500064,6.04046021058252,6.23284992388132,6.3409771699458,6.3101499266382,6.31077632582942,6.01361566777804,5.98137853309562,5.68415385231022,5.48559622314506,5.78234423636743,6.23529444775088,6.86391122272136,6.58058472180381,6.61695699778603,6.51725851520558,6.74378908826602,6.88023465453103,7.12194558448988,7.05678901562804,7.10993711829414,7.62231781116912,7.49851773050762,7.49674022992952,7.03168420649975,7.08445291304202,7.25760137580898,7.19404016936209,7.11793825786468,7.32738637769995,7.26010050592736,7.53783768382148,7.38470463729174,7.46841383735766,6.44886693407968,6.06838978189964,5.97920730659133,5.96233130254342,6.14854969854276,6.03239929271325,6.00995741764871,5.97400435899202,6.02115726281322,6.10277810664971,6.10074415046924,6.02710376508953,6.10345564841557,6.16303837298745,5.99225405287601,7.81362687150037,7.8998994263804,7.87691842348204,7.62156665570685,7.34702520051685,7.22933130565049,7.28094600457724,7.34496271072606,7.26007731401533,7.39476400424104,7.6134383277235,7.66396634476475,7.71365374565384,7.80178808400919,7.60017428719675,7.65425485867222,7.69098898350429,7.62822997374134,7.6119619698768,7.67445278273739,7.6707043336603,7.51219755517033,7.8580005859711,7.86902480355963,8.13477698508895,8.10622461586425,8.41549734032414,8.31040285425772,8.22337380521574,8.40109163784742,8.20532917257502,7.93422212489576,7.9559273448803,8.15420515213668,8.02914064188001,8.44173363493959,8.4381043528552,8.41459518266109,8.24842405609984,8.34395936558541,8.42000890500142,8.35994862309974,8.22423542367354,8.27973447222737,8.32538189983716,8.22509722270545,7.92564539917473,7.93212763935598,7.87497500679807,8.14698131937918,8.11885352045667,8.0469322840992,7.99876179167465,8.26754845031418,8.2114858322308,8.35399345531445,8.2569783026427,8.21932377815026,8.50993722389509,8.84602224456138,9.25262649682052,7.98978234674369],"KBR^FF_ENTRPR_VAL_DAILY(0,,,,,\"DIL\")":9523.7,"SAF-FR^FE_ESTIMATE(EBITDA_ADJ,MEAN,ANN_ROLL,+1,NOW,,,'')":3337.3745,"CW^FE_ESTIMATE(SALES,MEAN,ANN_ROLL,+0,NOW,,,'')":3498.372,"HXL^FE_ESTIMATE(EBITDA,MEAN,ANN_ROLL,+1,NOW,,,'')":395.15884,"ROLL^FF_ENTRPR_VAL_DAILY(0,,,,,\"DIL\")":6995.04091855,"AXON^FE_ESTIMATE(EBITDA_ADJ,MEAN,ANN_ROLL,+1,NOW,,,'')":192.7591,"TXT^FE_ESTIMATE(EBITDA_ADJ,MEAN,ANN_ROLL,+1,NOW,,,'')":1580.5,"MRCY^FE_ESTIMATE(EBITDA,MEAN,ANN_ROLL,+0,NOW,,,'')":119.99467,"CSU-CA^FE_ESTIMATE(EBITDA_ADJ,MEAN,ANN_ROLL,+1,NOW,,,'')":2293.6477,"WWD^FE_ESTIMATE(EBITDA_ADJ,MEAN,ANN_ROLL,+1,NOW,,,'')":461.48,"LMT^FF_ENTRPR_VAL_DAILY(0,,,,,\"DIL\")":139582.01,"AIR^FF_ENTRPR_VAL_DAILY(0,,,,,\"DIL\")":1669.816,"CSU^FG_COMPANY_NAME":"Sonida Senior Living, Inc.","HII^FF_CASH_ST(MON,NOW)":774.0,"TDG^FE_ESTIMATE(EBITDA_ADJ,MEAN,ANN_ROLL,+1,NOW,,,'')":2551.192,"RTX^FF_ENTRPR_VAL_DAILY(0,,,,,\"DIL\")":175471.615,"MOG.A-US^FF_ENTRPR_VAL_DAILY(0,,,,,\"DIL\")":3453.78089038,"BWX^FG_COMPANY_NAME":"SPDR Bloomberg International Treasury Bond ETF","SAF-FR^FG_COMPANY_NAME":"Safran S.A.","HII^FE_ESTIMATE(EBITDA_ADJ,MEAN,ANN_ROLL,+1,NOW,,,'')":985.0,"NOC^FE_ESTIMATE(EBITDA_ADJ,MEAN,ANN_ROLL,+1,NOW,,,'')":6519.1665,"HXL^FE_ESTIMATE(EBITDA_ADJ,MEAN,ANN_ROLL,+1,NOW,,,'')":305.0,"MOG.A-US^FE_ESTIMATE(EBITDA_ADJ,MEAN,ANN_ROLL,+1,NOW,,,'')":330.802,"BWXT^FF_ENTRPR_VAL_DAILY(0,,,,,\"DIL\")":6431.40565806,"SAF-FR^FF_ENTRPR_VAL_DAILY(0,,,,,\"DIL\")":45349.75713743,"MRCY^FF_ENTRPR_VAL_DAILY(0,,,,,\"DIL\")":4281.1894,"AXON^FF_ENTRPR_VAL_DAILY(0,,,,,\"DIL\")":8726.87683,"TXT^FF_ENTRPR_VAL_DAILY(0,,,,,\"DIL\")":18166.0196,"HII^FE_ESTIMATE(FCF,MEAN,ANN_ROLL,+1,NOW,,,'')":567.6421,"MRCY^FE_ESTIMATE(EBITDA_ADJ,MEAN,ANN_ROLL,+1,NOW,,,'')":219.907,"CSU-CA^FF_ENTRPR_VAL_DAILY(0,,,,,\"DIL\")":45751.3666472,"CSU^FF_ENTRPR_VAL_DAILY(0,,,,,\"DIL\")":818.09685,"WWD^FF_ENTRPR_VAL_DAILY(0,,,,,\"DIL\")":7839.20957,"HON^FG_COMPANY_NAME":"Honeywell International Inc.","HII^FE_ESTIMATE(SALES,MEAN,ANN_ROLL,+2,NOW,,,'')":13700.679,"ROLL^FE_ESTIMATE(EBITDA_ADJ,MEAN,ANN_ROLL,+1,NOW,,,'')":267.934,"BWX^FF_ENTRPR_VAL_DAILY(0,,,,,\"DIL\")":null,"GD^FF_ENTRPR_VAL_DAILY(0,,,,,\"DIL\")":81648.98393,"TDG^FF_ENTRPR_VAL_DAILY(0,,,,,\"DIL\")":50273.624,"RTX^FE_ESTIMATE(SALES,MEAN,ANN_ROLL,+1,NOW,,,'')":93495.23,"TDY^FE_ESTIMATE(EBITDA,MEAN,ANN_ROLL,+0,NOW,,,'')":1499.0286,"LMT^FE_ESTIMATE(EBITDA_ADJ,MEAN,ANN_ROLL,+1,NOW,,,'')":10078.0,"HII^FF_ENTRPR_VAL_DAILY(0,,,,,\"DIL\")":11731.819,"HXL^FF_ENTRPR_VAL_DAILY(0,,,,,\"DIL\")":5025.368,"HEXA.B-SE^FG_COMPANY_NAME":"Hexagon AB Class B","HII^FF_COM_SHS_OUT_EPS_DIL(MON,NOW)":39.3,"HEXA.B-SE^FE_ESTIMATE(EBITDA_ADJ,MEAN,ANN_ROLL,+1,NOW,,,'')":21383.727,"AXON^FG_COMPANY_NAME":"Axon Enterprise Inc","TXT^FG_COMPANY_NAME":"Textron Inc.","SPX^FG_VALUATION_IDX(0,,,\"PE_CY2\")":23.490593,"CSU^FE_ESTIMATE(EBITDA_ADJ,MEAN,ANN_ROLL,+1,NOW,,,'')":null,"HON^FE_ESTIMATE(EBITDA_ADJ,MEAN,ANN_ROLL,+1,NOW,,,'')":8811.072,"AIR^FE_ESTIMATE(EBITDA_ADJ,MEAN,ANN_ROLL,+1,NOW,,,'')":167.9445,"NOC^FF_ENTRPR_VAL_DAILY(0,,,,,\"DIL\")":88029.155,"GD^FE_ESTIMATE(EBITDA,MEAN,ANN_ROLL,+0,NOW,,,'')":6314.0713,"BWX^FE_ESTIMATE(EBITDA_ADJ,MEAN,ANN_ROLL,+1,NOW,,,'')":null,"SPR^FG_COMPANY_NAME":"Spirit AeroSystems Holdings, Inc. Class A","BWXT^FE_ESTIMATE(EBITDA_ADJ,MEAN,ANN_ROLL,+1,NOW,,,'')":436.6,"ROLL^FG_COMPANY_NAME":"RBC Bearings Incorporated","KBR^FG_COMPANY_NAME":"KBR, Inc.","SPR^FF_ENTRPR_VAL_DAILY(0,,,,,\"DIL\")":6397.912,"HEXA.B-SE^FF_ENTRPR_VAL_DAILY(0,,,,,\"DIL\")":342387.978388848,"RTX^FE_ESTIMATE(EBITDA_ADJ,MEAN,ANN_ROLL,+1,NOW,,,'')":11065.0,"GD^FE_ESTIMATE(EBITDA_ADJ,MEAN,ANN_ROLL,+1,NOW,,,'')":5134.0,"ISLT-IL^FG_COMPANY_NAME":null,"ISLT-IL^FF_ENTRPR_VAL_DAILY(0,,,,,\"DIL\")":null,"ISLT-IL^FE_ESTIMATE(EBITDA_ADJ,MEAN,ANN_ROLL,+1,NOW,,,'')":null,"ESLT-IL^FG_COMPANY_NAME":"Elbit Systems Ltd","ESLT-IL^FF_ENTRPR_VAL_DAILY(0,,,,,\"DIL\")":33606.24252975,"ESLT-IL^FE_ESTIMATE(EBITDA_ADJ,MEAN,ANN_ROLL,+1,NOW,,,'')":null,"HXL^FE_ESTIMATE(SALES,MEAN,ANN_ROLL,+0,NOW,,,'')":1893.9,"B^FF_ENTRPR_VAL_DAILY(0,,,,,\"DIL\")":2775.45872515,"B^FE_ESTIMATE(EBITDA_ADJ,MEAN,ANN_ROLL,+1,NOW,,,'')":null,"CW^FG_PRICE(0)":155.88,"KBR^FE_ESTIMATE(EBITDA_ADJ,MEAN,ANN_ROLL,+1,NOW,,,'')":651.5854,"HON^FF_ENTRPR_VAL_DAILY(0,,,,,\"DIL\")":137372.864,"CSU-CA^FG_COMPANY_NAME":"Constellation Software Inc.","LMT^P_DIV_YLD":2.1950054,"AIR^FE_ESTIMATE(FCF,MEAN,ANN_ROLL,+0,NOW,,,'')":1.1333333,"LHX^FF_ENTRPR_VAL_DAILY(0,,,,,\"DIL\")":61333.016,"LHX^FE_ESTIMATE(EBITDA_ADJ,MEAN,ANN_ROLL,+1,NOW,,,'')":3923.0,"TDM^FG_COMPANY_NAME":"Tandem Computers Incorporated","TDM^FF_ENTRPR_VAL_DAILY(0,,,,,\"DIL\")":null,"TDM^FE_ESTIMATE(EBITDA_ADJ,MEAN,ANN_ROLL,+1,NOW,,,'')":null,"MOG.A-US^FG_COMPANY_NAME":"Moog Inc. Class A","SPR^FE_ESTIMATE(EBITDA_ADJ,MEAN,ANN_ROLL,+1,NOW,,,'')":451.18,"AIR^FF_COM_SHS_OUT_EPS_DIL(MON,NOW)":38.1,"BWXT^FE_ESTIMATE(EPS,MEAN,ANN_ROLL,+0,NOW,,,'')":3.33,"GD^FE_ESTIMATE(EPS,MEAN,ANN_ROLL,+2,NOW,,,'')":18.206356,"MRCY^FE_ESTIMATE(EPS,MEAN,ANN_ROLL,+2,NOW,,,'')":1.5022222,"TDY^FE_ESTIMATE(FCF,MEAN,ANN_ROLL,+1,NOW,,,'')":1168.2534,"LMT^FE_ESTIMATE(EBITDA,MEAN,ANN_ROLL,+0,NOW,,,'')":9421.643,"ITT^FE_ESTIMATE(EPS,MEAN,ANN_ROLL,+2,NOW,,,'')":8.053449,"TDY^FE_ESTIMATE(FCF,MEAN,ANN_ROLL,+2,NOW,,,'')":1274.3595,"RTX^P_DIV_YLD":1.3841535,"NOC^FE_ESTIMATE(SALES,MEAN,ANN_ROLL,+0,NOW,,,'')":41954.0,"RTX^FE_ESTIMATE(FCF,MEAN,ANN_ROLL,+1,NOW,,,'')":8538.131,"CIR^FG_COMPANY_NAME":"CIRCOR International, Inc.","HEI^FE_ESTIMATE(SALES,MEAN,ANN_ROLL,+1,NOW,,,'')":4991.0522,"TDG^FE_ESTIMATE(FCF,MEAN,ANN_ROLL,+2,NOW,,,'')":1612.7427,"TDG^FE_ESTIMATE(FCF,MEAN,ANN_ROLL,+1,NOW,,,'')":1310.6046,"TDG^FE_ESTIMATE(FCF,MEAN,ANN_ROLL,+0,NOW,,,'')":829.0,"WWD^FF_CASH_ST(MON,NOW)":454.245,"BWXT^FF_COM_SHS_OUT_EPS_DIL(MON,NOW)":91.787602,"HXL^FE_ESTIMATE(FCF,MEAN,ANN_ROLL,+1,NOW,,,'')":196.94798,"B^FE_ESTIMATE(FCF,MEAN,ANN_ROLL,+1,NOW,,,'')":99.462,"CIR^FE_ESTIMATE(SALES,MEAN,ANN_ROLL,+0,NOW,,,'')":786.919,"RTX^FF_CASH_ST(MON,NOW)":7435.0,"TDY^FE_ESTIMATE(EPS,MEAN,ANN_ROLL,+2,NOW,,,'')":25.748182,"B^FE_ESTIMATE(EPS,MEAN,ANN_ROLL,+0,NOW,,,'')":1.98,"ITT^FE_ESTIMATE(FCF,MEAN,ANN_ROLL,+0,NOW,,,'')":555.4,"NOC^FE_ESTIMATE(EPS,MEAN,ANN_ROLL,+0,NOW,,,'')":26.34,"NOC^P_DIV_YLD":1.3611655,"BWXT^FE_ESTIMATE(SALES,MEAN,ANN_ROLL,+1,NOW,,,'')":3153.8123,"NOC^FE_ESTIMATE(EPS,MEAN,ANN_ROLL,+1,NOW,,,'')":28.032558,"CIR^FF_COM_SHS_OUT_EPS_DIL(MON,NOW)":20.368,"BA^FE_ESTIMATE(EPS,MEAN,ANN_ROLL,+2,NOW,,,'')":4.9687014,"HXL^FE_ESTIMATE(FCF,MEAN,ANN_ROLL,+0,NOW,,,'')":157.2,"CW^FF_CASH_ST(MON,NOW)":225.427,"HII^FE_ESTIMATE(FCF,MEAN,ANN_ROLL,+2,NOW,,,'')":656.07886,"BWXT^FE_ESTIMATE(SALES,MEAN,ANN_ROLL,+0,NOW,,,'')":2703.654,"BA^FG_PRICE(NOW)":239.35,"AIR^FE_ESTIMATE(SALES,MEAN,ANN_ROLL,+1,NOW,,,'')":3212.2083,"LHX^FE_ESTIMATE(FCF,MEAN,ANN_ROLL,+0,NOW,,,'')":2814.0,"LMT^FG_COMPANY_NAME":"Lockheed Martin Corporation","WWD^FE_ESTIMATE(FCF,MEAN,ANN_ROLL,+1,NOW,,,'')":322.6996,"TDG^FE_ESTIMATE(EPS,MEAN,ANN_ROLL,+2,NOW,,,'')":26.80375,"TDG^FE_ESTIMATE(EPS,MEAN,ANN_ROLL,+1,NOW,,,'')":22.349133,"TDG^FE_ESTIMATE(EPS,MEAN,ANN_ROLL,+0,NOW,,,'')":17.14,"ITT^FF_DEBT(MON,NOW)":867.2,"WWD^FE_ESTIMATE(EBITDA,MEAN,ANN_ROLL,+2,NOW,,,'')":961.56354,"ITT^FE_ESTIMATE(SALES,MEAN,ANN_ROLL,+2,NOW,,,'')":4386.288,"RTX^FE_ESTIMATE(EPS,MEAN,ANN_ROLL,+2,NOW,,,'')":7.5646043,"AIR^FE_ESTIMATE(EPS,MEAN,ANN_ROLL,+0,NOW,,,'')":3.91,"AIR^FF_CASH_ST(MON,NOW)":96.2,"CW^FF_DEBT(MON,NOW)":1133.396,"GD^FG_COMPANY_NAME":"General Dynamics Corporation","HEI^FF_COM_SHS_OUT_EPS_DIL(MON,NOW)":140.771,"CW^FG_COMPANY_NAME":"Curtiss-Wright Corporation","AIR^FE_ESTIMATE(EBITDA,MEAN,ANN_ROLL,+2,NOW,,,'')":436.27963,"LHX^FE_ESTIMATE(EBITDA,MEAN,ANN_ROLL,+0,NOW,,,'')":3840.24,"BA^FE_ESTIMATE(EBITDA,MEAN,ANN_ROLL,+1,NOW,,,'')":5613.641,"HII^P_DIV_YLD":1.4056531,"AIR^FE_ESTIMATE(SALES,MEAN,ANN_ROLL,+0,NOW,,,'')":2780.5,"BWXT^FE_ESTIMATE(FCF,MEAN,ANN_ROLL,+0,NOW,,,'')":254.8,"KRMN^FF_CASH_ST(MON,NOW)":18.665,"KRMN^FE_ESTIMATE(EBITDA,MEAN,ANN_ROLL,+1,NOW,,,'')":144.74529,"HEI^FE_ESTIMATE(EBITDA,MEAN,ANN_ROLL,+1,NOW,,,'')":1365.6947,"BA^FG_COMPANY_NAME":"Boeing Company","NOC^FE_ESTIMATE(FCF,MEAN,ANN_ROLL,+1,NOW,,,'')":3296.9346,"LHX^FF_DEBT(MON,NOW)":10443.0,"NOC^FE_ESTIMATE(EBITDA,MEAN,ANN_ROLL,+0,NOW,,,'')":5957.0,"AIR^FE_ESTIMATE(EPS,MEAN,ANN_ROLL,+2,NOW,,,'')":5.502857,"HEI^FG_PRICE(NOW)":328.45,"KRMN^FE_ESTIMATE(FCF,MEAN,ANN_ROLL,+1,NOW,,,'')":-17.4238,"B^FF_COM_SHS_OUT_EPS_DIL(MON,NOW)":51.264435,"HII^FE_ESTIMATE(EPS,MEAN,ANN_ROLL,+2,NOW,,,'')":20.31125,"AIR^FE_ESTIMATE(EPS,MEAN,ANN_ROLL,+1,NOW,,,'')":4.707143,"CIR^FE_ESTIMATE(EPS,MEAN,ANN_ROLL,+2,NOW,,,'')":2.67,"B^FE_ESTIMATE(FCF,MEAN,ANN_ROLL,+0,NOW,,,'')":40.32567,"SPX^FG_VALUATION_IDX(0,,,\"PE_CY1\")":25.56711,"AIR^FF_DEBT(MON,NOW)":1044.3,"ITT^FE_ESTIMATE(EBITDA,MEAN,ANN_ROLL,+0,NOW,,,'')":856.5125,"BWXT^FE_ESTIMATE(EPS,MEAN,ANN_ROLL,+2,NOW,,,'')":4.295475,"CW^FG_PRICE(NOW)":582.42,"TDY^FE_ESTIMATE(EBITDA,MEAN,ANN_ROLL,+1,NOW,,,'')":1595.3939,"CW^FE_ESTIMATE(EPS,MEAN,ANN_ROLL,+2,NOW,,,'')":16.393692,"BA^P_DIV_YLD":0.0,"AIR^FE_ESTIMATE(EBITDA,MEAN,ANN_ROLL,+1,NOW,,,'')":386.26343,"HEI^FE_ESTIMATE(EPS,MEAN,ANN_ROLL,+0,NOW,,,'')":4.9,"NOC^FE_ESTIMATE(FCF,MEAN,ANN_ROLL,+2,NOW,,,'')":3523.5466,"CIR^FE_ESTIMATE(FCF,MEAN,ANN_ROLL,+2,NOW,,,'')":52.1,"LMT^FE_ESTIMATE(FCF,MEAN,ANN_ROLL,+1,NOW,,,'')":6674.503,"AIR^FG_PRICE(NOW)":113.22,"LHX^FE_ESTIMATE(EPS,MEAN,ANN_ROLL,+2,NOW,,,'')":13.681771,"CIR^FE_ESTIMATE(FCF,MEAN,ANN_ROLL,+1,NOW,,,'')":0.3,"B^FE_ESTIMATE(EPS,MEAN,ANN_ROLL,+2,NOW,,,'')":2.55,"ITT^FE_ESTIMATE(FCF,MEAN,ANN_ROLL,+1,NOW,,,'')":579.5143,"NOC^FE_ESTIMATE(EBITDA,MEAN,ANN_ROLL,+2,NOW,,,'')":6660.186,"MRCY^P_DIV_YLD":0.0,"LMT^FG_PRICE(NOW)":637.43,"GD^FE_ESTIMATE(FCF,MEAN,ANN_ROLL,+0,NOW,,,'')":3959.0,"WWD^FE_ESTIMATE(EPS,MEAN,ANN_ROLL,+0,NOW,,,'')":6.89,"BA^FF_CASH_ST(MON,NOW)":29400.0,"GD^FE_ESTIMATE(FCF,MEAN,ANN_ROLL,+1,NOW,,,'')":4439.8296,"AIR^FE_ESTIMATE(FCF,MEAN,ANN_ROLL,+2,NOW,,,'')":102.8,"HEI^FF_CASH_ST(MON,NOW)":217.781,"CW^FE_ESTIMATE(FCF,MEAN,ANN_ROLL,+0,NOW,,,'')":553.71,"TDY^FE_ESTIMATE(EPS,MEAN,ANN_ROLL,+0,NOW,,,'')":21.99,"TDG^FE_ESTIMATE(EBITDA,MEAN,ANN_ROLL,+2,NOW,,,'')":3411.3345,"TDG^FE_ESTIMATE(EBITDA,MEAN,ANN_ROLL,+1,NOW,,,'')":3110.2258,"TDG^FE_ESTIMATE(EBITDA,MEAN,ANN_ROLL,+0,NOW,,,'')":2646.0,"RTX^FE_ESTIMATE(FCF,MEAN,ANN_ROLL,+2,NOW,,,'')":9968.167,"HEI^FE_ESTIMATE(FCF,MEAN,ANN_ROLL,+1,NOW,,,'')":890.72815,"LHX^FE_ESTIMATE(SALES,MEAN,ANN_ROLL,+1,NOW,,,'')":23431.785,"CW^FF_COM_SHS_OUT_EPS_DIL(MON,NOW)":37.663,"NOC^FG_COMPANY_NAME":"Northrop Grumman Corp.","NOC^FE_ESTIMATE(EBITDA,MEAN,ANN_ROLL,+1,NOW,,,'')":6269.72,"LMT^FE_ESTIMATE(FCF,MEAN,ANN_ROLL,+2,NOW,,,'')":6395.99,"TDY^FE_ESTIMATE(SALES,MEAN,ANN_ROLL,+0,NOW,,,'')":6115.4,"BA^FF_DEBT(MON,NOW)":56365.0,"B^FE_ESTIMATE(EBITDA,MEAN,ANN_ROLL,+1,NOW,,,'')":257.86,"HXL^FE_ESTIMATE(FCF,MEAN,ANN_ROLL,+2,NOW,,,'')":262.17014,"RTX^FF_DEBT(MON,NOW)":39956.0,"CIR^FE_ESTIMATE(EPS,MEAN,ANN_ROLL,+0,NOW,,,'')":1.83,"LHX^FF_CASH_ST(MON,NOW)":1069.0,"HII^FE_ESTIMATE(EBITDA,MEAN,ANN_ROLL,+0,NOW,,,'')":986.0,"ITT^P_DIV_YLD":0.7651899,"MRCY^FG_COMPANY_NAME":"Mercury Systems, Inc.","RTX^FE_ESTIMATE(EPS,MEAN,ANN_ROLL,+0,NOW,,,'')":6.29,"WWD^P_DIV_YLD":0.32853368,"TDY^FE_ESTIMATE(EPS,MEAN,ANN_ROLL,+1,NOW,,,'')":23.787176,"ITT^FF_COM_SHS_OUT_EPS_DIL(MON,NOW)":79.9,"MRCY^FE_ESTIMATE(EBITDA,MEAN,ANN_ROLL,+2,NOW,,,'')":194.53511,"KRMN^FE_ESTIMATE(FCF,MEAN,ANN_ROLL,+2,NOW,,,'')":53.9774,"HEI^FE_ESTIMATE(SALES,MEAN,ANN_ROLL,+2,NOW,,,'')":5386.394,"TDG^FE_ESTIMATE(SALES,MEAN,ANN_ROLL,+2,NOW,,,'')":6725.6494,"TDG^FE_ESTIMATE(SALES,MEAN,ANN_ROLL,+1,NOW,,,'')":6157.8257,"TDG^FE_ESTIMATE(SALES,MEAN,ANN_ROLL,+0,NOW,,,'')":5429.0,"LHX^FE_ESTIMATE(FCF,MEAN,ANN_ROLL,+2,NOW,,,'')":3095.36,"B^FF_DEBT(MON,NOW)":565.456,"CIR^FE_ESTIMATE(EBITDA,MEAN,ANN_ROLL,+1,NOW,,,'')":133.17,"CW^FE_ESTIMATE(EPS,MEAN,ANN_ROLL,+0,NOW,,,'')":13.23,"HXL^FE_ESTIMATE(EPS,MEAN,ANN_ROLL,+0,NOW,,,'')":1.76,"LMT^FE_ESTIMATE(EBITDA,MEAN,ANN_ROLL,+2,NOW,,,'')":11740.641,"ITT^FE_ESTIMATE(EPS,MEAN,ANN_ROLL,+0,NOW,,,'')":6.72,"LHX^P_DIV_YLD":1.469335,"B^FE_ESTIMATE(EBITDA,MEAN,ANN_ROLL,+0,NOW,,,'')":191.53,"KRMN^FE_ESTIMATE(EBITDA,MEAN,ANN_ROLL,+2,NOW,,,'')":211.56017,"HEI^FE_ESTIMATE(FCF,MEAN,ANN_ROLL,+0,NOW,,,'')":861.9067,"BWXT^FE_ESTIMATE(EPS,MEAN,ANN_ROLL,+1,NOW,,,'')":3.8209083,"RTX^FE_ESTIMATE(SALES,MEAN,ANN_ROLL,+2,NOW,,,'')":99856.58,"RTX^FE_ESTIMATE(EBITDA,MEAN,ANN_ROLL,+1,NOW,,,'')":15397.806,"BA^FF_COM_SHS_OUT_EPS_DIL(MON,NOW)":762.3,"WWD^FF_COM_SHS_OUT_EPS_DIL(MON,NOW)":61.59,"CW^FE_ESTIMATE(EBITDA,MEAN,ANN_ROLL,+0,NOW,,,'')":763.72675,"KRMN^FE_ESTIMATE(SALES,MEAN,ANN_ROLL,+0,NOW,,,'')":345.25107,"TDY^FF_CASH_ST(MON,NOW)":352.4,"KRMN^FF_COM_SHS_OUT_EPS_DIL(MON,NOW)":132.322435,"HII^FE_ESTIMATE(SALES,MEAN,ANN_ROLL,+0,NOW,,,'')":12484.0,"HII^FE_ESTIMATE(EBITDA,MEAN,ANN_ROLL,+2,NOW,,,'')":1200.1703,"BWXT^FF_DEBT(MON,NOW)":1509.57,"KRMN^FE_ESTIMATE(EPS,MEAN,ANN_ROLL,+2,NOW,,,'')":0.62746274,"BWXT^FG_COMPANY_NAME":"BWX Technologies, Inc.","BA^FE_ESTIMATE(EPS,MEAN,ANN_ROLL,+0,NOW,,,'')":1.19,"TDY^FF_COM_SHS_OUT_EPS_DIL(MON,NOW)":47.4,"HII^FF_DEBT(MON,NOW)":2981.0,"CW^FE_ESTIMATE(EPS,MEAN,ANN_ROLL,+1,NOW,,,'')":14.648917,"CW^FE_ESTIMATE(FCF,MEAN,ANN_ROLL,+2,NOW,,,'')":589.6467,"HEI^FE_ESTIMATE(SALES,MEAN,ANN_ROLL,+0,NOW,,,'')":4485.044,"HII^FE_ESTIMATE(EPS,MEAN,ANN_ROLL,+1,NOW,,,'')":17.280056,"B^FE_ESTIMATE(FCF,MEAN,ANN_ROLL,+2,NOW,,,'')":151.77925,"CW^P_DIV_YLD":0.15135987,"WWD^FE_ESTIMATE(FCF,MEAN,ANN_ROLL,+0,NOW,,,'')":340.0,"LMT^FE_ESTIMATE(SALES,MEAN,ANN_ROLL,+1,NOW,,,'')":79101.17,"BA^FE_ESTIMATE(FCF,MEAN,ANN_ROLL,+0,NOW,,,'')":-1877.0,"RTX^FE_ESTIMATE(FCF,MEAN,ANN_ROLL,+0,NOW,,,'')":7940.0,"BWXT^FE_ESTIMATE(EBITDA,MEAN,ANN_ROLL,+1,NOW,,,'')":571.4364,"HEI^FE_ESTIMATE(EPS,MEAN,ANN_ROLL,+2,NOW,,,'')":6.18143,"B^FG_PRICE(NOW)":43.0591,"B^FE_ESTIMATE(SALES,MEAN,ANN_ROLL,+1,NOW,,,'')":1356.0015,"TDG^P_DIV_YLD":0.0,"B^FF_CASH_ST(MON,NOW)":78.684,"HII^FE_ESTIMATE(FCF,MEAN,ANN_ROLL,+0,NOW,,,'')":800.0,"ITT^FE_ESTIMATE(EBITDA,MEAN,ANN_ROLL,+2,NOW,,,'')":1012.8063,"KRMN^P_DIV_YLD":0.0,"RTX^FE_ESTIMATE(EPS,MEAN,ANN_ROLL,+1,NOW,,,'')":6.839679,"TDY^FE_ESTIMATE(FCF,MEAN,ANN_ROLL,+0,NOW,,,'')":1074.0,"CW^FE_ESTIMATE(FCF,MEAN,ANN_ROLL,+1,NOW,,,'')":567.06024,"GD^FE_ESTIMATE(EPS,MEAN,ANN_ROLL,+0,NOW,,,'')":15.45,"LHX^FG_COMPANY_NAME":"L3Harris Technologies Inc","WWD^FF_DEBT(MON,NOW)":912.504,"LMT^FE_ESTIMATE(FCF,MEAN,ANN_ROLL,+0,NOW,,,'')":6908.0,"CIR^FE_ESTIMATE(EPS,MEAN,ANN_ROLL,+1,NOW,,,'')":2.16,"BWXT^FF_CASH_ST(MON,NOW)":82.65,"KRMN^FG_COMPANY_NAME":"Karman Holdings Inc.","HXL^FF_DEBT(MON,NOW)":1018.7,"WWD^FE_ESTIMATE(SALES,MEAN,ANN_ROLL,+2,NOW,,,'')":4483.92,"HXL^FF_CASH_ST(MON,NOW)":71.0,"BA^FE_ESTIMATE(EBITDA,MEAN,ANN_ROLL,+2,NOW,,,'')":9595.381,"HEI^FF_DEBT(MON,NOW)":2308.666,"KRMN^FE_ESTIMATE(SALES,MEAN,ANN_ROLL,+1,NOW,,,'')":469.24414,"KRMN^FE_ESTIMATE(SALES,MEAN,ANN_ROLL,+2,NOW,,,'')":710.41785,"MRCY^FE_ESTIMATE(SALES,MEAN,ANN_ROLL,+1,NOW,,,'')":953.1716,"KRMN^FE_ESTIMATE(EPS,MEAN,ANN_ROLL,+1,NOW,,,'')":0.36687896,"TDG^FF_CASH_ST(MON,NOW)":3288.0,"TDG^FF_DEBT(MON,NOW)":20059.0,"ITT^FE_ESTIMATE(FCF,MEAN,ANN_ROLL,+2,NOW,,,'')":659.01666,"KRMN^FF_DEBT(MON,NOW)":483.685,"BA^FE_ESTIMATE(EPS,MEAN,ANN_ROLL,+1,NOW,,,'')":1.7208017,"B^FE_ESTIMATE(EPS,MEAN,ANN_ROLL,+1,NOW,,,'')":2.23,"GD^FF_COM_SHS_OUT_EPS_DIL(MON,NOW)":272.425,"GD^FG_PRICE(NOW)":340.75,"CIR^FF_CASH_ST(MON,NOW)":53.98,"GD^FE_ESTIMATE(EBITDA,MEAN,ANN_ROLL,+1,NOW,,,'')":6685.74,"WWD^FE_ESTIMATE(SALES,MEAN,ANN_ROLL,+1,NOW,,,'')":4138.823,"CW^FE_ESTIMATE(SALES,MEAN,ANN_ROLL,+1,NOW,,,'')":3697.0693,"BWXT^FE_ESTIMATE(FCF,MEAN,ANN_ROLL,+1,NOW,,,'')":288.6867,"GD^FE_ESTIMATE(SALES,MEAN,ANN_ROLL,+2,NOW,,,'')":57215.53,"RTX^FE_ESTIMATE(EBITDA,MEAN,ANN_ROLL,+0,NOW,,,'')":13709.8,"KRMN^FE_ESTIMATE(FCF,MEAN,ANN_ROLL,+0,NOW,,,'')":6.25,"RTX^FG_PRICE(NOW)":201.14,"MRCY^FF_DEBT(MON,NOW)":642.46,"WWD^FE_ESTIMATE(EPS,MEAN,ANN_ROLL,+2,NOW,,,'')":10.121526,"ITT^FE_ESTIMATE(SALES,MEAN,ANN_ROLL,+1,NOW,,,'')":4182.741,"HXL^FG_COMPANY_NAME":"Hexcel Corporation","TDG^FF_COM_SHS_OUT_EPS_DIL(MON,NOW)":57.1,"HEI^FE_ESTIMATE(FCF,MEAN,ANN_ROLL,+2,NOW,,,'')":1025.6245,"CIR^FE_ESTIMATE(SALES,MEAN,ANN_ROLL,+2,NOW,,,'')":887.555,"LHX^FE_ESTIMATE(EPS,MEAN,ANN_ROLL,+1,NOW,,,'')":11.849426,"HEI^FE_ESTIMATE(EBITDA,MEAN,ANN_ROLL,+0,NOW,,,'')":1219.0564,"WWD^FE_ESTIMATE(SALES,MEAN,ANN_ROLL,+0,NOW,,,'')":3567.064,"AIR^FE_ESTIMATE(EBITDA,MEAN,ANN_ROLL,+0,NOW,,,'')":324.525,"AIR^FE_ESTIMATE(SALES,MEAN,ANN_ROLL,+2,NOW,,,'')":3549.0786,"LMT^FE_ESTIMATE(SALES,MEAN,ANN_ROLL,+2,NOW,,,'')":83135.695,"NOC^FF_DEBT(MON,NOW)":17884.0,"LMT^FF_DEBT(MON,NOW)":22771.0,"CIR^FE_ESTIMATE(SALES,MEAN,ANN_ROLL,+1,NOW,,,'')":848.34,"BWXT^FE_ESTIMATE(FCF,MEAN,ANN_ROLL,+2,NOW,,,'')":276.69656,"LHX^FE_ESTIMATE(SALES,MEAN,ANN_ROLL,+0,NOW,,,'')":21865.0,"HII^FG_COMPANY_NAME":"Huntington Ingalls Industries, Inc.","TDG^FG_PRICE(NOW)":713.67,"KRMN^FG_PRICE(NOW)":78.71,"HII^FE_ESTIMATE(SALES,MEAN,ANN_ROLL,+1,NOW,,,'')":12916.1875,"BWXT^FE_ESTIMATE(SALES,MEAN,ANN_ROLL,+2,NOW,,,'')":3673.7969,"BWXT^P_DIV_YLD":0.50377834,"NOC^FE_ESTIMATE(EPS,MEAN,ANN_ROLL,+2,NOW,,,'')":30.214338,"AIR^P_DIV_YLD":0.0,"GD^P_DIV_YLD":1.7324017,"LMT^FE_ESTIMATE(EPS,MEAN,ANN_ROLL,+0,NOW,,,'')":21.49,"MRCY^FF_COM_SHS_OUT_EPS_DIL(MON,NOW)":59.415,"B^FE_ESTIMATE(EBITDA,MEAN,ANN_ROLL,+2,NOW,,,'')":284.395,"LHX^FE_ESTIMATE(EBITDA,MEAN,ANN_ROLL,+2,NOW,,,'')":4549.8784,"NOC^FF_COM_SHS_OUT_EPS_DIL(MON,NOW)":143.8,"KRMN^FE_ESTIMATE(EBITDA,MEAN,ANN_ROLL,+0,NOW,,,'')":106.144585,"B^P_DIV_YLD":1.5455204,"TDG^FG_COMPANY_NAME":"TransDigm Group Incorporated","MRCY^FE_ESTIMATE(SALES,MEAN,ANN_ROLL,+0,NOW,,,'')":912.02,"HEI^P_DIV_YLD":0.074441686,"WWD^FE_ESTIMATE(FCF,MEAN,ANN_ROLL,+2,NOW,,,'')":465.699,"GD^FE_ESTIMATE(FCF,MEAN,ANN_ROLL,+2,NOW,,,'')":4719.4873,"BA^FE_ESTIMATE(FCF,MEAN,ANN_ROLL,+2,NOW,,,'')":6764.7295,"LMT^FE_ESTIMATE(EPS,MEAN,ANN_ROLL,+2,NOW,,,'')":31.879284,"HII^FE_ESTIMATE(EPS,MEAN,ANN_ROLL,+0,NOW,,,'')":15.39,"CW^FE_ESTIMATE(SALES,MEAN,ANN_ROLL,+2,NOW,,,'')":3988.2158,"HEI^FE_ESTIMATE(EBITDA,MEAN,ANN_ROLL,+2,NOW,,,'')":1486.0432,"ITT^FE_ESTIMATE(EBITDA,MEAN,ANN_ROLL,+1,NOW,,,'')":933.3827,"LHX^FE_ESTIMATE(EPS,MEAN,ANN_ROLL,+0,NOW,,,'')":10.73,"HEI^FG_COMPANY_NAME":"HEICO Corporation","CW^FE_ESTIMATE(EBITDA,MEAN,ANN_ROLL,+2,NOW,,,'')":913.4074,"KRMN^FE_ESTIMATE(EPS,MEAN,ANN_ROLL,+0,NOW,,,'')":0.08,"MRCY^FE_ESTIMATE(EPS,MEAN,ANN_ROLL,+0,NOW,,,'')":0.64,"TDY^FE_ESTIMATE(SALES,MEAN,ANN_ROLL,+2,NOW,,,'')":6711.3374,"HII^FG_PRICE(NOW)":406.76,"BA^FE_ESTIMATE(FCF,MEAN,ANN_ROLL,+1,NOW,,,'')":2336.1096,"HXL^FE_ESTIMATE(SALES,MEAN,ANN_ROLL,+2,NOW,,,'')":2284.4988,"MRCY^FE_ESTIMATE(FCF,MEAN,ANN_ROLL,+0,NOW,,,'')":119.016,"NOC^FF_CASH_ST(MON,NOW)":4403.0,"CIR^FE_ESTIMATE(EBITDA,MEAN,ANN_ROLL,+0,NOW,,,'')":108.348,"NOC^FG_PRICE(NOW)":695.06,"NOC^FE_ESTIMATE(SALES,MEAN,ANN_ROLL,+2,NOW,,,'')":46664.74,"RTX^FF_COM_SHS_OUT_EPS_DIL(MON,NOW)":1356.4,"LMT^FE_ESTIMATE(SALES,MEAN,ANN_ROLL,+0,NOW,,,'')":75048.0,"HXL^FF_COM_SHS_OUT_EPS_DIL(MON,NOW)":80.0,"TDY^FG_PRICE(NOW)":646.3,"MRCY^FE_ESTIMATE(EPS,MEAN,ANN_ROLL,+1,NOW,,,'')":0.958,"GD^FE_ESTIMATE(EPS,MEAN,ANN_ROLL,+1,NOW,,,'')":16.42844,"HXL^FE_ESTIMATE(SALES,MEAN,ANN_ROLL,+1,NOW,,,'')":2063.5278,"TDY^FF_DEBT(MON,NOW)":2475.4,"RTX^FE_ESTIMATE(SALES,MEAN,ANN_ROLL,+0,NOW,,,'')":88603.0,"TDY^P_DIV_YLD":0.0,"MRCY^FF_CASH_ST(MON,NOW)":334.99,"BA^FE_ESTIMATE(SALES,MEAN,ANN_ROLL,+2,NOW,,,'')":111043.26,"MRCY^FE_ESTIMATE(SALES,MEAN,ANN_ROLL,+2,NOW,,,'')":1044.1843,"MRCY^FG_PRICE(NOW)":80.25,"BA^FE_ESTIMATE(EBITDA,MEAN,ANN_ROLL,+0,NOW,,,'')":6254.016,"RTX^FG_COMPANY_NAME":"RTX Corporation","GD^FE_ESTIMATE(SALES,MEAN,ANN_ROLL,+1,NOW,,,'')":54707.734,"LHX^FG_PRICE(NOW)":339.9,"MRCY^FE_ESTIMATE(FCF,MEAN,ANN_ROLL,+1,NOW,,,'')":77.375,"CIR^P_DIV_YLD":0.0,"B^FG_COMPANY_NAME":"Barnes Group Inc.","LMT^FF_COM_SHS_OUT_EPS_DIL(MON,NOW)":233.5,"HXL^FE_ESTIMATE(EPS,MEAN,ANN_ROLL,+2,NOW,,,'')":3.0659766,"B^FE_ESTIMATE(SALES,MEAN,ANN_ROLL,+0,NOW,,,'')":1261.868,"NOC^FE_ESTIMATE(SALES,MEAN,ANN_ROLL,+1,NOW,,,'')":43921.05,"CIR^FE_ESTIMATE(FCF,MEAN,ANN_ROLL,+0,NOW,,,'')":-22.8,"GD^FF_CASH_ST(MON,NOW)":2333.0,"BWXT^FE_ESTIMATE(EBITDA,MEAN,ANN_ROLL,+2,NOW,,,'')":651.924,"LMT^FE_ESTIMATE(EPS,MEAN,ANN_ROLL,+1,NOW,,,'')":29.944134,"CIR^FF_DEBT(MON,NOW)":537.66,"WWD^FG_COMPANY_NAME":"Woodward, Inc.","BA^FE_ESTIMATE(SALES,MEAN,ANN_ROLL,+0,NOW,,,'')":89463.0,"HXL^FE_ESTIMATE(EBITDA,MEAN,ANN_ROLL,+0,NOW,,,'')":337.2125,"AIR^FG_COMPANY_NAME":"AAR CORP.","CW-US^FE_ESTIMATE(EPS,MEAN,ANN_ROLL,+1,NOW,,,'')":9.107483,"CW-US^FE_ESTIMATE(SAL_BENEFITS,MEAN,ANN_ROLL,+1,NOW,,,'')":null,"CW-US^FE_ESTIMATE(SALES,MEAN,QTR_ROLL,+3,NOW,,,'')":938.1917,"CW-US^FE_ESTIMATE(SALES,MEAN,ANN_ROLL,+4,NOW,,,'')":3948.9,"CW-US^FE_ESTIMATE(SALES,MEAN,ANN_ROLL,+1,NOW,,,'')":3697.0693,"CW-US^FE_ESTIMATE(SALES,MEAN,CALA_ROLL,1CY,NOW,,,'')":2687.8123,"CW-US^FE_ESTIMATE(SALES,MEAN,QTR_ROLL,+2,NOW,,,'')":937.4847,"CW-US^FE_ESTIMATE(SALES,MEAN,ANN_ROLL,+2,NOW,,,'')":3988.2158,"CW-US^FE_ESTIMATE(SALES,MEAN,ANN_ROLL,+3,NOW,,,'')":3971.564,"CW-US^FE_ESTIMATE(SALES,MEAN,QTR_ROLL,+8,NOW,,,'')":null,"CW-US^FE_ESTIMATE(SALES,MEAN,QTR_ROLL,+7,NOW,,,'')":null,"CW-US^FE_ESTIMATE(SALES,MEAN,QTR_ROLL,+6,NOW,,,'')":null,"CW-US^FE_ESTIMATE(SALES,MEAN,QTR_ROLL,+5,NOW,,,'')":969.2557,"CW-US^FE_ESTIMATE(OPER_EXP,MEAN,QTR_ROLL,+1,NOW,,,'')":null,"CW-US^FE_ESTIMATE(OPERATING INCOME,MEAN,QTR_ROLL,+1,NOW,,,'')":"#NUM","CW-US^FE_ESTIMATE(EPS_NONGAAP,MEAN,QTR_ROLL,+2,NOW,,,'')":3.606884,"CW-US^FE_ESTIMATE(EBIT,MEAN,ANN_ROLL,+1,NOW,,,'')":707.8004,"CW-US^FE_ESTIMATE(EBIT,MEAN,ANN_ROLL,+2,NOW,,,'')":780.836,"CW-US^FE_ESTIMATE(EBIT_ADJ,MEAN,ANN_ROLL,+2,NOW,,,'')":513.6,"CW-US^FE_ESTIMATE(EBIT_ADJ,MEAN,QTR_ROLL,+1,NOW,,,'')":131.0,"CW-US^FE_ESTIMATE(EBIT_ADJ,MEAN,ANN_ROLL,+0,NOW,,,'')":443.078,"CW-US^FE_ESTIMATE(EBIT_ADJ,MEAN,QTR_ROLL,+4,NOW,,,'')":160.8,"CW-US^FE_ESTIMATE(EBIT_ADJ,MEAN,QTR_ROLL,+3,NOW,,,'')":160.0,"CW-US^FE_ESTIMATE(EBIT_ADJ,MEAN,QTR_ROLL,+2,NOW,,,'')":153.7,"CW-US^FE_ESTIMATE(EBIT_ADJ,MEAN,ANN_ROLL,+1,NOW,,,'')":481.55,"CW-US^FE_ESTIMATE(EPS_NONGAAP,MEAN,QTR_ROLL,+4,NOW,,,'')":3.09708,"CW-US^FE_ESTIMATE(EPS_NONGAAP,MEAN,QTR_ROLL,+3,NOW,,,'')":3.07308,"CW-US^FE_ESTIMATE(EPS_NONGAAP,MEAN,QTR_ROLL,+1,NOW,,,'')":3.29875,"CW-US^FE_ESTIMATE(FCF,MEAN,ANN_ROLL,+2,NOW,,,'')":517.287,"CW-US^FE_ESTIMATE(FCF,MEAN,ANN_ROLL,+1,NOW,,,'')":494.465,"CW^FE_ESTIMATE(EBITDA,MEAN,ANN_ROLL,+1,NOW,,,'')":835.5868,"LHX^FE_ESTIMATE(EBITDA,MEAN,ANN_ROLL,+1,NOW,,,'')":4259.0566,"TDY^FE_ESTIMATE(EBITDA,MEAN,ANN_ROLL,+2,NOW,,,'')":1715.3583,"LHX^FE_ESTIMATE(FCF,MEAN,ANN_ROLL,+1,NOW,,,'')":3032.0864,"WWD^FE_ESTIMATE(EBITDA,MEAN,ANN_ROLL,+1,NOW,,,'')":847.4944,"NOC^FE_ESTIMATE(FCF,MEAN,ANN_ROLL,+0,NOW,,,'')":3307.0,"MRCY^FE_ESTIMATE(EBITDA,MEAN,ANN_ROLL,+1,NOW,,,'')":139.8231,"CIR^FE_ESTIMATE(EBITDA,MEAN,ANN_ROLL,+2,NOW,,,'')":146.84,"ITT^FE_ESTIMATE(EPS,MEAN,ANN_ROLL,+1,NOW,,,'')":7.269315,"BWXT^FE_ESTIMATE(EBITDA,MEAN,ANN_ROLL,+0,NOW,,,'')":498.7,"HXL^P_DIV_YLD":0.8195788,"RTX^FE_ESTIMATE(EBITDA,MEAN,ANN_ROLL,+2,NOW,,,'')":16786.969,"HXL^FE_ESTIMATE(EPS,MEAN,ANN_ROLL,+1,NOW,,,'')":2.2371728,"HXL^FG_PRICE(NOW)":88.95,"TDY^FG_COMPANY_NAME":"Teledyne Technologies Incorporated","HXL^FE_ESTIMATE(EBITDA,MEAN,ANN_ROLL,+2,NOW,,,'')":472.79962,"CIR^FG_PRICE(NOW)":53.68,"GD^FE_ESTIMATE(SALES,MEAN,ANN_ROLL,+0,NOW,,,'')":52550.0,"CW-US^FE_ESTIMATE(OPER_EXP,MEAN,ANN_ROLL,+1,NOW,,,'')":null,"CW-US^FE_ESTIMATE(NET_INC,MEAN,ANN_ROLL,+1,NOW,,,'')":347.5855,"CW-US^FE_ESTIMATE(NET_INC,MEAN,QTR_ROLL,+1,NOW,,,'')":91.135,"CW-US^FE_ESTIMATE(,MEAN,QTR_ROLL,+1,NOW,,,'')":2.3566666,"CW-US^FE_ESTIMATE(EPS_NONGAAP,MEAN,ANN_ROLL,+1,NOW,,,'')":14.648917,"CW-US^FE_ESTIMATE(EBIT,MEAN,QTR_ROLL,+1,NOW,,,'')":163.73428,"CW-US^FE_ESTIMATE(EBIT,MEAN,ANN_ROLL,+4,NOW,,,'')":770.1,"CW-US^FE_ESTIMATE(EBIT,MEAN,QTR_ROLL,+2,NOW,,,'')":160.501,"BWXT-US^FE_ESTIMATE(PRODLINE_SALES_7,MEAN,ANN_ROLL,+3,NOW,,,'')":2150.5818,"BWXT-US^FE_ESTIMATE(PRODLINE_SALES_7,MEAN,QTR_ROLL,+4,NOW,,,'')":491.91232,"BWXT-US^FE_ESTIMATE(PRODLINE_SALES_7,MEAN,QTR_ROLL,+1,NOW,,,'')":542.214,"HII-US^FE_ESTIMATE(PRODLINE_SALES_2,MEAN,QTR_ROLL,+1,NOW,,,'')":1552.75,"BWXT-US^FE_ESTIMATE(PRODLINE_SALES_7,MEAN,QTR_ROLL,+3,NOW,,,'')":493.542,"HII-US^FE_ESTIMATE(PRODLINE_SALES_2,MEAN,QTR_ROLL,+4,NOW,,,'')":1586.5,"HII-US^FE_ESTIMATE(PRODLINE_SALES_2,MEAN,QTR_ROLL,+3,NOW,,,'')":1545.5,"HII-US^FE_ESTIMATE(PRODLINE_SALES_2,MEAN,QTR_ROLL,+2,NOW,,,'')":1561.5,"HII-US^FE_ESTIMATE(PRODLINE_SALES_2,MEAN,ANN_ROLL,+2,NOW,,,'')":6545.3335,"BWXT-US^FE_ESTIMATE(PRODLINE_SALES_7,MEAN,QTR_ROLL,+2,NOW,,,'')":467.361,"BWXT-US^FE_ESTIMATE(PRODLINE_SALES_7,MEAN,ANN_ROLL,+2,NOW,,,'')":2013.6653,"BWXT-US^FE_ESTIMATE(PRODLINE_SALES_7,MEAN,ANN_ROLL,+1,NOW,,,'')":1972.0272,"BWXT-US^FE_ESTIMATE(PRODLINE_SALES_7,MEAN,QTR_ROLL,+5,NOW,,,'')":561.572,"ITT^FE_ESTIMATE(SALES,MEAN,ANN_ROLL,+0,NOW,,,'')":3938.5,"ITT^FF_CASH_ST(MON,NOW)":1742.9,"CW-US^FE_ESTIMATE(SALES,MEAN,QTR_ROLL,+1,NOW,,,'')":854.7015,"CW-US^FE_ESTIMATE(SALES,MEAN,QTR_ROLL,+4,NOW,,,'')":969.2557,"CW-US^FE_ESTIMATE(EPS_NONGAAP,MEAN,ANN_ROLL,+3,NOW,,,'')":16.267727,"CW-US^FE_ESTIMATE(EPS_NONGAAP,MEAN,ANN_ROLL,+2,NOW,,,'')":16.393692,"CW-US^FE_ESTIMATE(EBIT,MEAN,ANN_ROLL,+3,NOW,,,'')":780.836,"CW-US^FE_ESTIMATE(EPS_NONGAAP,MEAN,ANN_ROLL,+4,NOW,,,'')":15.54,"LHX^FF_COM_SHS_OUT_EPS_DIL(MON,NOW)":188.4,"HEI^FE_ESTIMATE(EPS,MEAN,ANN_ROLL,+1,NOW,,,'')":5.498579,"BA^FE_ESTIMATE(SALES,MEAN,ANN_ROLL,+1,NOW,,,'')":97083.03,"WWD^FG_PRICE(NOW)":380.43,"LMT^FE_ESTIMATE(EBITDA,MEAN,ANN_ROLL,+1,NOW,,,'')":11329.626,"ITT^FG_PRICE(NOW)":199.11,"LMT^FF_CASH_ST(MON,NOW)":4121.0,"HII^FE_ESTIMATE(EBITDA,MEAN,ANN_ROLL,+1,NOW,,,'')":1030.0944,"AIR^FE_ESTIMATE(FCF,MEAN,ANN_ROLL,+1,NOW,,,'')":21.82,"BWXT^FG_PRICE(NOW)":196.9,"ITT^FG_COMPANY_NAME":"ITT, Inc.","WWD^FE_ESTIMATE(EBITDA,MEAN,ANN_ROLL,+0,NOW,,,'')":670.6205,"MRCY^FE_ESTIMATE(FCF,MEAN,ANN_ROLL,+2,NOW,,,'')":110.80817,"GD^FE_ESTIMATE(EBITDA,MEAN,ANN_ROLL,+2,NOW,,,'')":7255.549,"LHX^FE_ESTIMATE(SALES,MEAN,ANN_ROLL,+2,NOW,,,'')":25121.408,"GD^FF_DEBT(MON,NOW)":9789.0,"WWD^FE_ESTIMATE(EPS,MEAN,ANN_ROLL,+1,NOW,,,'')":8.725679,"TDY^FE_ESTIMATE(SALES,MEAN,ANN_ROLL,+1,NOW,,,'')":6384.2197,"CW-US^FE_ESTIMATE(SALES_PRODLINE_1,MEAN,ANN_ROLL,+1,NOW,,,'')":"#NUM","CW-US^FE_ESTIMATE(PRODLINE_SALES_3,MEAN,ANN_ROLL,+2,NOW,,,'')":1752.518,"CW-US^FE_ESTIMATE(PRODLINE_SALES_2,MEAN,ANN_ROLL,+2,NOW,,,'')":1167.366,"CW-US^FE_ESTIMATE(PRODLINE_SALES_1,MEAN,ANN_ROLL,+2,NOW,,,'')":1072.335,"CW-US^FE_ESTIMATE(PRODLINE_SALES_1,MEAN,ANN_ROLL,+1,NOW,,,'')":1027.8357,"CW-US^FE_ESTIMATE(PRODLINE_SALES_3,MEAN,ANN_ROLL,+1,NOW,,,'')":1592.35,"CW-US^FE_ESTIMATE(PRODLINE_SALES_2,MEAN,ANN_ROLL,+1,NOW,,,'')":1082.9347}]]></FdsFormulaCache>
</file>

<file path=customXml/itemProps1.xml><?xml version="1.0" encoding="utf-8"?>
<ds:datastoreItem xmlns:ds="http://schemas.openxmlformats.org/officeDocument/2006/customXml" ds:itemID="{50312D6A-CFC8-4EC5-A985-2509F115AE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e7fbb-202d-4f5f-b842-d2380ba27fd5"/>
    <ds:schemaRef ds:uri="a8b85fe8-3dea-468d-a489-413ddfddb0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76FF15-E8C8-4365-94C7-8C87416F1608}">
  <ds:schemaRef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http://www.w3.org/XML/1998/namespace"/>
    <ds:schemaRef ds:uri="http://schemas.microsoft.com/office/infopath/2007/PartnerControls"/>
    <ds:schemaRef ds:uri="a8b85fe8-3dea-468d-a489-413ddfddb008"/>
    <ds:schemaRef ds:uri="dabe7fbb-202d-4f5f-b842-d2380ba27fd5"/>
    <ds:schemaRef ds:uri="http://purl.org/dc/terms/"/>
  </ds:schemaRefs>
</ds:datastoreItem>
</file>

<file path=customXml/itemProps3.xml><?xml version="1.0" encoding="utf-8"?>
<ds:datastoreItem xmlns:ds="http://schemas.openxmlformats.org/officeDocument/2006/customXml" ds:itemID="{215B2936-1776-46AA-894B-E95B495D40F6}">
  <ds:schemaRefs>
    <ds:schemaRef ds:uri="http://schemas.microsoft.com/sharepoint/v3/contenttype/forms"/>
  </ds:schemaRefs>
</ds:datastoreItem>
</file>

<file path=customXml/itemProps4.xml><?xml version="1.0" encoding="utf-8"?>
<ds:datastoreItem xmlns:ds="http://schemas.openxmlformats.org/officeDocument/2006/customXml" ds:itemID="{1A2CE2CD-1011-4E6A-AD5A-9F804611BCF2}">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7</vt:i4>
      </vt:variant>
    </vt:vector>
  </HeadingPairs>
  <TitlesOfParts>
    <vt:vector size="23" baseType="lpstr">
      <vt:lpstr>CW_Drivers</vt:lpstr>
      <vt:lpstr>CW_IS</vt:lpstr>
      <vt:lpstr>CW_FCF</vt:lpstr>
      <vt:lpstr>WB FIN STATEMENT</vt:lpstr>
      <vt:lpstr>Comps</vt:lpstr>
      <vt:lpstr>BlueMatrix</vt:lpstr>
      <vt:lpstr>ESG</vt:lpstr>
      <vt:lpstr>1a</vt:lpstr>
      <vt:lpstr>1</vt:lpstr>
      <vt:lpstr>Sheet2</vt:lpstr>
      <vt:lpstr>2</vt:lpstr>
      <vt:lpstr>Content Platform</vt:lpstr>
      <vt:lpstr>EPS Call</vt:lpstr>
      <vt:lpstr>Timeline</vt:lpstr>
      <vt:lpstr>Bottoms Up</vt:lpstr>
      <vt:lpstr>Nuclear</vt:lpstr>
      <vt:lpstr>'1'!Print_Area</vt:lpstr>
      <vt:lpstr>'1a'!Print_Area</vt:lpstr>
      <vt:lpstr>Comps!Print_Area</vt:lpstr>
      <vt:lpstr>CW_Drivers!Print_Area</vt:lpstr>
      <vt:lpstr>CW_FCF!Print_Area</vt:lpstr>
      <vt:lpstr>CW_IS!Print_Area</vt:lpstr>
      <vt:lpstr>'WB FIN STATEMENT'!Print_Area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SEisner</dc:creator>
  <cp:keywords/>
  <dc:description/>
  <cp:lastModifiedBy>Yuuji Anderson</cp:lastModifiedBy>
  <cp:revision/>
  <cp:lastPrinted>2026-02-12T19:15:04Z</cp:lastPrinted>
  <dcterms:created xsi:type="dcterms:W3CDTF">2010-11-22T14:13:26Z</dcterms:created>
  <dcterms:modified xsi:type="dcterms:W3CDTF">2026-04-13T20:05:47Z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d">
    <vt:lpwstr>f2dfa5a9-71e3-40ce-8bfc-d193b1acc0bd</vt:lpwstr>
  </property>
  <property fmtid="{D5CDD505-2E9C-101B-9397-08002B2CF9AE}" pid="3" name="ContentTypeId">
    <vt:lpwstr>0x010100042343C4DBE96F4AA6569BB692C364DF</vt:lpwstr>
  </property>
</Properties>
</file>